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<sst xmlns="http://schemas.openxmlformats.org/spreadsheetml/2006/main" count="282" uniqueCount="51">
  <si>
    <t>Fine Structure Energy Levels for Ca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</si>
  <si>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</si>
  <si>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</si>
  <si>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</si>
  <si>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</si>
  <si>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</si>
  <si>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</si>
  <si>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</si>
  <si>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</si>
  <si>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</si>
  <si>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</si>
  <si>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</si>
  <si>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</si>
  <si>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</si>
  <si>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</si>
  <si>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</si>
  <si>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</si>
  <si>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</si>
  <si>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</si>
  <si>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</si>
  <si>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2s2(1S).3s</t>
  </si>
  <si>
    <t>2s.2p(3P).3p</t>
  </si>
  <si>
    <t>4D</t>
  </si>
  <si>
    <t>2s.2p(1P).3p</t>
  </si>
  <si>
    <t>2p2(3P).3s</t>
  </si>
  <si>
    <t>2p2(3P).3d</t>
  </si>
  <si>
    <t>2p2(1S).3s</t>
  </si>
  <si>
    <t>2p2(1D).3d</t>
  </si>
  <si>
    <t>2s2.3d</t>
  </si>
  <si>
    <t>2p2(1D).3s</t>
  </si>
  <si>
    <t>4F</t>
  </si>
  <si>
    <t>2p2(1S).3d</t>
  </si>
  <si>
    <t>2F</t>
  </si>
  <si>
    <t>2G</t>
  </si>
  <si>
    <t>2s2.3p</t>
  </si>
  <si>
    <t>2s.2p(3P).3s</t>
  </si>
  <si>
    <t>2s.2p(3P).3d</t>
  </si>
  <si>
    <t>2s.2p(1P).3s</t>
  </si>
  <si>
    <t>2s.2p(1P).3d</t>
  </si>
  <si>
    <t>2p2(3P).3p</t>
  </si>
  <si>
    <t>2p2(1D).3p</t>
  </si>
  <si>
    <t>2p2(1S).3p</t>
  </si>
  <si>
    <t>A-values for fine-structure transitions in Ca XVI</t>
  </si>
  <si>
    <t>k</t>
  </si>
  <si>
    <t>WL Vac (A)</t>
  </si>
  <si>
    <t>A (s-1)</t>
  </si>
  <si>
    <t>A2E1(s-1)</t>
  </si>
  <si>
    <t>Effective Collision Strengths for Ca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</si>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</sst>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HYPERLINK("http://141.218.60.56/~jnz1568/getInfo.php?workbook=20_05.xlsx&amp;sheet=E0&amp;row=4&amp;col=10&amp;number=0&amp;sourceID=14","0")</f>
        <v>0</v>
      </c>
    </row>
    <row r="5" spans="1:10">
      <c r="A5" s="3">
        <v>20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HYPERLINK("http://141.218.60.56/~jnz1568/getInfo.php?workbook=20_05.xlsx&amp;sheet=E0&amp;row=5&amp;col=10&amp;number=36611&amp;sourceID=14","36611")</f>
        <v>36611</v>
      </c>
    </row>
    <row r="6" spans="1:10">
      <c r="A6" s="3">
        <v>20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HYPERLINK("http://141.218.60.56/~jnz1568/getInfo.php?workbook=20_05.xlsx&amp;sheet=E0&amp;row=6&amp;col=10&amp;number=267675&amp;sourceID=14","267675")</f>
        <v>267675</v>
      </c>
    </row>
    <row r="7" spans="1:10">
      <c r="A7" s="3">
        <v>20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HYPERLINK("http://141.218.60.56/~jnz1568/getInfo.php?workbook=20_05.xlsx&amp;sheet=E0&amp;row=7&amp;col=10&amp;number=282190&amp;sourceID=14","282190")</f>
        <v>282190</v>
      </c>
    </row>
    <row r="8" spans="1:10">
      <c r="A8" s="3">
        <v>20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HYPERLINK("http://141.218.60.56/~jnz1568/getInfo.php?workbook=20_05.xlsx&amp;sheet=E0&amp;row=8&amp;col=10&amp;number=300475&amp;sourceID=14","300475")</f>
        <v>300475</v>
      </c>
    </row>
    <row r="9" spans="1:10">
      <c r="A9" s="3">
        <v>20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HYPERLINK("http://141.218.60.56/~jnz1568/getInfo.php?workbook=20_05.xlsx&amp;sheet=E0&amp;row=9&amp;col=10&amp;number=479378&amp;sourceID=14","479378")</f>
        <v>479378</v>
      </c>
    </row>
    <row r="10" spans="1:10">
      <c r="A10" s="3">
        <v>20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HYPERLINK("http://141.218.60.56/~jnz1568/getInfo.php?workbook=20_05.xlsx&amp;sheet=E0&amp;row=10&amp;col=10&amp;number=481952&amp;sourceID=14","481952")</f>
        <v>481952</v>
      </c>
    </row>
    <row r="11" spans="1:10">
      <c r="A11" s="3">
        <v>20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HYPERLINK("http://141.218.60.56/~jnz1568/getInfo.php?workbook=20_05.xlsx&amp;sheet=E0&amp;row=11&amp;col=10&amp;number=592229&amp;sourceID=14","592229")</f>
        <v>592229</v>
      </c>
    </row>
    <row r="12" spans="1:10">
      <c r="A12" s="3">
        <v>20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HYPERLINK("http://141.218.60.56/~jnz1568/getInfo.php?workbook=20_05.xlsx&amp;sheet=E0&amp;row=12&amp;col=10&amp;number=633779&amp;sourceID=14","633779")</f>
        <v>633779</v>
      </c>
    </row>
    <row r="13" spans="1:10">
      <c r="A13" s="3">
        <v>20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HYPERLINK("http://141.218.60.56/~jnz1568/getInfo.php?workbook=20_05.xlsx&amp;sheet=E0&amp;row=13&amp;col=10&amp;number=645731&amp;sourceID=14","645731")</f>
        <v>645731</v>
      </c>
    </row>
    <row r="14" spans="1:10">
      <c r="A14" s="3">
        <v>20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HYPERLINK("http://141.218.60.56/~jnz1568/getInfo.php?workbook=20_05.xlsx&amp;sheet=E0&amp;row=14&amp;col=10&amp;number=834552&amp;sourceID=14","834552")</f>
        <v>834552</v>
      </c>
    </row>
    <row r="15" spans="1:10">
      <c r="A15" s="3">
        <v>20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HYPERLINK("http://141.218.60.56/~jnz1568/getInfo.php?workbook=20_05.xlsx&amp;sheet=E0&amp;row=15&amp;col=10&amp;number=939965&amp;sourceID=14","939965")</f>
        <v>939965</v>
      </c>
    </row>
    <row r="16" spans="1:10">
      <c r="A16" s="3">
        <v>20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HYPERLINK("http://141.218.60.56/~jnz1568/getInfo.php?workbook=20_05.xlsx&amp;sheet=E0&amp;row=16&amp;col=10&amp;number=944802&amp;sourceID=14","944802")</f>
        <v>944802</v>
      </c>
    </row>
    <row r="17" spans="1:10">
      <c r="A17" s="3">
        <v>20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HYPERLINK("http://141.218.60.56/~jnz1568/getInfo.php?workbook=20_05.xlsx&amp;sheet=E0&amp;row=17&amp;col=10&amp;number=1052638&amp;sourceID=14","1052638")</f>
        <v>1052638</v>
      </c>
    </row>
    <row r="18" spans="1:10">
      <c r="A18" s="3">
        <v>20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HYPERLINK("http://141.218.60.56/~jnz1568/getInfo.php?workbook=20_05.xlsx&amp;sheet=E0&amp;row=18&amp;col=10&amp;number=1062111&amp;sourceID=14","1062111")</f>
        <v>1062111</v>
      </c>
    </row>
    <row r="19" spans="1:10">
      <c r="A19" s="3">
        <v>20</v>
      </c>
      <c r="B19" s="3">
        <v>5</v>
      </c>
      <c r="C19" s="3">
        <v>16</v>
      </c>
      <c r="D19" s="3" t="s">
        <v>20</v>
      </c>
      <c r="E19" s="3" t="s">
        <v>17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HYPERLINK("http://141.218.60.56/~jnz1568/getInfo.php?workbook=20_05.xlsx&amp;sheet=E0&amp;row=19&amp;col=10&amp;number=0&amp;sourceID=14","0")</f>
        <v>0</v>
      </c>
    </row>
    <row r="20" spans="1:10">
      <c r="A20" s="3">
        <v>20</v>
      </c>
      <c r="B20" s="3">
        <v>5</v>
      </c>
      <c r="C20" s="3">
        <v>17</v>
      </c>
      <c r="D20" s="3" t="s">
        <v>21</v>
      </c>
      <c r="E20" s="3" t="s">
        <v>22</v>
      </c>
      <c r="F20" s="3">
        <v>4</v>
      </c>
      <c r="G20" s="3">
        <v>2</v>
      </c>
      <c r="H20" s="3">
        <v>0</v>
      </c>
      <c r="I20" s="3">
        <v>0.5</v>
      </c>
      <c r="J20" s="4" t="str">
        <f>HYPERLINK("http://141.218.60.56/~jnz1568/getInfo.php?workbook=20_05.xlsx&amp;sheet=E0&amp;row=20&amp;col=10&amp;number=0&amp;sourceID=14","0")</f>
        <v>0</v>
      </c>
    </row>
    <row r="21" spans="1:10">
      <c r="A21" s="3">
        <v>20</v>
      </c>
      <c r="B21" s="3">
        <v>5</v>
      </c>
      <c r="C21" s="3">
        <v>18</v>
      </c>
      <c r="D21" s="3" t="s">
        <v>21</v>
      </c>
      <c r="E21" s="3" t="s">
        <v>13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HYPERLINK("http://141.218.60.56/~jnz1568/getInfo.php?workbook=20_05.xlsx&amp;sheet=E0&amp;row=21&amp;col=10&amp;number=4773000&amp;sourceID=14","4773000")</f>
        <v>4773000</v>
      </c>
    </row>
    <row r="22" spans="1:10">
      <c r="A22" s="3">
        <v>20</v>
      </c>
      <c r="B22" s="3">
        <v>5</v>
      </c>
      <c r="C22" s="3">
        <v>19</v>
      </c>
      <c r="D22" s="3" t="s">
        <v>21</v>
      </c>
      <c r="E22" s="3" t="s">
        <v>15</v>
      </c>
      <c r="F22" s="3">
        <v>4</v>
      </c>
      <c r="G22" s="3">
        <v>1</v>
      </c>
      <c r="H22" s="3">
        <v>1</v>
      </c>
      <c r="I22" s="3">
        <v>0.5</v>
      </c>
      <c r="J22" s="4" t="str">
        <f>HYPERLINK("http://141.218.60.56/~jnz1568/getInfo.php?workbook=20_05.xlsx&amp;sheet=E0&amp;row=22&amp;col=10&amp;number=0&amp;sourceID=14","0")</f>
        <v>0</v>
      </c>
    </row>
    <row r="23" spans="1:10">
      <c r="A23" s="3">
        <v>20</v>
      </c>
      <c r="B23" s="3">
        <v>5</v>
      </c>
      <c r="C23" s="3">
        <v>20</v>
      </c>
      <c r="D23" s="3" t="s">
        <v>21</v>
      </c>
      <c r="E23" s="3" t="s">
        <v>17</v>
      </c>
      <c r="F23" s="3">
        <v>2</v>
      </c>
      <c r="G23" s="3">
        <v>0</v>
      </c>
      <c r="H23" s="3">
        <v>0</v>
      </c>
      <c r="I23" s="3">
        <v>0.5</v>
      </c>
      <c r="J23" s="4" t="str">
        <f>HYPERLINK("http://141.218.60.56/~jnz1568/getInfo.php?workbook=20_05.xlsx&amp;sheet=E0&amp;row=23&amp;col=10&amp;number=0&amp;sourceID=14","0")</f>
        <v>0</v>
      </c>
    </row>
    <row r="24" spans="1:10">
      <c r="A24" s="3">
        <v>20</v>
      </c>
      <c r="B24" s="3">
        <v>5</v>
      </c>
      <c r="C24" s="3">
        <v>21</v>
      </c>
      <c r="D24" s="3" t="s">
        <v>23</v>
      </c>
      <c r="E24" s="3" t="s">
        <v>13</v>
      </c>
      <c r="F24" s="3">
        <v>2</v>
      </c>
      <c r="G24" s="3">
        <v>1</v>
      </c>
      <c r="H24" s="3">
        <v>1</v>
      </c>
      <c r="I24" s="3">
        <v>0.5</v>
      </c>
      <c r="J24" s="4" t="str">
        <f>HYPERLINK("http://141.218.60.56/~jnz1568/getInfo.php?workbook=20_05.xlsx&amp;sheet=E0&amp;row=24&amp;col=10&amp;number=0&amp;sourceID=14","0")</f>
        <v>0</v>
      </c>
    </row>
    <row r="25" spans="1:10">
      <c r="A25" s="3">
        <v>20</v>
      </c>
      <c r="B25" s="3">
        <v>5</v>
      </c>
      <c r="C25" s="3">
        <v>22</v>
      </c>
      <c r="D25" s="3" t="s">
        <v>23</v>
      </c>
      <c r="E25" s="3" t="s">
        <v>17</v>
      </c>
      <c r="F25" s="3">
        <v>2</v>
      </c>
      <c r="G25" s="3">
        <v>0</v>
      </c>
      <c r="H25" s="3">
        <v>0</v>
      </c>
      <c r="I25" s="3">
        <v>0.5</v>
      </c>
      <c r="J25" s="4" t="str">
        <f>HYPERLINK("http://141.218.60.56/~jnz1568/getInfo.php?workbook=20_05.xlsx&amp;sheet=E0&amp;row=25&amp;col=10&amp;number=0&amp;sourceID=14","0")</f>
        <v>0</v>
      </c>
    </row>
    <row r="26" spans="1:10">
      <c r="A26" s="3">
        <v>20</v>
      </c>
      <c r="B26" s="3">
        <v>5</v>
      </c>
      <c r="C26" s="3">
        <v>23</v>
      </c>
      <c r="D26" s="3" t="s">
        <v>24</v>
      </c>
      <c r="E26" s="3" t="s">
        <v>15</v>
      </c>
      <c r="F26" s="3">
        <v>4</v>
      </c>
      <c r="G26" s="3">
        <v>1</v>
      </c>
      <c r="H26" s="3">
        <v>1</v>
      </c>
      <c r="I26" s="3">
        <v>0.5</v>
      </c>
      <c r="J26" s="4" t="str">
        <f>HYPERLINK("http://141.218.60.56/~jnz1568/getInfo.php?workbook=20_05.xlsx&amp;sheet=E0&amp;row=26&amp;col=10&amp;number=0&amp;sourceID=14","0")</f>
        <v>0</v>
      </c>
    </row>
    <row r="27" spans="1:10">
      <c r="A27" s="3">
        <v>20</v>
      </c>
      <c r="B27" s="3">
        <v>5</v>
      </c>
      <c r="C27" s="3">
        <v>24</v>
      </c>
      <c r="D27" s="3" t="s">
        <v>24</v>
      </c>
      <c r="E27" s="3" t="s">
        <v>13</v>
      </c>
      <c r="F27" s="3">
        <v>2</v>
      </c>
      <c r="G27" s="3">
        <v>1</v>
      </c>
      <c r="H27" s="3">
        <v>1</v>
      </c>
      <c r="I27" s="3">
        <v>0.5</v>
      </c>
      <c r="J27" s="4" t="str">
        <f>HYPERLINK("http://141.218.60.56/~jnz1568/getInfo.php?workbook=20_05.xlsx&amp;sheet=E0&amp;row=27&amp;col=10&amp;number=0&amp;sourceID=14","0")</f>
        <v>0</v>
      </c>
    </row>
    <row r="28" spans="1:10">
      <c r="A28" s="3">
        <v>20</v>
      </c>
      <c r="B28" s="3">
        <v>5</v>
      </c>
      <c r="C28" s="3">
        <v>25</v>
      </c>
      <c r="D28" s="3" t="s">
        <v>25</v>
      </c>
      <c r="E28" s="3" t="s">
        <v>22</v>
      </c>
      <c r="F28" s="3">
        <v>4</v>
      </c>
      <c r="G28" s="3">
        <v>2</v>
      </c>
      <c r="H28" s="3">
        <v>0</v>
      </c>
      <c r="I28" s="3">
        <v>0.5</v>
      </c>
      <c r="J28" s="4" t="str">
        <f>HYPERLINK("http://141.218.60.56/~jnz1568/getInfo.php?workbook=20_05.xlsx&amp;sheet=E0&amp;row=28&amp;col=10&amp;number=0&amp;sourceID=14","0")</f>
        <v>0</v>
      </c>
    </row>
    <row r="29" spans="1:10">
      <c r="A29" s="3">
        <v>20</v>
      </c>
      <c r="B29" s="3">
        <v>5</v>
      </c>
      <c r="C29" s="3">
        <v>26</v>
      </c>
      <c r="D29" s="3" t="s">
        <v>25</v>
      </c>
      <c r="E29" s="3" t="s">
        <v>13</v>
      </c>
      <c r="F29" s="3">
        <v>2</v>
      </c>
      <c r="G29" s="3">
        <v>1</v>
      </c>
      <c r="H29" s="3">
        <v>1</v>
      </c>
      <c r="I29" s="3">
        <v>0.5</v>
      </c>
      <c r="J29" s="4" t="str">
        <f>HYPERLINK("http://141.218.60.56/~jnz1568/getInfo.php?workbook=20_05.xlsx&amp;sheet=E0&amp;row=29&amp;col=10&amp;number=0&amp;sourceID=14","0")</f>
        <v>0</v>
      </c>
    </row>
    <row r="30" spans="1:10">
      <c r="A30" s="3">
        <v>20</v>
      </c>
      <c r="B30" s="3">
        <v>5</v>
      </c>
      <c r="C30" s="3">
        <v>27</v>
      </c>
      <c r="D30" s="3" t="s">
        <v>25</v>
      </c>
      <c r="E30" s="3" t="s">
        <v>15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HYPERLINK("http://141.218.60.56/~jnz1568/getInfo.php?workbook=20_05.xlsx&amp;sheet=E0&amp;row=30&amp;col=10&amp;number=0&amp;sourceID=14","0")</f>
        <v>0</v>
      </c>
    </row>
    <row r="31" spans="1:10">
      <c r="A31" s="3">
        <v>20</v>
      </c>
      <c r="B31" s="3">
        <v>5</v>
      </c>
      <c r="C31" s="3">
        <v>28</v>
      </c>
      <c r="D31" s="3" t="s">
        <v>26</v>
      </c>
      <c r="E31" s="3" t="s">
        <v>17</v>
      </c>
      <c r="F31" s="3">
        <v>2</v>
      </c>
      <c r="G31" s="3">
        <v>0</v>
      </c>
      <c r="H31" s="3">
        <v>0</v>
      </c>
      <c r="I31" s="3">
        <v>0.5</v>
      </c>
      <c r="J31" s="4" t="str">
        <f>HYPERLINK("http://141.218.60.56/~jnz1568/getInfo.php?workbook=20_05.xlsx&amp;sheet=E0&amp;row=31&amp;col=10&amp;number=0&amp;sourceID=14","0")</f>
        <v>0</v>
      </c>
    </row>
    <row r="32" spans="1:10">
      <c r="A32" s="3">
        <v>20</v>
      </c>
      <c r="B32" s="3">
        <v>5</v>
      </c>
      <c r="C32" s="3">
        <v>29</v>
      </c>
      <c r="D32" s="3" t="s">
        <v>27</v>
      </c>
      <c r="E32" s="3" t="s">
        <v>13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HYPERLINK("http://141.218.60.56/~jnz1568/getInfo.php?workbook=20_05.xlsx&amp;sheet=E0&amp;row=32&amp;col=10&amp;number=0&amp;sourceID=14","0")</f>
        <v>0</v>
      </c>
    </row>
    <row r="33" spans="1:10">
      <c r="A33" s="3">
        <v>20</v>
      </c>
      <c r="B33" s="3">
        <v>5</v>
      </c>
      <c r="C33" s="3">
        <v>30</v>
      </c>
      <c r="D33" s="3" t="s">
        <v>27</v>
      </c>
      <c r="E33" s="3" t="s">
        <v>17</v>
      </c>
      <c r="F33" s="3">
        <v>2</v>
      </c>
      <c r="G33" s="3">
        <v>0</v>
      </c>
      <c r="H33" s="3">
        <v>0</v>
      </c>
      <c r="I33" s="3">
        <v>0.5</v>
      </c>
      <c r="J33" s="4" t="str">
        <f>HYPERLINK("http://141.218.60.56/~jnz1568/getInfo.php?workbook=20_05.xlsx&amp;sheet=E0&amp;row=33&amp;col=10&amp;number=0&amp;sourceID=14","0")</f>
        <v>0</v>
      </c>
    </row>
    <row r="34" spans="1:10">
      <c r="A34" s="3">
        <v>20</v>
      </c>
      <c r="B34" s="3">
        <v>5</v>
      </c>
      <c r="C34" s="3">
        <v>31</v>
      </c>
      <c r="D34" s="3" t="s">
        <v>28</v>
      </c>
      <c r="E34" s="3" t="s">
        <v>16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HYPERLINK("http://141.218.60.56/~jnz1568/getInfo.php?workbook=20_05.xlsx&amp;sheet=E0&amp;row=34&amp;col=10&amp;number=4662000&amp;sourceID=14","4662000")</f>
        <v>4662000</v>
      </c>
    </row>
    <row r="35" spans="1:10">
      <c r="A35" s="3">
        <v>20</v>
      </c>
      <c r="B35" s="3">
        <v>5</v>
      </c>
      <c r="C35" s="3">
        <v>32</v>
      </c>
      <c r="D35" s="3" t="s">
        <v>21</v>
      </c>
      <c r="E35" s="3" t="s">
        <v>22</v>
      </c>
      <c r="F35" s="3">
        <v>4</v>
      </c>
      <c r="G35" s="3">
        <v>2</v>
      </c>
      <c r="H35" s="3">
        <v>0</v>
      </c>
      <c r="I35" s="3">
        <v>1.5</v>
      </c>
      <c r="J35" s="4" t="str">
        <f>HYPERLINK("http://141.218.60.56/~jnz1568/getInfo.php?workbook=20_05.xlsx&amp;sheet=E0&amp;row=35&amp;col=10&amp;number=0&amp;sourceID=14","0")</f>
        <v>0</v>
      </c>
    </row>
    <row r="36" spans="1:10">
      <c r="A36" s="3">
        <v>20</v>
      </c>
      <c r="B36" s="3">
        <v>5</v>
      </c>
      <c r="C36" s="3">
        <v>33</v>
      </c>
      <c r="D36" s="3" t="s">
        <v>21</v>
      </c>
      <c r="E36" s="3" t="s">
        <v>13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HYPERLINK("http://141.218.60.56/~jnz1568/getInfo.php?workbook=20_05.xlsx&amp;sheet=E0&amp;row=36&amp;col=10&amp;number=4794000&amp;sourceID=14","4794000")</f>
        <v>4794000</v>
      </c>
    </row>
    <row r="37" spans="1:10">
      <c r="A37" s="3">
        <v>20</v>
      </c>
      <c r="B37" s="3">
        <v>5</v>
      </c>
      <c r="C37" s="3">
        <v>34</v>
      </c>
      <c r="D37" s="3" t="s">
        <v>21</v>
      </c>
      <c r="E37" s="3" t="s">
        <v>19</v>
      </c>
      <c r="F37" s="3">
        <v>4</v>
      </c>
      <c r="G37" s="3">
        <v>0</v>
      </c>
      <c r="H37" s="3">
        <v>0</v>
      </c>
      <c r="I37" s="3">
        <v>1.5</v>
      </c>
      <c r="J37" s="4" t="str">
        <f>HYPERLINK("http://141.218.60.56/~jnz1568/getInfo.php?workbook=20_05.xlsx&amp;sheet=E0&amp;row=37&amp;col=10&amp;number=0&amp;sourceID=14","0")</f>
        <v>0</v>
      </c>
    </row>
    <row r="38" spans="1:10">
      <c r="A38" s="3">
        <v>20</v>
      </c>
      <c r="B38" s="3">
        <v>5</v>
      </c>
      <c r="C38" s="3">
        <v>35</v>
      </c>
      <c r="D38" s="3" t="s">
        <v>21</v>
      </c>
      <c r="E38" s="3" t="s">
        <v>15</v>
      </c>
      <c r="F38" s="3">
        <v>4</v>
      </c>
      <c r="G38" s="3">
        <v>1</v>
      </c>
      <c r="H38" s="3">
        <v>1</v>
      </c>
      <c r="I38" s="3">
        <v>1.5</v>
      </c>
      <c r="J38" s="4" t="str">
        <f>HYPERLINK("http://141.218.60.56/~jnz1568/getInfo.php?workbook=20_05.xlsx&amp;sheet=E0&amp;row=38&amp;col=10&amp;number=0&amp;sourceID=14","0")</f>
        <v>0</v>
      </c>
    </row>
    <row r="39" spans="1:10">
      <c r="A39" s="3">
        <v>20</v>
      </c>
      <c r="B39" s="3">
        <v>5</v>
      </c>
      <c r="C39" s="3">
        <v>36</v>
      </c>
      <c r="D39" s="3" t="s">
        <v>21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HYPERLINK("http://141.218.60.56/~jnz1568/getInfo.php?workbook=20_05.xlsx&amp;sheet=E0&amp;row=39&amp;col=10&amp;number=0&amp;sourceID=14","0")</f>
        <v>0</v>
      </c>
    </row>
    <row r="40" spans="1:10">
      <c r="A40" s="3">
        <v>20</v>
      </c>
      <c r="B40" s="3">
        <v>5</v>
      </c>
      <c r="C40" s="3">
        <v>37</v>
      </c>
      <c r="D40" s="3" t="s">
        <v>23</v>
      </c>
      <c r="E40" s="3" t="s">
        <v>16</v>
      </c>
      <c r="F40" s="3">
        <v>2</v>
      </c>
      <c r="G40" s="3">
        <v>2</v>
      </c>
      <c r="H40" s="3">
        <v>0</v>
      </c>
      <c r="I40" s="3">
        <v>1.5</v>
      </c>
      <c r="J40" s="4" t="str">
        <f>HYPERLINK("http://141.218.60.56/~jnz1568/getInfo.php?workbook=20_05.xlsx&amp;sheet=E0&amp;row=40&amp;col=10&amp;number=0&amp;sourceID=14","0")</f>
        <v>0</v>
      </c>
    </row>
    <row r="41" spans="1:10">
      <c r="A41" s="3">
        <v>20</v>
      </c>
      <c r="B41" s="3">
        <v>5</v>
      </c>
      <c r="C41" s="3">
        <v>38</v>
      </c>
      <c r="D41" s="3" t="s">
        <v>23</v>
      </c>
      <c r="E41" s="3" t="s">
        <v>13</v>
      </c>
      <c r="F41" s="3">
        <v>2</v>
      </c>
      <c r="G41" s="3">
        <v>1</v>
      </c>
      <c r="H41" s="3">
        <v>1</v>
      </c>
      <c r="I41" s="3">
        <v>1.5</v>
      </c>
      <c r="J41" s="4" t="str">
        <f>HYPERLINK("http://141.218.60.56/~jnz1568/getInfo.php?workbook=20_05.xlsx&amp;sheet=E0&amp;row=41&amp;col=10&amp;number=0&amp;sourceID=14","0")</f>
        <v>0</v>
      </c>
    </row>
    <row r="42" spans="1:10">
      <c r="A42" s="3">
        <v>20</v>
      </c>
      <c r="B42" s="3">
        <v>5</v>
      </c>
      <c r="C42" s="3">
        <v>39</v>
      </c>
      <c r="D42" s="3" t="s">
        <v>24</v>
      </c>
      <c r="E42" s="3" t="s">
        <v>15</v>
      </c>
      <c r="F42" s="3">
        <v>4</v>
      </c>
      <c r="G42" s="3">
        <v>1</v>
      </c>
      <c r="H42" s="3">
        <v>1</v>
      </c>
      <c r="I42" s="3">
        <v>1.5</v>
      </c>
      <c r="J42" s="4" t="str">
        <f>HYPERLINK("http://141.218.60.56/~jnz1568/getInfo.php?workbook=20_05.xlsx&amp;sheet=E0&amp;row=42&amp;col=10&amp;number=0&amp;sourceID=14","0")</f>
        <v>0</v>
      </c>
    </row>
    <row r="43" spans="1:10">
      <c r="A43" s="3">
        <v>20</v>
      </c>
      <c r="B43" s="3">
        <v>5</v>
      </c>
      <c r="C43" s="3">
        <v>40</v>
      </c>
      <c r="D43" s="3" t="s">
        <v>24</v>
      </c>
      <c r="E43" s="3" t="s">
        <v>13</v>
      </c>
      <c r="F43" s="3">
        <v>2</v>
      </c>
      <c r="G43" s="3">
        <v>1</v>
      </c>
      <c r="H43" s="3">
        <v>1</v>
      </c>
      <c r="I43" s="3">
        <v>1.5</v>
      </c>
      <c r="J43" s="4" t="str">
        <f>HYPERLINK("http://141.218.60.56/~jnz1568/getInfo.php?workbook=20_05.xlsx&amp;sheet=E0&amp;row=43&amp;col=10&amp;number=0&amp;sourceID=14","0")</f>
        <v>0</v>
      </c>
    </row>
    <row r="44" spans="1:10">
      <c r="A44" s="3">
        <v>20</v>
      </c>
      <c r="B44" s="3">
        <v>5</v>
      </c>
      <c r="C44" s="3">
        <v>41</v>
      </c>
      <c r="D44" s="3" t="s">
        <v>29</v>
      </c>
      <c r="E44" s="3" t="s">
        <v>16</v>
      </c>
      <c r="F44" s="3">
        <v>2</v>
      </c>
      <c r="G44" s="3">
        <v>2</v>
      </c>
      <c r="H44" s="3">
        <v>0</v>
      </c>
      <c r="I44" s="3">
        <v>1.5</v>
      </c>
      <c r="J44" s="4" t="str">
        <f>HYPERLINK("http://141.218.60.56/~jnz1568/getInfo.php?workbook=20_05.xlsx&amp;sheet=E0&amp;row=44&amp;col=10&amp;number=0&amp;sourceID=14","0")</f>
        <v>0</v>
      </c>
    </row>
    <row r="45" spans="1:10">
      <c r="A45" s="3">
        <v>20</v>
      </c>
      <c r="B45" s="3">
        <v>5</v>
      </c>
      <c r="C45" s="3">
        <v>42</v>
      </c>
      <c r="D45" s="3" t="s">
        <v>25</v>
      </c>
      <c r="E45" s="3" t="s">
        <v>30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HYPERLINK("http://141.218.60.56/~jnz1568/getInfo.php?workbook=20_05.xlsx&amp;sheet=E0&amp;row=45&amp;col=10&amp;number=0&amp;sourceID=14","0")</f>
        <v>0</v>
      </c>
    </row>
    <row r="46" spans="1:10">
      <c r="A46" s="3">
        <v>20</v>
      </c>
      <c r="B46" s="3">
        <v>5</v>
      </c>
      <c r="C46" s="3">
        <v>43</v>
      </c>
      <c r="D46" s="3" t="s">
        <v>25</v>
      </c>
      <c r="E46" s="3" t="s">
        <v>13</v>
      </c>
      <c r="F46" s="3">
        <v>2</v>
      </c>
      <c r="G46" s="3">
        <v>1</v>
      </c>
      <c r="H46" s="3">
        <v>1</v>
      </c>
      <c r="I46" s="3">
        <v>1.5</v>
      </c>
      <c r="J46" s="4" t="str">
        <f>HYPERLINK("http://141.218.60.56/~jnz1568/getInfo.php?workbook=20_05.xlsx&amp;sheet=E0&amp;row=46&amp;col=10&amp;number=0&amp;sourceID=14","0")</f>
        <v>0</v>
      </c>
    </row>
    <row r="47" spans="1:10">
      <c r="A47" s="3">
        <v>20</v>
      </c>
      <c r="B47" s="3">
        <v>5</v>
      </c>
      <c r="C47" s="3">
        <v>44</v>
      </c>
      <c r="D47" s="3" t="s">
        <v>25</v>
      </c>
      <c r="E47" s="3" t="s">
        <v>22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HYPERLINK("http://141.218.60.56/~jnz1568/getInfo.php?workbook=20_05.xlsx&amp;sheet=E0&amp;row=47&amp;col=10&amp;number=0&amp;sourceID=14","0")</f>
        <v>0</v>
      </c>
    </row>
    <row r="48" spans="1:10">
      <c r="A48" s="3">
        <v>20</v>
      </c>
      <c r="B48" s="3">
        <v>5</v>
      </c>
      <c r="C48" s="3">
        <v>45</v>
      </c>
      <c r="D48" s="3" t="s">
        <v>25</v>
      </c>
      <c r="E48" s="3" t="s">
        <v>15</v>
      </c>
      <c r="F48" s="3">
        <v>4</v>
      </c>
      <c r="G48" s="3">
        <v>1</v>
      </c>
      <c r="H48" s="3">
        <v>1</v>
      </c>
      <c r="I48" s="3">
        <v>1.5</v>
      </c>
      <c r="J48" s="4" t="str">
        <f>HYPERLINK("http://141.218.60.56/~jnz1568/getInfo.php?workbook=20_05.xlsx&amp;sheet=E0&amp;row=48&amp;col=10&amp;number=0&amp;sourceID=14","0")</f>
        <v>0</v>
      </c>
    </row>
    <row r="49" spans="1:10">
      <c r="A49" s="3">
        <v>20</v>
      </c>
      <c r="B49" s="3">
        <v>5</v>
      </c>
      <c r="C49" s="3">
        <v>46</v>
      </c>
      <c r="D49" s="3" t="s">
        <v>25</v>
      </c>
      <c r="E49" s="3" t="s">
        <v>16</v>
      </c>
      <c r="F49" s="3">
        <v>2</v>
      </c>
      <c r="G49" s="3">
        <v>2</v>
      </c>
      <c r="H49" s="3">
        <v>0</v>
      </c>
      <c r="I49" s="3">
        <v>1.5</v>
      </c>
      <c r="J49" s="4" t="str">
        <f>HYPERLINK("http://141.218.60.56/~jnz1568/getInfo.php?workbook=20_05.xlsx&amp;sheet=E0&amp;row=49&amp;col=10&amp;number=0&amp;sourceID=14","0")</f>
        <v>0</v>
      </c>
    </row>
    <row r="50" spans="1:10">
      <c r="A50" s="3">
        <v>20</v>
      </c>
      <c r="B50" s="3">
        <v>5</v>
      </c>
      <c r="C50" s="3">
        <v>47</v>
      </c>
      <c r="D50" s="3" t="s">
        <v>27</v>
      </c>
      <c r="E50" s="3" t="s">
        <v>16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HYPERLINK("http://141.218.60.56/~jnz1568/getInfo.php?workbook=20_05.xlsx&amp;sheet=E0&amp;row=50&amp;col=10&amp;number=0&amp;sourceID=14","0")</f>
        <v>0</v>
      </c>
    </row>
    <row r="51" spans="1:10">
      <c r="A51" s="3">
        <v>20</v>
      </c>
      <c r="B51" s="3">
        <v>5</v>
      </c>
      <c r="C51" s="3">
        <v>48</v>
      </c>
      <c r="D51" s="3" t="s">
        <v>27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HYPERLINK("http://141.218.60.56/~jnz1568/getInfo.php?workbook=20_05.xlsx&amp;sheet=E0&amp;row=51&amp;col=10&amp;number=0&amp;sourceID=14","0")</f>
        <v>0</v>
      </c>
    </row>
    <row r="52" spans="1:10">
      <c r="A52" s="3">
        <v>20</v>
      </c>
      <c r="B52" s="3">
        <v>5</v>
      </c>
      <c r="C52" s="3">
        <v>49</v>
      </c>
      <c r="D52" s="3" t="s">
        <v>31</v>
      </c>
      <c r="E52" s="3" t="s">
        <v>16</v>
      </c>
      <c r="F52" s="3">
        <v>2</v>
      </c>
      <c r="G52" s="3">
        <v>2</v>
      </c>
      <c r="H52" s="3">
        <v>0</v>
      </c>
      <c r="I52" s="3">
        <v>1.5</v>
      </c>
      <c r="J52" s="4" t="str">
        <f>HYPERLINK("http://141.218.60.56/~jnz1568/getInfo.php?workbook=20_05.xlsx&amp;sheet=E0&amp;row=52&amp;col=10&amp;number=0&amp;sourceID=14","0")</f>
        <v>0</v>
      </c>
    </row>
    <row r="53" spans="1:10">
      <c r="A53" s="3">
        <v>20</v>
      </c>
      <c r="B53" s="3">
        <v>5</v>
      </c>
      <c r="C53" s="3">
        <v>50</v>
      </c>
      <c r="D53" s="3" t="s">
        <v>28</v>
      </c>
      <c r="E53" s="3" t="s">
        <v>16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HYPERLINK("http://141.218.60.56/~jnz1568/getInfo.php?workbook=20_05.xlsx&amp;sheet=E0&amp;row=53&amp;col=10&amp;number=4664000&amp;sourceID=14","4664000")</f>
        <v>4664000</v>
      </c>
    </row>
    <row r="54" spans="1:10">
      <c r="A54" s="3">
        <v>20</v>
      </c>
      <c r="B54" s="3">
        <v>5</v>
      </c>
      <c r="C54" s="3">
        <v>51</v>
      </c>
      <c r="D54" s="3" t="s">
        <v>21</v>
      </c>
      <c r="E54" s="3" t="s">
        <v>22</v>
      </c>
      <c r="F54" s="3">
        <v>4</v>
      </c>
      <c r="G54" s="3">
        <v>2</v>
      </c>
      <c r="H54" s="3">
        <v>0</v>
      </c>
      <c r="I54" s="3">
        <v>2.5</v>
      </c>
      <c r="J54" s="4" t="str">
        <f>HYPERLINK("http://141.218.60.56/~jnz1568/getInfo.php?workbook=20_05.xlsx&amp;sheet=E0&amp;row=54&amp;col=10&amp;number=0&amp;sourceID=14","0")</f>
        <v>0</v>
      </c>
    </row>
    <row r="55" spans="1:10">
      <c r="A55" s="3">
        <v>20</v>
      </c>
      <c r="B55" s="3">
        <v>5</v>
      </c>
      <c r="C55" s="3">
        <v>52</v>
      </c>
      <c r="D55" s="3" t="s">
        <v>21</v>
      </c>
      <c r="E55" s="3" t="s">
        <v>15</v>
      </c>
      <c r="F55" s="3">
        <v>4</v>
      </c>
      <c r="G55" s="3">
        <v>1</v>
      </c>
      <c r="H55" s="3">
        <v>1</v>
      </c>
      <c r="I55" s="3">
        <v>2.5</v>
      </c>
      <c r="J55" s="4" t="str">
        <f>HYPERLINK("http://141.218.60.56/~jnz1568/getInfo.php?workbook=20_05.xlsx&amp;sheet=E0&amp;row=55&amp;col=10&amp;number=0&amp;sourceID=14","0")</f>
        <v>0</v>
      </c>
    </row>
    <row r="56" spans="1:10">
      <c r="A56" s="3">
        <v>20</v>
      </c>
      <c r="B56" s="3">
        <v>5</v>
      </c>
      <c r="C56" s="3">
        <v>53</v>
      </c>
      <c r="D56" s="3" t="s">
        <v>21</v>
      </c>
      <c r="E56" s="3" t="s">
        <v>16</v>
      </c>
      <c r="F56" s="3">
        <v>2</v>
      </c>
      <c r="G56" s="3">
        <v>2</v>
      </c>
      <c r="H56" s="3">
        <v>0</v>
      </c>
      <c r="I56" s="3">
        <v>2.5</v>
      </c>
      <c r="J56" s="4" t="str">
        <f>HYPERLINK("http://141.218.60.56/~jnz1568/getInfo.php?workbook=20_05.xlsx&amp;sheet=E0&amp;row=56&amp;col=10&amp;number=0&amp;sourceID=14","0")</f>
        <v>0</v>
      </c>
    </row>
    <row r="57" spans="1:10">
      <c r="A57" s="3">
        <v>20</v>
      </c>
      <c r="B57" s="3">
        <v>5</v>
      </c>
      <c r="C57" s="3">
        <v>54</v>
      </c>
      <c r="D57" s="3" t="s">
        <v>23</v>
      </c>
      <c r="E57" s="3" t="s">
        <v>16</v>
      </c>
      <c r="F57" s="3">
        <v>2</v>
      </c>
      <c r="G57" s="3">
        <v>2</v>
      </c>
      <c r="H57" s="3">
        <v>0</v>
      </c>
      <c r="I57" s="3">
        <v>2.5</v>
      </c>
      <c r="J57" s="4" t="str">
        <f>HYPERLINK("http://141.218.60.56/~jnz1568/getInfo.php?workbook=20_05.xlsx&amp;sheet=E0&amp;row=57&amp;col=10&amp;number=0&amp;sourceID=14","0")</f>
        <v>0</v>
      </c>
    </row>
    <row r="58" spans="1:10">
      <c r="A58" s="3">
        <v>20</v>
      </c>
      <c r="B58" s="3">
        <v>5</v>
      </c>
      <c r="C58" s="3">
        <v>55</v>
      </c>
      <c r="D58" s="3" t="s">
        <v>24</v>
      </c>
      <c r="E58" s="3" t="s">
        <v>15</v>
      </c>
      <c r="F58" s="3">
        <v>4</v>
      </c>
      <c r="G58" s="3">
        <v>1</v>
      </c>
      <c r="H58" s="3">
        <v>1</v>
      </c>
      <c r="I58" s="3">
        <v>2.5</v>
      </c>
      <c r="J58" s="4" t="str">
        <f>HYPERLINK("http://141.218.60.56/~jnz1568/getInfo.php?workbook=20_05.xlsx&amp;sheet=E0&amp;row=58&amp;col=10&amp;number=0&amp;sourceID=14","0")</f>
        <v>0</v>
      </c>
    </row>
    <row r="59" spans="1:10">
      <c r="A59" s="3">
        <v>20</v>
      </c>
      <c r="B59" s="3">
        <v>5</v>
      </c>
      <c r="C59" s="3">
        <v>56</v>
      </c>
      <c r="D59" s="3" t="s">
        <v>29</v>
      </c>
      <c r="E59" s="3" t="s">
        <v>16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HYPERLINK("http://141.218.60.56/~jnz1568/getInfo.php?workbook=20_05.xlsx&amp;sheet=E0&amp;row=59&amp;col=10&amp;number=0&amp;sourceID=14","0")</f>
        <v>0</v>
      </c>
    </row>
    <row r="60" spans="1:10">
      <c r="A60" s="3">
        <v>20</v>
      </c>
      <c r="B60" s="3">
        <v>5</v>
      </c>
      <c r="C60" s="3">
        <v>57</v>
      </c>
      <c r="D60" s="3" t="s">
        <v>25</v>
      </c>
      <c r="E60" s="3" t="s">
        <v>30</v>
      </c>
      <c r="F60" s="3">
        <v>4</v>
      </c>
      <c r="G60" s="3">
        <v>3</v>
      </c>
      <c r="H60" s="3">
        <v>1</v>
      </c>
      <c r="I60" s="3">
        <v>2.5</v>
      </c>
      <c r="J60" s="4" t="str">
        <f>HYPERLINK("http://141.218.60.56/~jnz1568/getInfo.php?workbook=20_05.xlsx&amp;sheet=E0&amp;row=60&amp;col=10&amp;number=0&amp;sourceID=14","0")</f>
        <v>0</v>
      </c>
    </row>
    <row r="61" spans="1:10">
      <c r="A61" s="3">
        <v>20</v>
      </c>
      <c r="B61" s="3">
        <v>5</v>
      </c>
      <c r="C61" s="3">
        <v>58</v>
      </c>
      <c r="D61" s="3" t="s">
        <v>25</v>
      </c>
      <c r="E61" s="3" t="s">
        <v>22</v>
      </c>
      <c r="F61" s="3">
        <v>4</v>
      </c>
      <c r="G61" s="3">
        <v>2</v>
      </c>
      <c r="H61" s="3">
        <v>0</v>
      </c>
      <c r="I61" s="3">
        <v>2.5</v>
      </c>
      <c r="J61" s="4" t="str">
        <f>HYPERLINK("http://141.218.60.56/~jnz1568/getInfo.php?workbook=20_05.xlsx&amp;sheet=E0&amp;row=61&amp;col=10&amp;number=0&amp;sourceID=14","0")</f>
        <v>0</v>
      </c>
    </row>
    <row r="62" spans="1:10">
      <c r="A62" s="3">
        <v>20</v>
      </c>
      <c r="B62" s="3">
        <v>5</v>
      </c>
      <c r="C62" s="3">
        <v>59</v>
      </c>
      <c r="D62" s="3" t="s">
        <v>25</v>
      </c>
      <c r="E62" s="3" t="s">
        <v>32</v>
      </c>
      <c r="F62" s="3">
        <v>2</v>
      </c>
      <c r="G62" s="3">
        <v>3</v>
      </c>
      <c r="H62" s="3">
        <v>1</v>
      </c>
      <c r="I62" s="3">
        <v>2.5</v>
      </c>
      <c r="J62" s="4" t="str">
        <f>HYPERLINK("http://141.218.60.56/~jnz1568/getInfo.php?workbook=20_05.xlsx&amp;sheet=E0&amp;row=62&amp;col=10&amp;number=0&amp;sourceID=14","0")</f>
        <v>0</v>
      </c>
    </row>
    <row r="63" spans="1:10">
      <c r="A63" s="3">
        <v>20</v>
      </c>
      <c r="B63" s="3">
        <v>5</v>
      </c>
      <c r="C63" s="3">
        <v>60</v>
      </c>
      <c r="D63" s="3" t="s">
        <v>25</v>
      </c>
      <c r="E63" s="3" t="s">
        <v>15</v>
      </c>
      <c r="F63" s="3">
        <v>4</v>
      </c>
      <c r="G63" s="3">
        <v>1</v>
      </c>
      <c r="H63" s="3">
        <v>1</v>
      </c>
      <c r="I63" s="3">
        <v>2.5</v>
      </c>
      <c r="J63" s="4" t="str">
        <f>HYPERLINK("http://141.218.60.56/~jnz1568/getInfo.php?workbook=20_05.xlsx&amp;sheet=E0&amp;row=63&amp;col=10&amp;number=0&amp;sourceID=14","0")</f>
        <v>0</v>
      </c>
    </row>
    <row r="64" spans="1:10">
      <c r="A64" s="3">
        <v>20</v>
      </c>
      <c r="B64" s="3">
        <v>5</v>
      </c>
      <c r="C64" s="3">
        <v>61</v>
      </c>
      <c r="D64" s="3" t="s">
        <v>25</v>
      </c>
      <c r="E64" s="3" t="s">
        <v>16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HYPERLINK("http://141.218.60.56/~jnz1568/getInfo.php?workbook=20_05.xlsx&amp;sheet=E0&amp;row=64&amp;col=10&amp;number=0&amp;sourceID=14","0")</f>
        <v>0</v>
      </c>
    </row>
    <row r="65" spans="1:10">
      <c r="A65" s="3">
        <v>20</v>
      </c>
      <c r="B65" s="3">
        <v>5</v>
      </c>
      <c r="C65" s="3">
        <v>62</v>
      </c>
      <c r="D65" s="3" t="s">
        <v>27</v>
      </c>
      <c r="E65" s="3" t="s">
        <v>16</v>
      </c>
      <c r="F65" s="3">
        <v>2</v>
      </c>
      <c r="G65" s="3">
        <v>2</v>
      </c>
      <c r="H65" s="3">
        <v>0</v>
      </c>
      <c r="I65" s="3">
        <v>2.5</v>
      </c>
      <c r="J65" s="4" t="str">
        <f>HYPERLINK("http://141.218.60.56/~jnz1568/getInfo.php?workbook=20_05.xlsx&amp;sheet=E0&amp;row=65&amp;col=10&amp;number=0&amp;sourceID=14","0")</f>
        <v>0</v>
      </c>
    </row>
    <row r="66" spans="1:10">
      <c r="A66" s="3">
        <v>20</v>
      </c>
      <c r="B66" s="3">
        <v>5</v>
      </c>
      <c r="C66" s="3">
        <v>63</v>
      </c>
      <c r="D66" s="3" t="s">
        <v>27</v>
      </c>
      <c r="E66" s="3" t="s">
        <v>32</v>
      </c>
      <c r="F66" s="3">
        <v>2</v>
      </c>
      <c r="G66" s="3">
        <v>3</v>
      </c>
      <c r="H66" s="3">
        <v>1</v>
      </c>
      <c r="I66" s="3">
        <v>2.5</v>
      </c>
      <c r="J66" s="4" t="str">
        <f>HYPERLINK("http://141.218.60.56/~jnz1568/getInfo.php?workbook=20_05.xlsx&amp;sheet=E0&amp;row=66&amp;col=10&amp;number=0&amp;sourceID=14","0")</f>
        <v>0</v>
      </c>
    </row>
    <row r="67" spans="1:10">
      <c r="A67" s="3">
        <v>20</v>
      </c>
      <c r="B67" s="3">
        <v>5</v>
      </c>
      <c r="C67" s="3">
        <v>64</v>
      </c>
      <c r="D67" s="3" t="s">
        <v>31</v>
      </c>
      <c r="E67" s="3" t="s">
        <v>16</v>
      </c>
      <c r="F67" s="3">
        <v>2</v>
      </c>
      <c r="G67" s="3">
        <v>2</v>
      </c>
      <c r="H67" s="3">
        <v>0</v>
      </c>
      <c r="I67" s="3">
        <v>2.5</v>
      </c>
      <c r="J67" s="4" t="str">
        <f>HYPERLINK("http://141.218.60.56/~jnz1568/getInfo.php?workbook=20_05.xlsx&amp;sheet=E0&amp;row=67&amp;col=10&amp;number=0&amp;sourceID=14","0")</f>
        <v>0</v>
      </c>
    </row>
    <row r="68" spans="1:10">
      <c r="A68" s="3">
        <v>20</v>
      </c>
      <c r="B68" s="3">
        <v>5</v>
      </c>
      <c r="C68" s="3">
        <v>65</v>
      </c>
      <c r="D68" s="3" t="s">
        <v>21</v>
      </c>
      <c r="E68" s="3" t="s">
        <v>22</v>
      </c>
      <c r="F68" s="3">
        <v>4</v>
      </c>
      <c r="G68" s="3">
        <v>2</v>
      </c>
      <c r="H68" s="3">
        <v>0</v>
      </c>
      <c r="I68" s="3">
        <v>3.5</v>
      </c>
      <c r="J68" s="4" t="str">
        <f>HYPERLINK("http://141.218.60.56/~jnz1568/getInfo.php?workbook=20_05.xlsx&amp;sheet=E0&amp;row=68&amp;col=10&amp;number=0&amp;sourceID=14","0")</f>
        <v>0</v>
      </c>
    </row>
    <row r="69" spans="1:10">
      <c r="A69" s="3">
        <v>20</v>
      </c>
      <c r="B69" s="3">
        <v>5</v>
      </c>
      <c r="C69" s="3">
        <v>66</v>
      </c>
      <c r="D69" s="3" t="s">
        <v>25</v>
      </c>
      <c r="E69" s="3" t="s">
        <v>30</v>
      </c>
      <c r="F69" s="3">
        <v>4</v>
      </c>
      <c r="G69" s="3">
        <v>3</v>
      </c>
      <c r="H69" s="3">
        <v>1</v>
      </c>
      <c r="I69" s="3">
        <v>3.5</v>
      </c>
      <c r="J69" s="4" t="str">
        <f>HYPERLINK("http://141.218.60.56/~jnz1568/getInfo.php?workbook=20_05.xlsx&amp;sheet=E0&amp;row=69&amp;col=10&amp;number=0&amp;sourceID=14","0")</f>
        <v>0</v>
      </c>
    </row>
    <row r="70" spans="1:10">
      <c r="A70" s="3">
        <v>20</v>
      </c>
      <c r="B70" s="3">
        <v>5</v>
      </c>
      <c r="C70" s="3">
        <v>67</v>
      </c>
      <c r="D70" s="3" t="s">
        <v>25</v>
      </c>
      <c r="E70" s="3" t="s">
        <v>22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HYPERLINK("http://141.218.60.56/~jnz1568/getInfo.php?workbook=20_05.xlsx&amp;sheet=E0&amp;row=70&amp;col=10&amp;number=0&amp;sourceID=14","0")</f>
        <v>0</v>
      </c>
    </row>
    <row r="71" spans="1:10">
      <c r="A71" s="3">
        <v>20</v>
      </c>
      <c r="B71" s="3">
        <v>5</v>
      </c>
      <c r="C71" s="3">
        <v>68</v>
      </c>
      <c r="D71" s="3" t="s">
        <v>25</v>
      </c>
      <c r="E71" s="3" t="s">
        <v>32</v>
      </c>
      <c r="F71" s="3">
        <v>2</v>
      </c>
      <c r="G71" s="3">
        <v>3</v>
      </c>
      <c r="H71" s="3">
        <v>1</v>
      </c>
      <c r="I71" s="3">
        <v>3.5</v>
      </c>
      <c r="J71" s="4" t="str">
        <f>HYPERLINK("http://141.218.60.56/~jnz1568/getInfo.php?workbook=20_05.xlsx&amp;sheet=E0&amp;row=71&amp;col=10&amp;number=0&amp;sourceID=14","0")</f>
        <v>0</v>
      </c>
    </row>
    <row r="72" spans="1:10">
      <c r="A72" s="3">
        <v>20</v>
      </c>
      <c r="B72" s="3">
        <v>5</v>
      </c>
      <c r="C72" s="3">
        <v>69</v>
      </c>
      <c r="D72" s="3" t="s">
        <v>27</v>
      </c>
      <c r="E72" s="3" t="s">
        <v>33</v>
      </c>
      <c r="F72" s="3">
        <v>2</v>
      </c>
      <c r="G72" s="3">
        <v>4</v>
      </c>
      <c r="H72" s="3">
        <v>0</v>
      </c>
      <c r="I72" s="3">
        <v>3.5</v>
      </c>
      <c r="J72" s="4" t="str">
        <f>HYPERLINK("http://141.218.60.56/~jnz1568/getInfo.php?workbook=20_05.xlsx&amp;sheet=E0&amp;row=72&amp;col=10&amp;number=0&amp;sourceID=14","0")</f>
        <v>0</v>
      </c>
    </row>
    <row r="73" spans="1:10">
      <c r="A73" s="3">
        <v>20</v>
      </c>
      <c r="B73" s="3">
        <v>5</v>
      </c>
      <c r="C73" s="3">
        <v>70</v>
      </c>
      <c r="D73" s="3" t="s">
        <v>27</v>
      </c>
      <c r="E73" s="3" t="s">
        <v>32</v>
      </c>
      <c r="F73" s="3">
        <v>2</v>
      </c>
      <c r="G73" s="3">
        <v>3</v>
      </c>
      <c r="H73" s="3">
        <v>1</v>
      </c>
      <c r="I73" s="3">
        <v>3.5</v>
      </c>
      <c r="J73" s="4" t="str">
        <f>HYPERLINK("http://141.218.60.56/~jnz1568/getInfo.php?workbook=20_05.xlsx&amp;sheet=E0&amp;row=73&amp;col=10&amp;number=0&amp;sourceID=14","0")</f>
        <v>0</v>
      </c>
    </row>
    <row r="74" spans="1:10">
      <c r="A74" s="3">
        <v>20</v>
      </c>
      <c r="B74" s="3">
        <v>5</v>
      </c>
      <c r="C74" s="3">
        <v>71</v>
      </c>
      <c r="D74" s="3" t="s">
        <v>25</v>
      </c>
      <c r="E74" s="3" t="s">
        <v>30</v>
      </c>
      <c r="F74" s="3">
        <v>4</v>
      </c>
      <c r="G74" s="3">
        <v>3</v>
      </c>
      <c r="H74" s="3">
        <v>1</v>
      </c>
      <c r="I74" s="3">
        <v>4.5</v>
      </c>
      <c r="J74" s="4" t="str">
        <f>HYPERLINK("http://141.218.60.56/~jnz1568/getInfo.php?workbook=20_05.xlsx&amp;sheet=E0&amp;row=74&amp;col=10&amp;number=0&amp;sourceID=14","0")</f>
        <v>0</v>
      </c>
    </row>
    <row r="75" spans="1:10">
      <c r="A75" s="3">
        <v>20</v>
      </c>
      <c r="B75" s="3">
        <v>5</v>
      </c>
      <c r="C75" s="3">
        <v>72</v>
      </c>
      <c r="D75" s="3" t="s">
        <v>27</v>
      </c>
      <c r="E75" s="3" t="s">
        <v>33</v>
      </c>
      <c r="F75" s="3">
        <v>2</v>
      </c>
      <c r="G75" s="3">
        <v>4</v>
      </c>
      <c r="H75" s="3">
        <v>0</v>
      </c>
      <c r="I75" s="3">
        <v>4.5</v>
      </c>
      <c r="J75" s="4" t="str">
        <f>HYPERLINK("http://141.218.60.56/~jnz1568/getInfo.php?workbook=20_05.xlsx&amp;sheet=E0&amp;row=75&amp;col=10&amp;number=0&amp;sourceID=14","0")</f>
        <v>0</v>
      </c>
    </row>
    <row r="76" spans="1:10">
      <c r="A76" s="3">
        <v>20</v>
      </c>
      <c r="B76" s="3">
        <v>5</v>
      </c>
      <c r="C76" s="3">
        <v>73</v>
      </c>
      <c r="D76" s="3" t="s">
        <v>34</v>
      </c>
      <c r="E76" s="3" t="s">
        <v>13</v>
      </c>
      <c r="F76" s="3">
        <v>2</v>
      </c>
      <c r="G76" s="3">
        <v>1</v>
      </c>
      <c r="H76" s="3">
        <v>1</v>
      </c>
      <c r="I76" s="3">
        <v>0.5</v>
      </c>
      <c r="J76" s="4" t="str">
        <f>HYPERLINK("http://141.218.60.56/~jnz1568/getInfo.php?workbook=20_05.xlsx&amp;sheet=E0&amp;row=76&amp;col=10&amp;number=0&amp;sourceID=14","0")</f>
        <v>0</v>
      </c>
    </row>
    <row r="77" spans="1:10">
      <c r="A77" s="3">
        <v>20</v>
      </c>
      <c r="B77" s="3">
        <v>5</v>
      </c>
      <c r="C77" s="3">
        <v>74</v>
      </c>
      <c r="D77" s="3" t="s">
        <v>35</v>
      </c>
      <c r="E77" s="3" t="s">
        <v>15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HYPERLINK("http://141.218.60.56/~jnz1568/getInfo.php?workbook=20_05.xlsx&amp;sheet=E0&amp;row=77&amp;col=10&amp;number=0&amp;sourceID=14","0")</f>
        <v>0</v>
      </c>
    </row>
    <row r="78" spans="1:10">
      <c r="A78" s="3">
        <v>20</v>
      </c>
      <c r="B78" s="3">
        <v>5</v>
      </c>
      <c r="C78" s="3">
        <v>75</v>
      </c>
      <c r="D78" s="3" t="s">
        <v>35</v>
      </c>
      <c r="E78" s="3" t="s">
        <v>13</v>
      </c>
      <c r="F78" s="3">
        <v>2</v>
      </c>
      <c r="G78" s="3">
        <v>1</v>
      </c>
      <c r="H78" s="3">
        <v>1</v>
      </c>
      <c r="I78" s="3">
        <v>0.5</v>
      </c>
      <c r="J78" s="4" t="str">
        <f>HYPERLINK("http://141.218.60.56/~jnz1568/getInfo.php?workbook=20_05.xlsx&amp;sheet=E0&amp;row=78&amp;col=10&amp;number=0&amp;sourceID=14","0")</f>
        <v>0</v>
      </c>
    </row>
    <row r="79" spans="1:10">
      <c r="A79" s="3">
        <v>20</v>
      </c>
      <c r="B79" s="3">
        <v>5</v>
      </c>
      <c r="C79" s="3">
        <v>76</v>
      </c>
      <c r="D79" s="3" t="s">
        <v>36</v>
      </c>
      <c r="E79" s="3" t="s">
        <v>22</v>
      </c>
      <c r="F79" s="3">
        <v>4</v>
      </c>
      <c r="G79" s="3">
        <v>2</v>
      </c>
      <c r="H79" s="3">
        <v>0</v>
      </c>
      <c r="I79" s="3">
        <v>0.5</v>
      </c>
      <c r="J79" s="4" t="str">
        <f>HYPERLINK("http://141.218.60.56/~jnz1568/getInfo.php?workbook=20_05.xlsx&amp;sheet=E0&amp;row=79&amp;col=10&amp;number=0&amp;sourceID=14","0")</f>
        <v>0</v>
      </c>
    </row>
    <row r="80" spans="1:10">
      <c r="A80" s="3">
        <v>20</v>
      </c>
      <c r="B80" s="3">
        <v>5</v>
      </c>
      <c r="C80" s="3">
        <v>77</v>
      </c>
      <c r="D80" s="3" t="s">
        <v>37</v>
      </c>
      <c r="E80" s="3" t="s">
        <v>13</v>
      </c>
      <c r="F80" s="3">
        <v>2</v>
      </c>
      <c r="G80" s="3">
        <v>1</v>
      </c>
      <c r="H80" s="3">
        <v>1</v>
      </c>
      <c r="I80" s="3">
        <v>0.5</v>
      </c>
      <c r="J80" s="4" t="str">
        <f>HYPERLINK("http://141.218.60.56/~jnz1568/getInfo.php?workbook=20_05.xlsx&amp;sheet=E0&amp;row=80&amp;col=10&amp;number=0&amp;sourceID=14","0")</f>
        <v>0</v>
      </c>
    </row>
    <row r="81" spans="1:10">
      <c r="A81" s="3">
        <v>20</v>
      </c>
      <c r="B81" s="3">
        <v>5</v>
      </c>
      <c r="C81" s="3">
        <v>78</v>
      </c>
      <c r="D81" s="3" t="s">
        <v>36</v>
      </c>
      <c r="E81" s="3" t="s">
        <v>15</v>
      </c>
      <c r="F81" s="3">
        <v>4</v>
      </c>
      <c r="G81" s="3">
        <v>1</v>
      </c>
      <c r="H81" s="3">
        <v>1</v>
      </c>
      <c r="I81" s="3">
        <v>0.5</v>
      </c>
      <c r="J81" s="4" t="str">
        <f>HYPERLINK("http://141.218.60.56/~jnz1568/getInfo.php?workbook=20_05.xlsx&amp;sheet=E0&amp;row=81&amp;col=10&amp;number=0&amp;sourceID=14","0")</f>
        <v>0</v>
      </c>
    </row>
    <row r="82" spans="1:10">
      <c r="A82" s="3">
        <v>20</v>
      </c>
      <c r="B82" s="3">
        <v>5</v>
      </c>
      <c r="C82" s="3">
        <v>79</v>
      </c>
      <c r="D82" s="3" t="s">
        <v>36</v>
      </c>
      <c r="E82" s="3" t="s">
        <v>13</v>
      </c>
      <c r="F82" s="3">
        <v>2</v>
      </c>
      <c r="G82" s="3">
        <v>1</v>
      </c>
      <c r="H82" s="3">
        <v>1</v>
      </c>
      <c r="I82" s="3">
        <v>0.5</v>
      </c>
      <c r="J82" s="4" t="str">
        <f>HYPERLINK("http://141.218.60.56/~jnz1568/getInfo.php?workbook=20_05.xlsx&amp;sheet=E0&amp;row=82&amp;col=10&amp;number=0&amp;sourceID=14","0")</f>
        <v>0</v>
      </c>
    </row>
    <row r="83" spans="1:10">
      <c r="A83" s="3">
        <v>20</v>
      </c>
      <c r="B83" s="3">
        <v>5</v>
      </c>
      <c r="C83" s="3">
        <v>80</v>
      </c>
      <c r="D83" s="3" t="s">
        <v>38</v>
      </c>
      <c r="E83" s="3" t="s">
        <v>13</v>
      </c>
      <c r="F83" s="3">
        <v>2</v>
      </c>
      <c r="G83" s="3">
        <v>1</v>
      </c>
      <c r="H83" s="3">
        <v>1</v>
      </c>
      <c r="I83" s="3">
        <v>0.5</v>
      </c>
      <c r="J83" s="4" t="str">
        <f>HYPERLINK("http://141.218.60.56/~jnz1568/getInfo.php?workbook=20_05.xlsx&amp;sheet=E0&amp;row=83&amp;col=10&amp;number=0&amp;sourceID=14","0")</f>
        <v>0</v>
      </c>
    </row>
    <row r="84" spans="1:10">
      <c r="A84" s="3">
        <v>20</v>
      </c>
      <c r="B84" s="3">
        <v>5</v>
      </c>
      <c r="C84" s="3">
        <v>81</v>
      </c>
      <c r="D84" s="3" t="s">
        <v>39</v>
      </c>
      <c r="E84" s="3" t="s">
        <v>17</v>
      </c>
      <c r="F84" s="3">
        <v>2</v>
      </c>
      <c r="G84" s="3">
        <v>0</v>
      </c>
      <c r="H84" s="3">
        <v>0</v>
      </c>
      <c r="I84" s="3">
        <v>0.5</v>
      </c>
      <c r="J84" s="4" t="str">
        <f>HYPERLINK("http://141.218.60.56/~jnz1568/getInfo.php?workbook=20_05.xlsx&amp;sheet=E0&amp;row=84&amp;col=10&amp;number=0&amp;sourceID=14","0")</f>
        <v>0</v>
      </c>
    </row>
    <row r="85" spans="1:10">
      <c r="A85" s="3">
        <v>20</v>
      </c>
      <c r="B85" s="3">
        <v>5</v>
      </c>
      <c r="C85" s="3">
        <v>82</v>
      </c>
      <c r="D85" s="3" t="s">
        <v>39</v>
      </c>
      <c r="E85" s="3" t="s">
        <v>22</v>
      </c>
      <c r="F85" s="3">
        <v>4</v>
      </c>
      <c r="G85" s="3">
        <v>2</v>
      </c>
      <c r="H85" s="3">
        <v>0</v>
      </c>
      <c r="I85" s="3">
        <v>0.5</v>
      </c>
      <c r="J85" s="4" t="str">
        <f>HYPERLINK("http://141.218.60.56/~jnz1568/getInfo.php?workbook=20_05.xlsx&amp;sheet=E0&amp;row=85&amp;col=10&amp;number=0&amp;sourceID=14","0")</f>
        <v>0</v>
      </c>
    </row>
    <row r="86" spans="1:10">
      <c r="A86" s="3">
        <v>20</v>
      </c>
      <c r="B86" s="3">
        <v>5</v>
      </c>
      <c r="C86" s="3">
        <v>83</v>
      </c>
      <c r="D86" s="3" t="s">
        <v>39</v>
      </c>
      <c r="E86" s="3" t="s">
        <v>15</v>
      </c>
      <c r="F86" s="3">
        <v>4</v>
      </c>
      <c r="G86" s="3">
        <v>1</v>
      </c>
      <c r="H86" s="3">
        <v>1</v>
      </c>
      <c r="I86" s="3">
        <v>0.5</v>
      </c>
      <c r="J86" s="4" t="str">
        <f>HYPERLINK("http://141.218.60.56/~jnz1568/getInfo.php?workbook=20_05.xlsx&amp;sheet=E0&amp;row=86&amp;col=10&amp;number=0&amp;sourceID=14","0")</f>
        <v>0</v>
      </c>
    </row>
    <row r="87" spans="1:10">
      <c r="A87" s="3">
        <v>20</v>
      </c>
      <c r="B87" s="3">
        <v>5</v>
      </c>
      <c r="C87" s="3">
        <v>84</v>
      </c>
      <c r="D87" s="3" t="s">
        <v>39</v>
      </c>
      <c r="E87" s="3" t="s">
        <v>13</v>
      </c>
      <c r="F87" s="3">
        <v>2</v>
      </c>
      <c r="G87" s="3">
        <v>1</v>
      </c>
      <c r="H87" s="3">
        <v>1</v>
      </c>
      <c r="I87" s="3">
        <v>0.5</v>
      </c>
      <c r="J87" s="4" t="str">
        <f>HYPERLINK("http://141.218.60.56/~jnz1568/getInfo.php?workbook=20_05.xlsx&amp;sheet=E0&amp;row=87&amp;col=10&amp;number=0&amp;sourceID=14","0")</f>
        <v>0</v>
      </c>
    </row>
    <row r="88" spans="1:10">
      <c r="A88" s="3">
        <v>20</v>
      </c>
      <c r="B88" s="3">
        <v>5</v>
      </c>
      <c r="C88" s="3">
        <v>85</v>
      </c>
      <c r="D88" s="3" t="s">
        <v>40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HYPERLINK("http://141.218.60.56/~jnz1568/getInfo.php?workbook=20_05.xlsx&amp;sheet=E0&amp;row=88&amp;col=10&amp;number=0&amp;sourceID=14","0")</f>
        <v>0</v>
      </c>
    </row>
    <row r="89" spans="1:10">
      <c r="A89" s="3">
        <v>20</v>
      </c>
      <c r="B89" s="3">
        <v>5</v>
      </c>
      <c r="C89" s="3">
        <v>86</v>
      </c>
      <c r="D89" s="3" t="s">
        <v>41</v>
      </c>
      <c r="E89" s="3" t="s">
        <v>13</v>
      </c>
      <c r="F89" s="3">
        <v>2</v>
      </c>
      <c r="G89" s="3">
        <v>1</v>
      </c>
      <c r="H89" s="3">
        <v>1</v>
      </c>
      <c r="I89" s="3">
        <v>0.5</v>
      </c>
      <c r="J89" s="4" t="str">
        <f>HYPERLINK("http://141.218.60.56/~jnz1568/getInfo.php?workbook=20_05.xlsx&amp;sheet=E0&amp;row=89&amp;col=10&amp;number=0&amp;sourceID=14","0")</f>
        <v>0</v>
      </c>
    </row>
    <row r="90" spans="1:10">
      <c r="A90" s="3">
        <v>20</v>
      </c>
      <c r="B90" s="3">
        <v>5</v>
      </c>
      <c r="C90" s="3">
        <v>87</v>
      </c>
      <c r="D90" s="3" t="s">
        <v>34</v>
      </c>
      <c r="E90" s="3" t="s">
        <v>13</v>
      </c>
      <c r="F90" s="3">
        <v>2</v>
      </c>
      <c r="G90" s="3">
        <v>1</v>
      </c>
      <c r="H90" s="3">
        <v>1</v>
      </c>
      <c r="I90" s="3">
        <v>1.5</v>
      </c>
      <c r="J90" s="4" t="str">
        <f>HYPERLINK("http://141.218.60.56/~jnz1568/getInfo.php?workbook=20_05.xlsx&amp;sheet=E0&amp;row=90&amp;col=10&amp;number=0&amp;sourceID=14","0")</f>
        <v>0</v>
      </c>
    </row>
    <row r="91" spans="1:10">
      <c r="A91" s="3">
        <v>20</v>
      </c>
      <c r="B91" s="3">
        <v>5</v>
      </c>
      <c r="C91" s="3">
        <v>88</v>
      </c>
      <c r="D91" s="3" t="s">
        <v>35</v>
      </c>
      <c r="E91" s="3" t="s">
        <v>15</v>
      </c>
      <c r="F91" s="3">
        <v>4</v>
      </c>
      <c r="G91" s="3">
        <v>1</v>
      </c>
      <c r="H91" s="3">
        <v>1</v>
      </c>
      <c r="I91" s="3">
        <v>1.5</v>
      </c>
      <c r="J91" s="4" t="str">
        <f>HYPERLINK("http://141.218.60.56/~jnz1568/getInfo.php?workbook=20_05.xlsx&amp;sheet=E0&amp;row=91&amp;col=10&amp;number=0&amp;sourceID=14","0")</f>
        <v>0</v>
      </c>
    </row>
    <row r="92" spans="1:10">
      <c r="A92" s="3">
        <v>20</v>
      </c>
      <c r="B92" s="3">
        <v>5</v>
      </c>
      <c r="C92" s="3">
        <v>89</v>
      </c>
      <c r="D92" s="3" t="s">
        <v>35</v>
      </c>
      <c r="E92" s="3" t="s">
        <v>13</v>
      </c>
      <c r="F92" s="3">
        <v>2</v>
      </c>
      <c r="G92" s="3">
        <v>1</v>
      </c>
      <c r="H92" s="3">
        <v>1</v>
      </c>
      <c r="I92" s="3">
        <v>1.5</v>
      </c>
      <c r="J92" s="4" t="str">
        <f>HYPERLINK("http://141.218.60.56/~jnz1568/getInfo.php?workbook=20_05.xlsx&amp;sheet=E0&amp;row=92&amp;col=10&amp;number=0&amp;sourceID=14","0")</f>
        <v>0</v>
      </c>
    </row>
    <row r="93" spans="1:10">
      <c r="A93" s="3">
        <v>20</v>
      </c>
      <c r="B93" s="3">
        <v>5</v>
      </c>
      <c r="C93" s="3">
        <v>90</v>
      </c>
      <c r="D93" s="3" t="s">
        <v>36</v>
      </c>
      <c r="E93" s="3" t="s">
        <v>30</v>
      </c>
      <c r="F93" s="3">
        <v>4</v>
      </c>
      <c r="G93" s="3">
        <v>3</v>
      </c>
      <c r="H93" s="3">
        <v>1</v>
      </c>
      <c r="I93" s="3">
        <v>1.5</v>
      </c>
      <c r="J93" s="4" t="str">
        <f>HYPERLINK("http://141.218.60.56/~jnz1568/getInfo.php?workbook=20_05.xlsx&amp;sheet=E0&amp;row=93&amp;col=10&amp;number=0&amp;sourceID=14","0")</f>
        <v>0</v>
      </c>
    </row>
    <row r="94" spans="1:10">
      <c r="A94" s="3">
        <v>20</v>
      </c>
      <c r="B94" s="3">
        <v>5</v>
      </c>
      <c r="C94" s="3">
        <v>91</v>
      </c>
      <c r="D94" s="3" t="s">
        <v>36</v>
      </c>
      <c r="E94" s="3" t="s">
        <v>22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HYPERLINK("http://141.218.60.56/~jnz1568/getInfo.php?workbook=20_05.xlsx&amp;sheet=E0&amp;row=94&amp;col=10&amp;number=4930000&amp;sourceID=14","4930000")</f>
        <v>4930000</v>
      </c>
    </row>
    <row r="95" spans="1:10">
      <c r="A95" s="3">
        <v>20</v>
      </c>
      <c r="B95" s="3">
        <v>5</v>
      </c>
      <c r="C95" s="3">
        <v>92</v>
      </c>
      <c r="D95" s="3" t="s">
        <v>37</v>
      </c>
      <c r="E95" s="3" t="s">
        <v>13</v>
      </c>
      <c r="F95" s="3">
        <v>2</v>
      </c>
      <c r="G95" s="3">
        <v>1</v>
      </c>
      <c r="H95" s="3">
        <v>1</v>
      </c>
      <c r="I95" s="3">
        <v>1.5</v>
      </c>
      <c r="J95" s="4" t="str">
        <f>HYPERLINK("http://141.218.60.56/~jnz1568/getInfo.php?workbook=20_05.xlsx&amp;sheet=E0&amp;row=95&amp;col=10&amp;number=0&amp;sourceID=14","0")</f>
        <v>0</v>
      </c>
    </row>
    <row r="96" spans="1:10">
      <c r="A96" s="3">
        <v>20</v>
      </c>
      <c r="B96" s="3">
        <v>5</v>
      </c>
      <c r="C96" s="3">
        <v>93</v>
      </c>
      <c r="D96" s="3" t="s">
        <v>36</v>
      </c>
      <c r="E96" s="3" t="s">
        <v>16</v>
      </c>
      <c r="F96" s="3">
        <v>2</v>
      </c>
      <c r="G96" s="3">
        <v>2</v>
      </c>
      <c r="H96" s="3">
        <v>0</v>
      </c>
      <c r="I96" s="3">
        <v>1.5</v>
      </c>
      <c r="J96" s="4" t="str">
        <f>HYPERLINK("http://141.218.60.56/~jnz1568/getInfo.php?workbook=20_05.xlsx&amp;sheet=E0&amp;row=96&amp;col=10&amp;number=0&amp;sourceID=14","0")</f>
        <v>0</v>
      </c>
    </row>
    <row r="97" spans="1:10">
      <c r="A97" s="3">
        <v>20</v>
      </c>
      <c r="B97" s="3">
        <v>5</v>
      </c>
      <c r="C97" s="3">
        <v>94</v>
      </c>
      <c r="D97" s="3" t="s">
        <v>36</v>
      </c>
      <c r="E97" s="3" t="s">
        <v>15</v>
      </c>
      <c r="F97" s="3">
        <v>4</v>
      </c>
      <c r="G97" s="3">
        <v>1</v>
      </c>
      <c r="H97" s="3">
        <v>1</v>
      </c>
      <c r="I97" s="3">
        <v>1.5</v>
      </c>
      <c r="J97" s="4" t="str">
        <f>HYPERLINK("http://141.218.60.56/~jnz1568/getInfo.php?workbook=20_05.xlsx&amp;sheet=E0&amp;row=97&amp;col=10&amp;number=0&amp;sourceID=14","0")</f>
        <v>0</v>
      </c>
    </row>
    <row r="98" spans="1:10">
      <c r="A98" s="3">
        <v>20</v>
      </c>
      <c r="B98" s="3">
        <v>5</v>
      </c>
      <c r="C98" s="3">
        <v>95</v>
      </c>
      <c r="D98" s="3" t="s">
        <v>36</v>
      </c>
      <c r="E98" s="3" t="s">
        <v>13</v>
      </c>
      <c r="F98" s="3">
        <v>2</v>
      </c>
      <c r="G98" s="3">
        <v>1</v>
      </c>
      <c r="H98" s="3">
        <v>1</v>
      </c>
      <c r="I98" s="3">
        <v>1.5</v>
      </c>
      <c r="J98" s="4" t="str">
        <f>HYPERLINK("http://141.218.60.56/~jnz1568/getInfo.php?workbook=20_05.xlsx&amp;sheet=E0&amp;row=98&amp;col=10&amp;number=0&amp;sourceID=14","0")</f>
        <v>0</v>
      </c>
    </row>
    <row r="99" spans="1:10">
      <c r="A99" s="3">
        <v>20</v>
      </c>
      <c r="B99" s="3">
        <v>5</v>
      </c>
      <c r="C99" s="3">
        <v>96</v>
      </c>
      <c r="D99" s="3" t="s">
        <v>38</v>
      </c>
      <c r="E99" s="3" t="s">
        <v>16</v>
      </c>
      <c r="F99" s="3">
        <v>2</v>
      </c>
      <c r="G99" s="3">
        <v>2</v>
      </c>
      <c r="H99" s="3">
        <v>0</v>
      </c>
      <c r="I99" s="3">
        <v>1.5</v>
      </c>
      <c r="J99" s="4" t="str">
        <f>HYPERLINK("http://141.218.60.56/~jnz1568/getInfo.php?workbook=20_05.xlsx&amp;sheet=E0&amp;row=99&amp;col=10&amp;number=0&amp;sourceID=14","0")</f>
        <v>0</v>
      </c>
    </row>
    <row r="100" spans="1:10">
      <c r="A100" s="3">
        <v>20</v>
      </c>
      <c r="B100" s="3">
        <v>5</v>
      </c>
      <c r="C100" s="3">
        <v>97</v>
      </c>
      <c r="D100" s="3" t="s">
        <v>38</v>
      </c>
      <c r="E100" s="3" t="s">
        <v>13</v>
      </c>
      <c r="F100" s="3">
        <v>2</v>
      </c>
      <c r="G100" s="3">
        <v>1</v>
      </c>
      <c r="H100" s="3">
        <v>1</v>
      </c>
      <c r="I100" s="3">
        <v>1.5</v>
      </c>
      <c r="J100" s="4" t="str">
        <f>HYPERLINK("http://141.218.60.56/~jnz1568/getInfo.php?workbook=20_05.xlsx&amp;sheet=E0&amp;row=100&amp;col=10&amp;number=0&amp;sourceID=14","0")</f>
        <v>0</v>
      </c>
    </row>
    <row r="101" spans="1:10">
      <c r="A101" s="3">
        <v>20</v>
      </c>
      <c r="B101" s="3">
        <v>5</v>
      </c>
      <c r="C101" s="3">
        <v>98</v>
      </c>
      <c r="D101" s="3" t="s">
        <v>39</v>
      </c>
      <c r="E101" s="3" t="s">
        <v>22</v>
      </c>
      <c r="F101" s="3">
        <v>4</v>
      </c>
      <c r="G101" s="3">
        <v>2</v>
      </c>
      <c r="H101" s="3">
        <v>0</v>
      </c>
      <c r="I101" s="3">
        <v>1.5</v>
      </c>
      <c r="J101" s="4" t="str">
        <f>HYPERLINK("http://141.218.60.56/~jnz1568/getInfo.php?workbook=20_05.xlsx&amp;sheet=E0&amp;row=101&amp;col=10&amp;number=0&amp;sourceID=14","0")</f>
        <v>0</v>
      </c>
    </row>
    <row r="102" spans="1:10">
      <c r="A102" s="3">
        <v>20</v>
      </c>
      <c r="B102" s="3">
        <v>5</v>
      </c>
      <c r="C102" s="3">
        <v>99</v>
      </c>
      <c r="D102" s="3" t="s">
        <v>39</v>
      </c>
      <c r="E102" s="3" t="s">
        <v>15</v>
      </c>
      <c r="F102" s="3">
        <v>4</v>
      </c>
      <c r="G102" s="3">
        <v>1</v>
      </c>
      <c r="H102" s="3">
        <v>1</v>
      </c>
      <c r="I102" s="3">
        <v>1.5</v>
      </c>
      <c r="J102" s="4" t="str">
        <f>HYPERLINK("http://141.218.60.56/~jnz1568/getInfo.php?workbook=20_05.xlsx&amp;sheet=E0&amp;row=102&amp;col=10&amp;number=0&amp;sourceID=14","0")</f>
        <v>0</v>
      </c>
    </row>
    <row r="103" spans="1:10">
      <c r="A103" s="3">
        <v>20</v>
      </c>
      <c r="B103" s="3">
        <v>5</v>
      </c>
      <c r="C103" s="3">
        <v>100</v>
      </c>
      <c r="D103" s="3" t="s">
        <v>39</v>
      </c>
      <c r="E103" s="3" t="s">
        <v>16</v>
      </c>
      <c r="F103" s="3">
        <v>2</v>
      </c>
      <c r="G103" s="3">
        <v>2</v>
      </c>
      <c r="H103" s="3">
        <v>0</v>
      </c>
      <c r="I103" s="3">
        <v>1.5</v>
      </c>
      <c r="J103" s="4" t="str">
        <f>HYPERLINK("http://141.218.60.56/~jnz1568/getInfo.php?workbook=20_05.xlsx&amp;sheet=E0&amp;row=103&amp;col=10&amp;number=0&amp;sourceID=14","0")</f>
        <v>0</v>
      </c>
    </row>
    <row r="104" spans="1:10">
      <c r="A104" s="3">
        <v>20</v>
      </c>
      <c r="B104" s="3">
        <v>5</v>
      </c>
      <c r="C104" s="3">
        <v>101</v>
      </c>
      <c r="D104" s="3" t="s">
        <v>39</v>
      </c>
      <c r="E104" s="3" t="s">
        <v>19</v>
      </c>
      <c r="F104" s="3">
        <v>4</v>
      </c>
      <c r="G104" s="3">
        <v>0</v>
      </c>
      <c r="H104" s="3">
        <v>0</v>
      </c>
      <c r="I104" s="3">
        <v>1.5</v>
      </c>
      <c r="J104" s="4" t="str">
        <f>HYPERLINK("http://141.218.60.56/~jnz1568/getInfo.php?workbook=20_05.xlsx&amp;sheet=E0&amp;row=104&amp;col=10&amp;number=0&amp;sourceID=14","0")</f>
        <v>0</v>
      </c>
    </row>
    <row r="105" spans="1:10">
      <c r="A105" s="3">
        <v>20</v>
      </c>
      <c r="B105" s="3">
        <v>5</v>
      </c>
      <c r="C105" s="3">
        <v>102</v>
      </c>
      <c r="D105" s="3" t="s">
        <v>39</v>
      </c>
      <c r="E105" s="3" t="s">
        <v>13</v>
      </c>
      <c r="F105" s="3">
        <v>2</v>
      </c>
      <c r="G105" s="3">
        <v>1</v>
      </c>
      <c r="H105" s="3">
        <v>1</v>
      </c>
      <c r="I105" s="3">
        <v>1.5</v>
      </c>
      <c r="J105" s="4" t="str">
        <f>HYPERLINK("http://141.218.60.56/~jnz1568/getInfo.php?workbook=20_05.xlsx&amp;sheet=E0&amp;row=105&amp;col=10&amp;number=0&amp;sourceID=14","0")</f>
        <v>0</v>
      </c>
    </row>
    <row r="106" spans="1:10">
      <c r="A106" s="3">
        <v>20</v>
      </c>
      <c r="B106" s="3">
        <v>5</v>
      </c>
      <c r="C106" s="3">
        <v>103</v>
      </c>
      <c r="D106" s="3" t="s">
        <v>40</v>
      </c>
      <c r="E106" s="3" t="s">
        <v>16</v>
      </c>
      <c r="F106" s="3">
        <v>2</v>
      </c>
      <c r="G106" s="3">
        <v>2</v>
      </c>
      <c r="H106" s="3">
        <v>0</v>
      </c>
      <c r="I106" s="3">
        <v>1.5</v>
      </c>
      <c r="J106" s="4" t="str">
        <f>HYPERLINK("http://141.218.60.56/~jnz1568/getInfo.php?workbook=20_05.xlsx&amp;sheet=E0&amp;row=106&amp;col=10&amp;number=0&amp;sourceID=14","0")</f>
        <v>0</v>
      </c>
    </row>
    <row r="107" spans="1:10">
      <c r="A107" s="3">
        <v>20</v>
      </c>
      <c r="B107" s="3">
        <v>5</v>
      </c>
      <c r="C107" s="3">
        <v>104</v>
      </c>
      <c r="D107" s="3" t="s">
        <v>40</v>
      </c>
      <c r="E107" s="3" t="s">
        <v>13</v>
      </c>
      <c r="F107" s="3">
        <v>2</v>
      </c>
      <c r="G107" s="3">
        <v>1</v>
      </c>
      <c r="H107" s="3">
        <v>1</v>
      </c>
      <c r="I107" s="3">
        <v>1.5</v>
      </c>
      <c r="J107" s="4" t="str">
        <f>HYPERLINK("http://141.218.60.56/~jnz1568/getInfo.php?workbook=20_05.xlsx&amp;sheet=E0&amp;row=107&amp;col=10&amp;number=0&amp;sourceID=14","0")</f>
        <v>0</v>
      </c>
    </row>
    <row r="108" spans="1:10">
      <c r="A108" s="3">
        <v>20</v>
      </c>
      <c r="B108" s="3">
        <v>5</v>
      </c>
      <c r="C108" s="3">
        <v>105</v>
      </c>
      <c r="D108" s="3" t="s">
        <v>41</v>
      </c>
      <c r="E108" s="3" t="s">
        <v>13</v>
      </c>
      <c r="F108" s="3">
        <v>2</v>
      </c>
      <c r="G108" s="3">
        <v>1</v>
      </c>
      <c r="H108" s="3">
        <v>1</v>
      </c>
      <c r="I108" s="3">
        <v>1.5</v>
      </c>
      <c r="J108" s="4" t="str">
        <f>HYPERLINK("http://141.218.60.56/~jnz1568/getInfo.php?workbook=20_05.xlsx&amp;sheet=E0&amp;row=108&amp;col=10&amp;number=0&amp;sourceID=14","0")</f>
        <v>0</v>
      </c>
    </row>
    <row r="109" spans="1:10">
      <c r="A109" s="3">
        <v>20</v>
      </c>
      <c r="B109" s="3">
        <v>5</v>
      </c>
      <c r="C109" s="3">
        <v>106</v>
      </c>
      <c r="D109" s="3" t="s">
        <v>35</v>
      </c>
      <c r="E109" s="3" t="s">
        <v>15</v>
      </c>
      <c r="F109" s="3">
        <v>4</v>
      </c>
      <c r="G109" s="3">
        <v>1</v>
      </c>
      <c r="H109" s="3">
        <v>1</v>
      </c>
      <c r="I109" s="3">
        <v>2.5</v>
      </c>
      <c r="J109" s="4" t="str">
        <f>HYPERLINK("http://141.218.60.56/~jnz1568/getInfo.php?workbook=20_05.xlsx&amp;sheet=E0&amp;row=109&amp;col=10&amp;number=0&amp;sourceID=14","0")</f>
        <v>0</v>
      </c>
    </row>
    <row r="110" spans="1:10">
      <c r="A110" s="3">
        <v>20</v>
      </c>
      <c r="B110" s="3">
        <v>5</v>
      </c>
      <c r="C110" s="3">
        <v>107</v>
      </c>
      <c r="D110" s="3" t="s">
        <v>36</v>
      </c>
      <c r="E110" s="3" t="s">
        <v>30</v>
      </c>
      <c r="F110" s="3">
        <v>4</v>
      </c>
      <c r="G110" s="3">
        <v>3</v>
      </c>
      <c r="H110" s="3">
        <v>1</v>
      </c>
      <c r="I110" s="3">
        <v>2.5</v>
      </c>
      <c r="J110" s="4" t="str">
        <f>HYPERLINK("http://141.218.60.56/~jnz1568/getInfo.php?workbook=20_05.xlsx&amp;sheet=E0&amp;row=110&amp;col=10&amp;number=0&amp;sourceID=14","0")</f>
        <v>0</v>
      </c>
    </row>
    <row r="111" spans="1:10">
      <c r="A111" s="3">
        <v>20</v>
      </c>
      <c r="B111" s="3">
        <v>5</v>
      </c>
      <c r="C111" s="3">
        <v>108</v>
      </c>
      <c r="D111" s="3" t="s">
        <v>36</v>
      </c>
      <c r="E111" s="3" t="s">
        <v>22</v>
      </c>
      <c r="F111" s="3">
        <v>4</v>
      </c>
      <c r="G111" s="3">
        <v>2</v>
      </c>
      <c r="H111" s="3">
        <v>0</v>
      </c>
      <c r="I111" s="3">
        <v>2.5</v>
      </c>
      <c r="J111" s="4" t="str">
        <f>HYPERLINK("http://141.218.60.56/~jnz1568/getInfo.php?workbook=20_05.xlsx&amp;sheet=E0&amp;row=111&amp;col=10&amp;number=4934000&amp;sourceID=14","4934000")</f>
        <v>4934000</v>
      </c>
    </row>
    <row r="112" spans="1:10">
      <c r="A112" s="3">
        <v>20</v>
      </c>
      <c r="B112" s="3">
        <v>5</v>
      </c>
      <c r="C112" s="3">
        <v>109</v>
      </c>
      <c r="D112" s="3" t="s">
        <v>36</v>
      </c>
      <c r="E112" s="3" t="s">
        <v>16</v>
      </c>
      <c r="F112" s="3">
        <v>2</v>
      </c>
      <c r="G112" s="3">
        <v>2</v>
      </c>
      <c r="H112" s="3">
        <v>0</v>
      </c>
      <c r="I112" s="3">
        <v>2.5</v>
      </c>
      <c r="J112" s="4" t="str">
        <f>HYPERLINK("http://141.218.60.56/~jnz1568/getInfo.php?workbook=20_05.xlsx&amp;sheet=E0&amp;row=112&amp;col=10&amp;number=0&amp;sourceID=14","0")</f>
        <v>0</v>
      </c>
    </row>
    <row r="113" spans="1:10">
      <c r="A113" s="3">
        <v>20</v>
      </c>
      <c r="B113" s="3">
        <v>5</v>
      </c>
      <c r="C113" s="3">
        <v>110</v>
      </c>
      <c r="D113" s="3" t="s">
        <v>36</v>
      </c>
      <c r="E113" s="3" t="s">
        <v>15</v>
      </c>
      <c r="F113" s="3">
        <v>4</v>
      </c>
      <c r="G113" s="3">
        <v>1</v>
      </c>
      <c r="H113" s="3">
        <v>1</v>
      </c>
      <c r="I113" s="3">
        <v>2.5</v>
      </c>
      <c r="J113" s="4" t="str">
        <f>HYPERLINK("http://141.218.60.56/~jnz1568/getInfo.php?workbook=20_05.xlsx&amp;sheet=E0&amp;row=113&amp;col=10&amp;number=4963000&amp;sourceID=14","4963000")</f>
        <v>4963000</v>
      </c>
    </row>
    <row r="114" spans="1:10">
      <c r="A114" s="3">
        <v>20</v>
      </c>
      <c r="B114" s="3">
        <v>5</v>
      </c>
      <c r="C114" s="3">
        <v>111</v>
      </c>
      <c r="D114" s="3" t="s">
        <v>36</v>
      </c>
      <c r="E114" s="3" t="s">
        <v>32</v>
      </c>
      <c r="F114" s="3">
        <v>2</v>
      </c>
      <c r="G114" s="3">
        <v>3</v>
      </c>
      <c r="H114" s="3">
        <v>1</v>
      </c>
      <c r="I114" s="3">
        <v>2.5</v>
      </c>
      <c r="J114" s="4" t="str">
        <f>HYPERLINK("http://141.218.60.56/~jnz1568/getInfo.php?workbook=20_05.xlsx&amp;sheet=E0&amp;row=114&amp;col=10&amp;number=0&amp;sourceID=14","0")</f>
        <v>0</v>
      </c>
    </row>
    <row r="115" spans="1:10">
      <c r="A115" s="3">
        <v>20</v>
      </c>
      <c r="B115" s="3">
        <v>5</v>
      </c>
      <c r="C115" s="3">
        <v>112</v>
      </c>
      <c r="D115" s="3" t="s">
        <v>38</v>
      </c>
      <c r="E115" s="3" t="s">
        <v>32</v>
      </c>
      <c r="F115" s="3">
        <v>2</v>
      </c>
      <c r="G115" s="3">
        <v>3</v>
      </c>
      <c r="H115" s="3">
        <v>1</v>
      </c>
      <c r="I115" s="3">
        <v>2.5</v>
      </c>
      <c r="J115" s="4" t="str">
        <f>HYPERLINK("http://141.218.60.56/~jnz1568/getInfo.php?workbook=20_05.xlsx&amp;sheet=E0&amp;row=115&amp;col=10&amp;number=5000000&amp;sourceID=14","5000000")</f>
        <v>5000000</v>
      </c>
    </row>
    <row r="116" spans="1:10">
      <c r="A116" s="3">
        <v>20</v>
      </c>
      <c r="B116" s="3">
        <v>5</v>
      </c>
      <c r="C116" s="3">
        <v>113</v>
      </c>
      <c r="D116" s="3" t="s">
        <v>38</v>
      </c>
      <c r="E116" s="3" t="s">
        <v>16</v>
      </c>
      <c r="F116" s="3">
        <v>2</v>
      </c>
      <c r="G116" s="3">
        <v>2</v>
      </c>
      <c r="H116" s="3">
        <v>0</v>
      </c>
      <c r="I116" s="3">
        <v>2.5</v>
      </c>
      <c r="J116" s="4" t="str">
        <f>HYPERLINK("http://141.218.60.56/~jnz1568/getInfo.php?workbook=20_05.xlsx&amp;sheet=E0&amp;row=116&amp;col=10&amp;number=5198000&amp;sourceID=14","5198000")</f>
        <v>5198000</v>
      </c>
    </row>
    <row r="117" spans="1:10">
      <c r="A117" s="3">
        <v>20</v>
      </c>
      <c r="B117" s="3">
        <v>5</v>
      </c>
      <c r="C117" s="3">
        <v>114</v>
      </c>
      <c r="D117" s="3" t="s">
        <v>39</v>
      </c>
      <c r="E117" s="3" t="s">
        <v>22</v>
      </c>
      <c r="F117" s="3">
        <v>4</v>
      </c>
      <c r="G117" s="3">
        <v>2</v>
      </c>
      <c r="H117" s="3">
        <v>0</v>
      </c>
      <c r="I117" s="3">
        <v>2.5</v>
      </c>
      <c r="J117" s="4" t="str">
        <f>HYPERLINK("http://141.218.60.56/~jnz1568/getInfo.php?workbook=20_05.xlsx&amp;sheet=E0&amp;row=117&amp;col=10&amp;number=0&amp;sourceID=14","0")</f>
        <v>0</v>
      </c>
    </row>
    <row r="118" spans="1:10">
      <c r="A118" s="3">
        <v>20</v>
      </c>
      <c r="B118" s="3">
        <v>5</v>
      </c>
      <c r="C118" s="3">
        <v>115</v>
      </c>
      <c r="D118" s="3" t="s">
        <v>39</v>
      </c>
      <c r="E118" s="3" t="s">
        <v>15</v>
      </c>
      <c r="F118" s="3">
        <v>4</v>
      </c>
      <c r="G118" s="3">
        <v>1</v>
      </c>
      <c r="H118" s="3">
        <v>1</v>
      </c>
      <c r="I118" s="3">
        <v>2.5</v>
      </c>
      <c r="J118" s="4" t="str">
        <f>HYPERLINK("http://141.218.60.56/~jnz1568/getInfo.php?workbook=20_05.xlsx&amp;sheet=E0&amp;row=118&amp;col=10&amp;number=0&amp;sourceID=14","0")</f>
        <v>0</v>
      </c>
    </row>
    <row r="119" spans="1:10">
      <c r="A119" s="3">
        <v>20</v>
      </c>
      <c r="B119" s="3">
        <v>5</v>
      </c>
      <c r="C119" s="3">
        <v>116</v>
      </c>
      <c r="D119" s="3" t="s">
        <v>39</v>
      </c>
      <c r="E119" s="3" t="s">
        <v>16</v>
      </c>
      <c r="F119" s="3">
        <v>2</v>
      </c>
      <c r="G119" s="3">
        <v>2</v>
      </c>
      <c r="H119" s="3">
        <v>0</v>
      </c>
      <c r="I119" s="3">
        <v>2.5</v>
      </c>
      <c r="J119" s="4" t="str">
        <f>HYPERLINK("http://141.218.60.56/~jnz1568/getInfo.php?workbook=20_05.xlsx&amp;sheet=E0&amp;row=119&amp;col=10&amp;number=0&amp;sourceID=14","0")</f>
        <v>0</v>
      </c>
    </row>
    <row r="120" spans="1:10">
      <c r="A120" s="3">
        <v>20</v>
      </c>
      <c r="B120" s="3">
        <v>5</v>
      </c>
      <c r="C120" s="3">
        <v>117</v>
      </c>
      <c r="D120" s="3" t="s">
        <v>40</v>
      </c>
      <c r="E120" s="3" t="s">
        <v>32</v>
      </c>
      <c r="F120" s="3">
        <v>2</v>
      </c>
      <c r="G120" s="3">
        <v>3</v>
      </c>
      <c r="H120" s="3">
        <v>1</v>
      </c>
      <c r="I120" s="3">
        <v>2.5</v>
      </c>
      <c r="J120" s="4" t="str">
        <f>HYPERLINK("http://141.218.60.56/~jnz1568/getInfo.php?workbook=20_05.xlsx&amp;sheet=E0&amp;row=120&amp;col=10&amp;number=0&amp;sourceID=14","0")</f>
        <v>0</v>
      </c>
    </row>
    <row r="121" spans="1:10">
      <c r="A121" s="3">
        <v>20</v>
      </c>
      <c r="B121" s="3">
        <v>5</v>
      </c>
      <c r="C121" s="3">
        <v>118</v>
      </c>
      <c r="D121" s="3" t="s">
        <v>40</v>
      </c>
      <c r="E121" s="3" t="s">
        <v>16</v>
      </c>
      <c r="F121" s="3">
        <v>2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HYPERLINK("http://141.218.60.56/~jnz1568/getInfo.php?workbook=20_05.xlsx&amp;sheet=E0&amp;row=121&amp;col=10&amp;number=0&amp;sourceID=14","0")</f>
        <v>0</v>
      </c>
    </row>
    <row r="122" spans="1:10">
      <c r="A122" s="3">
        <v>20</v>
      </c>
      <c r="B122" s="3">
        <v>5</v>
      </c>
      <c r="C122" s="3">
        <v>119</v>
      </c>
      <c r="D122" s="3" t="s">
        <v>36</v>
      </c>
      <c r="E122" s="3" t="s">
        <v>30</v>
      </c>
      <c r="F122" s="3">
        <v>4</v>
      </c>
      <c r="G122" s="3">
        <v>3</v>
      </c>
      <c r="H122" s="3">
        <v>1</v>
      </c>
      <c r="I122" s="3">
        <v>3.5</v>
      </c>
      <c r="J122" s="4" t="str">
        <f>HYPERLINK("http://141.218.60.56/~jnz1568/getInfo.php?workbook=20_05.xlsx&amp;sheet=E0&amp;row=122&amp;col=10&amp;number=0&amp;sourceID=14","0")</f>
        <v>0</v>
      </c>
    </row>
    <row r="123" spans="1:10">
      <c r="A123" s="3">
        <v>20</v>
      </c>
      <c r="B123" s="3">
        <v>5</v>
      </c>
      <c r="C123" s="3">
        <v>120</v>
      </c>
      <c r="D123" s="3" t="s">
        <v>36</v>
      </c>
      <c r="E123" s="3" t="s">
        <v>22</v>
      </c>
      <c r="F123" s="3">
        <v>4</v>
      </c>
      <c r="G123" s="3">
        <v>2</v>
      </c>
      <c r="H123" s="3">
        <v>0</v>
      </c>
      <c r="I123" s="3">
        <v>3.5</v>
      </c>
      <c r="J123" s="4" t="str">
        <f>HYPERLINK("http://141.218.60.56/~jnz1568/getInfo.php?workbook=20_05.xlsx&amp;sheet=E0&amp;row=123&amp;col=10&amp;number=4952000&amp;sourceID=14","4952000")</f>
        <v>4952000</v>
      </c>
    </row>
    <row r="124" spans="1:10">
      <c r="A124" s="3">
        <v>20</v>
      </c>
      <c r="B124" s="3">
        <v>5</v>
      </c>
      <c r="C124" s="3">
        <v>121</v>
      </c>
      <c r="D124" s="3" t="s">
        <v>36</v>
      </c>
      <c r="E124" s="3" t="s">
        <v>32</v>
      </c>
      <c r="F124" s="3">
        <v>2</v>
      </c>
      <c r="G124" s="3">
        <v>3</v>
      </c>
      <c r="H124" s="3">
        <v>1</v>
      </c>
      <c r="I124" s="3">
        <v>3.5</v>
      </c>
      <c r="J124" s="4" t="str">
        <f>HYPERLINK("http://141.218.60.56/~jnz1568/getInfo.php?workbook=20_05.xlsx&amp;sheet=E0&amp;row=124&amp;col=10&amp;number=5022000&amp;sourceID=14","5022000")</f>
        <v>5022000</v>
      </c>
    </row>
    <row r="125" spans="1:10">
      <c r="A125" s="3">
        <v>20</v>
      </c>
      <c r="B125" s="3">
        <v>5</v>
      </c>
      <c r="C125" s="3">
        <v>122</v>
      </c>
      <c r="D125" s="3" t="s">
        <v>38</v>
      </c>
      <c r="E125" s="3" t="s">
        <v>32</v>
      </c>
      <c r="F125" s="3">
        <v>2</v>
      </c>
      <c r="G125" s="3">
        <v>3</v>
      </c>
      <c r="H125" s="3">
        <v>1</v>
      </c>
      <c r="I125" s="3">
        <v>3.5</v>
      </c>
      <c r="J125" s="4" t="str">
        <f>HYPERLINK("http://141.218.60.56/~jnz1568/getInfo.php?workbook=20_05.xlsx&amp;sheet=E0&amp;row=125&amp;col=10&amp;number=5170000&amp;sourceID=14","5170000")</f>
        <v>5170000</v>
      </c>
    </row>
    <row r="126" spans="1:10">
      <c r="A126" s="3">
        <v>20</v>
      </c>
      <c r="B126" s="3">
        <v>5</v>
      </c>
      <c r="C126" s="3">
        <v>123</v>
      </c>
      <c r="D126" s="3" t="s">
        <v>39</v>
      </c>
      <c r="E126" s="3" t="s">
        <v>22</v>
      </c>
      <c r="F126" s="3">
        <v>4</v>
      </c>
      <c r="G126" s="3">
        <v>2</v>
      </c>
      <c r="H126" s="3">
        <v>0</v>
      </c>
      <c r="I126" s="3">
        <v>3.5</v>
      </c>
      <c r="J126" s="4" t="str">
        <f>HYPERLINK("http://141.218.60.56/~jnz1568/getInfo.php?workbook=20_05.xlsx&amp;sheet=E0&amp;row=126&amp;col=10&amp;number=0&amp;sourceID=14","0")</f>
        <v>0</v>
      </c>
    </row>
    <row r="127" spans="1:10">
      <c r="A127" s="3">
        <v>20</v>
      </c>
      <c r="B127" s="3">
        <v>5</v>
      </c>
      <c r="C127" s="3">
        <v>124</v>
      </c>
      <c r="D127" s="3" t="s">
        <v>40</v>
      </c>
      <c r="E127" s="3" t="s">
        <v>32</v>
      </c>
      <c r="F127" s="3">
        <v>2</v>
      </c>
      <c r="G127" s="3">
        <v>3</v>
      </c>
      <c r="H127" s="3">
        <v>1</v>
      </c>
      <c r="I127" s="3">
        <v>3.5</v>
      </c>
      <c r="J127" s="4" t="str">
        <f>HYPERLINK("http://141.218.60.56/~jnz1568/getInfo.php?workbook=20_05.xlsx&amp;sheet=E0&amp;row=127&amp;col=10&amp;number=0&amp;sourceID=14","0")</f>
        <v>0</v>
      </c>
    </row>
    <row r="128" spans="1:10">
      <c r="A128" s="3">
        <v>20</v>
      </c>
      <c r="B128" s="3">
        <v>5</v>
      </c>
      <c r="C128" s="3">
        <v>125</v>
      </c>
      <c r="D128" s="3" t="s">
        <v>36</v>
      </c>
      <c r="E128" s="3" t="s">
        <v>30</v>
      </c>
      <c r="F128" s="3">
        <v>4</v>
      </c>
      <c r="G128" s="3">
        <v>3</v>
      </c>
      <c r="H128" s="3">
        <v>1</v>
      </c>
      <c r="I128" s="3">
        <v>4.5</v>
      </c>
      <c r="J128" s="4" t="str">
        <f>HYPERLINK("http://141.218.60.56/~jnz1568/getInfo.php?workbook=20_05.xlsx&amp;sheet=E0&amp;row=128&amp;col=10&amp;number=0&amp;sourceID=14","0")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35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20</v>
      </c>
      <c r="B4" s="3">
        <v>5</v>
      </c>
      <c r="C4" s="3">
        <v>2</v>
      </c>
      <c r="D4" s="3">
        <v>1</v>
      </c>
      <c r="E4" s="3">
        <v>2731.425</v>
      </c>
      <c r="F4" s="4" t="str">
        <f>HYPERLINK("http://141.218.60.56/~jnz1568/getInfo.php?workbook=20_05.xlsx&amp;sheet=A0&amp;row=4&amp;col=6&amp;number=428&amp;sourceID=14","428")</f>
        <v>428</v>
      </c>
      <c r="G4" s="4" t="str">
        <f>HYPERLINK("http://141.218.60.56/~jnz1568/getInfo.php?workbook=20_05.xlsx&amp;sheet=A0&amp;row=4&amp;col=7&amp;number=0&amp;sourceID=14","0")</f>
        <v>0</v>
      </c>
    </row>
    <row r="5" spans="1:7">
      <c r="A5" s="3">
        <v>20</v>
      </c>
      <c r="B5" s="3">
        <v>5</v>
      </c>
      <c r="C5" s="3">
        <v>3</v>
      </c>
      <c r="D5" s="3">
        <v>1</v>
      </c>
      <c r="E5" s="3">
        <v>373.588</v>
      </c>
      <c r="F5" s="4" t="str">
        <f>HYPERLINK("http://141.218.60.56/~jnz1568/getInfo.php?workbook=20_05.xlsx&amp;sheet=A0&amp;row=5&amp;col=6&amp;number=7550000&amp;sourceID=14","7550000")</f>
        <v>7550000</v>
      </c>
      <c r="G5" s="4" t="str">
        <f>HYPERLINK("http://141.218.60.56/~jnz1568/getInfo.php?workbook=20_05.xlsx&amp;sheet=A0&amp;row=5&amp;col=7&amp;number=0&amp;sourceID=14","0")</f>
        <v>0</v>
      </c>
    </row>
    <row r="6" spans="1:7">
      <c r="A6" s="3">
        <v>20</v>
      </c>
      <c r="B6" s="3">
        <v>5</v>
      </c>
      <c r="C6" s="3">
        <v>4</v>
      </c>
      <c r="D6" s="3">
        <v>1</v>
      </c>
      <c r="E6" s="3">
        <v>354.372</v>
      </c>
      <c r="F6" s="4" t="str">
        <f>HYPERLINK("http://141.218.60.56/~jnz1568/getInfo.php?workbook=20_05.xlsx&amp;sheet=A0&amp;row=6&amp;col=6&amp;number=172000&amp;sourceID=14","172000")</f>
        <v>172000</v>
      </c>
      <c r="G6" s="4" t="str">
        <f>HYPERLINK("http://141.218.60.56/~jnz1568/getInfo.php?workbook=20_05.xlsx&amp;sheet=A0&amp;row=6&amp;col=7&amp;number=0&amp;sourceID=14","0")</f>
        <v>0</v>
      </c>
    </row>
    <row r="7" spans="1:7">
      <c r="A7" s="3">
        <v>20</v>
      </c>
      <c r="B7" s="3">
        <v>5</v>
      </c>
      <c r="C7" s="3">
        <v>6</v>
      </c>
      <c r="D7" s="3">
        <v>1</v>
      </c>
      <c r="E7" s="3">
        <v>208.604</v>
      </c>
      <c r="F7" s="4" t="str">
        <f>HYPERLINK("http://141.218.60.56/~jnz1568/getInfo.php?workbook=20_05.xlsx&amp;sheet=A0&amp;row=7&amp;col=6&amp;number=4440000000&amp;sourceID=14","4440000000")</f>
        <v>4440000000</v>
      </c>
      <c r="G7" s="4" t="str">
        <f>HYPERLINK("http://141.218.60.56/~jnz1568/getInfo.php?workbook=20_05.xlsx&amp;sheet=A0&amp;row=7&amp;col=7&amp;number=0&amp;sourceID=14","0")</f>
        <v>0</v>
      </c>
    </row>
    <row r="8" spans="1:7">
      <c r="A8" s="3">
        <v>20</v>
      </c>
      <c r="B8" s="3">
        <v>5</v>
      </c>
      <c r="C8" s="3">
        <v>8</v>
      </c>
      <c r="D8" s="3">
        <v>1</v>
      </c>
      <c r="E8" s="3">
        <v>168.854</v>
      </c>
      <c r="F8" s="4" t="str">
        <f>HYPERLINK("http://141.218.60.56/~jnz1568/getInfo.php?workbook=20_05.xlsx&amp;sheet=A0&amp;row=8&amp;col=6&amp;number=19400000000&amp;sourceID=14","19400000000")</f>
        <v>19400000000</v>
      </c>
      <c r="G8" s="4" t="str">
        <f>HYPERLINK("http://141.218.60.56/~jnz1568/getInfo.php?workbook=20_05.xlsx&amp;sheet=A0&amp;row=8&amp;col=7&amp;number=0&amp;sourceID=14","0")</f>
        <v>0</v>
      </c>
    </row>
    <row r="9" spans="1:7">
      <c r="A9" s="3">
        <v>20</v>
      </c>
      <c r="B9" s="3">
        <v>5</v>
      </c>
      <c r="C9" s="3">
        <v>9</v>
      </c>
      <c r="D9" s="3">
        <v>1</v>
      </c>
      <c r="E9" s="3">
        <v>157.784</v>
      </c>
      <c r="F9" s="4" t="str">
        <f>HYPERLINK("http://141.218.60.56/~jnz1568/getInfo.php?workbook=20_05.xlsx&amp;sheet=A0&amp;row=9&amp;col=6&amp;number=5480000000&amp;sourceID=14","5480000000")</f>
        <v>5480000000</v>
      </c>
      <c r="G9" s="4" t="str">
        <f>HYPERLINK("http://141.218.60.56/~jnz1568/getInfo.php?workbook=20_05.xlsx&amp;sheet=A0&amp;row=9&amp;col=7&amp;number=0&amp;sourceID=14","0")</f>
        <v>0</v>
      </c>
    </row>
    <row r="10" spans="1:7">
      <c r="A10" s="3">
        <v>20</v>
      </c>
      <c r="B10" s="3">
        <v>5</v>
      </c>
      <c r="C10" s="3">
        <v>10</v>
      </c>
      <c r="D10" s="3">
        <v>1</v>
      </c>
      <c r="E10" s="3">
        <v>154.863</v>
      </c>
      <c r="F10" s="4" t="str">
        <f>HYPERLINK("http://141.218.60.56/~jnz1568/getInfo.php?workbook=20_05.xlsx&amp;sheet=A0&amp;row=10&amp;col=6&amp;number=4580000000&amp;sourceID=14","4580000000")</f>
        <v>4580000000</v>
      </c>
      <c r="G10" s="4" t="str">
        <f>HYPERLINK("http://141.218.60.56/~jnz1568/getInfo.php?workbook=20_05.xlsx&amp;sheet=A0&amp;row=10&amp;col=7&amp;number=0&amp;sourceID=14","0")</f>
        <v>0</v>
      </c>
    </row>
    <row r="11" spans="1:7">
      <c r="A11" s="3">
        <v>20</v>
      </c>
      <c r="B11" s="3">
        <v>5</v>
      </c>
      <c r="C11" s="3">
        <v>3</v>
      </c>
      <c r="D11" s="3">
        <v>2</v>
      </c>
      <c r="E11" s="3">
        <v>432.781</v>
      </c>
      <c r="F11" s="4" t="str">
        <f>HYPERLINK("http://141.218.60.56/~jnz1568/getInfo.php?workbook=20_05.xlsx&amp;sheet=A0&amp;row=11&amp;col=6&amp;number=3290000&amp;sourceID=14","3290000")</f>
        <v>3290000</v>
      </c>
      <c r="G11" s="4" t="str">
        <f>HYPERLINK("http://141.218.60.56/~jnz1568/getInfo.php?workbook=20_05.xlsx&amp;sheet=A0&amp;row=11&amp;col=7&amp;number=0&amp;sourceID=14","0")</f>
        <v>0</v>
      </c>
    </row>
    <row r="12" spans="1:7">
      <c r="A12" s="3">
        <v>20</v>
      </c>
      <c r="B12" s="3">
        <v>5</v>
      </c>
      <c r="C12" s="3">
        <v>4</v>
      </c>
      <c r="D12" s="3">
        <v>2</v>
      </c>
      <c r="E12" s="3">
        <v>407.202</v>
      </c>
      <c r="F12" s="4" t="str">
        <f>HYPERLINK("http://141.218.60.56/~jnz1568/getInfo.php?workbook=20_05.xlsx&amp;sheet=A0&amp;row=12&amp;col=6&amp;number=1230000&amp;sourceID=14","1230000")</f>
        <v>1230000</v>
      </c>
      <c r="G12" s="4" t="str">
        <f>HYPERLINK("http://141.218.60.56/~jnz1568/getInfo.php?workbook=20_05.xlsx&amp;sheet=A0&amp;row=12&amp;col=7&amp;number=0&amp;sourceID=14","0")</f>
        <v>0</v>
      </c>
    </row>
    <row r="13" spans="1:7">
      <c r="A13" s="3">
        <v>20</v>
      </c>
      <c r="B13" s="3">
        <v>5</v>
      </c>
      <c r="C13" s="3">
        <v>5</v>
      </c>
      <c r="D13" s="3">
        <v>2</v>
      </c>
      <c r="E13" s="3">
        <v>378.984</v>
      </c>
      <c r="F13" s="4" t="str">
        <f>HYPERLINK("http://141.218.60.56/~jnz1568/getInfo.php?workbook=20_05.xlsx&amp;sheet=A0&amp;row=13&amp;col=6&amp;number=6090000&amp;sourceID=14","6090000")</f>
        <v>6090000</v>
      </c>
      <c r="G13" s="4" t="str">
        <f>HYPERLINK("http://141.218.60.56/~jnz1568/getInfo.php?workbook=20_05.xlsx&amp;sheet=A0&amp;row=13&amp;col=7&amp;number=0&amp;sourceID=14","0")</f>
        <v>0</v>
      </c>
    </row>
    <row r="14" spans="1:7">
      <c r="A14" s="3">
        <v>20</v>
      </c>
      <c r="B14" s="3">
        <v>5</v>
      </c>
      <c r="C14" s="3">
        <v>6</v>
      </c>
      <c r="D14" s="3">
        <v>2</v>
      </c>
      <c r="E14" s="3">
        <v>225.853</v>
      </c>
      <c r="F14" s="4" t="str">
        <f>HYPERLINK("http://141.218.60.56/~jnz1568/getInfo.php?workbook=20_05.xlsx&amp;sheet=A0&amp;row=14&amp;col=6&amp;number=236000000&amp;sourceID=14","236000000")</f>
        <v>236000000</v>
      </c>
      <c r="G14" s="4" t="str">
        <f>HYPERLINK("http://141.218.60.56/~jnz1568/getInfo.php?workbook=20_05.xlsx&amp;sheet=A0&amp;row=14&amp;col=7&amp;number=0&amp;sourceID=14","0")</f>
        <v>0</v>
      </c>
    </row>
    <row r="15" spans="1:7">
      <c r="A15" s="3">
        <v>20</v>
      </c>
      <c r="B15" s="3">
        <v>5</v>
      </c>
      <c r="C15" s="3">
        <v>7</v>
      </c>
      <c r="D15" s="3">
        <v>2</v>
      </c>
      <c r="E15" s="3">
        <v>224.547</v>
      </c>
      <c r="F15" s="4" t="str">
        <f>HYPERLINK("http://141.218.60.56/~jnz1568/getInfo.php?workbook=20_05.xlsx&amp;sheet=A0&amp;row=15&amp;col=6&amp;number=3640000000&amp;sourceID=14","3640000000")</f>
        <v>3640000000</v>
      </c>
      <c r="G15" s="4" t="str">
        <f>HYPERLINK("http://141.218.60.56/~jnz1568/getInfo.php?workbook=20_05.xlsx&amp;sheet=A0&amp;row=15&amp;col=7&amp;number=0&amp;sourceID=14","0")</f>
        <v>0</v>
      </c>
    </row>
    <row r="16" spans="1:7">
      <c r="A16" s="3">
        <v>20</v>
      </c>
      <c r="B16" s="3">
        <v>5</v>
      </c>
      <c r="C16" s="3">
        <v>8</v>
      </c>
      <c r="D16" s="3">
        <v>2</v>
      </c>
      <c r="E16" s="3">
        <v>179.98</v>
      </c>
      <c r="F16" s="4" t="str">
        <f>HYPERLINK("http://141.218.60.56/~jnz1568/getInfo.php?workbook=20_05.xlsx&amp;sheet=A0&amp;row=16&amp;col=6&amp;number=732000000&amp;sourceID=14","732000000")</f>
        <v>732000000</v>
      </c>
      <c r="G16" s="4" t="str">
        <f>HYPERLINK("http://141.218.60.56/~jnz1568/getInfo.php?workbook=20_05.xlsx&amp;sheet=A0&amp;row=16&amp;col=7&amp;number=0&amp;sourceID=14","0")</f>
        <v>0</v>
      </c>
    </row>
    <row r="17" spans="1:7">
      <c r="A17" s="3">
        <v>20</v>
      </c>
      <c r="B17" s="3">
        <v>5</v>
      </c>
      <c r="C17" s="3">
        <v>9</v>
      </c>
      <c r="D17" s="3">
        <v>2</v>
      </c>
      <c r="E17" s="3">
        <v>167.457</v>
      </c>
      <c r="F17" s="4" t="str">
        <f>HYPERLINK("http://141.218.60.56/~jnz1568/getInfo.php?workbook=20_05.xlsx&amp;sheet=A0&amp;row=17&amp;col=6&amp;number=19700000000&amp;sourceID=14","19700000000")</f>
        <v>19700000000</v>
      </c>
      <c r="G17" s="4" t="str">
        <f>HYPERLINK("http://141.218.60.56/~jnz1568/getInfo.php?workbook=20_05.xlsx&amp;sheet=A0&amp;row=17&amp;col=7&amp;number=0&amp;sourceID=14","0")</f>
        <v>0</v>
      </c>
    </row>
    <row r="18" spans="1:7">
      <c r="A18" s="3">
        <v>20</v>
      </c>
      <c r="B18" s="3">
        <v>5</v>
      </c>
      <c r="C18" s="3">
        <v>10</v>
      </c>
      <c r="D18" s="3">
        <v>2</v>
      </c>
      <c r="E18" s="3">
        <v>164.172</v>
      </c>
      <c r="F18" s="4" t="str">
        <f>HYPERLINK("http://141.218.60.56/~jnz1568/getInfo.php?workbook=20_05.xlsx&amp;sheet=A0&amp;row=18&amp;col=6&amp;number=25900000000&amp;sourceID=14","25900000000")</f>
        <v>25900000000</v>
      </c>
      <c r="G18" s="4" t="str">
        <f>HYPERLINK("http://141.218.60.56/~jnz1568/getInfo.php?workbook=20_05.xlsx&amp;sheet=A0&amp;row=18&amp;col=7&amp;number=0&amp;sourceID=14","0")</f>
        <v>0</v>
      </c>
    </row>
    <row r="19" spans="1:7">
      <c r="A19" s="3">
        <v>20</v>
      </c>
      <c r="B19" s="3">
        <v>5</v>
      </c>
      <c r="C19" s="3">
        <v>11</v>
      </c>
      <c r="D19" s="3">
        <v>3</v>
      </c>
      <c r="E19" s="3">
        <v>176.405</v>
      </c>
      <c r="F19" s="4" t="str">
        <f>HYPERLINK("http://141.218.60.56/~jnz1568/getInfo.php?workbook=20_05.xlsx&amp;sheet=A0&amp;row=19&amp;col=6&amp;number=5771000000&amp;sourceID=14","5771000000")</f>
        <v>5771000000</v>
      </c>
      <c r="G19" s="4" t="str">
        <f>HYPERLINK("http://141.218.60.56/~jnz1568/getInfo.php?workbook=20_05.xlsx&amp;sheet=A0&amp;row=19&amp;col=7&amp;number=0&amp;sourceID=14","0")</f>
        <v>0</v>
      </c>
    </row>
    <row r="20" spans="1:7">
      <c r="A20" s="3">
        <v>20</v>
      </c>
      <c r="B20" s="3">
        <v>5</v>
      </c>
      <c r="C20" s="3">
        <v>11</v>
      </c>
      <c r="D20" s="3">
        <v>4</v>
      </c>
      <c r="E20" s="3">
        <v>181.041</v>
      </c>
      <c r="F20" s="4" t="str">
        <f>HYPERLINK("http://141.218.60.56/~jnz1568/getInfo.php?workbook=20_05.xlsx&amp;sheet=A0&amp;row=20&amp;col=6&amp;number=10290000000&amp;sourceID=14","10290000000")</f>
        <v>10290000000</v>
      </c>
      <c r="G20" s="4" t="str">
        <f>HYPERLINK("http://141.218.60.56/~jnz1568/getInfo.php?workbook=20_05.xlsx&amp;sheet=A0&amp;row=20&amp;col=7&amp;number=0&amp;sourceID=14","0")</f>
        <v>0</v>
      </c>
    </row>
    <row r="21" spans="1:7">
      <c r="A21" s="3">
        <v>20</v>
      </c>
      <c r="B21" s="3">
        <v>5</v>
      </c>
      <c r="C21" s="3">
        <v>11</v>
      </c>
      <c r="D21" s="3">
        <v>5</v>
      </c>
      <c r="E21" s="3">
        <v>187.239</v>
      </c>
      <c r="F21" s="4" t="str">
        <f>HYPERLINK("http://141.218.60.56/~jnz1568/getInfo.php?workbook=20_05.xlsx&amp;sheet=A0&amp;row=21&amp;col=6&amp;number=13910000000&amp;sourceID=14","13910000000")</f>
        <v>13910000000</v>
      </c>
      <c r="G21" s="4" t="str">
        <f>HYPERLINK("http://141.218.60.56/~jnz1568/getInfo.php?workbook=20_05.xlsx&amp;sheet=A0&amp;row=21&amp;col=7&amp;number=0&amp;sourceID=14","0")</f>
        <v>0</v>
      </c>
    </row>
    <row r="22" spans="1:7">
      <c r="A22" s="3">
        <v>20</v>
      </c>
      <c r="B22" s="3">
        <v>5</v>
      </c>
      <c r="C22" s="3">
        <v>12</v>
      </c>
      <c r="D22" s="3">
        <v>6</v>
      </c>
      <c r="E22" s="3">
        <v>217.115</v>
      </c>
      <c r="F22" s="4" t="str">
        <f>HYPERLINK("http://141.218.60.56/~jnz1568/getInfo.php?workbook=20_05.xlsx&amp;sheet=A0&amp;row=22&amp;col=6&amp;number=6526000000&amp;sourceID=14","6526000000")</f>
        <v>6526000000</v>
      </c>
      <c r="G22" s="4" t="str">
        <f>HYPERLINK("http://141.218.60.56/~jnz1568/getInfo.php?workbook=20_05.xlsx&amp;sheet=A0&amp;row=22&amp;col=7&amp;number=0&amp;sourceID=14","0")</f>
        <v>0</v>
      </c>
    </row>
    <row r="23" spans="1:7">
      <c r="A23" s="3">
        <v>20</v>
      </c>
      <c r="B23" s="3">
        <v>5</v>
      </c>
      <c r="C23" s="3">
        <v>13</v>
      </c>
      <c r="D23" s="3">
        <v>6</v>
      </c>
      <c r="E23" s="3">
        <v>214.858</v>
      </c>
      <c r="F23" s="4" t="str">
        <f>HYPERLINK("http://141.218.60.56/~jnz1568/getInfo.php?workbook=20_05.xlsx&amp;sheet=A0&amp;row=23&amp;col=6&amp;number=1273000000&amp;sourceID=14","1273000000")</f>
        <v>1273000000</v>
      </c>
      <c r="G23" s="4" t="str">
        <f>HYPERLINK("http://141.218.60.56/~jnz1568/getInfo.php?workbook=20_05.xlsx&amp;sheet=A0&amp;row=23&amp;col=7&amp;number=0&amp;sourceID=14","0")</f>
        <v>0</v>
      </c>
    </row>
    <row r="24" spans="1:7">
      <c r="A24" s="3">
        <v>20</v>
      </c>
      <c r="B24" s="3">
        <v>5</v>
      </c>
      <c r="C24" s="3">
        <v>14</v>
      </c>
      <c r="D24" s="3">
        <v>6</v>
      </c>
      <c r="E24" s="3">
        <v>174.441</v>
      </c>
      <c r="F24" s="4" t="str">
        <f>HYPERLINK("http://141.218.60.56/~jnz1568/getInfo.php?workbook=20_05.xlsx&amp;sheet=A0&amp;row=24&amp;col=6&amp;number=16900000000&amp;sourceID=14","16900000000")</f>
        <v>16900000000</v>
      </c>
      <c r="G24" s="4" t="str">
        <f>HYPERLINK("http://141.218.60.56/~jnz1568/getInfo.php?workbook=20_05.xlsx&amp;sheet=A0&amp;row=24&amp;col=7&amp;number=0&amp;sourceID=14","0")</f>
        <v>0</v>
      </c>
    </row>
    <row r="25" spans="1:7">
      <c r="A25" s="3">
        <v>20</v>
      </c>
      <c r="B25" s="3">
        <v>5</v>
      </c>
      <c r="C25" s="3">
        <v>15</v>
      </c>
      <c r="D25" s="3">
        <v>6</v>
      </c>
      <c r="E25" s="3">
        <v>171.606</v>
      </c>
      <c r="F25" s="4" t="str">
        <f>HYPERLINK("http://141.218.60.56/~jnz1568/getInfo.php?workbook=20_05.xlsx&amp;sheet=A0&amp;row=25&amp;col=6&amp;number=2683000000&amp;sourceID=14","2683000000")</f>
        <v>2683000000</v>
      </c>
      <c r="G25" s="4" t="str">
        <f>HYPERLINK("http://141.218.60.56/~jnz1568/getInfo.php?workbook=20_05.xlsx&amp;sheet=A0&amp;row=25&amp;col=7&amp;number=0&amp;sourceID=14","0")</f>
        <v>0</v>
      </c>
    </row>
    <row r="26" spans="1:7">
      <c r="A26" s="3">
        <v>20</v>
      </c>
      <c r="B26" s="3">
        <v>5</v>
      </c>
      <c r="C26" s="3">
        <v>12</v>
      </c>
      <c r="D26" s="3">
        <v>7</v>
      </c>
      <c r="E26" s="3">
        <v>218.335</v>
      </c>
      <c r="F26" s="4" t="str">
        <f>HYPERLINK("http://141.218.60.56/~jnz1568/getInfo.php?workbook=20_05.xlsx&amp;sheet=A0&amp;row=26&amp;col=6&amp;number=2272000000&amp;sourceID=14","2272000000")</f>
        <v>2272000000</v>
      </c>
      <c r="G26" s="4" t="str">
        <f>HYPERLINK("http://141.218.60.56/~jnz1568/getInfo.php?workbook=20_05.xlsx&amp;sheet=A0&amp;row=26&amp;col=7&amp;number=0&amp;sourceID=14","0")</f>
        <v>0</v>
      </c>
    </row>
    <row r="27" spans="1:7">
      <c r="A27" s="3">
        <v>20</v>
      </c>
      <c r="B27" s="3">
        <v>5</v>
      </c>
      <c r="C27" s="3">
        <v>13</v>
      </c>
      <c r="D27" s="3">
        <v>7</v>
      </c>
      <c r="E27" s="3">
        <v>216.053</v>
      </c>
      <c r="F27" s="4" t="str">
        <f>HYPERLINK("http://141.218.60.56/~jnz1568/getInfo.php?workbook=20_05.xlsx&amp;sheet=A0&amp;row=27&amp;col=6&amp;number=8694000000&amp;sourceID=14","8694000000")</f>
        <v>8694000000</v>
      </c>
      <c r="G27" s="4" t="str">
        <f>HYPERLINK("http://141.218.60.56/~jnz1568/getInfo.php?workbook=20_05.xlsx&amp;sheet=A0&amp;row=27&amp;col=7&amp;number=0&amp;sourceID=14","0")</f>
        <v>0</v>
      </c>
    </row>
    <row r="28" spans="1:7">
      <c r="A28" s="3">
        <v>20</v>
      </c>
      <c r="B28" s="3">
        <v>5</v>
      </c>
      <c r="C28" s="3">
        <v>15</v>
      </c>
      <c r="D28" s="3">
        <v>7</v>
      </c>
      <c r="E28" s="3">
        <v>172.367</v>
      </c>
      <c r="F28" s="4" t="str">
        <f>HYPERLINK("http://141.218.60.56/~jnz1568/getInfo.php?workbook=20_05.xlsx&amp;sheet=A0&amp;row=28&amp;col=6&amp;number=11160000000&amp;sourceID=14","11160000000")</f>
        <v>11160000000</v>
      </c>
      <c r="G28" s="4" t="str">
        <f>HYPERLINK("http://141.218.60.56/~jnz1568/getInfo.php?workbook=20_05.xlsx&amp;sheet=A0&amp;row=28&amp;col=7&amp;number=0&amp;sourceID=14","0")</f>
        <v>0</v>
      </c>
    </row>
    <row r="29" spans="1:7">
      <c r="A29" s="3">
        <v>20</v>
      </c>
      <c r="B29" s="3">
        <v>5</v>
      </c>
      <c r="C29" s="3">
        <v>14</v>
      </c>
      <c r="D29" s="3">
        <v>8</v>
      </c>
      <c r="E29" s="3">
        <v>217.199</v>
      </c>
      <c r="F29" s="4" t="str">
        <f>HYPERLINK("http://141.218.60.56/~jnz1568/getInfo.php?workbook=20_05.xlsx&amp;sheet=A0&amp;row=29&amp;col=6&amp;number=441400000&amp;sourceID=14","441400000")</f>
        <v>441400000</v>
      </c>
      <c r="G29" s="4" t="str">
        <f>HYPERLINK("http://141.218.60.56/~jnz1568/getInfo.php?workbook=20_05.xlsx&amp;sheet=A0&amp;row=29&amp;col=7&amp;number=0&amp;sourceID=14","0")</f>
        <v>0</v>
      </c>
    </row>
    <row r="30" spans="1:7">
      <c r="A30" s="3">
        <v>20</v>
      </c>
      <c r="B30" s="3">
        <v>5</v>
      </c>
      <c r="C30" s="3">
        <v>15</v>
      </c>
      <c r="D30" s="3">
        <v>8</v>
      </c>
      <c r="E30" s="3">
        <v>212.82</v>
      </c>
      <c r="F30" s="4" t="str">
        <f>HYPERLINK("http://141.218.60.56/~jnz1568/getInfo.php?workbook=20_05.xlsx&amp;sheet=A0&amp;row=30&amp;col=6&amp;number=3732000000&amp;sourceID=14","3732000000")</f>
        <v>3732000000</v>
      </c>
      <c r="G30" s="4" t="str">
        <f>HYPERLINK("http://141.218.60.56/~jnz1568/getInfo.php?workbook=20_05.xlsx&amp;sheet=A0&amp;row=30&amp;col=7&amp;number=0&amp;sourceID=14","0")</f>
        <v>0</v>
      </c>
    </row>
    <row r="31" spans="1:7">
      <c r="A31" s="3">
        <v>20</v>
      </c>
      <c r="B31" s="3">
        <v>5</v>
      </c>
      <c r="C31" s="3">
        <v>12</v>
      </c>
      <c r="D31" s="3">
        <v>9</v>
      </c>
      <c r="E31" s="3">
        <v>326.599</v>
      </c>
      <c r="F31" s="4" t="str">
        <f>HYPERLINK("http://141.218.60.56/~jnz1568/getInfo.php?workbook=20_05.xlsx&amp;sheet=A0&amp;row=31&amp;col=6&amp;number=1748000000&amp;sourceID=14","1748000000")</f>
        <v>1748000000</v>
      </c>
      <c r="G31" s="4" t="str">
        <f>HYPERLINK("http://141.218.60.56/~jnz1568/getInfo.php?workbook=20_05.xlsx&amp;sheet=A0&amp;row=31&amp;col=7&amp;number=0&amp;sourceID=14","0")</f>
        <v>0</v>
      </c>
    </row>
    <row r="32" spans="1:7">
      <c r="A32" s="3">
        <v>20</v>
      </c>
      <c r="B32" s="3">
        <v>5</v>
      </c>
      <c r="C32" s="3">
        <v>14</v>
      </c>
      <c r="D32" s="3">
        <v>9</v>
      </c>
      <c r="E32" s="3">
        <v>238.744</v>
      </c>
      <c r="F32" s="4" t="str">
        <f>HYPERLINK("http://141.218.60.56/~jnz1568/getInfo.php?workbook=20_05.xlsx&amp;sheet=A0&amp;row=32&amp;col=6&amp;number=8598000000&amp;sourceID=14","8598000000")</f>
        <v>8598000000</v>
      </c>
      <c r="G32" s="4" t="str">
        <f>HYPERLINK("http://141.218.60.56/~jnz1568/getInfo.php?workbook=20_05.xlsx&amp;sheet=A0&amp;row=32&amp;col=7&amp;number=0&amp;sourceID=14","0")</f>
        <v>0</v>
      </c>
    </row>
    <row r="33" spans="1:7">
      <c r="A33" s="3">
        <v>20</v>
      </c>
      <c r="B33" s="3">
        <v>5</v>
      </c>
      <c r="C33" s="3">
        <v>15</v>
      </c>
      <c r="D33" s="3">
        <v>9</v>
      </c>
      <c r="E33" s="3">
        <v>233.464</v>
      </c>
      <c r="F33" s="4" t="str">
        <f>HYPERLINK("http://141.218.60.56/~jnz1568/getInfo.php?workbook=20_05.xlsx&amp;sheet=A0&amp;row=33&amp;col=6&amp;number=263500000&amp;sourceID=14","263500000")</f>
        <v>263500000</v>
      </c>
      <c r="G33" s="4" t="str">
        <f>HYPERLINK("http://141.218.60.56/~jnz1568/getInfo.php?workbook=20_05.xlsx&amp;sheet=A0&amp;row=33&amp;col=7&amp;number=0&amp;sourceID=14","0")</f>
        <v>0</v>
      </c>
    </row>
    <row r="34" spans="1:7">
      <c r="A34" s="3">
        <v>20</v>
      </c>
      <c r="B34" s="3">
        <v>5</v>
      </c>
      <c r="C34" s="3">
        <v>12</v>
      </c>
      <c r="D34" s="3">
        <v>10</v>
      </c>
      <c r="E34" s="3">
        <v>339.866</v>
      </c>
      <c r="F34" s="4" t="str">
        <f>HYPERLINK("http://141.218.60.56/~jnz1568/getInfo.php?workbook=20_05.xlsx&amp;sheet=A0&amp;row=34&amp;col=6&amp;number=121100000&amp;sourceID=14","121100000")</f>
        <v>121100000</v>
      </c>
      <c r="G34" s="4" t="str">
        <f>HYPERLINK("http://141.218.60.56/~jnz1568/getInfo.php?workbook=20_05.xlsx&amp;sheet=A0&amp;row=34&amp;col=7&amp;number=0&amp;sourceID=14","0")</f>
        <v>0</v>
      </c>
    </row>
    <row r="35" spans="1:7">
      <c r="A35" s="3">
        <v>20</v>
      </c>
      <c r="B35" s="3">
        <v>5</v>
      </c>
      <c r="C35" s="3">
        <v>13</v>
      </c>
      <c r="D35" s="3">
        <v>10</v>
      </c>
      <c r="E35" s="3">
        <v>334.369</v>
      </c>
      <c r="F35" s="4" t="str">
        <f>HYPERLINK("http://141.218.60.56/~jnz1568/getInfo.php?workbook=20_05.xlsx&amp;sheet=A0&amp;row=35&amp;col=6&amp;number=2209000000&amp;sourceID=14","2209000000")</f>
        <v>2209000000</v>
      </c>
      <c r="G35" s="4" t="str">
        <f>HYPERLINK("http://141.218.60.56/~jnz1568/getInfo.php?workbook=20_05.xlsx&amp;sheet=A0&amp;row=35&amp;col=7&amp;number=0&amp;sourceID=14","0")</f>
        <v>0</v>
      </c>
    </row>
    <row r="36" spans="1:7">
      <c r="A36" s="3">
        <v>20</v>
      </c>
      <c r="B36" s="3">
        <v>5</v>
      </c>
      <c r="C36" s="3">
        <v>14</v>
      </c>
      <c r="D36" s="3">
        <v>10</v>
      </c>
      <c r="E36" s="3">
        <v>245.757</v>
      </c>
      <c r="F36" s="4" t="str">
        <f>HYPERLINK("http://141.218.60.56/~jnz1568/getInfo.php?workbook=20_05.xlsx&amp;sheet=A0&amp;row=36&amp;col=6&amp;number=2271000000&amp;sourceID=14","2271000000")</f>
        <v>2271000000</v>
      </c>
      <c r="G36" s="4" t="str">
        <f>HYPERLINK("http://141.218.60.56/~jnz1568/getInfo.php?workbook=20_05.xlsx&amp;sheet=A0&amp;row=36&amp;col=7&amp;number=0&amp;sourceID=14","0")</f>
        <v>0</v>
      </c>
    </row>
    <row r="37" spans="1:7">
      <c r="A37" s="3">
        <v>20</v>
      </c>
      <c r="B37" s="3">
        <v>5</v>
      </c>
      <c r="C37" s="3">
        <v>15</v>
      </c>
      <c r="D37" s="3">
        <v>10</v>
      </c>
      <c r="E37" s="3">
        <v>240.166</v>
      </c>
      <c r="F37" s="4" t="str">
        <f>HYPERLINK("http://141.218.60.56/~jnz1568/getInfo.php?workbook=20_05.xlsx&amp;sheet=A0&amp;row=37&amp;col=6&amp;number=9855000000&amp;sourceID=14","9855000000")</f>
        <v>9855000000</v>
      </c>
      <c r="G37" s="4" t="str">
        <f>HYPERLINK("http://141.218.60.56/~jnz1568/getInfo.php?workbook=20_05.xlsx&amp;sheet=A0&amp;row=37&amp;col=7&amp;number=0&amp;sourceID=14","0")</f>
        <v>0</v>
      </c>
    </row>
    <row r="38" spans="1:7">
      <c r="A38" s="3">
        <v>20</v>
      </c>
      <c r="B38" s="3">
        <v>5</v>
      </c>
      <c r="C38" s="3">
        <v>16</v>
      </c>
      <c r="D38" s="3">
        <v>1</v>
      </c>
      <c r="E38" s="3">
        <v>-22.78</v>
      </c>
      <c r="F38" s="4" t="str">
        <f>HYPERLINK("http://141.218.60.56/~jnz1568/getInfo.php?workbook=20_05.xlsx&amp;sheet=A0&amp;row=38&amp;col=6&amp;number=241300000000&amp;sourceID=14","241300000000")</f>
        <v>241300000000</v>
      </c>
      <c r="G38" s="4" t="str">
        <f>HYPERLINK("http://141.218.60.56/~jnz1568/getInfo.php?workbook=20_05.xlsx&amp;sheet=A0&amp;row=38&amp;col=7&amp;number=0&amp;sourceID=14","0")</f>
        <v>0</v>
      </c>
    </row>
    <row r="39" spans="1:7">
      <c r="A39" s="3">
        <v>20</v>
      </c>
      <c r="B39" s="3">
        <v>5</v>
      </c>
      <c r="C39" s="3">
        <v>17</v>
      </c>
      <c r="D39" s="3">
        <v>1</v>
      </c>
      <c r="E39" s="3">
        <v>-20.967</v>
      </c>
      <c r="F39" s="4" t="str">
        <f>HYPERLINK("http://141.218.60.56/~jnz1568/getInfo.php?workbook=20_05.xlsx&amp;sheet=A0&amp;row=39&amp;col=6&amp;number=400600000000&amp;sourceID=14","400600000000")</f>
        <v>400600000000</v>
      </c>
      <c r="G39" s="4" t="str">
        <f>HYPERLINK("http://141.218.60.56/~jnz1568/getInfo.php?workbook=20_05.xlsx&amp;sheet=A0&amp;row=39&amp;col=7&amp;number=0&amp;sourceID=14","0")</f>
        <v>0</v>
      </c>
    </row>
    <row r="40" spans="1:7">
      <c r="A40" s="3">
        <v>20</v>
      </c>
      <c r="B40" s="3">
        <v>5</v>
      </c>
      <c r="C40" s="3">
        <v>18</v>
      </c>
      <c r="D40" s="3">
        <v>1</v>
      </c>
      <c r="E40" s="3">
        <v>20.951</v>
      </c>
      <c r="F40" s="4" t="str">
        <f>HYPERLINK("http://141.218.60.56/~jnz1568/getInfo.php?workbook=20_05.xlsx&amp;sheet=A0&amp;row=40&amp;col=6&amp;number=1268000000000&amp;sourceID=14","1268000000000")</f>
        <v>1268000000000</v>
      </c>
      <c r="G40" s="4" t="str">
        <f>HYPERLINK("http://141.218.60.56/~jnz1568/getInfo.php?workbook=20_05.xlsx&amp;sheet=A0&amp;row=40&amp;col=7&amp;number=0&amp;sourceID=14","0")</f>
        <v>0</v>
      </c>
    </row>
    <row r="41" spans="1:7">
      <c r="A41" s="3">
        <v>20</v>
      </c>
      <c r="B41" s="3">
        <v>5</v>
      </c>
      <c r="C41" s="3">
        <v>19</v>
      </c>
      <c r="D41" s="3">
        <v>1</v>
      </c>
      <c r="E41" s="3">
        <v>-20.72</v>
      </c>
      <c r="F41" s="4" t="str">
        <f>HYPERLINK("http://141.218.60.56/~jnz1568/getInfo.php?workbook=20_05.xlsx&amp;sheet=A0&amp;row=41&amp;col=6&amp;number=32670000000&amp;sourceID=14","32670000000")</f>
        <v>32670000000</v>
      </c>
      <c r="G41" s="4" t="str">
        <f>HYPERLINK("http://141.218.60.56/~jnz1568/getInfo.php?workbook=20_05.xlsx&amp;sheet=A0&amp;row=41&amp;col=7&amp;number=0&amp;sourceID=14","0")</f>
        <v>0</v>
      </c>
    </row>
    <row r="42" spans="1:7">
      <c r="A42" s="3">
        <v>20</v>
      </c>
      <c r="B42" s="3">
        <v>5</v>
      </c>
      <c r="C42" s="3">
        <v>20</v>
      </c>
      <c r="D42" s="3">
        <v>1</v>
      </c>
      <c r="E42" s="3">
        <v>-20.393</v>
      </c>
      <c r="F42" s="4" t="str">
        <f>HYPERLINK("http://141.218.60.56/~jnz1568/getInfo.php?workbook=20_05.xlsx&amp;sheet=A0&amp;row=42&amp;col=6&amp;number=726800000000&amp;sourceID=14","726800000000")</f>
        <v>726800000000</v>
      </c>
      <c r="G42" s="4" t="str">
        <f>HYPERLINK("http://141.218.60.56/~jnz1568/getInfo.php?workbook=20_05.xlsx&amp;sheet=A0&amp;row=42&amp;col=7&amp;number=0&amp;sourceID=14","0")</f>
        <v>0</v>
      </c>
    </row>
    <row r="43" spans="1:7">
      <c r="A43" s="3">
        <v>20</v>
      </c>
      <c r="B43" s="3">
        <v>5</v>
      </c>
      <c r="C43" s="3">
        <v>21</v>
      </c>
      <c r="D43" s="3">
        <v>1</v>
      </c>
      <c r="E43" s="3">
        <v>-19.77</v>
      </c>
      <c r="F43" s="4" t="str">
        <f>HYPERLINK("http://141.218.60.56/~jnz1568/getInfo.php?workbook=20_05.xlsx&amp;sheet=A0&amp;row=43&amp;col=6&amp;number=431200000000&amp;sourceID=14","431200000000")</f>
        <v>431200000000</v>
      </c>
      <c r="G43" s="4" t="str">
        <f>HYPERLINK("http://141.218.60.56/~jnz1568/getInfo.php?workbook=20_05.xlsx&amp;sheet=A0&amp;row=43&amp;col=7&amp;number=0&amp;sourceID=14","0")</f>
        <v>0</v>
      </c>
    </row>
    <row r="44" spans="1:7">
      <c r="A44" s="3">
        <v>20</v>
      </c>
      <c r="B44" s="3">
        <v>5</v>
      </c>
      <c r="C44" s="3">
        <v>22</v>
      </c>
      <c r="D44" s="3">
        <v>1</v>
      </c>
      <c r="E44" s="3">
        <v>-19.611</v>
      </c>
      <c r="F44" s="4" t="str">
        <f>HYPERLINK("http://141.218.60.56/~jnz1568/getInfo.php?workbook=20_05.xlsx&amp;sheet=A0&amp;row=44&amp;col=6&amp;number=66150000000&amp;sourceID=14","66150000000")</f>
        <v>66150000000</v>
      </c>
      <c r="G44" s="4" t="str">
        <f>HYPERLINK("http://141.218.60.56/~jnz1568/getInfo.php?workbook=20_05.xlsx&amp;sheet=A0&amp;row=44&amp;col=7&amp;number=0&amp;sourceID=14","0")</f>
        <v>0</v>
      </c>
    </row>
    <row r="45" spans="1:7">
      <c r="A45" s="3">
        <v>20</v>
      </c>
      <c r="B45" s="3">
        <v>5</v>
      </c>
      <c r="C45" s="3">
        <v>23</v>
      </c>
      <c r="D45" s="3">
        <v>1</v>
      </c>
      <c r="E45" s="3">
        <v>-19.535</v>
      </c>
      <c r="F45" s="4" t="str">
        <f>HYPERLINK("http://141.218.60.56/~jnz1568/getInfo.php?workbook=20_05.xlsx&amp;sheet=A0&amp;row=45&amp;col=6&amp;number=25740000000&amp;sourceID=14","25740000000")</f>
        <v>25740000000</v>
      </c>
      <c r="G45" s="4" t="str">
        <f>HYPERLINK("http://141.218.60.56/~jnz1568/getInfo.php?workbook=20_05.xlsx&amp;sheet=A0&amp;row=45&amp;col=7&amp;number=0&amp;sourceID=14","0")</f>
        <v>0</v>
      </c>
    </row>
    <row r="46" spans="1:7">
      <c r="A46" s="3">
        <v>20</v>
      </c>
      <c r="B46" s="3">
        <v>5</v>
      </c>
      <c r="C46" s="3">
        <v>24</v>
      </c>
      <c r="D46" s="3">
        <v>1</v>
      </c>
      <c r="E46" s="3">
        <v>-19.261</v>
      </c>
      <c r="F46" s="4" t="str">
        <f>HYPERLINK("http://141.218.60.56/~jnz1568/getInfo.php?workbook=20_05.xlsx&amp;sheet=A0&amp;row=46&amp;col=6&amp;number=226800000000&amp;sourceID=14","226800000000")</f>
        <v>226800000000</v>
      </c>
      <c r="G46" s="4" t="str">
        <f>HYPERLINK("http://141.218.60.56/~jnz1568/getInfo.php?workbook=20_05.xlsx&amp;sheet=A0&amp;row=46&amp;col=7&amp;number=0&amp;sourceID=14","0")</f>
        <v>0</v>
      </c>
    </row>
    <row r="47" spans="1:7">
      <c r="A47" s="3">
        <v>20</v>
      </c>
      <c r="B47" s="3">
        <v>5</v>
      </c>
      <c r="C47" s="3">
        <v>25</v>
      </c>
      <c r="D47" s="3">
        <v>1</v>
      </c>
      <c r="E47" s="3">
        <v>-18.648</v>
      </c>
      <c r="F47" s="4" t="str">
        <f>HYPERLINK("http://141.218.60.56/~jnz1568/getInfo.php?workbook=20_05.xlsx&amp;sheet=A0&amp;row=47&amp;col=6&amp;number=4765000000&amp;sourceID=14","4765000000")</f>
        <v>4765000000</v>
      </c>
      <c r="G47" s="4" t="str">
        <f>HYPERLINK("http://141.218.60.56/~jnz1568/getInfo.php?workbook=20_05.xlsx&amp;sheet=A0&amp;row=47&amp;col=7&amp;number=0&amp;sourceID=14","0")</f>
        <v>0</v>
      </c>
    </row>
    <row r="48" spans="1:7">
      <c r="A48" s="3">
        <v>20</v>
      </c>
      <c r="B48" s="3">
        <v>5</v>
      </c>
      <c r="C48" s="3">
        <v>26</v>
      </c>
      <c r="D48" s="3">
        <v>1</v>
      </c>
      <c r="E48" s="3">
        <v>-18.547</v>
      </c>
      <c r="F48" s="4" t="str">
        <f>HYPERLINK("http://141.218.60.56/~jnz1568/getInfo.php?workbook=20_05.xlsx&amp;sheet=A0&amp;row=48&amp;col=6&amp;number=40580000000&amp;sourceID=14","40580000000")</f>
        <v>40580000000</v>
      </c>
      <c r="G48" s="4" t="str">
        <f>HYPERLINK("http://141.218.60.56/~jnz1568/getInfo.php?workbook=20_05.xlsx&amp;sheet=A0&amp;row=48&amp;col=7&amp;number=0&amp;sourceID=14","0")</f>
        <v>0</v>
      </c>
    </row>
    <row r="49" spans="1:7">
      <c r="A49" s="3">
        <v>20</v>
      </c>
      <c r="B49" s="3">
        <v>5</v>
      </c>
      <c r="C49" s="3">
        <v>27</v>
      </c>
      <c r="D49" s="3">
        <v>1</v>
      </c>
      <c r="E49" s="3">
        <v>-18.483</v>
      </c>
      <c r="F49" s="4" t="str">
        <f>HYPERLINK("http://141.218.60.56/~jnz1568/getInfo.php?workbook=20_05.xlsx&amp;sheet=A0&amp;row=49&amp;col=6&amp;number=1188000000&amp;sourceID=14","1188000000")</f>
        <v>1188000000</v>
      </c>
      <c r="G49" s="4" t="str">
        <f>HYPERLINK("http://141.218.60.56/~jnz1568/getInfo.php?workbook=20_05.xlsx&amp;sheet=A0&amp;row=49&amp;col=7&amp;number=0&amp;sourceID=14","0")</f>
        <v>0</v>
      </c>
    </row>
    <row r="50" spans="1:7">
      <c r="A50" s="3">
        <v>20</v>
      </c>
      <c r="B50" s="3">
        <v>5</v>
      </c>
      <c r="C50" s="3">
        <v>28</v>
      </c>
      <c r="D50" s="3">
        <v>1</v>
      </c>
      <c r="E50" s="3">
        <v>-18.464</v>
      </c>
      <c r="F50" s="4" t="str">
        <f>HYPERLINK("http://141.218.60.56/~jnz1568/getInfo.php?workbook=20_05.xlsx&amp;sheet=A0&amp;row=50&amp;col=6&amp;number=9044000000&amp;sourceID=14","9044000000")</f>
        <v>9044000000</v>
      </c>
      <c r="G50" s="4" t="str">
        <f>HYPERLINK("http://141.218.60.56/~jnz1568/getInfo.php?workbook=20_05.xlsx&amp;sheet=A0&amp;row=50&amp;col=7&amp;number=0&amp;sourceID=14","0")</f>
        <v>0</v>
      </c>
    </row>
    <row r="51" spans="1:7">
      <c r="A51" s="3">
        <v>20</v>
      </c>
      <c r="B51" s="3">
        <v>5</v>
      </c>
      <c r="C51" s="3">
        <v>29</v>
      </c>
      <c r="D51" s="3">
        <v>1</v>
      </c>
      <c r="E51" s="3">
        <v>-18.131</v>
      </c>
      <c r="F51" s="4" t="str">
        <f>HYPERLINK("http://141.218.60.56/~jnz1568/getInfo.php?workbook=20_05.xlsx&amp;sheet=A0&amp;row=51&amp;col=6&amp;number=61850000000&amp;sourceID=14","61850000000")</f>
        <v>61850000000</v>
      </c>
      <c r="G51" s="4" t="str">
        <f>HYPERLINK("http://141.218.60.56/~jnz1568/getInfo.php?workbook=20_05.xlsx&amp;sheet=A0&amp;row=51&amp;col=7&amp;number=0&amp;sourceID=14","0")</f>
        <v>0</v>
      </c>
    </row>
    <row r="52" spans="1:7">
      <c r="A52" s="3">
        <v>20</v>
      </c>
      <c r="B52" s="3">
        <v>5</v>
      </c>
      <c r="C52" s="3">
        <v>30</v>
      </c>
      <c r="D52" s="3">
        <v>1</v>
      </c>
      <c r="E52" s="3">
        <v>-18.057</v>
      </c>
      <c r="F52" s="4" t="str">
        <f>HYPERLINK("http://141.218.60.56/~jnz1568/getInfo.php?workbook=20_05.xlsx&amp;sheet=A0&amp;row=52&amp;col=6&amp;number=16940000000&amp;sourceID=14","16940000000")</f>
        <v>16940000000</v>
      </c>
      <c r="G52" s="4" t="str">
        <f>HYPERLINK("http://141.218.60.56/~jnz1568/getInfo.php?workbook=20_05.xlsx&amp;sheet=A0&amp;row=52&amp;col=7&amp;number=0&amp;sourceID=14","0")</f>
        <v>0</v>
      </c>
    </row>
    <row r="53" spans="1:7">
      <c r="A53" s="3">
        <v>20</v>
      </c>
      <c r="B53" s="3">
        <v>5</v>
      </c>
      <c r="C53" s="3">
        <v>16</v>
      </c>
      <c r="D53" s="3">
        <v>14</v>
      </c>
      <c r="E53" s="3">
        <v>-29.967</v>
      </c>
      <c r="F53" s="4" t="str">
        <f>HYPERLINK("http://141.218.60.56/~jnz1568/getInfo.php?workbook=20_05.xlsx&amp;sheet=A0&amp;row=53&amp;col=6&amp;number=40120000&amp;sourceID=14","40120000")</f>
        <v>40120000</v>
      </c>
      <c r="G53" s="4" t="str">
        <f>HYPERLINK("http://141.218.60.56/~jnz1568/getInfo.php?workbook=20_05.xlsx&amp;sheet=A0&amp;row=53&amp;col=7&amp;number=0&amp;sourceID=14","0")</f>
        <v>0</v>
      </c>
    </row>
    <row r="54" spans="1:7">
      <c r="A54" s="3">
        <v>20</v>
      </c>
      <c r="B54" s="3">
        <v>5</v>
      </c>
      <c r="C54" s="3">
        <v>17</v>
      </c>
      <c r="D54" s="3">
        <v>14</v>
      </c>
      <c r="E54" s="3">
        <v>-26.906</v>
      </c>
      <c r="F54" s="4" t="str">
        <f>HYPERLINK("http://141.218.60.56/~jnz1568/getInfo.php?workbook=20_05.xlsx&amp;sheet=A0&amp;row=54&amp;col=6&amp;number=89050000&amp;sourceID=14","89050000")</f>
        <v>89050000</v>
      </c>
      <c r="G54" s="4" t="str">
        <f>HYPERLINK("http://141.218.60.56/~jnz1568/getInfo.php?workbook=20_05.xlsx&amp;sheet=A0&amp;row=54&amp;col=7&amp;number=0&amp;sourceID=14","0")</f>
        <v>0</v>
      </c>
    </row>
    <row r="55" spans="1:7">
      <c r="A55" s="3">
        <v>20</v>
      </c>
      <c r="B55" s="3">
        <v>5</v>
      </c>
      <c r="C55" s="3">
        <v>18</v>
      </c>
      <c r="D55" s="3">
        <v>14</v>
      </c>
      <c r="E55" s="3">
        <v>26.879</v>
      </c>
      <c r="F55" s="4" t="str">
        <f>HYPERLINK("http://141.218.60.56/~jnz1568/getInfo.php?workbook=20_05.xlsx&amp;sheet=A0&amp;row=55&amp;col=6&amp;number=86770000&amp;sourceID=14","86770000")</f>
        <v>86770000</v>
      </c>
      <c r="G55" s="4" t="str">
        <f>HYPERLINK("http://141.218.60.56/~jnz1568/getInfo.php?workbook=20_05.xlsx&amp;sheet=A0&amp;row=55&amp;col=7&amp;number=0&amp;sourceID=14","0")</f>
        <v>0</v>
      </c>
    </row>
    <row r="56" spans="1:7">
      <c r="A56" s="3">
        <v>20</v>
      </c>
      <c r="B56" s="3">
        <v>5</v>
      </c>
      <c r="C56" s="3">
        <v>19</v>
      </c>
      <c r="D56" s="3">
        <v>14</v>
      </c>
      <c r="E56" s="3">
        <v>-26.501</v>
      </c>
      <c r="F56" s="4" t="str">
        <f>HYPERLINK("http://141.218.60.56/~jnz1568/getInfo.php?workbook=20_05.xlsx&amp;sheet=A0&amp;row=56&amp;col=6&amp;number=186200000&amp;sourceID=14","186200000")</f>
        <v>186200000</v>
      </c>
      <c r="G56" s="4" t="str">
        <f>HYPERLINK("http://141.218.60.56/~jnz1568/getInfo.php?workbook=20_05.xlsx&amp;sheet=A0&amp;row=56&amp;col=7&amp;number=0&amp;sourceID=14","0")</f>
        <v>0</v>
      </c>
    </row>
    <row r="57" spans="1:7">
      <c r="A57" s="3">
        <v>20</v>
      </c>
      <c r="B57" s="3">
        <v>5</v>
      </c>
      <c r="C57" s="3">
        <v>20</v>
      </c>
      <c r="D57" s="3">
        <v>14</v>
      </c>
      <c r="E57" s="3">
        <v>-25.967</v>
      </c>
      <c r="F57" s="4" t="str">
        <f>HYPERLINK("http://141.218.60.56/~jnz1568/getInfo.php?workbook=20_05.xlsx&amp;sheet=A0&amp;row=57&amp;col=6&amp;number=14690000000&amp;sourceID=14","14690000000")</f>
        <v>14690000000</v>
      </c>
      <c r="G57" s="4" t="str">
        <f>HYPERLINK("http://141.218.60.56/~jnz1568/getInfo.php?workbook=20_05.xlsx&amp;sheet=A0&amp;row=57&amp;col=7&amp;number=0&amp;sourceID=14","0")</f>
        <v>0</v>
      </c>
    </row>
    <row r="58" spans="1:7">
      <c r="A58" s="3">
        <v>20</v>
      </c>
      <c r="B58" s="3">
        <v>5</v>
      </c>
      <c r="C58" s="3">
        <v>21</v>
      </c>
      <c r="D58" s="3">
        <v>14</v>
      </c>
      <c r="E58" s="3">
        <v>-24.965</v>
      </c>
      <c r="F58" s="4" t="str">
        <f>HYPERLINK("http://141.218.60.56/~jnz1568/getInfo.php?workbook=20_05.xlsx&amp;sheet=A0&amp;row=58&amp;col=6&amp;number=35710000000&amp;sourceID=14","35710000000")</f>
        <v>35710000000</v>
      </c>
      <c r="G58" s="4" t="str">
        <f>HYPERLINK("http://141.218.60.56/~jnz1568/getInfo.php?workbook=20_05.xlsx&amp;sheet=A0&amp;row=58&amp;col=7&amp;number=0&amp;sourceID=14","0")</f>
        <v>0</v>
      </c>
    </row>
    <row r="59" spans="1:7">
      <c r="A59" s="3">
        <v>20</v>
      </c>
      <c r="B59" s="3">
        <v>5</v>
      </c>
      <c r="C59" s="3">
        <v>22</v>
      </c>
      <c r="D59" s="3">
        <v>14</v>
      </c>
      <c r="E59" s="3">
        <v>-24.714</v>
      </c>
      <c r="F59" s="4" t="str">
        <f>HYPERLINK("http://141.218.60.56/~jnz1568/getInfo.php?workbook=20_05.xlsx&amp;sheet=A0&amp;row=59&amp;col=6&amp;number=4375000000&amp;sourceID=14","4375000000")</f>
        <v>4375000000</v>
      </c>
      <c r="G59" s="4" t="str">
        <f>HYPERLINK("http://141.218.60.56/~jnz1568/getInfo.php?workbook=20_05.xlsx&amp;sheet=A0&amp;row=59&amp;col=7&amp;number=0&amp;sourceID=14","0")</f>
        <v>0</v>
      </c>
    </row>
    <row r="60" spans="1:7">
      <c r="A60" s="3">
        <v>20</v>
      </c>
      <c r="B60" s="3">
        <v>5</v>
      </c>
      <c r="C60" s="3">
        <v>23</v>
      </c>
      <c r="D60" s="3">
        <v>14</v>
      </c>
      <c r="E60" s="3">
        <v>-24.591</v>
      </c>
      <c r="F60" s="4" t="str">
        <f>HYPERLINK("http://141.218.60.56/~jnz1568/getInfo.php?workbook=20_05.xlsx&amp;sheet=A0&amp;row=60&amp;col=6&amp;number=859100000&amp;sourceID=14","859100000")</f>
        <v>859100000</v>
      </c>
      <c r="G60" s="4" t="str">
        <f>HYPERLINK("http://141.218.60.56/~jnz1568/getInfo.php?workbook=20_05.xlsx&amp;sheet=A0&amp;row=60&amp;col=7&amp;number=0&amp;sourceID=14","0")</f>
        <v>0</v>
      </c>
    </row>
    <row r="61" spans="1:7">
      <c r="A61" s="3">
        <v>20</v>
      </c>
      <c r="B61" s="3">
        <v>5</v>
      </c>
      <c r="C61" s="3">
        <v>24</v>
      </c>
      <c r="D61" s="3">
        <v>14</v>
      </c>
      <c r="E61" s="3">
        <v>-24.16</v>
      </c>
      <c r="F61" s="4" t="str">
        <f>HYPERLINK("http://141.218.60.56/~jnz1568/getInfo.php?workbook=20_05.xlsx&amp;sheet=A0&amp;row=61&amp;col=6&amp;number=156400000000&amp;sourceID=14","156400000000")</f>
        <v>156400000000</v>
      </c>
      <c r="G61" s="4" t="str">
        <f>HYPERLINK("http://141.218.60.56/~jnz1568/getInfo.php?workbook=20_05.xlsx&amp;sheet=A0&amp;row=61&amp;col=7&amp;number=0&amp;sourceID=14","0")</f>
        <v>0</v>
      </c>
    </row>
    <row r="62" spans="1:7">
      <c r="A62" s="3">
        <v>20</v>
      </c>
      <c r="B62" s="3">
        <v>5</v>
      </c>
      <c r="C62" s="3">
        <v>25</v>
      </c>
      <c r="D62" s="3">
        <v>14</v>
      </c>
      <c r="E62" s="3">
        <v>-23.204</v>
      </c>
      <c r="F62" s="4" t="str">
        <f>HYPERLINK("http://141.218.60.56/~jnz1568/getInfo.php?workbook=20_05.xlsx&amp;sheet=A0&amp;row=62&amp;col=6&amp;number=158200000000&amp;sourceID=14","158200000000")</f>
        <v>158200000000</v>
      </c>
      <c r="G62" s="4" t="str">
        <f>HYPERLINK("http://141.218.60.56/~jnz1568/getInfo.php?workbook=20_05.xlsx&amp;sheet=A0&amp;row=62&amp;col=7&amp;number=0&amp;sourceID=14","0")</f>
        <v>0</v>
      </c>
    </row>
    <row r="63" spans="1:7">
      <c r="A63" s="3">
        <v>20</v>
      </c>
      <c r="B63" s="3">
        <v>5</v>
      </c>
      <c r="C63" s="3">
        <v>26</v>
      </c>
      <c r="D63" s="3">
        <v>14</v>
      </c>
      <c r="E63" s="3">
        <v>-23.046</v>
      </c>
      <c r="F63" s="4" t="str">
        <f>HYPERLINK("http://141.218.60.56/~jnz1568/getInfo.php?workbook=20_05.xlsx&amp;sheet=A0&amp;row=63&amp;col=6&amp;number=1363000000000&amp;sourceID=14","1363000000000")</f>
        <v>1363000000000</v>
      </c>
      <c r="G63" s="4" t="str">
        <f>HYPERLINK("http://141.218.60.56/~jnz1568/getInfo.php?workbook=20_05.xlsx&amp;sheet=A0&amp;row=63&amp;col=7&amp;number=0&amp;sourceID=14","0")</f>
        <v>0</v>
      </c>
    </row>
    <row r="64" spans="1:7">
      <c r="A64" s="3">
        <v>20</v>
      </c>
      <c r="B64" s="3">
        <v>5</v>
      </c>
      <c r="C64" s="3">
        <v>27</v>
      </c>
      <c r="D64" s="3">
        <v>14</v>
      </c>
      <c r="E64" s="3">
        <v>-22.948</v>
      </c>
      <c r="F64" s="4" t="str">
        <f>HYPERLINK("http://141.218.60.56/~jnz1568/getInfo.php?workbook=20_05.xlsx&amp;sheet=A0&amp;row=64&amp;col=6&amp;number=34660000000&amp;sourceID=14","34660000000")</f>
        <v>34660000000</v>
      </c>
      <c r="G64" s="4" t="str">
        <f>HYPERLINK("http://141.218.60.56/~jnz1568/getInfo.php?workbook=20_05.xlsx&amp;sheet=A0&amp;row=64&amp;col=7&amp;number=0&amp;sourceID=14","0")</f>
        <v>0</v>
      </c>
    </row>
    <row r="65" spans="1:7">
      <c r="A65" s="3">
        <v>20</v>
      </c>
      <c r="B65" s="3">
        <v>5</v>
      </c>
      <c r="C65" s="3">
        <v>28</v>
      </c>
      <c r="D65" s="3">
        <v>14</v>
      </c>
      <c r="E65" s="3">
        <v>-22.918</v>
      </c>
      <c r="F65" s="4" t="str">
        <f>HYPERLINK("http://141.218.60.56/~jnz1568/getInfo.php?workbook=20_05.xlsx&amp;sheet=A0&amp;row=65&amp;col=6&amp;number=302200000000&amp;sourceID=14","302200000000")</f>
        <v>302200000000</v>
      </c>
      <c r="G65" s="4" t="str">
        <f>HYPERLINK("http://141.218.60.56/~jnz1568/getInfo.php?workbook=20_05.xlsx&amp;sheet=A0&amp;row=65&amp;col=7&amp;number=0&amp;sourceID=14","0")</f>
        <v>0</v>
      </c>
    </row>
    <row r="66" spans="1:7">
      <c r="A66" s="3">
        <v>20</v>
      </c>
      <c r="B66" s="3">
        <v>5</v>
      </c>
      <c r="C66" s="3">
        <v>29</v>
      </c>
      <c r="D66" s="3">
        <v>14</v>
      </c>
      <c r="E66" s="3">
        <v>-22.408</v>
      </c>
      <c r="F66" s="4" t="str">
        <f>HYPERLINK("http://141.218.60.56/~jnz1568/getInfo.php?workbook=20_05.xlsx&amp;sheet=A0&amp;row=66&amp;col=6&amp;number=2463000000000&amp;sourceID=14","2463000000000")</f>
        <v>2463000000000</v>
      </c>
      <c r="G66" s="4" t="str">
        <f>HYPERLINK("http://141.218.60.56/~jnz1568/getInfo.php?workbook=20_05.xlsx&amp;sheet=A0&amp;row=66&amp;col=7&amp;number=0&amp;sourceID=14","0")</f>
        <v>0</v>
      </c>
    </row>
    <row r="67" spans="1:7">
      <c r="A67" s="3">
        <v>20</v>
      </c>
      <c r="B67" s="3">
        <v>5</v>
      </c>
      <c r="C67" s="3">
        <v>30</v>
      </c>
      <c r="D67" s="3">
        <v>14</v>
      </c>
      <c r="E67" s="3">
        <v>-22.294</v>
      </c>
      <c r="F67" s="4" t="str">
        <f>HYPERLINK("http://141.218.60.56/~jnz1568/getInfo.php?workbook=20_05.xlsx&amp;sheet=A0&amp;row=67&amp;col=6&amp;number=609700000000&amp;sourceID=14","609700000000")</f>
        <v>609700000000</v>
      </c>
      <c r="G67" s="4" t="str">
        <f>HYPERLINK("http://141.218.60.56/~jnz1568/getInfo.php?workbook=20_05.xlsx&amp;sheet=A0&amp;row=67&amp;col=7&amp;number=0&amp;sourceID=14","0")</f>
        <v>0</v>
      </c>
    </row>
    <row r="68" spans="1:7">
      <c r="A68" s="3">
        <v>20</v>
      </c>
      <c r="B68" s="3">
        <v>5</v>
      </c>
      <c r="C68" s="3">
        <v>31</v>
      </c>
      <c r="D68" s="3">
        <v>1</v>
      </c>
      <c r="E68" s="3">
        <v>21.45</v>
      </c>
      <c r="F68" s="4" t="str">
        <f>HYPERLINK("http://141.218.60.56/~jnz1568/getInfo.php?workbook=20_05.xlsx&amp;sheet=A0&amp;row=68&amp;col=6&amp;number=4481000000000&amp;sourceID=14","4481000000000")</f>
        <v>4481000000000</v>
      </c>
      <c r="G68" s="4" t="str">
        <f>HYPERLINK("http://141.218.60.56/~jnz1568/getInfo.php?workbook=20_05.xlsx&amp;sheet=A0&amp;row=68&amp;col=7&amp;number=0&amp;sourceID=14","0")</f>
        <v>0</v>
      </c>
    </row>
    <row r="69" spans="1:7">
      <c r="A69" s="3">
        <v>20</v>
      </c>
      <c r="B69" s="3">
        <v>5</v>
      </c>
      <c r="C69" s="3">
        <v>32</v>
      </c>
      <c r="D69" s="3">
        <v>1</v>
      </c>
      <c r="E69" s="3">
        <v>-20.925</v>
      </c>
      <c r="F69" s="4" t="str">
        <f>HYPERLINK("http://141.218.60.56/~jnz1568/getInfo.php?workbook=20_05.xlsx&amp;sheet=A0&amp;row=69&amp;col=6&amp;number=119300000000&amp;sourceID=14","119300000000")</f>
        <v>119300000000</v>
      </c>
      <c r="G69" s="4" t="str">
        <f>HYPERLINK("http://141.218.60.56/~jnz1568/getInfo.php?workbook=20_05.xlsx&amp;sheet=A0&amp;row=69&amp;col=7&amp;number=0&amp;sourceID=14","0")</f>
        <v>0</v>
      </c>
    </row>
    <row r="70" spans="1:7">
      <c r="A70" s="3">
        <v>20</v>
      </c>
      <c r="B70" s="3">
        <v>5</v>
      </c>
      <c r="C70" s="3">
        <v>33</v>
      </c>
      <c r="D70" s="3">
        <v>1</v>
      </c>
      <c r="E70" s="3">
        <v>20.859</v>
      </c>
      <c r="F70" s="4" t="str">
        <f>HYPERLINK("http://141.218.60.56/~jnz1568/getInfo.php?workbook=20_05.xlsx&amp;sheet=A0&amp;row=70&amp;col=6&amp;number=505600000000&amp;sourceID=14","505600000000")</f>
        <v>505600000000</v>
      </c>
      <c r="G70" s="4" t="str">
        <f>HYPERLINK("http://141.218.60.56/~jnz1568/getInfo.php?workbook=20_05.xlsx&amp;sheet=A0&amp;row=70&amp;col=7&amp;number=0&amp;sourceID=14","0")</f>
        <v>0</v>
      </c>
    </row>
    <row r="71" spans="1:7">
      <c r="A71" s="3">
        <v>20</v>
      </c>
      <c r="B71" s="3">
        <v>5</v>
      </c>
      <c r="C71" s="3">
        <v>34</v>
      </c>
      <c r="D71" s="3">
        <v>1</v>
      </c>
      <c r="E71" s="3">
        <v>-20.741</v>
      </c>
      <c r="F71" s="4" t="str">
        <f>HYPERLINK("http://141.218.60.56/~jnz1568/getInfo.php?workbook=20_05.xlsx&amp;sheet=A0&amp;row=71&amp;col=6&amp;number=227400000000&amp;sourceID=14","227400000000")</f>
        <v>227400000000</v>
      </c>
      <c r="G71" s="4" t="str">
        <f>HYPERLINK("http://141.218.60.56/~jnz1568/getInfo.php?workbook=20_05.xlsx&amp;sheet=A0&amp;row=71&amp;col=7&amp;number=0&amp;sourceID=14","0")</f>
        <v>0</v>
      </c>
    </row>
    <row r="72" spans="1:7">
      <c r="A72" s="3">
        <v>20</v>
      </c>
      <c r="B72" s="3">
        <v>5</v>
      </c>
      <c r="C72" s="3">
        <v>35</v>
      </c>
      <c r="D72" s="3">
        <v>1</v>
      </c>
      <c r="E72" s="3">
        <v>-20.655</v>
      </c>
      <c r="F72" s="4" t="str">
        <f>HYPERLINK("http://141.218.60.56/~jnz1568/getInfo.php?workbook=20_05.xlsx&amp;sheet=A0&amp;row=72&amp;col=6&amp;number=105900000000&amp;sourceID=14","105900000000")</f>
        <v>105900000000</v>
      </c>
      <c r="G72" s="4" t="str">
        <f>HYPERLINK("http://141.218.60.56/~jnz1568/getInfo.php?workbook=20_05.xlsx&amp;sheet=A0&amp;row=72&amp;col=7&amp;number=0&amp;sourceID=14","0")</f>
        <v>0</v>
      </c>
    </row>
    <row r="73" spans="1:7">
      <c r="A73" s="3">
        <v>20</v>
      </c>
      <c r="B73" s="3">
        <v>5</v>
      </c>
      <c r="C73" s="3">
        <v>36</v>
      </c>
      <c r="D73" s="3">
        <v>1</v>
      </c>
      <c r="E73" s="3">
        <v>-20.617</v>
      </c>
      <c r="F73" s="4" t="str">
        <f>HYPERLINK("http://141.218.60.56/~jnz1568/getInfo.php?workbook=20_05.xlsx&amp;sheet=A0&amp;row=73&amp;col=6&amp;number=1634000000000&amp;sourceID=14","1634000000000")</f>
        <v>1634000000000</v>
      </c>
      <c r="G73" s="4" t="str">
        <f>HYPERLINK("http://141.218.60.56/~jnz1568/getInfo.php?workbook=20_05.xlsx&amp;sheet=A0&amp;row=73&amp;col=7&amp;number=0&amp;sourceID=14","0")</f>
        <v>0</v>
      </c>
    </row>
    <row r="74" spans="1:7">
      <c r="A74" s="3">
        <v>20</v>
      </c>
      <c r="B74" s="3">
        <v>5</v>
      </c>
      <c r="C74" s="3">
        <v>37</v>
      </c>
      <c r="D74" s="3">
        <v>1</v>
      </c>
      <c r="E74" s="3">
        <v>-19.758</v>
      </c>
      <c r="F74" s="4" t="str">
        <f>HYPERLINK("http://141.218.60.56/~jnz1568/getInfo.php?workbook=20_05.xlsx&amp;sheet=A0&amp;row=74&amp;col=6&amp;number=2244000000&amp;sourceID=14","2244000000")</f>
        <v>2244000000</v>
      </c>
      <c r="G74" s="4" t="str">
        <f>HYPERLINK("http://141.218.60.56/~jnz1568/getInfo.php?workbook=20_05.xlsx&amp;sheet=A0&amp;row=74&amp;col=7&amp;number=0&amp;sourceID=14","0")</f>
        <v>0</v>
      </c>
    </row>
    <row r="75" spans="1:7">
      <c r="A75" s="3">
        <v>20</v>
      </c>
      <c r="B75" s="3">
        <v>5</v>
      </c>
      <c r="C75" s="3">
        <v>38</v>
      </c>
      <c r="D75" s="3">
        <v>1</v>
      </c>
      <c r="E75" s="3">
        <v>-19.728</v>
      </c>
      <c r="F75" s="4" t="str">
        <f>HYPERLINK("http://141.218.60.56/~jnz1568/getInfo.php?workbook=20_05.xlsx&amp;sheet=A0&amp;row=75&amp;col=6&amp;number=221800000000&amp;sourceID=14","221800000000")</f>
        <v>221800000000</v>
      </c>
      <c r="G75" s="4" t="str">
        <f>HYPERLINK("http://141.218.60.56/~jnz1568/getInfo.php?workbook=20_05.xlsx&amp;sheet=A0&amp;row=75&amp;col=7&amp;number=0&amp;sourceID=14","0")</f>
        <v>0</v>
      </c>
    </row>
    <row r="76" spans="1:7">
      <c r="A76" s="3">
        <v>20</v>
      </c>
      <c r="B76" s="3">
        <v>5</v>
      </c>
      <c r="C76" s="3">
        <v>39</v>
      </c>
      <c r="D76" s="3">
        <v>1</v>
      </c>
      <c r="E76" s="3">
        <v>-19.483</v>
      </c>
      <c r="F76" s="4" t="str">
        <f>HYPERLINK("http://141.218.60.56/~jnz1568/getInfo.php?workbook=20_05.xlsx&amp;sheet=A0&amp;row=76&amp;col=6&amp;number=304900000&amp;sourceID=14","304900000")</f>
        <v>304900000</v>
      </c>
      <c r="G76" s="4" t="str">
        <f>HYPERLINK("http://141.218.60.56/~jnz1568/getInfo.php?workbook=20_05.xlsx&amp;sheet=A0&amp;row=76&amp;col=7&amp;number=0&amp;sourceID=14","0")</f>
        <v>0</v>
      </c>
    </row>
    <row r="77" spans="1:7">
      <c r="A77" s="3">
        <v>20</v>
      </c>
      <c r="B77" s="3">
        <v>5</v>
      </c>
      <c r="C77" s="3">
        <v>40</v>
      </c>
      <c r="D77" s="3">
        <v>1</v>
      </c>
      <c r="E77" s="3">
        <v>-19.196</v>
      </c>
      <c r="F77" s="4" t="str">
        <f>HYPERLINK("http://141.218.60.56/~jnz1568/getInfo.php?workbook=20_05.xlsx&amp;sheet=A0&amp;row=77&amp;col=6&amp;number=90100000000&amp;sourceID=14","90100000000")</f>
        <v>90100000000</v>
      </c>
      <c r="G77" s="4" t="str">
        <f>HYPERLINK("http://141.218.60.56/~jnz1568/getInfo.php?workbook=20_05.xlsx&amp;sheet=A0&amp;row=77&amp;col=7&amp;number=0&amp;sourceID=14","0")</f>
        <v>0</v>
      </c>
    </row>
    <row r="78" spans="1:7">
      <c r="A78" s="3">
        <v>20</v>
      </c>
      <c r="B78" s="3">
        <v>5</v>
      </c>
      <c r="C78" s="3">
        <v>41</v>
      </c>
      <c r="D78" s="3">
        <v>1</v>
      </c>
      <c r="E78" s="3">
        <v>-19.041</v>
      </c>
      <c r="F78" s="4" t="str">
        <f>HYPERLINK("http://141.218.60.56/~jnz1568/getInfo.php?workbook=20_05.xlsx&amp;sheet=A0&amp;row=78&amp;col=6&amp;number=12940000000&amp;sourceID=14","12940000000")</f>
        <v>12940000000</v>
      </c>
      <c r="G78" s="4" t="str">
        <f>HYPERLINK("http://141.218.60.56/~jnz1568/getInfo.php?workbook=20_05.xlsx&amp;sheet=A0&amp;row=78&amp;col=7&amp;number=0&amp;sourceID=14","0")</f>
        <v>0</v>
      </c>
    </row>
    <row r="79" spans="1:7">
      <c r="A79" s="3">
        <v>20</v>
      </c>
      <c r="B79" s="3">
        <v>5</v>
      </c>
      <c r="C79" s="3">
        <v>42</v>
      </c>
      <c r="D79" s="3">
        <v>1</v>
      </c>
      <c r="E79" s="3">
        <v>-18.762</v>
      </c>
      <c r="F79" s="4" t="str">
        <f>HYPERLINK("http://141.218.60.56/~jnz1568/getInfo.php?workbook=20_05.xlsx&amp;sheet=A0&amp;row=79&amp;col=6&amp;number=5497000000&amp;sourceID=14","5497000000")</f>
        <v>5497000000</v>
      </c>
      <c r="G79" s="4" t="str">
        <f>HYPERLINK("http://141.218.60.56/~jnz1568/getInfo.php?workbook=20_05.xlsx&amp;sheet=A0&amp;row=79&amp;col=7&amp;number=0&amp;sourceID=14","0")</f>
        <v>0</v>
      </c>
    </row>
    <row r="80" spans="1:7">
      <c r="A80" s="3">
        <v>20</v>
      </c>
      <c r="B80" s="3">
        <v>5</v>
      </c>
      <c r="C80" s="3">
        <v>43</v>
      </c>
      <c r="D80" s="3">
        <v>1</v>
      </c>
      <c r="E80" s="3">
        <v>-18.662</v>
      </c>
      <c r="F80" s="4" t="str">
        <f>HYPERLINK("http://141.218.60.56/~jnz1568/getInfo.php?workbook=20_05.xlsx&amp;sheet=A0&amp;row=80&amp;col=6&amp;number=10890000000&amp;sourceID=14","10890000000")</f>
        <v>10890000000</v>
      </c>
      <c r="G80" s="4" t="str">
        <f>HYPERLINK("http://141.218.60.56/~jnz1568/getInfo.php?workbook=20_05.xlsx&amp;sheet=A0&amp;row=80&amp;col=7&amp;number=0&amp;sourceID=14","0")</f>
        <v>0</v>
      </c>
    </row>
    <row r="81" spans="1:7">
      <c r="A81" s="3">
        <v>20</v>
      </c>
      <c r="B81" s="3">
        <v>5</v>
      </c>
      <c r="C81" s="3">
        <v>44</v>
      </c>
      <c r="D81" s="3">
        <v>1</v>
      </c>
      <c r="E81" s="3">
        <v>-18.608</v>
      </c>
      <c r="F81" s="4" t="str">
        <f>HYPERLINK("http://141.218.60.56/~jnz1568/getInfo.php?workbook=20_05.xlsx&amp;sheet=A0&amp;row=81&amp;col=6&amp;number=6278000000&amp;sourceID=14","6278000000")</f>
        <v>6278000000</v>
      </c>
      <c r="G81" s="4" t="str">
        <f>HYPERLINK("http://141.218.60.56/~jnz1568/getInfo.php?workbook=20_05.xlsx&amp;sheet=A0&amp;row=81&amp;col=7&amp;number=0&amp;sourceID=14","0")</f>
        <v>0</v>
      </c>
    </row>
    <row r="82" spans="1:7">
      <c r="A82" s="3">
        <v>20</v>
      </c>
      <c r="B82" s="3">
        <v>5</v>
      </c>
      <c r="C82" s="3">
        <v>46</v>
      </c>
      <c r="D82" s="3">
        <v>1</v>
      </c>
      <c r="E82" s="3">
        <v>-18.314</v>
      </c>
      <c r="F82" s="4" t="str">
        <f>HYPERLINK("http://141.218.60.56/~jnz1568/getInfo.php?workbook=20_05.xlsx&amp;sheet=A0&amp;row=82&amp;col=6&amp;number=158900000000&amp;sourceID=14","158900000000")</f>
        <v>158900000000</v>
      </c>
      <c r="G82" s="4" t="str">
        <f>HYPERLINK("http://141.218.60.56/~jnz1568/getInfo.php?workbook=20_05.xlsx&amp;sheet=A0&amp;row=82&amp;col=7&amp;number=0&amp;sourceID=14","0")</f>
        <v>0</v>
      </c>
    </row>
    <row r="83" spans="1:7">
      <c r="A83" s="3">
        <v>20</v>
      </c>
      <c r="B83" s="3">
        <v>5</v>
      </c>
      <c r="C83" s="3">
        <v>47</v>
      </c>
      <c r="D83" s="3">
        <v>1</v>
      </c>
      <c r="E83" s="3">
        <v>-18.229</v>
      </c>
      <c r="F83" s="4" t="str">
        <f>HYPERLINK("http://141.218.60.56/~jnz1568/getInfo.php?workbook=20_05.xlsx&amp;sheet=A0&amp;row=83&amp;col=6&amp;number=31600000000&amp;sourceID=14","31600000000")</f>
        <v>31600000000</v>
      </c>
      <c r="G83" s="4" t="str">
        <f>HYPERLINK("http://141.218.60.56/~jnz1568/getInfo.php?workbook=20_05.xlsx&amp;sheet=A0&amp;row=83&amp;col=7&amp;number=0&amp;sourceID=14","0")</f>
        <v>0</v>
      </c>
    </row>
    <row r="84" spans="1:7">
      <c r="A84" s="3">
        <v>20</v>
      </c>
      <c r="B84" s="3">
        <v>5</v>
      </c>
      <c r="C84" s="3">
        <v>48</v>
      </c>
      <c r="D84" s="3">
        <v>1</v>
      </c>
      <c r="E84" s="3">
        <v>-18.096</v>
      </c>
      <c r="F84" s="4" t="str">
        <f>HYPERLINK("http://141.218.60.56/~jnz1568/getInfo.php?workbook=20_05.xlsx&amp;sheet=A0&amp;row=84&amp;col=6&amp;number=6064000000&amp;sourceID=14","6064000000")</f>
        <v>6064000000</v>
      </c>
      <c r="G84" s="4" t="str">
        <f>HYPERLINK("http://141.218.60.56/~jnz1568/getInfo.php?workbook=20_05.xlsx&amp;sheet=A0&amp;row=84&amp;col=7&amp;number=0&amp;sourceID=14","0")</f>
        <v>0</v>
      </c>
    </row>
    <row r="85" spans="1:7">
      <c r="A85" s="3">
        <v>20</v>
      </c>
      <c r="B85" s="3">
        <v>5</v>
      </c>
      <c r="C85" s="3">
        <v>49</v>
      </c>
      <c r="D85" s="3">
        <v>1</v>
      </c>
      <c r="E85" s="3">
        <v>-17.665</v>
      </c>
      <c r="F85" s="4" t="str">
        <f>HYPERLINK("http://141.218.60.56/~jnz1568/getInfo.php?workbook=20_05.xlsx&amp;sheet=A0&amp;row=85&amp;col=6&amp;number=9835000000&amp;sourceID=14","9835000000")</f>
        <v>9835000000</v>
      </c>
      <c r="G85" s="4" t="str">
        <f>HYPERLINK("http://141.218.60.56/~jnz1568/getInfo.php?workbook=20_05.xlsx&amp;sheet=A0&amp;row=85&amp;col=7&amp;number=0&amp;sourceID=14","0")</f>
        <v>0</v>
      </c>
    </row>
    <row r="86" spans="1:7">
      <c r="A86" s="3">
        <v>20</v>
      </c>
      <c r="B86" s="3">
        <v>5</v>
      </c>
      <c r="C86" s="3">
        <v>32</v>
      </c>
      <c r="D86" s="3">
        <v>14</v>
      </c>
      <c r="E86" s="3">
        <v>-26.836</v>
      </c>
      <c r="F86" s="4" t="str">
        <f>HYPERLINK("http://141.218.60.56/~jnz1568/getInfo.php?workbook=20_05.xlsx&amp;sheet=A0&amp;row=86&amp;col=6&amp;number=60510000&amp;sourceID=14","60510000")</f>
        <v>60510000</v>
      </c>
      <c r="G86" s="4" t="str">
        <f>HYPERLINK("http://141.218.60.56/~jnz1568/getInfo.php?workbook=20_05.xlsx&amp;sheet=A0&amp;row=86&amp;col=7&amp;number=0&amp;sourceID=14","0")</f>
        <v>0</v>
      </c>
    </row>
    <row r="87" spans="1:7">
      <c r="A87" s="3">
        <v>20</v>
      </c>
      <c r="B87" s="3">
        <v>5</v>
      </c>
      <c r="C87" s="3">
        <v>33</v>
      </c>
      <c r="D87" s="3">
        <v>14</v>
      </c>
      <c r="E87" s="3">
        <v>26.728</v>
      </c>
      <c r="F87" s="4" t="str">
        <f>HYPERLINK("http://141.218.60.56/~jnz1568/getInfo.php?workbook=20_05.xlsx&amp;sheet=A0&amp;row=87&amp;col=6&amp;number=55660000&amp;sourceID=14","55660000")</f>
        <v>55660000</v>
      </c>
      <c r="G87" s="4" t="str">
        <f>HYPERLINK("http://141.218.60.56/~jnz1568/getInfo.php?workbook=20_05.xlsx&amp;sheet=A0&amp;row=87&amp;col=7&amp;number=0&amp;sourceID=14","0")</f>
        <v>0</v>
      </c>
    </row>
    <row r="88" spans="1:7">
      <c r="A88" s="3">
        <v>20</v>
      </c>
      <c r="B88" s="3">
        <v>5</v>
      </c>
      <c r="C88" s="3">
        <v>34</v>
      </c>
      <c r="D88" s="3">
        <v>14</v>
      </c>
      <c r="E88" s="3">
        <v>-26.535</v>
      </c>
      <c r="F88" s="4" t="str">
        <f>HYPERLINK("http://141.218.60.56/~jnz1568/getInfo.php?workbook=20_05.xlsx&amp;sheet=A0&amp;row=88&amp;col=6&amp;number=15130000&amp;sourceID=14","15130000")</f>
        <v>15130000</v>
      </c>
      <c r="G88" s="4" t="str">
        <f>HYPERLINK("http://141.218.60.56/~jnz1568/getInfo.php?workbook=20_05.xlsx&amp;sheet=A0&amp;row=88&amp;col=7&amp;number=0&amp;sourceID=14","0")</f>
        <v>0</v>
      </c>
    </row>
    <row r="89" spans="1:7">
      <c r="A89" s="3">
        <v>20</v>
      </c>
      <c r="B89" s="3">
        <v>5</v>
      </c>
      <c r="C89" s="3">
        <v>35</v>
      </c>
      <c r="D89" s="3">
        <v>14</v>
      </c>
      <c r="E89" s="3">
        <v>-26.394</v>
      </c>
      <c r="F89" s="4" t="str">
        <f>HYPERLINK("http://141.218.60.56/~jnz1568/getInfo.php?workbook=20_05.xlsx&amp;sheet=A0&amp;row=89&amp;col=6&amp;number=79370000&amp;sourceID=14","79370000")</f>
        <v>79370000</v>
      </c>
      <c r="G89" s="4" t="str">
        <f>HYPERLINK("http://141.218.60.56/~jnz1568/getInfo.php?workbook=20_05.xlsx&amp;sheet=A0&amp;row=89&amp;col=7&amp;number=0&amp;sourceID=14","0")</f>
        <v>0</v>
      </c>
    </row>
    <row r="90" spans="1:7">
      <c r="A90" s="3">
        <v>20</v>
      </c>
      <c r="B90" s="3">
        <v>5</v>
      </c>
      <c r="C90" s="3">
        <v>36</v>
      </c>
      <c r="D90" s="3">
        <v>14</v>
      </c>
      <c r="E90" s="3">
        <v>-26.333</v>
      </c>
      <c r="F90" s="4" t="str">
        <f>HYPERLINK("http://141.218.60.56/~jnz1568/getInfo.php?workbook=20_05.xlsx&amp;sheet=A0&amp;row=90&amp;col=6&amp;number=1324000000&amp;sourceID=14","1324000000")</f>
        <v>1324000000</v>
      </c>
      <c r="G90" s="4" t="str">
        <f>HYPERLINK("http://141.218.60.56/~jnz1568/getInfo.php?workbook=20_05.xlsx&amp;sheet=A0&amp;row=90&amp;col=7&amp;number=0&amp;sourceID=14","0")</f>
        <v>0</v>
      </c>
    </row>
    <row r="91" spans="1:7">
      <c r="A91" s="3">
        <v>20</v>
      </c>
      <c r="B91" s="3">
        <v>5</v>
      </c>
      <c r="C91" s="3">
        <v>37</v>
      </c>
      <c r="D91" s="3">
        <v>14</v>
      </c>
      <c r="E91" s="3">
        <v>-24.946</v>
      </c>
      <c r="F91" s="4" t="str">
        <f>HYPERLINK("http://141.218.60.56/~jnz1568/getInfo.php?workbook=20_05.xlsx&amp;sheet=A0&amp;row=91&amp;col=6&amp;number=6886000000&amp;sourceID=14","6886000000")</f>
        <v>6886000000</v>
      </c>
      <c r="G91" s="4" t="str">
        <f>HYPERLINK("http://141.218.60.56/~jnz1568/getInfo.php?workbook=20_05.xlsx&amp;sheet=A0&amp;row=91&amp;col=7&amp;number=0&amp;sourceID=14","0")</f>
        <v>0</v>
      </c>
    </row>
    <row r="92" spans="1:7">
      <c r="A92" s="3">
        <v>20</v>
      </c>
      <c r="B92" s="3">
        <v>5</v>
      </c>
      <c r="C92" s="3">
        <v>38</v>
      </c>
      <c r="D92" s="3">
        <v>14</v>
      </c>
      <c r="E92" s="3">
        <v>-24.899</v>
      </c>
      <c r="F92" s="4" t="str">
        <f>HYPERLINK("http://141.218.60.56/~jnz1568/getInfo.php?workbook=20_05.xlsx&amp;sheet=A0&amp;row=92&amp;col=6&amp;number=4321000000&amp;sourceID=14","4321000000")</f>
        <v>4321000000</v>
      </c>
      <c r="G92" s="4" t="str">
        <f>HYPERLINK("http://141.218.60.56/~jnz1568/getInfo.php?workbook=20_05.xlsx&amp;sheet=A0&amp;row=92&amp;col=7&amp;number=0&amp;sourceID=14","0")</f>
        <v>0</v>
      </c>
    </row>
    <row r="93" spans="1:7">
      <c r="A93" s="3">
        <v>20</v>
      </c>
      <c r="B93" s="3">
        <v>5</v>
      </c>
      <c r="C93" s="3">
        <v>39</v>
      </c>
      <c r="D93" s="3">
        <v>14</v>
      </c>
      <c r="E93" s="3">
        <v>-24.509</v>
      </c>
      <c r="F93" s="4" t="str">
        <f>HYPERLINK("http://141.218.60.56/~jnz1568/getInfo.php?workbook=20_05.xlsx&amp;sheet=A0&amp;row=93&amp;col=6&amp;number=26750000&amp;sourceID=14","26750000")</f>
        <v>26750000</v>
      </c>
      <c r="G93" s="4" t="str">
        <f>HYPERLINK("http://141.218.60.56/~jnz1568/getInfo.php?workbook=20_05.xlsx&amp;sheet=A0&amp;row=93&amp;col=7&amp;number=0&amp;sourceID=14","0")</f>
        <v>0</v>
      </c>
    </row>
    <row r="94" spans="1:7">
      <c r="A94" s="3">
        <v>20</v>
      </c>
      <c r="B94" s="3">
        <v>5</v>
      </c>
      <c r="C94" s="3">
        <v>40</v>
      </c>
      <c r="D94" s="3">
        <v>14</v>
      </c>
      <c r="E94" s="3">
        <v>-24.057</v>
      </c>
      <c r="F94" s="4" t="str">
        <f>HYPERLINK("http://141.218.60.56/~jnz1568/getInfo.php?workbook=20_05.xlsx&amp;sheet=A0&amp;row=94&amp;col=6&amp;number=124500000000&amp;sourceID=14","124500000000")</f>
        <v>124500000000</v>
      </c>
      <c r="G94" s="4" t="str">
        <f>HYPERLINK("http://141.218.60.56/~jnz1568/getInfo.php?workbook=20_05.xlsx&amp;sheet=A0&amp;row=94&amp;col=7&amp;number=0&amp;sourceID=14","0")</f>
        <v>0</v>
      </c>
    </row>
    <row r="95" spans="1:7">
      <c r="A95" s="3">
        <v>20</v>
      </c>
      <c r="B95" s="3">
        <v>5</v>
      </c>
      <c r="C95" s="3">
        <v>41</v>
      </c>
      <c r="D95" s="3">
        <v>14</v>
      </c>
      <c r="E95" s="3">
        <v>-23.814</v>
      </c>
      <c r="F95" s="4" t="str">
        <f>HYPERLINK("http://141.218.60.56/~jnz1568/getInfo.php?workbook=20_05.xlsx&amp;sheet=A0&amp;row=95&amp;col=6&amp;number=61700000000&amp;sourceID=14","61700000000")</f>
        <v>61700000000</v>
      </c>
      <c r="G95" s="4" t="str">
        <f>HYPERLINK("http://141.218.60.56/~jnz1568/getInfo.php?workbook=20_05.xlsx&amp;sheet=A0&amp;row=95&amp;col=7&amp;number=0&amp;sourceID=14","0")</f>
        <v>0</v>
      </c>
    </row>
    <row r="96" spans="1:7">
      <c r="A96" s="3">
        <v>20</v>
      </c>
      <c r="B96" s="3">
        <v>5</v>
      </c>
      <c r="C96" s="3">
        <v>42</v>
      </c>
      <c r="D96" s="3">
        <v>14</v>
      </c>
      <c r="E96" s="3">
        <v>-23.38</v>
      </c>
      <c r="F96" s="4" t="str">
        <f>HYPERLINK("http://141.218.60.56/~jnz1568/getInfo.php?workbook=20_05.xlsx&amp;sheet=A0&amp;row=96&amp;col=6&amp;number=1897000000&amp;sourceID=14","1897000000")</f>
        <v>1897000000</v>
      </c>
      <c r="G96" s="4" t="str">
        <f>HYPERLINK("http://141.218.60.56/~jnz1568/getInfo.php?workbook=20_05.xlsx&amp;sheet=A0&amp;row=96&amp;col=7&amp;number=0&amp;sourceID=14","0")</f>
        <v>0</v>
      </c>
    </row>
    <row r="97" spans="1:7">
      <c r="A97" s="3">
        <v>20</v>
      </c>
      <c r="B97" s="3">
        <v>5</v>
      </c>
      <c r="C97" s="3">
        <v>43</v>
      </c>
      <c r="D97" s="3">
        <v>14</v>
      </c>
      <c r="E97" s="3">
        <v>-23.224</v>
      </c>
      <c r="F97" s="4" t="str">
        <f>HYPERLINK("http://141.218.60.56/~jnz1568/getInfo.php?workbook=20_05.xlsx&amp;sheet=A0&amp;row=97&amp;col=6&amp;number=144700000000&amp;sourceID=14","144700000000")</f>
        <v>144700000000</v>
      </c>
      <c r="G97" s="4" t="str">
        <f>HYPERLINK("http://141.218.60.56/~jnz1568/getInfo.php?workbook=20_05.xlsx&amp;sheet=A0&amp;row=97&amp;col=7&amp;number=0&amp;sourceID=14","0")</f>
        <v>0</v>
      </c>
    </row>
    <row r="98" spans="1:7">
      <c r="A98" s="3">
        <v>20</v>
      </c>
      <c r="B98" s="3">
        <v>5</v>
      </c>
      <c r="C98" s="3">
        <v>44</v>
      </c>
      <c r="D98" s="3">
        <v>14</v>
      </c>
      <c r="E98" s="3">
        <v>-23.141</v>
      </c>
      <c r="F98" s="4" t="str">
        <f>HYPERLINK("http://141.218.60.56/~jnz1568/getInfo.php?workbook=20_05.xlsx&amp;sheet=A0&amp;row=98&amp;col=6&amp;number=117100000000&amp;sourceID=14","117100000000")</f>
        <v>117100000000</v>
      </c>
      <c r="G98" s="4" t="str">
        <f>HYPERLINK("http://141.218.60.56/~jnz1568/getInfo.php?workbook=20_05.xlsx&amp;sheet=A0&amp;row=98&amp;col=7&amp;number=0&amp;sourceID=14","0")</f>
        <v>0</v>
      </c>
    </row>
    <row r="99" spans="1:7">
      <c r="A99" s="3">
        <v>20</v>
      </c>
      <c r="B99" s="3">
        <v>5</v>
      </c>
      <c r="C99" s="3">
        <v>45</v>
      </c>
      <c r="D99" s="3">
        <v>14</v>
      </c>
      <c r="E99" s="3">
        <v>-22.962</v>
      </c>
      <c r="F99" s="4" t="str">
        <f>HYPERLINK("http://141.218.60.56/~jnz1568/getInfo.php?workbook=20_05.xlsx&amp;sheet=A0&amp;row=99&amp;col=6&amp;number=2297000000&amp;sourceID=14","2297000000")</f>
        <v>2297000000</v>
      </c>
      <c r="G99" s="4" t="str">
        <f>HYPERLINK("http://141.218.60.56/~jnz1568/getInfo.php?workbook=20_05.xlsx&amp;sheet=A0&amp;row=99&amp;col=7&amp;number=0&amp;sourceID=14","0")</f>
        <v>0</v>
      </c>
    </row>
    <row r="100" spans="1:7">
      <c r="A100" s="3">
        <v>20</v>
      </c>
      <c r="B100" s="3">
        <v>5</v>
      </c>
      <c r="C100" s="3">
        <v>46</v>
      </c>
      <c r="D100" s="3">
        <v>14</v>
      </c>
      <c r="E100" s="3">
        <v>-22.688</v>
      </c>
      <c r="F100" s="4" t="str">
        <f>HYPERLINK("http://141.218.60.56/~jnz1568/getInfo.php?workbook=20_05.xlsx&amp;sheet=A0&amp;row=100&amp;col=6&amp;number=2428000000000&amp;sourceID=14","2428000000000")</f>
        <v>2428000000000</v>
      </c>
      <c r="G100" s="4" t="str">
        <f>HYPERLINK("http://141.218.60.56/~jnz1568/getInfo.php?workbook=20_05.xlsx&amp;sheet=A0&amp;row=100&amp;col=7&amp;number=0&amp;sourceID=14","0")</f>
        <v>0</v>
      </c>
    </row>
    <row r="101" spans="1:7">
      <c r="A101" s="3">
        <v>20</v>
      </c>
      <c r="B101" s="3">
        <v>5</v>
      </c>
      <c r="C101" s="3">
        <v>47</v>
      </c>
      <c r="D101" s="3">
        <v>14</v>
      </c>
      <c r="E101" s="3">
        <v>-22.558</v>
      </c>
      <c r="F101" s="4" t="str">
        <f>HYPERLINK("http://141.218.60.56/~jnz1568/getInfo.php?workbook=20_05.xlsx&amp;sheet=A0&amp;row=101&amp;col=6&amp;number=1811000000000&amp;sourceID=14","1811000000000")</f>
        <v>1811000000000</v>
      </c>
      <c r="G101" s="4" t="str">
        <f>HYPERLINK("http://141.218.60.56/~jnz1568/getInfo.php?workbook=20_05.xlsx&amp;sheet=A0&amp;row=101&amp;col=7&amp;number=0&amp;sourceID=14","0")</f>
        <v>0</v>
      </c>
    </row>
    <row r="102" spans="1:7">
      <c r="A102" s="3">
        <v>20</v>
      </c>
      <c r="B102" s="3">
        <v>5</v>
      </c>
      <c r="C102" s="3">
        <v>48</v>
      </c>
      <c r="D102" s="3">
        <v>14</v>
      </c>
      <c r="E102" s="3">
        <v>-22.354</v>
      </c>
      <c r="F102" s="4" t="str">
        <f>HYPERLINK("http://141.218.60.56/~jnz1568/getInfo.php?workbook=20_05.xlsx&amp;sheet=A0&amp;row=102&amp;col=6&amp;number=390500000000&amp;sourceID=14","390500000000")</f>
        <v>390500000000</v>
      </c>
      <c r="G102" s="4" t="str">
        <f>HYPERLINK("http://141.218.60.56/~jnz1568/getInfo.php?workbook=20_05.xlsx&amp;sheet=A0&amp;row=102&amp;col=7&amp;number=0&amp;sourceID=14","0")</f>
        <v>0</v>
      </c>
    </row>
    <row r="103" spans="1:7">
      <c r="A103" s="3">
        <v>20</v>
      </c>
      <c r="B103" s="3">
        <v>5</v>
      </c>
      <c r="C103" s="3">
        <v>49</v>
      </c>
      <c r="D103" s="3">
        <v>14</v>
      </c>
      <c r="E103" s="3">
        <v>-21.7</v>
      </c>
      <c r="F103" s="4" t="str">
        <f>HYPERLINK("http://141.218.60.56/~jnz1568/getInfo.php?workbook=20_05.xlsx&amp;sheet=A0&amp;row=103&amp;col=6&amp;number=3923000000000&amp;sourceID=14","3923000000000")</f>
        <v>3923000000000</v>
      </c>
      <c r="G103" s="4" t="str">
        <f>HYPERLINK("http://141.218.60.56/~jnz1568/getInfo.php?workbook=20_05.xlsx&amp;sheet=A0&amp;row=103&amp;col=7&amp;number=0&amp;sourceID=14","0")</f>
        <v>0</v>
      </c>
    </row>
    <row r="104" spans="1:7">
      <c r="A104" s="3">
        <v>20</v>
      </c>
      <c r="B104" s="3">
        <v>5</v>
      </c>
      <c r="C104" s="3">
        <v>16</v>
      </c>
      <c r="D104" s="3">
        <v>2</v>
      </c>
      <c r="E104" s="3">
        <v>-22.971</v>
      </c>
      <c r="F104" s="4" t="str">
        <f>HYPERLINK("http://141.218.60.56/~jnz1568/getInfo.php?workbook=20_05.xlsx&amp;sheet=A0&amp;row=104&amp;col=6&amp;number=501300000000&amp;sourceID=14","501300000000")</f>
        <v>501300000000</v>
      </c>
      <c r="G104" s="4" t="str">
        <f>HYPERLINK("http://141.218.60.56/~jnz1568/getInfo.php?workbook=20_05.xlsx&amp;sheet=A0&amp;row=104&amp;col=7&amp;number=0&amp;sourceID=14","0")</f>
        <v>0</v>
      </c>
    </row>
    <row r="105" spans="1:7">
      <c r="A105" s="3">
        <v>20</v>
      </c>
      <c r="B105" s="3">
        <v>5</v>
      </c>
      <c r="C105" s="3">
        <v>17</v>
      </c>
      <c r="D105" s="3">
        <v>2</v>
      </c>
      <c r="E105" s="3">
        <v>-21.129</v>
      </c>
      <c r="F105" s="4" t="str">
        <f>HYPERLINK("http://141.218.60.56/~jnz1568/getInfo.php?workbook=20_05.xlsx&amp;sheet=A0&amp;row=105&amp;col=6&amp;number=101800000000&amp;sourceID=14","101800000000")</f>
        <v>101800000000</v>
      </c>
      <c r="G105" s="4" t="str">
        <f>HYPERLINK("http://141.218.60.56/~jnz1568/getInfo.php?workbook=20_05.xlsx&amp;sheet=A0&amp;row=105&amp;col=7&amp;number=0&amp;sourceID=14","0")</f>
        <v>0</v>
      </c>
    </row>
    <row r="106" spans="1:7">
      <c r="A106" s="3">
        <v>20</v>
      </c>
      <c r="B106" s="3">
        <v>5</v>
      </c>
      <c r="C106" s="3">
        <v>18</v>
      </c>
      <c r="D106" s="3">
        <v>2</v>
      </c>
      <c r="E106" s="3">
        <v>21.113</v>
      </c>
      <c r="F106" s="4" t="str">
        <f>HYPERLINK("http://141.218.60.56/~jnz1568/getInfo.php?workbook=20_05.xlsx&amp;sheet=A0&amp;row=106&amp;col=6&amp;number=294100000000&amp;sourceID=14","294100000000")</f>
        <v>294100000000</v>
      </c>
      <c r="G106" s="4" t="str">
        <f>HYPERLINK("http://141.218.60.56/~jnz1568/getInfo.php?workbook=20_05.xlsx&amp;sheet=A0&amp;row=106&amp;col=7&amp;number=0&amp;sourceID=14","0")</f>
        <v>0</v>
      </c>
    </row>
    <row r="107" spans="1:7">
      <c r="A107" s="3">
        <v>20</v>
      </c>
      <c r="B107" s="3">
        <v>5</v>
      </c>
      <c r="C107" s="3">
        <v>19</v>
      </c>
      <c r="D107" s="3">
        <v>2</v>
      </c>
      <c r="E107" s="3">
        <v>-20.878</v>
      </c>
      <c r="F107" s="4" t="str">
        <f>HYPERLINK("http://141.218.60.56/~jnz1568/getInfo.php?workbook=20_05.xlsx&amp;sheet=A0&amp;row=107&amp;col=6&amp;number=15100000000&amp;sourceID=14","15100000000")</f>
        <v>15100000000</v>
      </c>
      <c r="G107" s="4" t="str">
        <f>HYPERLINK("http://141.218.60.56/~jnz1568/getInfo.php?workbook=20_05.xlsx&amp;sheet=A0&amp;row=107&amp;col=7&amp;number=0&amp;sourceID=14","0")</f>
        <v>0</v>
      </c>
    </row>
    <row r="108" spans="1:7">
      <c r="A108" s="3">
        <v>20</v>
      </c>
      <c r="B108" s="3">
        <v>5</v>
      </c>
      <c r="C108" s="3">
        <v>20</v>
      </c>
      <c r="D108" s="3">
        <v>2</v>
      </c>
      <c r="E108" s="3">
        <v>-20.546</v>
      </c>
      <c r="F108" s="4" t="str">
        <f>HYPERLINK("http://141.218.60.56/~jnz1568/getInfo.php?workbook=20_05.xlsx&amp;sheet=A0&amp;row=108&amp;col=6&amp;number=2070000000000&amp;sourceID=14","2070000000000")</f>
        <v>2070000000000</v>
      </c>
      <c r="G108" s="4" t="str">
        <f>HYPERLINK("http://141.218.60.56/~jnz1568/getInfo.php?workbook=20_05.xlsx&amp;sheet=A0&amp;row=108&amp;col=7&amp;number=0&amp;sourceID=14","0")</f>
        <v>0</v>
      </c>
    </row>
    <row r="109" spans="1:7">
      <c r="A109" s="3">
        <v>20</v>
      </c>
      <c r="B109" s="3">
        <v>5</v>
      </c>
      <c r="C109" s="3">
        <v>21</v>
      </c>
      <c r="D109" s="3">
        <v>2</v>
      </c>
      <c r="E109" s="3">
        <v>-19.913</v>
      </c>
      <c r="F109" s="4" t="str">
        <f>HYPERLINK("http://141.218.60.56/~jnz1568/getInfo.php?workbook=20_05.xlsx&amp;sheet=A0&amp;row=109&amp;col=6&amp;number=427400000000&amp;sourceID=14","427400000000")</f>
        <v>427400000000</v>
      </c>
      <c r="G109" s="4" t="str">
        <f>HYPERLINK("http://141.218.60.56/~jnz1568/getInfo.php?workbook=20_05.xlsx&amp;sheet=A0&amp;row=109&amp;col=7&amp;number=0&amp;sourceID=14","0")</f>
        <v>0</v>
      </c>
    </row>
    <row r="110" spans="1:7">
      <c r="A110" s="3">
        <v>20</v>
      </c>
      <c r="B110" s="3">
        <v>5</v>
      </c>
      <c r="C110" s="3">
        <v>22</v>
      </c>
      <c r="D110" s="3">
        <v>2</v>
      </c>
      <c r="E110" s="3">
        <v>-19.753</v>
      </c>
      <c r="F110" s="4" t="str">
        <f>HYPERLINK("http://141.218.60.56/~jnz1568/getInfo.php?workbook=20_05.xlsx&amp;sheet=A0&amp;row=110&amp;col=6&amp;number=109500000000&amp;sourceID=14","109500000000")</f>
        <v>109500000000</v>
      </c>
      <c r="G110" s="4" t="str">
        <f>HYPERLINK("http://141.218.60.56/~jnz1568/getInfo.php?workbook=20_05.xlsx&amp;sheet=A0&amp;row=110&amp;col=7&amp;number=0&amp;sourceID=14","0")</f>
        <v>0</v>
      </c>
    </row>
    <row r="111" spans="1:7">
      <c r="A111" s="3">
        <v>20</v>
      </c>
      <c r="B111" s="3">
        <v>5</v>
      </c>
      <c r="C111" s="3">
        <v>23</v>
      </c>
      <c r="D111" s="3">
        <v>2</v>
      </c>
      <c r="E111" s="3">
        <v>-19.675</v>
      </c>
      <c r="F111" s="4" t="str">
        <f>HYPERLINK("http://141.218.60.56/~jnz1568/getInfo.php?workbook=20_05.xlsx&amp;sheet=A0&amp;row=111&amp;col=6&amp;number=2280000000&amp;sourceID=14","2280000000")</f>
        <v>2280000000</v>
      </c>
      <c r="G111" s="4" t="str">
        <f>HYPERLINK("http://141.218.60.56/~jnz1568/getInfo.php?workbook=20_05.xlsx&amp;sheet=A0&amp;row=111&amp;col=7&amp;number=0&amp;sourceID=14","0")</f>
        <v>0</v>
      </c>
    </row>
    <row r="112" spans="1:7">
      <c r="A112" s="3">
        <v>20</v>
      </c>
      <c r="B112" s="3">
        <v>5</v>
      </c>
      <c r="C112" s="3">
        <v>24</v>
      </c>
      <c r="D112" s="3">
        <v>2</v>
      </c>
      <c r="E112" s="3">
        <v>-19.397</v>
      </c>
      <c r="F112" s="4" t="str">
        <f>HYPERLINK("http://141.218.60.56/~jnz1568/getInfo.php?workbook=20_05.xlsx&amp;sheet=A0&amp;row=112&amp;col=6&amp;number=113200000000&amp;sourceID=14","113200000000")</f>
        <v>113200000000</v>
      </c>
      <c r="G112" s="4" t="str">
        <f>HYPERLINK("http://141.218.60.56/~jnz1568/getInfo.php?workbook=20_05.xlsx&amp;sheet=A0&amp;row=112&amp;col=7&amp;number=0&amp;sourceID=14","0")</f>
        <v>0</v>
      </c>
    </row>
    <row r="113" spans="1:7">
      <c r="A113" s="3">
        <v>20</v>
      </c>
      <c r="B113" s="3">
        <v>5</v>
      </c>
      <c r="C113" s="3">
        <v>25</v>
      </c>
      <c r="D113" s="3">
        <v>2</v>
      </c>
      <c r="E113" s="3">
        <v>-18.776</v>
      </c>
      <c r="F113" s="4" t="str">
        <f>HYPERLINK("http://141.218.60.56/~jnz1568/getInfo.php?workbook=20_05.xlsx&amp;sheet=A0&amp;row=113&amp;col=6&amp;number=1764000000&amp;sourceID=14","1764000000")</f>
        <v>1764000000</v>
      </c>
      <c r="G113" s="4" t="str">
        <f>HYPERLINK("http://141.218.60.56/~jnz1568/getInfo.php?workbook=20_05.xlsx&amp;sheet=A0&amp;row=113&amp;col=7&amp;number=0&amp;sourceID=14","0")</f>
        <v>0</v>
      </c>
    </row>
    <row r="114" spans="1:7">
      <c r="A114" s="3">
        <v>20</v>
      </c>
      <c r="B114" s="3">
        <v>5</v>
      </c>
      <c r="C114" s="3">
        <v>26</v>
      </c>
      <c r="D114" s="3">
        <v>2</v>
      </c>
      <c r="E114" s="3">
        <v>-18.673</v>
      </c>
      <c r="F114" s="4" t="str">
        <f>HYPERLINK("http://141.218.60.56/~jnz1568/getInfo.php?workbook=20_05.xlsx&amp;sheet=A0&amp;row=114&amp;col=6&amp;number=7656000000&amp;sourceID=14","7656000000")</f>
        <v>7656000000</v>
      </c>
      <c r="G114" s="4" t="str">
        <f>HYPERLINK("http://141.218.60.56/~jnz1568/getInfo.php?workbook=20_05.xlsx&amp;sheet=A0&amp;row=114&amp;col=7&amp;number=0&amp;sourceID=14","0")</f>
        <v>0</v>
      </c>
    </row>
    <row r="115" spans="1:7">
      <c r="A115" s="3">
        <v>20</v>
      </c>
      <c r="B115" s="3">
        <v>5</v>
      </c>
      <c r="C115" s="3">
        <v>27</v>
      </c>
      <c r="D115" s="3">
        <v>2</v>
      </c>
      <c r="E115" s="3">
        <v>-18.608</v>
      </c>
      <c r="F115" s="4" t="str">
        <f>HYPERLINK("http://141.218.60.56/~jnz1568/getInfo.php?workbook=20_05.xlsx&amp;sheet=A0&amp;row=115&amp;col=6&amp;number=21740000000&amp;sourceID=14","21740000000")</f>
        <v>21740000000</v>
      </c>
      <c r="G115" s="4" t="str">
        <f>HYPERLINK("http://141.218.60.56/~jnz1568/getInfo.php?workbook=20_05.xlsx&amp;sheet=A0&amp;row=115&amp;col=7&amp;number=0&amp;sourceID=14","0")</f>
        <v>0</v>
      </c>
    </row>
    <row r="116" spans="1:7">
      <c r="A116" s="3">
        <v>20</v>
      </c>
      <c r="B116" s="3">
        <v>5</v>
      </c>
      <c r="C116" s="3">
        <v>28</v>
      </c>
      <c r="D116" s="3">
        <v>2</v>
      </c>
      <c r="E116" s="3">
        <v>-18.589</v>
      </c>
      <c r="F116" s="4" t="str">
        <f>HYPERLINK("http://141.218.60.56/~jnz1568/getInfo.php?workbook=20_05.xlsx&amp;sheet=A0&amp;row=116&amp;col=6&amp;number=32780000000&amp;sourceID=14","32780000000")</f>
        <v>32780000000</v>
      </c>
      <c r="G116" s="4" t="str">
        <f>HYPERLINK("http://141.218.60.56/~jnz1568/getInfo.php?workbook=20_05.xlsx&amp;sheet=A0&amp;row=116&amp;col=7&amp;number=0&amp;sourceID=14","0")</f>
        <v>0</v>
      </c>
    </row>
    <row r="117" spans="1:7">
      <c r="A117" s="3">
        <v>20</v>
      </c>
      <c r="B117" s="3">
        <v>5</v>
      </c>
      <c r="C117" s="3">
        <v>29</v>
      </c>
      <c r="D117" s="3">
        <v>2</v>
      </c>
      <c r="E117" s="3">
        <v>-18.252</v>
      </c>
      <c r="F117" s="4" t="str">
        <f>HYPERLINK("http://141.218.60.56/~jnz1568/getInfo.php?workbook=20_05.xlsx&amp;sheet=A0&amp;row=117&amp;col=6&amp;number=26720000000&amp;sourceID=14","26720000000")</f>
        <v>26720000000</v>
      </c>
      <c r="G117" s="4" t="str">
        <f>HYPERLINK("http://141.218.60.56/~jnz1568/getInfo.php?workbook=20_05.xlsx&amp;sheet=A0&amp;row=117&amp;col=7&amp;number=0&amp;sourceID=14","0")</f>
        <v>0</v>
      </c>
    </row>
    <row r="118" spans="1:7">
      <c r="A118" s="3">
        <v>20</v>
      </c>
      <c r="B118" s="3">
        <v>5</v>
      </c>
      <c r="C118" s="3">
        <v>30</v>
      </c>
      <c r="D118" s="3">
        <v>2</v>
      </c>
      <c r="E118" s="3">
        <v>-18.177</v>
      </c>
      <c r="F118" s="4" t="str">
        <f>HYPERLINK("http://141.218.60.56/~jnz1568/getInfo.php?workbook=20_05.xlsx&amp;sheet=A0&amp;row=118&amp;col=6&amp;number=58480000000&amp;sourceID=14","58480000000")</f>
        <v>58480000000</v>
      </c>
      <c r="G118" s="4" t="str">
        <f>HYPERLINK("http://141.218.60.56/~jnz1568/getInfo.php?workbook=20_05.xlsx&amp;sheet=A0&amp;row=118&amp;col=7&amp;number=0&amp;sourceID=14","0")</f>
        <v>0</v>
      </c>
    </row>
    <row r="119" spans="1:7">
      <c r="A119" s="3">
        <v>20</v>
      </c>
      <c r="B119" s="3">
        <v>5</v>
      </c>
      <c r="C119" s="3">
        <v>17</v>
      </c>
      <c r="D119" s="3">
        <v>11</v>
      </c>
      <c r="E119" s="3">
        <v>-25.416</v>
      </c>
      <c r="F119" s="4" t="str">
        <f>HYPERLINK("http://141.218.60.56/~jnz1568/getInfo.php?workbook=20_05.xlsx&amp;sheet=A0&amp;row=119&amp;col=6&amp;number=35110000&amp;sourceID=14","35110000")</f>
        <v>35110000</v>
      </c>
      <c r="G119" s="4" t="str">
        <f>HYPERLINK("http://141.218.60.56/~jnz1568/getInfo.php?workbook=20_05.xlsx&amp;sheet=A0&amp;row=119&amp;col=7&amp;number=0&amp;sourceID=14","0")</f>
        <v>0</v>
      </c>
    </row>
    <row r="120" spans="1:7">
      <c r="A120" s="3">
        <v>20</v>
      </c>
      <c r="B120" s="3">
        <v>5</v>
      </c>
      <c r="C120" s="3">
        <v>19</v>
      </c>
      <c r="D120" s="3">
        <v>11</v>
      </c>
      <c r="E120" s="3">
        <v>-25.054</v>
      </c>
      <c r="F120" s="4" t="str">
        <f>HYPERLINK("http://141.218.60.56/~jnz1568/getInfo.php?workbook=20_05.xlsx&amp;sheet=A0&amp;row=120&amp;col=6&amp;number=7500000000&amp;sourceID=14","7500000000")</f>
        <v>7500000000</v>
      </c>
      <c r="G120" s="4" t="str">
        <f>HYPERLINK("http://141.218.60.56/~jnz1568/getInfo.php?workbook=20_05.xlsx&amp;sheet=A0&amp;row=120&amp;col=7&amp;number=0&amp;sourceID=14","0")</f>
        <v>0</v>
      </c>
    </row>
    <row r="121" spans="1:7">
      <c r="A121" s="3">
        <v>20</v>
      </c>
      <c r="B121" s="3">
        <v>5</v>
      </c>
      <c r="C121" s="3">
        <v>20</v>
      </c>
      <c r="D121" s="3">
        <v>11</v>
      </c>
      <c r="E121" s="3">
        <v>-24.577</v>
      </c>
      <c r="F121" s="4" t="str">
        <f>HYPERLINK("http://141.218.60.56/~jnz1568/getInfo.php?workbook=20_05.xlsx&amp;sheet=A0&amp;row=121&amp;col=6&amp;number=368100000&amp;sourceID=14","368100000")</f>
        <v>368100000</v>
      </c>
      <c r="G121" s="4" t="str">
        <f>HYPERLINK("http://141.218.60.56/~jnz1568/getInfo.php?workbook=20_05.xlsx&amp;sheet=A0&amp;row=121&amp;col=7&amp;number=0&amp;sourceID=14","0")</f>
        <v>0</v>
      </c>
    </row>
    <row r="122" spans="1:7">
      <c r="A122" s="3">
        <v>20</v>
      </c>
      <c r="B122" s="3">
        <v>5</v>
      </c>
      <c r="C122" s="3">
        <v>21</v>
      </c>
      <c r="D122" s="3">
        <v>11</v>
      </c>
      <c r="E122" s="3">
        <v>-23.678</v>
      </c>
      <c r="F122" s="4" t="str">
        <f>HYPERLINK("http://141.218.60.56/~jnz1568/getInfo.php?workbook=20_05.xlsx&amp;sheet=A0&amp;row=122&amp;col=6&amp;number=2338000000&amp;sourceID=14","2338000000")</f>
        <v>2338000000</v>
      </c>
      <c r="G122" s="4" t="str">
        <f>HYPERLINK("http://141.218.60.56/~jnz1568/getInfo.php?workbook=20_05.xlsx&amp;sheet=A0&amp;row=122&amp;col=7&amp;number=0&amp;sourceID=14","0")</f>
        <v>0</v>
      </c>
    </row>
    <row r="123" spans="1:7">
      <c r="A123" s="3">
        <v>20</v>
      </c>
      <c r="B123" s="3">
        <v>5</v>
      </c>
      <c r="C123" s="3">
        <v>22</v>
      </c>
      <c r="D123" s="3">
        <v>11</v>
      </c>
      <c r="E123" s="3">
        <v>-23.451</v>
      </c>
      <c r="F123" s="4" t="str">
        <f>HYPERLINK("http://141.218.60.56/~jnz1568/getInfo.php?workbook=20_05.xlsx&amp;sheet=A0&amp;row=123&amp;col=6&amp;number=21670000000&amp;sourceID=14","21670000000")</f>
        <v>21670000000</v>
      </c>
      <c r="G123" s="4" t="str">
        <f>HYPERLINK("http://141.218.60.56/~jnz1568/getInfo.php?workbook=20_05.xlsx&amp;sheet=A0&amp;row=123&amp;col=7&amp;number=0&amp;sourceID=14","0")</f>
        <v>0</v>
      </c>
    </row>
    <row r="124" spans="1:7">
      <c r="A124" s="3">
        <v>20</v>
      </c>
      <c r="B124" s="3">
        <v>5</v>
      </c>
      <c r="C124" s="3">
        <v>23</v>
      </c>
      <c r="D124" s="3">
        <v>11</v>
      </c>
      <c r="E124" s="3">
        <v>-23.341</v>
      </c>
      <c r="F124" s="4" t="str">
        <f>HYPERLINK("http://141.218.60.56/~jnz1568/getInfo.php?workbook=20_05.xlsx&amp;sheet=A0&amp;row=124&amp;col=6&amp;number=405200000000&amp;sourceID=14","405200000000")</f>
        <v>405200000000</v>
      </c>
      <c r="G124" s="4" t="str">
        <f>HYPERLINK("http://141.218.60.56/~jnz1568/getInfo.php?workbook=20_05.xlsx&amp;sheet=A0&amp;row=124&amp;col=7&amp;number=0&amp;sourceID=14","0")</f>
        <v>0</v>
      </c>
    </row>
    <row r="125" spans="1:7">
      <c r="A125" s="3">
        <v>20</v>
      </c>
      <c r="B125" s="3">
        <v>5</v>
      </c>
      <c r="C125" s="3">
        <v>24</v>
      </c>
      <c r="D125" s="3">
        <v>11</v>
      </c>
      <c r="E125" s="3">
        <v>-22.952</v>
      </c>
      <c r="F125" s="4" t="str">
        <f>HYPERLINK("http://141.218.60.56/~jnz1568/getInfo.php?workbook=20_05.xlsx&amp;sheet=A0&amp;row=125&amp;col=6&amp;number=301300000&amp;sourceID=14","301300000")</f>
        <v>301300000</v>
      </c>
      <c r="G125" s="4" t="str">
        <f>HYPERLINK("http://141.218.60.56/~jnz1568/getInfo.php?workbook=20_05.xlsx&amp;sheet=A0&amp;row=125&amp;col=7&amp;number=0&amp;sourceID=14","0")</f>
        <v>0</v>
      </c>
    </row>
    <row r="126" spans="1:7">
      <c r="A126" s="3">
        <v>20</v>
      </c>
      <c r="B126" s="3">
        <v>5</v>
      </c>
      <c r="C126" s="3">
        <v>25</v>
      </c>
      <c r="D126" s="3">
        <v>11</v>
      </c>
      <c r="E126" s="3">
        <v>-22.087</v>
      </c>
      <c r="F126" s="4" t="str">
        <f>HYPERLINK("http://141.218.60.56/~jnz1568/getInfo.php?workbook=20_05.xlsx&amp;sheet=A0&amp;row=126&amp;col=6&amp;number=111200000000&amp;sourceID=14","111200000000")</f>
        <v>111200000000</v>
      </c>
      <c r="G126" s="4" t="str">
        <f>HYPERLINK("http://141.218.60.56/~jnz1568/getInfo.php?workbook=20_05.xlsx&amp;sheet=A0&amp;row=126&amp;col=7&amp;number=0&amp;sourceID=14","0")</f>
        <v>0</v>
      </c>
    </row>
    <row r="127" spans="1:7">
      <c r="A127" s="3">
        <v>20</v>
      </c>
      <c r="B127" s="3">
        <v>5</v>
      </c>
      <c r="C127" s="3">
        <v>26</v>
      </c>
      <c r="D127" s="3">
        <v>11</v>
      </c>
      <c r="E127" s="3">
        <v>-21.945</v>
      </c>
      <c r="F127" s="4" t="str">
        <f>HYPERLINK("http://141.218.60.56/~jnz1568/getInfo.php?workbook=20_05.xlsx&amp;sheet=A0&amp;row=127&amp;col=6&amp;number=16030000000&amp;sourceID=14","16030000000")</f>
        <v>16030000000</v>
      </c>
      <c r="G127" s="4" t="str">
        <f>HYPERLINK("http://141.218.60.56/~jnz1568/getInfo.php?workbook=20_05.xlsx&amp;sheet=A0&amp;row=127&amp;col=7&amp;number=0&amp;sourceID=14","0")</f>
        <v>0</v>
      </c>
    </row>
    <row r="128" spans="1:7">
      <c r="A128" s="3">
        <v>20</v>
      </c>
      <c r="B128" s="3">
        <v>5</v>
      </c>
      <c r="C128" s="3">
        <v>27</v>
      </c>
      <c r="D128" s="3">
        <v>11</v>
      </c>
      <c r="E128" s="3">
        <v>-21.855</v>
      </c>
      <c r="F128" s="4" t="str">
        <f>HYPERLINK("http://141.218.60.56/~jnz1568/getInfo.php?workbook=20_05.xlsx&amp;sheet=A0&amp;row=128&amp;col=6&amp;number=6355000000000&amp;sourceID=14","6355000000000")</f>
        <v>6355000000000</v>
      </c>
      <c r="G128" s="4" t="str">
        <f>HYPERLINK("http://141.218.60.56/~jnz1568/getInfo.php?workbook=20_05.xlsx&amp;sheet=A0&amp;row=128&amp;col=7&amp;number=0&amp;sourceID=14","0")</f>
        <v>0</v>
      </c>
    </row>
    <row r="129" spans="1:7">
      <c r="A129" s="3">
        <v>20</v>
      </c>
      <c r="B129" s="3">
        <v>5</v>
      </c>
      <c r="C129" s="3">
        <v>28</v>
      </c>
      <c r="D129" s="3">
        <v>11</v>
      </c>
      <c r="E129" s="3">
        <v>-21.829</v>
      </c>
      <c r="F129" s="4" t="str">
        <f>HYPERLINK("http://141.218.60.56/~jnz1568/getInfo.php?workbook=20_05.xlsx&amp;sheet=A0&amp;row=129&amp;col=6&amp;number=1376000000000&amp;sourceID=14","1376000000000")</f>
        <v>1376000000000</v>
      </c>
      <c r="G129" s="4" t="str">
        <f>HYPERLINK("http://141.218.60.56/~jnz1568/getInfo.php?workbook=20_05.xlsx&amp;sheet=A0&amp;row=129&amp;col=7&amp;number=0&amp;sourceID=14","0")</f>
        <v>0</v>
      </c>
    </row>
    <row r="130" spans="1:7">
      <c r="A130" s="3">
        <v>20</v>
      </c>
      <c r="B130" s="3">
        <v>5</v>
      </c>
      <c r="C130" s="3">
        <v>29</v>
      </c>
      <c r="D130" s="3">
        <v>11</v>
      </c>
      <c r="E130" s="3">
        <v>-21.365</v>
      </c>
      <c r="F130" s="4" t="str">
        <f>HYPERLINK("http://141.218.60.56/~jnz1568/getInfo.php?workbook=20_05.xlsx&amp;sheet=A0&amp;row=130&amp;col=6&amp;number=13070000000&amp;sourceID=14","13070000000")</f>
        <v>13070000000</v>
      </c>
      <c r="G130" s="4" t="str">
        <f>HYPERLINK("http://141.218.60.56/~jnz1568/getInfo.php?workbook=20_05.xlsx&amp;sheet=A0&amp;row=130&amp;col=7&amp;number=0&amp;sourceID=14","0")</f>
        <v>0</v>
      </c>
    </row>
    <row r="131" spans="1:7">
      <c r="A131" s="3">
        <v>20</v>
      </c>
      <c r="B131" s="3">
        <v>5</v>
      </c>
      <c r="C131" s="3">
        <v>30</v>
      </c>
      <c r="D131" s="3">
        <v>11</v>
      </c>
      <c r="E131" s="3">
        <v>-21.262</v>
      </c>
      <c r="F131" s="4" t="str">
        <f>HYPERLINK("http://141.218.60.56/~jnz1568/getInfo.php?workbook=20_05.xlsx&amp;sheet=A0&amp;row=131&amp;col=6&amp;number=33820000000&amp;sourceID=14","33820000000")</f>
        <v>33820000000</v>
      </c>
      <c r="G131" s="4" t="str">
        <f>HYPERLINK("http://141.218.60.56/~jnz1568/getInfo.php?workbook=20_05.xlsx&amp;sheet=A0&amp;row=131&amp;col=7&amp;number=0&amp;sourceID=14","0")</f>
        <v>0</v>
      </c>
    </row>
    <row r="132" spans="1:7">
      <c r="A132" s="3">
        <v>20</v>
      </c>
      <c r="B132" s="3">
        <v>5</v>
      </c>
      <c r="C132" s="3">
        <v>16</v>
      </c>
      <c r="D132" s="3">
        <v>12</v>
      </c>
      <c r="E132" s="3">
        <v>-28.988</v>
      </c>
      <c r="F132" s="4" t="str">
        <f>HYPERLINK("http://141.218.60.56/~jnz1568/getInfo.php?workbook=20_05.xlsx&amp;sheet=A0&amp;row=132&amp;col=6&amp;number=8518000&amp;sourceID=14","8518000")</f>
        <v>8518000</v>
      </c>
      <c r="G132" s="4" t="str">
        <f>HYPERLINK("http://141.218.60.56/~jnz1568/getInfo.php?workbook=20_05.xlsx&amp;sheet=A0&amp;row=132&amp;col=7&amp;number=0&amp;sourceID=14","0")</f>
        <v>0</v>
      </c>
    </row>
    <row r="133" spans="1:7">
      <c r="A133" s="3">
        <v>20</v>
      </c>
      <c r="B133" s="3">
        <v>5</v>
      </c>
      <c r="C133" s="3">
        <v>17</v>
      </c>
      <c r="D133" s="3">
        <v>12</v>
      </c>
      <c r="E133" s="3">
        <v>-26.114</v>
      </c>
      <c r="F133" s="4" t="str">
        <f>HYPERLINK("http://141.218.60.56/~jnz1568/getInfo.php?workbook=20_05.xlsx&amp;sheet=A0&amp;row=133&amp;col=6&amp;number=2546000000&amp;sourceID=14","2546000000")</f>
        <v>2546000000</v>
      </c>
      <c r="G133" s="4" t="str">
        <f>HYPERLINK("http://141.218.60.56/~jnz1568/getInfo.php?workbook=20_05.xlsx&amp;sheet=A0&amp;row=133&amp;col=7&amp;number=0&amp;sourceID=14","0")</f>
        <v>0</v>
      </c>
    </row>
    <row r="134" spans="1:7">
      <c r="A134" s="3">
        <v>20</v>
      </c>
      <c r="B134" s="3">
        <v>5</v>
      </c>
      <c r="C134" s="3">
        <v>18</v>
      </c>
      <c r="D134" s="3">
        <v>12</v>
      </c>
      <c r="E134" s="3">
        <v>26.089</v>
      </c>
      <c r="F134" s="4" t="str">
        <f>HYPERLINK("http://141.218.60.56/~jnz1568/getInfo.php?workbook=20_05.xlsx&amp;sheet=A0&amp;row=134&amp;col=6&amp;number=11760000000&amp;sourceID=14","11760000000")</f>
        <v>11760000000</v>
      </c>
      <c r="G134" s="4" t="str">
        <f>HYPERLINK("http://141.218.60.56/~jnz1568/getInfo.php?workbook=20_05.xlsx&amp;sheet=A0&amp;row=134&amp;col=7&amp;number=0&amp;sourceID=14","0")</f>
        <v>0</v>
      </c>
    </row>
    <row r="135" spans="1:7">
      <c r="A135" s="3">
        <v>20</v>
      </c>
      <c r="B135" s="3">
        <v>5</v>
      </c>
      <c r="C135" s="3">
        <v>19</v>
      </c>
      <c r="D135" s="3">
        <v>12</v>
      </c>
      <c r="E135" s="3">
        <v>-25.732</v>
      </c>
      <c r="F135" s="4" t="str">
        <f>HYPERLINK("http://141.218.60.56/~jnz1568/getInfo.php?workbook=20_05.xlsx&amp;sheet=A0&amp;row=135&amp;col=6&amp;number=115200000&amp;sourceID=14","115200000")</f>
        <v>115200000</v>
      </c>
      <c r="G135" s="4" t="str">
        <f>HYPERLINK("http://141.218.60.56/~jnz1568/getInfo.php?workbook=20_05.xlsx&amp;sheet=A0&amp;row=135&amp;col=7&amp;number=0&amp;sourceID=14","0")</f>
        <v>0</v>
      </c>
    </row>
    <row r="136" spans="1:7">
      <c r="A136" s="3">
        <v>20</v>
      </c>
      <c r="B136" s="3">
        <v>5</v>
      </c>
      <c r="C136" s="3">
        <v>20</v>
      </c>
      <c r="D136" s="3">
        <v>12</v>
      </c>
      <c r="E136" s="3">
        <v>-25.229</v>
      </c>
      <c r="F136" s="4" t="str">
        <f>HYPERLINK("http://141.218.60.56/~jnz1568/getInfo.php?workbook=20_05.xlsx&amp;sheet=A0&amp;row=136&amp;col=6&amp;number=1267000000&amp;sourceID=14","1267000000")</f>
        <v>1267000000</v>
      </c>
      <c r="G136" s="4" t="str">
        <f>HYPERLINK("http://141.218.60.56/~jnz1568/getInfo.php?workbook=20_05.xlsx&amp;sheet=A0&amp;row=136&amp;col=7&amp;number=0&amp;sourceID=14","0")</f>
        <v>0</v>
      </c>
    </row>
    <row r="137" spans="1:7">
      <c r="A137" s="3">
        <v>20</v>
      </c>
      <c r="B137" s="3">
        <v>5</v>
      </c>
      <c r="C137" s="3">
        <v>21</v>
      </c>
      <c r="D137" s="3">
        <v>12</v>
      </c>
      <c r="E137" s="3">
        <v>-24.282</v>
      </c>
      <c r="F137" s="4" t="str">
        <f>HYPERLINK("http://141.218.60.56/~jnz1568/getInfo.php?workbook=20_05.xlsx&amp;sheet=A0&amp;row=137&amp;col=6&amp;number=157100000000&amp;sourceID=14","157100000000")</f>
        <v>157100000000</v>
      </c>
      <c r="G137" s="4" t="str">
        <f>HYPERLINK("http://141.218.60.56/~jnz1568/getInfo.php?workbook=20_05.xlsx&amp;sheet=A0&amp;row=137&amp;col=7&amp;number=0&amp;sourceID=14","0")</f>
        <v>0</v>
      </c>
    </row>
    <row r="138" spans="1:7">
      <c r="A138" s="3">
        <v>20</v>
      </c>
      <c r="B138" s="3">
        <v>5</v>
      </c>
      <c r="C138" s="3">
        <v>22</v>
      </c>
      <c r="D138" s="3">
        <v>12</v>
      </c>
      <c r="E138" s="3">
        <v>-24.044</v>
      </c>
      <c r="F138" s="4" t="str">
        <f>HYPERLINK("http://141.218.60.56/~jnz1568/getInfo.php?workbook=20_05.xlsx&amp;sheet=A0&amp;row=138&amp;col=6&amp;number=5407000000&amp;sourceID=14","5407000000")</f>
        <v>5407000000</v>
      </c>
      <c r="G138" s="4" t="str">
        <f>HYPERLINK("http://141.218.60.56/~jnz1568/getInfo.php?workbook=20_05.xlsx&amp;sheet=A0&amp;row=138&amp;col=7&amp;number=0&amp;sourceID=14","0")</f>
        <v>0</v>
      </c>
    </row>
    <row r="139" spans="1:7">
      <c r="A139" s="3">
        <v>20</v>
      </c>
      <c r="B139" s="3">
        <v>5</v>
      </c>
      <c r="C139" s="3">
        <v>23</v>
      </c>
      <c r="D139" s="3">
        <v>12</v>
      </c>
      <c r="E139" s="3">
        <v>-23.928</v>
      </c>
      <c r="F139" s="4" t="str">
        <f>HYPERLINK("http://141.218.60.56/~jnz1568/getInfo.php?workbook=20_05.xlsx&amp;sheet=A0&amp;row=139&amp;col=6&amp;number=610700000&amp;sourceID=14","610700000")</f>
        <v>610700000</v>
      </c>
      <c r="G139" s="4" t="str">
        <f>HYPERLINK("http://141.218.60.56/~jnz1568/getInfo.php?workbook=20_05.xlsx&amp;sheet=A0&amp;row=139&amp;col=7&amp;number=0&amp;sourceID=14","0")</f>
        <v>0</v>
      </c>
    </row>
    <row r="140" spans="1:7">
      <c r="A140" s="3">
        <v>20</v>
      </c>
      <c r="B140" s="3">
        <v>5</v>
      </c>
      <c r="C140" s="3">
        <v>24</v>
      </c>
      <c r="D140" s="3">
        <v>12</v>
      </c>
      <c r="E140" s="3">
        <v>-23.519</v>
      </c>
      <c r="F140" s="4" t="str">
        <f>HYPERLINK("http://141.218.60.56/~jnz1568/getInfo.php?workbook=20_05.xlsx&amp;sheet=A0&amp;row=140&amp;col=6&amp;number=546100000000&amp;sourceID=14","546100000000")</f>
        <v>546100000000</v>
      </c>
      <c r="G140" s="4" t="str">
        <f>HYPERLINK("http://141.218.60.56/~jnz1568/getInfo.php?workbook=20_05.xlsx&amp;sheet=A0&amp;row=140&amp;col=7&amp;number=0&amp;sourceID=14","0")</f>
        <v>0</v>
      </c>
    </row>
    <row r="141" spans="1:7">
      <c r="A141" s="3">
        <v>20</v>
      </c>
      <c r="B141" s="3">
        <v>5</v>
      </c>
      <c r="C141" s="3">
        <v>25</v>
      </c>
      <c r="D141" s="3">
        <v>12</v>
      </c>
      <c r="E141" s="3">
        <v>-22.612</v>
      </c>
      <c r="F141" s="4" t="str">
        <f>HYPERLINK("http://141.218.60.56/~jnz1568/getInfo.php?workbook=20_05.xlsx&amp;sheet=A0&amp;row=141&amp;col=6&amp;number=55600000000&amp;sourceID=14","55600000000")</f>
        <v>55600000000</v>
      </c>
      <c r="G141" s="4" t="str">
        <f>HYPERLINK("http://141.218.60.56/~jnz1568/getInfo.php?workbook=20_05.xlsx&amp;sheet=A0&amp;row=141&amp;col=7&amp;number=0&amp;sourceID=14","0")</f>
        <v>0</v>
      </c>
    </row>
    <row r="142" spans="1:7">
      <c r="A142" s="3">
        <v>20</v>
      </c>
      <c r="B142" s="3">
        <v>5</v>
      </c>
      <c r="C142" s="3">
        <v>26</v>
      </c>
      <c r="D142" s="3">
        <v>12</v>
      </c>
      <c r="E142" s="3">
        <v>-22.463</v>
      </c>
      <c r="F142" s="4" t="str">
        <f>HYPERLINK("http://141.218.60.56/~jnz1568/getInfo.php?workbook=20_05.xlsx&amp;sheet=A0&amp;row=142&amp;col=6&amp;number=148500000000&amp;sourceID=14","148500000000")</f>
        <v>148500000000</v>
      </c>
      <c r="G142" s="4" t="str">
        <f>HYPERLINK("http://141.218.60.56/~jnz1568/getInfo.php?workbook=20_05.xlsx&amp;sheet=A0&amp;row=142&amp;col=7&amp;number=0&amp;sourceID=14","0")</f>
        <v>0</v>
      </c>
    </row>
    <row r="143" spans="1:7">
      <c r="A143" s="3">
        <v>20</v>
      </c>
      <c r="B143" s="3">
        <v>5</v>
      </c>
      <c r="C143" s="3">
        <v>27</v>
      </c>
      <c r="D143" s="3">
        <v>12</v>
      </c>
      <c r="E143" s="3">
        <v>-22.369</v>
      </c>
      <c r="F143" s="4" t="str">
        <f>HYPERLINK("http://141.218.60.56/~jnz1568/getInfo.php?workbook=20_05.xlsx&amp;sheet=A0&amp;row=143&amp;col=6&amp;number=4885000000&amp;sourceID=14","4885000000")</f>
        <v>4885000000</v>
      </c>
      <c r="G143" s="4" t="str">
        <f>HYPERLINK("http://141.218.60.56/~jnz1568/getInfo.php?workbook=20_05.xlsx&amp;sheet=A0&amp;row=143&amp;col=7&amp;number=0&amp;sourceID=14","0")</f>
        <v>0</v>
      </c>
    </row>
    <row r="144" spans="1:7">
      <c r="A144" s="3">
        <v>20</v>
      </c>
      <c r="B144" s="3">
        <v>5</v>
      </c>
      <c r="C144" s="3">
        <v>28</v>
      </c>
      <c r="D144" s="3">
        <v>12</v>
      </c>
      <c r="E144" s="3">
        <v>-22.341</v>
      </c>
      <c r="F144" s="4" t="str">
        <f>HYPERLINK("http://141.218.60.56/~jnz1568/getInfo.php?workbook=20_05.xlsx&amp;sheet=A0&amp;row=144&amp;col=6&amp;number=2054000000&amp;sourceID=14","2054000000")</f>
        <v>2054000000</v>
      </c>
      <c r="G144" s="4" t="str">
        <f>HYPERLINK("http://141.218.60.56/~jnz1568/getInfo.php?workbook=20_05.xlsx&amp;sheet=A0&amp;row=144&amp;col=7&amp;number=0&amp;sourceID=14","0")</f>
        <v>0</v>
      </c>
    </row>
    <row r="145" spans="1:7">
      <c r="A145" s="3">
        <v>20</v>
      </c>
      <c r="B145" s="3">
        <v>5</v>
      </c>
      <c r="C145" s="3">
        <v>29</v>
      </c>
      <c r="D145" s="3">
        <v>12</v>
      </c>
      <c r="E145" s="3">
        <v>-21.856</v>
      </c>
      <c r="F145" s="4" t="str">
        <f>HYPERLINK("http://141.218.60.56/~jnz1568/getInfo.php?workbook=20_05.xlsx&amp;sheet=A0&amp;row=145&amp;col=6&amp;number=1974000000000&amp;sourceID=14","1974000000000")</f>
        <v>1974000000000</v>
      </c>
      <c r="G145" s="4" t="str">
        <f>HYPERLINK("http://141.218.60.56/~jnz1568/getInfo.php?workbook=20_05.xlsx&amp;sheet=A0&amp;row=145&amp;col=7&amp;number=0&amp;sourceID=14","0")</f>
        <v>0</v>
      </c>
    </row>
    <row r="146" spans="1:7">
      <c r="A146" s="3">
        <v>20</v>
      </c>
      <c r="B146" s="3">
        <v>5</v>
      </c>
      <c r="C146" s="3">
        <v>30</v>
      </c>
      <c r="D146" s="3">
        <v>12</v>
      </c>
      <c r="E146" s="3">
        <v>-21.748</v>
      </c>
      <c r="F146" s="4" t="str">
        <f>HYPERLINK("http://141.218.60.56/~jnz1568/getInfo.php?workbook=20_05.xlsx&amp;sheet=A0&amp;row=146&amp;col=6&amp;number=138600000000&amp;sourceID=14","138600000000")</f>
        <v>138600000000</v>
      </c>
      <c r="G146" s="4" t="str">
        <f>HYPERLINK("http://141.218.60.56/~jnz1568/getInfo.php?workbook=20_05.xlsx&amp;sheet=A0&amp;row=146&amp;col=7&amp;number=0&amp;sourceID=14","0")</f>
        <v>0</v>
      </c>
    </row>
    <row r="147" spans="1:7">
      <c r="A147" s="3">
        <v>20</v>
      </c>
      <c r="B147" s="3">
        <v>5</v>
      </c>
      <c r="C147" s="3">
        <v>16</v>
      </c>
      <c r="D147" s="3">
        <v>15</v>
      </c>
      <c r="E147" s="3">
        <v>-30.051</v>
      </c>
      <c r="F147" s="4" t="str">
        <f>HYPERLINK("http://141.218.60.56/~jnz1568/getInfo.php?workbook=20_05.xlsx&amp;sheet=A0&amp;row=147&amp;col=6&amp;number=86880000&amp;sourceID=14","86880000")</f>
        <v>86880000</v>
      </c>
      <c r="G147" s="4" t="str">
        <f>HYPERLINK("http://141.218.60.56/~jnz1568/getInfo.php?workbook=20_05.xlsx&amp;sheet=A0&amp;row=147&amp;col=7&amp;number=0&amp;sourceID=14","0")</f>
        <v>0</v>
      </c>
    </row>
    <row r="148" spans="1:7">
      <c r="A148" s="3">
        <v>20</v>
      </c>
      <c r="B148" s="3">
        <v>5</v>
      </c>
      <c r="C148" s="3">
        <v>17</v>
      </c>
      <c r="D148" s="3">
        <v>15</v>
      </c>
      <c r="E148" s="3">
        <v>-26.974</v>
      </c>
      <c r="F148" s="4" t="str">
        <f>HYPERLINK("http://141.218.60.56/~jnz1568/getInfo.php?workbook=20_05.xlsx&amp;sheet=A0&amp;row=148&amp;col=6&amp;number=11960000&amp;sourceID=14","11960000")</f>
        <v>11960000</v>
      </c>
      <c r="G148" s="4" t="str">
        <f>HYPERLINK("http://141.218.60.56/~jnz1568/getInfo.php?workbook=20_05.xlsx&amp;sheet=A0&amp;row=148&amp;col=7&amp;number=0&amp;sourceID=14","0")</f>
        <v>0</v>
      </c>
    </row>
    <row r="149" spans="1:7">
      <c r="A149" s="3">
        <v>20</v>
      </c>
      <c r="B149" s="3">
        <v>5</v>
      </c>
      <c r="C149" s="3">
        <v>19</v>
      </c>
      <c r="D149" s="3">
        <v>15</v>
      </c>
      <c r="E149" s="3">
        <v>-26.566</v>
      </c>
      <c r="F149" s="4" t="str">
        <f>HYPERLINK("http://141.218.60.56/~jnz1568/getInfo.php?workbook=20_05.xlsx&amp;sheet=A0&amp;row=149&amp;col=6&amp;number=208400000&amp;sourceID=14","208400000")</f>
        <v>208400000</v>
      </c>
      <c r="G149" s="4" t="str">
        <f>HYPERLINK("http://141.218.60.56/~jnz1568/getInfo.php?workbook=20_05.xlsx&amp;sheet=A0&amp;row=149&amp;col=7&amp;number=0&amp;sourceID=14","0")</f>
        <v>0</v>
      </c>
    </row>
    <row r="150" spans="1:7">
      <c r="A150" s="3">
        <v>20</v>
      </c>
      <c r="B150" s="3">
        <v>5</v>
      </c>
      <c r="C150" s="3">
        <v>20</v>
      </c>
      <c r="D150" s="3">
        <v>15</v>
      </c>
      <c r="E150" s="3">
        <v>-26.03</v>
      </c>
      <c r="F150" s="4" t="str">
        <f>HYPERLINK("http://141.218.60.56/~jnz1568/getInfo.php?workbook=20_05.xlsx&amp;sheet=A0&amp;row=150&amp;col=6&amp;number=30030000000&amp;sourceID=14","30030000000")</f>
        <v>30030000000</v>
      </c>
      <c r="G150" s="4" t="str">
        <f>HYPERLINK("http://141.218.60.56/~jnz1568/getInfo.php?workbook=20_05.xlsx&amp;sheet=A0&amp;row=150&amp;col=7&amp;number=0&amp;sourceID=14","0")</f>
        <v>0</v>
      </c>
    </row>
    <row r="151" spans="1:7">
      <c r="A151" s="3">
        <v>20</v>
      </c>
      <c r="B151" s="3">
        <v>5</v>
      </c>
      <c r="C151" s="3">
        <v>21</v>
      </c>
      <c r="D151" s="3">
        <v>15</v>
      </c>
      <c r="E151" s="3">
        <v>-25.024</v>
      </c>
      <c r="F151" s="4" t="str">
        <f>HYPERLINK("http://141.218.60.56/~jnz1568/getInfo.php?workbook=20_05.xlsx&amp;sheet=A0&amp;row=151&amp;col=6&amp;number=3077000000&amp;sourceID=14","3077000000")</f>
        <v>3077000000</v>
      </c>
      <c r="G151" s="4" t="str">
        <f>HYPERLINK("http://141.218.60.56/~jnz1568/getInfo.php?workbook=20_05.xlsx&amp;sheet=A0&amp;row=151&amp;col=7&amp;number=0&amp;sourceID=14","0")</f>
        <v>0</v>
      </c>
    </row>
    <row r="152" spans="1:7">
      <c r="A152" s="3">
        <v>20</v>
      </c>
      <c r="B152" s="3">
        <v>5</v>
      </c>
      <c r="C152" s="3">
        <v>22</v>
      </c>
      <c r="D152" s="3">
        <v>15</v>
      </c>
      <c r="E152" s="3">
        <v>-24.771</v>
      </c>
      <c r="F152" s="4" t="str">
        <f>HYPERLINK("http://141.218.60.56/~jnz1568/getInfo.php?workbook=20_05.xlsx&amp;sheet=A0&amp;row=152&amp;col=6&amp;number=161400000&amp;sourceID=14","161400000")</f>
        <v>161400000</v>
      </c>
      <c r="G152" s="4" t="str">
        <f>HYPERLINK("http://141.218.60.56/~jnz1568/getInfo.php?workbook=20_05.xlsx&amp;sheet=A0&amp;row=152&amp;col=7&amp;number=0&amp;sourceID=14","0")</f>
        <v>0</v>
      </c>
    </row>
    <row r="153" spans="1:7">
      <c r="A153" s="3">
        <v>20</v>
      </c>
      <c r="B153" s="3">
        <v>5</v>
      </c>
      <c r="C153" s="3">
        <v>23</v>
      </c>
      <c r="D153" s="3">
        <v>15</v>
      </c>
      <c r="E153" s="3">
        <v>-24.648</v>
      </c>
      <c r="F153" s="4" t="str">
        <f>HYPERLINK("http://141.218.60.56/~jnz1568/getInfo.php?workbook=20_05.xlsx&amp;sheet=A0&amp;row=153&amp;col=6&amp;number=510100000&amp;sourceID=14","510100000")</f>
        <v>510100000</v>
      </c>
      <c r="G153" s="4" t="str">
        <f>HYPERLINK("http://141.218.60.56/~jnz1568/getInfo.php?workbook=20_05.xlsx&amp;sheet=A0&amp;row=153&amp;col=7&amp;number=0&amp;sourceID=14","0")</f>
        <v>0</v>
      </c>
    </row>
    <row r="154" spans="1:7">
      <c r="A154" s="3">
        <v>20</v>
      </c>
      <c r="B154" s="3">
        <v>5</v>
      </c>
      <c r="C154" s="3">
        <v>24</v>
      </c>
      <c r="D154" s="3">
        <v>15</v>
      </c>
      <c r="E154" s="3">
        <v>-24.214</v>
      </c>
      <c r="F154" s="4" t="str">
        <f>HYPERLINK("http://141.218.60.56/~jnz1568/getInfo.php?workbook=20_05.xlsx&amp;sheet=A0&amp;row=154&amp;col=6&amp;number=44210000000&amp;sourceID=14","44210000000")</f>
        <v>44210000000</v>
      </c>
      <c r="G154" s="4" t="str">
        <f>HYPERLINK("http://141.218.60.56/~jnz1568/getInfo.php?workbook=20_05.xlsx&amp;sheet=A0&amp;row=154&amp;col=7&amp;number=0&amp;sourceID=14","0")</f>
        <v>0</v>
      </c>
    </row>
    <row r="155" spans="1:7">
      <c r="A155" s="3">
        <v>20</v>
      </c>
      <c r="B155" s="3">
        <v>5</v>
      </c>
      <c r="C155" s="3">
        <v>25</v>
      </c>
      <c r="D155" s="3">
        <v>15</v>
      </c>
      <c r="E155" s="3">
        <v>-23.254</v>
      </c>
      <c r="F155" s="4" t="str">
        <f>HYPERLINK("http://141.218.60.56/~jnz1568/getInfo.php?workbook=20_05.xlsx&amp;sheet=A0&amp;row=155&amp;col=6&amp;number=67580000000&amp;sourceID=14","67580000000")</f>
        <v>67580000000</v>
      </c>
      <c r="G155" s="4" t="str">
        <f>HYPERLINK("http://141.218.60.56/~jnz1568/getInfo.php?workbook=20_05.xlsx&amp;sheet=A0&amp;row=155&amp;col=7&amp;number=0&amp;sourceID=14","0")</f>
        <v>0</v>
      </c>
    </row>
    <row r="156" spans="1:7">
      <c r="A156" s="3">
        <v>20</v>
      </c>
      <c r="B156" s="3">
        <v>5</v>
      </c>
      <c r="C156" s="3">
        <v>26</v>
      </c>
      <c r="D156" s="3">
        <v>15</v>
      </c>
      <c r="E156" s="3">
        <v>-23.096</v>
      </c>
      <c r="F156" s="4" t="str">
        <f>HYPERLINK("http://141.218.60.56/~jnz1568/getInfo.php?workbook=20_05.xlsx&amp;sheet=A0&amp;row=156&amp;col=6&amp;number=416100000000&amp;sourceID=14","416100000000")</f>
        <v>416100000000</v>
      </c>
      <c r="G156" s="4" t="str">
        <f>HYPERLINK("http://141.218.60.56/~jnz1568/getInfo.php?workbook=20_05.xlsx&amp;sheet=A0&amp;row=156&amp;col=7&amp;number=0&amp;sourceID=14","0")</f>
        <v>0</v>
      </c>
    </row>
    <row r="157" spans="1:7">
      <c r="A157" s="3">
        <v>20</v>
      </c>
      <c r="B157" s="3">
        <v>5</v>
      </c>
      <c r="C157" s="3">
        <v>27</v>
      </c>
      <c r="D157" s="3">
        <v>15</v>
      </c>
      <c r="E157" s="3">
        <v>-22.997</v>
      </c>
      <c r="F157" s="4" t="str">
        <f>HYPERLINK("http://141.218.60.56/~jnz1568/getInfo.php?workbook=20_05.xlsx&amp;sheet=A0&amp;row=157&amp;col=6&amp;number=161700000000&amp;sourceID=14","161700000000")</f>
        <v>161700000000</v>
      </c>
      <c r="G157" s="4" t="str">
        <f>HYPERLINK("http://141.218.60.56/~jnz1568/getInfo.php?workbook=20_05.xlsx&amp;sheet=A0&amp;row=157&amp;col=7&amp;number=0&amp;sourceID=14","0")</f>
        <v>0</v>
      </c>
    </row>
    <row r="158" spans="1:7">
      <c r="A158" s="3">
        <v>20</v>
      </c>
      <c r="B158" s="3">
        <v>5</v>
      </c>
      <c r="C158" s="3">
        <v>28</v>
      </c>
      <c r="D158" s="3">
        <v>15</v>
      </c>
      <c r="E158" s="3">
        <v>-22.968</v>
      </c>
      <c r="F158" s="4" t="str">
        <f>HYPERLINK("http://141.218.60.56/~jnz1568/getInfo.php?workbook=20_05.xlsx&amp;sheet=A0&amp;row=158&amp;col=6&amp;number=751400000000&amp;sourceID=14","751400000000")</f>
        <v>751400000000</v>
      </c>
      <c r="G158" s="4" t="str">
        <f>HYPERLINK("http://141.218.60.56/~jnz1568/getInfo.php?workbook=20_05.xlsx&amp;sheet=A0&amp;row=158&amp;col=7&amp;number=0&amp;sourceID=14","0")</f>
        <v>0</v>
      </c>
    </row>
    <row r="159" spans="1:7">
      <c r="A159" s="3">
        <v>20</v>
      </c>
      <c r="B159" s="3">
        <v>5</v>
      </c>
      <c r="C159" s="3">
        <v>29</v>
      </c>
      <c r="D159" s="3">
        <v>15</v>
      </c>
      <c r="E159" s="3">
        <v>-22.455</v>
      </c>
      <c r="F159" s="4" t="str">
        <f>HYPERLINK("http://141.218.60.56/~jnz1568/getInfo.php?workbook=20_05.xlsx&amp;sheet=A0&amp;row=159&amp;col=6&amp;number=521000000000&amp;sourceID=14","521000000000")</f>
        <v>521000000000</v>
      </c>
      <c r="G159" s="4" t="str">
        <f>HYPERLINK("http://141.218.60.56/~jnz1568/getInfo.php?workbook=20_05.xlsx&amp;sheet=A0&amp;row=159&amp;col=7&amp;number=0&amp;sourceID=14","0")</f>
        <v>0</v>
      </c>
    </row>
    <row r="160" spans="1:7">
      <c r="A160" s="3">
        <v>20</v>
      </c>
      <c r="B160" s="3">
        <v>5</v>
      </c>
      <c r="C160" s="3">
        <v>30</v>
      </c>
      <c r="D160" s="3">
        <v>15</v>
      </c>
      <c r="E160" s="3">
        <v>-22.341</v>
      </c>
      <c r="F160" s="4" t="str">
        <f>HYPERLINK("http://141.218.60.56/~jnz1568/getInfo.php?workbook=20_05.xlsx&amp;sheet=A0&amp;row=160&amp;col=6&amp;number=2119000000000&amp;sourceID=14","2119000000000")</f>
        <v>2119000000000</v>
      </c>
      <c r="G160" s="4" t="str">
        <f>HYPERLINK("http://141.218.60.56/~jnz1568/getInfo.php?workbook=20_05.xlsx&amp;sheet=A0&amp;row=160&amp;col=7&amp;number=0&amp;sourceID=14","0")</f>
        <v>0</v>
      </c>
    </row>
    <row r="161" spans="1:7">
      <c r="A161" s="3">
        <v>20</v>
      </c>
      <c r="B161" s="3">
        <v>5</v>
      </c>
      <c r="C161" s="3">
        <v>31</v>
      </c>
      <c r="D161" s="3">
        <v>2</v>
      </c>
      <c r="E161" s="3">
        <v>21.62</v>
      </c>
      <c r="F161" s="4" t="str">
        <f>HYPERLINK("http://141.218.60.56/~jnz1568/getInfo.php?workbook=20_05.xlsx&amp;sheet=A0&amp;row=161&amp;col=6&amp;number=885000000000&amp;sourceID=14","885000000000")</f>
        <v>885000000000</v>
      </c>
      <c r="G161" s="4" t="str">
        <f>HYPERLINK("http://141.218.60.56/~jnz1568/getInfo.php?workbook=20_05.xlsx&amp;sheet=A0&amp;row=161&amp;col=7&amp;number=0&amp;sourceID=14","0")</f>
        <v>0</v>
      </c>
    </row>
    <row r="162" spans="1:7">
      <c r="A162" s="3">
        <v>20</v>
      </c>
      <c r="B162" s="3">
        <v>5</v>
      </c>
      <c r="C162" s="3">
        <v>32</v>
      </c>
      <c r="D162" s="3">
        <v>2</v>
      </c>
      <c r="E162" s="3">
        <v>-21.086</v>
      </c>
      <c r="F162" s="4" t="str">
        <f>HYPERLINK("http://141.218.60.56/~jnz1568/getInfo.php?workbook=20_05.xlsx&amp;sheet=A0&amp;row=162&amp;col=6&amp;number=256600000000&amp;sourceID=14","256600000000")</f>
        <v>256600000000</v>
      </c>
      <c r="G162" s="4" t="str">
        <f>HYPERLINK("http://141.218.60.56/~jnz1568/getInfo.php?workbook=20_05.xlsx&amp;sheet=A0&amp;row=162&amp;col=7&amp;number=0&amp;sourceID=14","0")</f>
        <v>0</v>
      </c>
    </row>
    <row r="163" spans="1:7">
      <c r="A163" s="3">
        <v>20</v>
      </c>
      <c r="B163" s="3">
        <v>5</v>
      </c>
      <c r="C163" s="3">
        <v>33</v>
      </c>
      <c r="D163" s="3">
        <v>2</v>
      </c>
      <c r="E163" s="3">
        <v>21.02</v>
      </c>
      <c r="F163" s="4" t="str">
        <f>HYPERLINK("http://141.218.60.56/~jnz1568/getInfo.php?workbook=20_05.xlsx&amp;sheet=A0&amp;row=163&amp;col=6&amp;number=733200000000&amp;sourceID=14","733200000000")</f>
        <v>733200000000</v>
      </c>
      <c r="G163" s="4" t="str">
        <f>HYPERLINK("http://141.218.60.56/~jnz1568/getInfo.php?workbook=20_05.xlsx&amp;sheet=A0&amp;row=163&amp;col=7&amp;number=0&amp;sourceID=14","0")</f>
        <v>0</v>
      </c>
    </row>
    <row r="164" spans="1:7">
      <c r="A164" s="3">
        <v>20</v>
      </c>
      <c r="B164" s="3">
        <v>5</v>
      </c>
      <c r="C164" s="3">
        <v>34</v>
      </c>
      <c r="D164" s="3">
        <v>2</v>
      </c>
      <c r="E164" s="3">
        <v>-20.9</v>
      </c>
      <c r="F164" s="4" t="str">
        <f>HYPERLINK("http://141.218.60.56/~jnz1568/getInfo.php?workbook=20_05.xlsx&amp;sheet=A0&amp;row=164&amp;col=6&amp;number=190800000000&amp;sourceID=14","190800000000")</f>
        <v>190800000000</v>
      </c>
      <c r="G164" s="4" t="str">
        <f>HYPERLINK("http://141.218.60.56/~jnz1568/getInfo.php?workbook=20_05.xlsx&amp;sheet=A0&amp;row=164&amp;col=7&amp;number=0&amp;sourceID=14","0")</f>
        <v>0</v>
      </c>
    </row>
    <row r="165" spans="1:7">
      <c r="A165" s="3">
        <v>20</v>
      </c>
      <c r="B165" s="3">
        <v>5</v>
      </c>
      <c r="C165" s="3">
        <v>35</v>
      </c>
      <c r="D165" s="3">
        <v>2</v>
      </c>
      <c r="E165" s="3">
        <v>-20.812</v>
      </c>
      <c r="F165" s="4" t="str">
        <f>HYPERLINK("http://141.218.60.56/~jnz1568/getInfo.php?workbook=20_05.xlsx&amp;sheet=A0&amp;row=165&amp;col=6&amp;number=53670000000&amp;sourceID=14","53670000000")</f>
        <v>53670000000</v>
      </c>
      <c r="G165" s="4" t="str">
        <f>HYPERLINK("http://141.218.60.56/~jnz1568/getInfo.php?workbook=20_05.xlsx&amp;sheet=A0&amp;row=165&amp;col=7&amp;number=0&amp;sourceID=14","0")</f>
        <v>0</v>
      </c>
    </row>
    <row r="166" spans="1:7">
      <c r="A166" s="3">
        <v>20</v>
      </c>
      <c r="B166" s="3">
        <v>5</v>
      </c>
      <c r="C166" s="3">
        <v>36</v>
      </c>
      <c r="D166" s="3">
        <v>2</v>
      </c>
      <c r="E166" s="3">
        <v>-20.774</v>
      </c>
      <c r="F166" s="4" t="str">
        <f>HYPERLINK("http://141.218.60.56/~jnz1568/getInfo.php?workbook=20_05.xlsx&amp;sheet=A0&amp;row=166&amp;col=6&amp;number=781100000000&amp;sourceID=14","781100000000")</f>
        <v>781100000000</v>
      </c>
      <c r="G166" s="4" t="str">
        <f>HYPERLINK("http://141.218.60.56/~jnz1568/getInfo.php?workbook=20_05.xlsx&amp;sheet=A0&amp;row=166&amp;col=7&amp;number=0&amp;sourceID=14","0")</f>
        <v>0</v>
      </c>
    </row>
    <row r="167" spans="1:7">
      <c r="A167" s="3">
        <v>20</v>
      </c>
      <c r="B167" s="3">
        <v>5</v>
      </c>
      <c r="C167" s="3">
        <v>37</v>
      </c>
      <c r="D167" s="3">
        <v>2</v>
      </c>
      <c r="E167" s="3">
        <v>-19.901</v>
      </c>
      <c r="F167" s="4" t="str">
        <f>HYPERLINK("http://141.218.60.56/~jnz1568/getInfo.php?workbook=20_05.xlsx&amp;sheet=A0&amp;row=167&amp;col=6&amp;number=543500000000&amp;sourceID=14","543500000000")</f>
        <v>543500000000</v>
      </c>
      <c r="G167" s="4" t="str">
        <f>HYPERLINK("http://141.218.60.56/~jnz1568/getInfo.php?workbook=20_05.xlsx&amp;sheet=A0&amp;row=167&amp;col=7&amp;number=0&amp;sourceID=14","0")</f>
        <v>0</v>
      </c>
    </row>
    <row r="168" spans="1:7">
      <c r="A168" s="3">
        <v>20</v>
      </c>
      <c r="B168" s="3">
        <v>5</v>
      </c>
      <c r="C168" s="3">
        <v>38</v>
      </c>
      <c r="D168" s="3">
        <v>2</v>
      </c>
      <c r="E168" s="3">
        <v>-19.872</v>
      </c>
      <c r="F168" s="4" t="str">
        <f>HYPERLINK("http://141.218.60.56/~jnz1568/getInfo.php?workbook=20_05.xlsx&amp;sheet=A0&amp;row=168&amp;col=6&amp;number=343600000000&amp;sourceID=14","343600000000")</f>
        <v>343600000000</v>
      </c>
      <c r="G168" s="4" t="str">
        <f>HYPERLINK("http://141.218.60.56/~jnz1568/getInfo.php?workbook=20_05.xlsx&amp;sheet=A0&amp;row=168&amp;col=7&amp;number=0&amp;sourceID=14","0")</f>
        <v>0</v>
      </c>
    </row>
    <row r="169" spans="1:7">
      <c r="A169" s="3">
        <v>20</v>
      </c>
      <c r="B169" s="3">
        <v>5</v>
      </c>
      <c r="C169" s="3">
        <v>39</v>
      </c>
      <c r="D169" s="3">
        <v>2</v>
      </c>
      <c r="E169" s="3">
        <v>-19.622</v>
      </c>
      <c r="F169" s="4" t="str">
        <f>HYPERLINK("http://141.218.60.56/~jnz1568/getInfo.php?workbook=20_05.xlsx&amp;sheet=A0&amp;row=169&amp;col=6&amp;number=10560000000&amp;sourceID=14","10560000000")</f>
        <v>10560000000</v>
      </c>
      <c r="G169" s="4" t="str">
        <f>HYPERLINK("http://141.218.60.56/~jnz1568/getInfo.php?workbook=20_05.xlsx&amp;sheet=A0&amp;row=169&amp;col=7&amp;number=0&amp;sourceID=14","0")</f>
        <v>0</v>
      </c>
    </row>
    <row r="170" spans="1:7">
      <c r="A170" s="3">
        <v>20</v>
      </c>
      <c r="B170" s="3">
        <v>5</v>
      </c>
      <c r="C170" s="3">
        <v>40</v>
      </c>
      <c r="D170" s="3">
        <v>2</v>
      </c>
      <c r="E170" s="3">
        <v>-19.331</v>
      </c>
      <c r="F170" s="4" t="str">
        <f>HYPERLINK("http://141.218.60.56/~jnz1568/getInfo.php?workbook=20_05.xlsx&amp;sheet=A0&amp;row=170&amp;col=6&amp;number=194100000000&amp;sourceID=14","194100000000")</f>
        <v>194100000000</v>
      </c>
      <c r="G170" s="4" t="str">
        <f>HYPERLINK("http://141.218.60.56/~jnz1568/getInfo.php?workbook=20_05.xlsx&amp;sheet=A0&amp;row=170&amp;col=7&amp;number=0&amp;sourceID=14","0")</f>
        <v>0</v>
      </c>
    </row>
    <row r="171" spans="1:7">
      <c r="A171" s="3">
        <v>20</v>
      </c>
      <c r="B171" s="3">
        <v>5</v>
      </c>
      <c r="C171" s="3">
        <v>41</v>
      </c>
      <c r="D171" s="3">
        <v>2</v>
      </c>
      <c r="E171" s="3">
        <v>-19.174</v>
      </c>
      <c r="F171" s="4" t="str">
        <f>HYPERLINK("http://141.218.60.56/~jnz1568/getInfo.php?workbook=20_05.xlsx&amp;sheet=A0&amp;row=171&amp;col=6&amp;number=76830000000&amp;sourceID=14","76830000000")</f>
        <v>76830000000</v>
      </c>
      <c r="G171" s="4" t="str">
        <f>HYPERLINK("http://141.218.60.56/~jnz1568/getInfo.php?workbook=20_05.xlsx&amp;sheet=A0&amp;row=171&amp;col=7&amp;number=0&amp;sourceID=14","0")</f>
        <v>0</v>
      </c>
    </row>
    <row r="172" spans="1:7">
      <c r="A172" s="3">
        <v>20</v>
      </c>
      <c r="B172" s="3">
        <v>5</v>
      </c>
      <c r="C172" s="3">
        <v>42</v>
      </c>
      <c r="D172" s="3">
        <v>2</v>
      </c>
      <c r="E172" s="3">
        <v>-18.892</v>
      </c>
      <c r="F172" s="4" t="str">
        <f>HYPERLINK("http://141.218.60.56/~jnz1568/getInfo.php?workbook=20_05.xlsx&amp;sheet=A0&amp;row=172&amp;col=6&amp;number=4300000&amp;sourceID=14","4300000")</f>
        <v>4300000</v>
      </c>
      <c r="G172" s="4" t="str">
        <f>HYPERLINK("http://141.218.60.56/~jnz1568/getInfo.php?workbook=20_05.xlsx&amp;sheet=A0&amp;row=172&amp;col=7&amp;number=0&amp;sourceID=14","0")</f>
        <v>0</v>
      </c>
    </row>
    <row r="173" spans="1:7">
      <c r="A173" s="3">
        <v>20</v>
      </c>
      <c r="B173" s="3">
        <v>5</v>
      </c>
      <c r="C173" s="3">
        <v>43</v>
      </c>
      <c r="D173" s="3">
        <v>2</v>
      </c>
      <c r="E173" s="3">
        <v>-18.79</v>
      </c>
      <c r="F173" s="4" t="str">
        <f>HYPERLINK("http://141.218.60.56/~jnz1568/getInfo.php?workbook=20_05.xlsx&amp;sheet=A0&amp;row=173&amp;col=6&amp;number=15660000000&amp;sourceID=14","15660000000")</f>
        <v>15660000000</v>
      </c>
      <c r="G173" s="4" t="str">
        <f>HYPERLINK("http://141.218.60.56/~jnz1568/getInfo.php?workbook=20_05.xlsx&amp;sheet=A0&amp;row=173&amp;col=7&amp;number=0&amp;sourceID=14","0")</f>
        <v>0</v>
      </c>
    </row>
    <row r="174" spans="1:7">
      <c r="A174" s="3">
        <v>20</v>
      </c>
      <c r="B174" s="3">
        <v>5</v>
      </c>
      <c r="C174" s="3">
        <v>44</v>
      </c>
      <c r="D174" s="3">
        <v>2</v>
      </c>
      <c r="E174" s="3">
        <v>-18.735</v>
      </c>
      <c r="F174" s="4" t="str">
        <f>HYPERLINK("http://141.218.60.56/~jnz1568/getInfo.php?workbook=20_05.xlsx&amp;sheet=A0&amp;row=174&amp;col=6&amp;number=11950000000&amp;sourceID=14","11950000000")</f>
        <v>11950000000</v>
      </c>
      <c r="G174" s="4" t="str">
        <f>HYPERLINK("http://141.218.60.56/~jnz1568/getInfo.php?workbook=20_05.xlsx&amp;sheet=A0&amp;row=174&amp;col=7&amp;number=0&amp;sourceID=14","0")</f>
        <v>0</v>
      </c>
    </row>
    <row r="175" spans="1:7">
      <c r="A175" s="3">
        <v>20</v>
      </c>
      <c r="B175" s="3">
        <v>5</v>
      </c>
      <c r="C175" s="3">
        <v>45</v>
      </c>
      <c r="D175" s="3">
        <v>2</v>
      </c>
      <c r="E175" s="3">
        <v>-18.617</v>
      </c>
      <c r="F175" s="4" t="str">
        <f>HYPERLINK("http://141.218.60.56/~jnz1568/getInfo.php?workbook=20_05.xlsx&amp;sheet=A0&amp;row=175&amp;col=6&amp;number=2780000000&amp;sourceID=14","2780000000")</f>
        <v>2780000000</v>
      </c>
      <c r="G175" s="4" t="str">
        <f>HYPERLINK("http://141.218.60.56/~jnz1568/getInfo.php?workbook=20_05.xlsx&amp;sheet=A0&amp;row=175&amp;col=7&amp;number=0&amp;sourceID=14","0")</f>
        <v>0</v>
      </c>
    </row>
    <row r="176" spans="1:7">
      <c r="A176" s="3">
        <v>20</v>
      </c>
      <c r="B176" s="3">
        <v>5</v>
      </c>
      <c r="C176" s="3">
        <v>46</v>
      </c>
      <c r="D176" s="3">
        <v>2</v>
      </c>
      <c r="E176" s="3">
        <v>-18.437</v>
      </c>
      <c r="F176" s="4" t="str">
        <f>HYPERLINK("http://141.218.60.56/~jnz1568/getInfo.php?workbook=20_05.xlsx&amp;sheet=A0&amp;row=176&amp;col=6&amp;number=24080000000&amp;sourceID=14","24080000000")</f>
        <v>24080000000</v>
      </c>
      <c r="G176" s="4" t="str">
        <f>HYPERLINK("http://141.218.60.56/~jnz1568/getInfo.php?workbook=20_05.xlsx&amp;sheet=A0&amp;row=176&amp;col=7&amp;number=0&amp;sourceID=14","0")</f>
        <v>0</v>
      </c>
    </row>
    <row r="177" spans="1:7">
      <c r="A177" s="3">
        <v>20</v>
      </c>
      <c r="B177" s="3">
        <v>5</v>
      </c>
      <c r="C177" s="3">
        <v>47</v>
      </c>
      <c r="D177" s="3">
        <v>2</v>
      </c>
      <c r="E177" s="3">
        <v>-18.351</v>
      </c>
      <c r="F177" s="4" t="str">
        <f>HYPERLINK("http://141.218.60.56/~jnz1568/getInfo.php?workbook=20_05.xlsx&amp;sheet=A0&amp;row=177&amp;col=6&amp;number=6666000000&amp;sourceID=14","6666000000")</f>
        <v>6666000000</v>
      </c>
      <c r="G177" s="4" t="str">
        <f>HYPERLINK("http://141.218.60.56/~jnz1568/getInfo.php?workbook=20_05.xlsx&amp;sheet=A0&amp;row=177&amp;col=7&amp;number=0&amp;sourceID=14","0")</f>
        <v>0</v>
      </c>
    </row>
    <row r="178" spans="1:7">
      <c r="A178" s="3">
        <v>20</v>
      </c>
      <c r="B178" s="3">
        <v>5</v>
      </c>
      <c r="C178" s="3">
        <v>48</v>
      </c>
      <c r="D178" s="3">
        <v>2</v>
      </c>
      <c r="E178" s="3">
        <v>-18.216</v>
      </c>
      <c r="F178" s="4" t="str">
        <f>HYPERLINK("http://141.218.60.56/~jnz1568/getInfo.php?workbook=20_05.xlsx&amp;sheet=A0&amp;row=178&amp;col=6&amp;number=100200000000&amp;sourceID=14","100200000000")</f>
        <v>100200000000</v>
      </c>
      <c r="G178" s="4" t="str">
        <f>HYPERLINK("http://141.218.60.56/~jnz1568/getInfo.php?workbook=20_05.xlsx&amp;sheet=A0&amp;row=178&amp;col=7&amp;number=0&amp;sourceID=14","0")</f>
        <v>0</v>
      </c>
    </row>
    <row r="179" spans="1:7">
      <c r="A179" s="3">
        <v>20</v>
      </c>
      <c r="B179" s="3">
        <v>5</v>
      </c>
      <c r="C179" s="3">
        <v>49</v>
      </c>
      <c r="D179" s="3">
        <v>2</v>
      </c>
      <c r="E179" s="3">
        <v>-17.779</v>
      </c>
      <c r="F179" s="4" t="str">
        <f>HYPERLINK("http://141.218.60.56/~jnz1568/getInfo.php?workbook=20_05.xlsx&amp;sheet=A0&amp;row=179&amp;col=6&amp;number=2657000000&amp;sourceID=14","2657000000")</f>
        <v>2657000000</v>
      </c>
      <c r="G179" s="4" t="str">
        <f>HYPERLINK("http://141.218.60.56/~jnz1568/getInfo.php?workbook=20_05.xlsx&amp;sheet=A0&amp;row=179&amp;col=7&amp;number=0&amp;sourceID=14","0")</f>
        <v>0</v>
      </c>
    </row>
    <row r="180" spans="1:7">
      <c r="A180" s="3">
        <v>20</v>
      </c>
      <c r="B180" s="3">
        <v>5</v>
      </c>
      <c r="C180" s="3">
        <v>32</v>
      </c>
      <c r="D180" s="3">
        <v>11</v>
      </c>
      <c r="E180" s="3">
        <v>-25.354</v>
      </c>
      <c r="F180" s="4" t="str">
        <f>HYPERLINK("http://141.218.60.56/~jnz1568/getInfo.php?workbook=20_05.xlsx&amp;sheet=A0&amp;row=180&amp;col=6&amp;number=23950000&amp;sourceID=14","23950000")</f>
        <v>23950000</v>
      </c>
      <c r="G180" s="4" t="str">
        <f>HYPERLINK("http://141.218.60.56/~jnz1568/getInfo.php?workbook=20_05.xlsx&amp;sheet=A0&amp;row=180&amp;col=7&amp;number=0&amp;sourceID=14","0")</f>
        <v>0</v>
      </c>
    </row>
    <row r="181" spans="1:7">
      <c r="A181" s="3">
        <v>20</v>
      </c>
      <c r="B181" s="3">
        <v>5</v>
      </c>
      <c r="C181" s="3">
        <v>33</v>
      </c>
      <c r="D181" s="3">
        <v>11</v>
      </c>
      <c r="E181" s="3">
        <v>25.256</v>
      </c>
      <c r="F181" s="4" t="str">
        <f>HYPERLINK("http://141.218.60.56/~jnz1568/getInfo.php?workbook=20_05.xlsx&amp;sheet=A0&amp;row=181&amp;col=6&amp;number=460000000&amp;sourceID=14","460000000")</f>
        <v>460000000</v>
      </c>
      <c r="G181" s="4" t="str">
        <f>HYPERLINK("http://141.218.60.56/~jnz1568/getInfo.php?workbook=20_05.xlsx&amp;sheet=A0&amp;row=181&amp;col=7&amp;number=0&amp;sourceID=14","0")</f>
        <v>0</v>
      </c>
    </row>
    <row r="182" spans="1:7">
      <c r="A182" s="3">
        <v>20</v>
      </c>
      <c r="B182" s="3">
        <v>5</v>
      </c>
      <c r="C182" s="3">
        <v>34</v>
      </c>
      <c r="D182" s="3">
        <v>11</v>
      </c>
      <c r="E182" s="3">
        <v>-25.085</v>
      </c>
      <c r="F182" s="4" t="str">
        <f>HYPERLINK("http://141.218.60.56/~jnz1568/getInfo.php?workbook=20_05.xlsx&amp;sheet=A0&amp;row=182&amp;col=6&amp;number=1150000000&amp;sourceID=14","1150000000")</f>
        <v>1150000000</v>
      </c>
      <c r="G182" s="4" t="str">
        <f>HYPERLINK("http://141.218.60.56/~jnz1568/getInfo.php?workbook=20_05.xlsx&amp;sheet=A0&amp;row=182&amp;col=7&amp;number=0&amp;sourceID=14","0")</f>
        <v>0</v>
      </c>
    </row>
    <row r="183" spans="1:7">
      <c r="A183" s="3">
        <v>20</v>
      </c>
      <c r="B183" s="3">
        <v>5</v>
      </c>
      <c r="C183" s="3">
        <v>35</v>
      </c>
      <c r="D183" s="3">
        <v>11</v>
      </c>
      <c r="E183" s="3">
        <v>-24.959</v>
      </c>
      <c r="F183" s="4" t="str">
        <f>HYPERLINK("http://141.218.60.56/~jnz1568/getInfo.php?workbook=20_05.xlsx&amp;sheet=A0&amp;row=183&amp;col=6&amp;number=5650000000&amp;sourceID=14","5650000000")</f>
        <v>5650000000</v>
      </c>
      <c r="G183" s="4" t="str">
        <f>HYPERLINK("http://141.218.60.56/~jnz1568/getInfo.php?workbook=20_05.xlsx&amp;sheet=A0&amp;row=183&amp;col=7&amp;number=0&amp;sourceID=14","0")</f>
        <v>0</v>
      </c>
    </row>
    <row r="184" spans="1:7">
      <c r="A184" s="3">
        <v>20</v>
      </c>
      <c r="B184" s="3">
        <v>5</v>
      </c>
      <c r="C184" s="3">
        <v>36</v>
      </c>
      <c r="D184" s="3">
        <v>11</v>
      </c>
      <c r="E184" s="3">
        <v>-24.904</v>
      </c>
      <c r="F184" s="4" t="str">
        <f>HYPERLINK("http://141.218.60.56/~jnz1568/getInfo.php?workbook=20_05.xlsx&amp;sheet=A0&amp;row=184&amp;col=6&amp;number=557200000&amp;sourceID=14","557200000")</f>
        <v>557200000</v>
      </c>
      <c r="G184" s="4" t="str">
        <f>HYPERLINK("http://141.218.60.56/~jnz1568/getInfo.php?workbook=20_05.xlsx&amp;sheet=A0&amp;row=184&amp;col=7&amp;number=0&amp;sourceID=14","0")</f>
        <v>0</v>
      </c>
    </row>
    <row r="185" spans="1:7">
      <c r="A185" s="3">
        <v>20</v>
      </c>
      <c r="B185" s="3">
        <v>5</v>
      </c>
      <c r="C185" s="3">
        <v>37</v>
      </c>
      <c r="D185" s="3">
        <v>11</v>
      </c>
      <c r="E185" s="3">
        <v>-23.66</v>
      </c>
      <c r="F185" s="4" t="str">
        <f>HYPERLINK("http://141.218.60.56/~jnz1568/getInfo.php?workbook=20_05.xlsx&amp;sheet=A0&amp;row=185&amp;col=6&amp;number=1273000000&amp;sourceID=14","1273000000")</f>
        <v>1273000000</v>
      </c>
      <c r="G185" s="4" t="str">
        <f>HYPERLINK("http://141.218.60.56/~jnz1568/getInfo.php?workbook=20_05.xlsx&amp;sheet=A0&amp;row=185&amp;col=7&amp;number=0&amp;sourceID=14","0")</f>
        <v>0</v>
      </c>
    </row>
    <row r="186" spans="1:7">
      <c r="A186" s="3">
        <v>20</v>
      </c>
      <c r="B186" s="3">
        <v>5</v>
      </c>
      <c r="C186" s="3">
        <v>38</v>
      </c>
      <c r="D186" s="3">
        <v>11</v>
      </c>
      <c r="E186" s="3">
        <v>-23.618</v>
      </c>
      <c r="F186" s="4" t="str">
        <f>HYPERLINK("http://141.218.60.56/~jnz1568/getInfo.php?workbook=20_05.xlsx&amp;sheet=A0&amp;row=186&amp;col=6&amp;number=1242000000&amp;sourceID=14","1242000000")</f>
        <v>1242000000</v>
      </c>
      <c r="G186" s="4" t="str">
        <f>HYPERLINK("http://141.218.60.56/~jnz1568/getInfo.php?workbook=20_05.xlsx&amp;sheet=A0&amp;row=186&amp;col=7&amp;number=0&amp;sourceID=14","0")</f>
        <v>0</v>
      </c>
    </row>
    <row r="187" spans="1:7">
      <c r="A187" s="3">
        <v>20</v>
      </c>
      <c r="B187" s="3">
        <v>5</v>
      </c>
      <c r="C187" s="3">
        <v>39</v>
      </c>
      <c r="D187" s="3">
        <v>11</v>
      </c>
      <c r="E187" s="3">
        <v>-23.267</v>
      </c>
      <c r="F187" s="4" t="str">
        <f>HYPERLINK("http://141.218.60.56/~jnz1568/getInfo.php?workbook=20_05.xlsx&amp;sheet=A0&amp;row=187&amp;col=6&amp;number=435300000000&amp;sourceID=14","435300000000")</f>
        <v>435300000000</v>
      </c>
      <c r="G187" s="4" t="str">
        <f>HYPERLINK("http://141.218.60.56/~jnz1568/getInfo.php?workbook=20_05.xlsx&amp;sheet=A0&amp;row=187&amp;col=7&amp;number=0&amp;sourceID=14","0")</f>
        <v>0</v>
      </c>
    </row>
    <row r="188" spans="1:7">
      <c r="A188" s="3">
        <v>20</v>
      </c>
      <c r="B188" s="3">
        <v>5</v>
      </c>
      <c r="C188" s="3">
        <v>41</v>
      </c>
      <c r="D188" s="3">
        <v>11</v>
      </c>
      <c r="E188" s="3">
        <v>-22.639</v>
      </c>
      <c r="F188" s="4" t="str">
        <f>HYPERLINK("http://141.218.60.56/~jnz1568/getInfo.php?workbook=20_05.xlsx&amp;sheet=A0&amp;row=188&amp;col=6&amp;number=2369000000&amp;sourceID=14","2369000000")</f>
        <v>2369000000</v>
      </c>
      <c r="G188" s="4" t="str">
        <f>HYPERLINK("http://141.218.60.56/~jnz1568/getInfo.php?workbook=20_05.xlsx&amp;sheet=A0&amp;row=188&amp;col=7&amp;number=0&amp;sourceID=14","0")</f>
        <v>0</v>
      </c>
    </row>
    <row r="189" spans="1:7">
      <c r="A189" s="3">
        <v>20</v>
      </c>
      <c r="B189" s="3">
        <v>5</v>
      </c>
      <c r="C189" s="3">
        <v>42</v>
      </c>
      <c r="D189" s="3">
        <v>11</v>
      </c>
      <c r="E189" s="3">
        <v>-22.247</v>
      </c>
      <c r="F189" s="4" t="str">
        <f>HYPERLINK("http://141.218.60.56/~jnz1568/getInfo.php?workbook=20_05.xlsx&amp;sheet=A0&amp;row=189&amp;col=6&amp;number=18660000000&amp;sourceID=14","18660000000")</f>
        <v>18660000000</v>
      </c>
      <c r="G189" s="4" t="str">
        <f>HYPERLINK("http://141.218.60.56/~jnz1568/getInfo.php?workbook=20_05.xlsx&amp;sheet=A0&amp;row=189&amp;col=7&amp;number=0&amp;sourceID=14","0")</f>
        <v>0</v>
      </c>
    </row>
    <row r="190" spans="1:7">
      <c r="A190" s="3">
        <v>20</v>
      </c>
      <c r="B190" s="3">
        <v>5</v>
      </c>
      <c r="C190" s="3">
        <v>43</v>
      </c>
      <c r="D190" s="3">
        <v>11</v>
      </c>
      <c r="E190" s="3">
        <v>-22.106</v>
      </c>
      <c r="F190" s="4" t="str">
        <f>HYPERLINK("http://141.218.60.56/~jnz1568/getInfo.php?workbook=20_05.xlsx&amp;sheet=A0&amp;row=190&amp;col=6&amp;number=286600000000&amp;sourceID=14","286600000000")</f>
        <v>286600000000</v>
      </c>
      <c r="G190" s="4" t="str">
        <f>HYPERLINK("http://141.218.60.56/~jnz1568/getInfo.php?workbook=20_05.xlsx&amp;sheet=A0&amp;row=190&amp;col=7&amp;number=0&amp;sourceID=14","0")</f>
        <v>0</v>
      </c>
    </row>
    <row r="191" spans="1:7">
      <c r="A191" s="3">
        <v>20</v>
      </c>
      <c r="B191" s="3">
        <v>5</v>
      </c>
      <c r="C191" s="3">
        <v>44</v>
      </c>
      <c r="D191" s="3">
        <v>11</v>
      </c>
      <c r="E191" s="3">
        <v>-22.031</v>
      </c>
      <c r="F191" s="4" t="str">
        <f>HYPERLINK("http://141.218.60.56/~jnz1568/getInfo.php?workbook=20_05.xlsx&amp;sheet=A0&amp;row=191&amp;col=6&amp;number=177400000000&amp;sourceID=14","177400000000")</f>
        <v>177400000000</v>
      </c>
      <c r="G191" s="4" t="str">
        <f>HYPERLINK("http://141.218.60.56/~jnz1568/getInfo.php?workbook=20_05.xlsx&amp;sheet=A0&amp;row=191&amp;col=7&amp;number=0&amp;sourceID=14","0")</f>
        <v>0</v>
      </c>
    </row>
    <row r="192" spans="1:7">
      <c r="A192" s="3">
        <v>20</v>
      </c>
      <c r="B192" s="3">
        <v>5</v>
      </c>
      <c r="C192" s="3">
        <v>45</v>
      </c>
      <c r="D192" s="3">
        <v>11</v>
      </c>
      <c r="E192" s="3">
        <v>-21.868</v>
      </c>
      <c r="F192" s="4" t="str">
        <f>HYPERLINK("http://141.218.60.56/~jnz1568/getInfo.php?workbook=20_05.xlsx&amp;sheet=A0&amp;row=192&amp;col=6&amp;number=7339000000000&amp;sourceID=14","7339000000000")</f>
        <v>7339000000000</v>
      </c>
      <c r="G192" s="4" t="str">
        <f>HYPERLINK("http://141.218.60.56/~jnz1568/getInfo.php?workbook=20_05.xlsx&amp;sheet=A0&amp;row=192&amp;col=7&amp;number=0&amp;sourceID=14","0")</f>
        <v>0</v>
      </c>
    </row>
    <row r="193" spans="1:7">
      <c r="A193" s="3">
        <v>20</v>
      </c>
      <c r="B193" s="3">
        <v>5</v>
      </c>
      <c r="C193" s="3">
        <v>46</v>
      </c>
      <c r="D193" s="3">
        <v>11</v>
      </c>
      <c r="E193" s="3">
        <v>-21.62</v>
      </c>
      <c r="F193" s="4" t="str">
        <f>HYPERLINK("http://141.218.60.56/~jnz1568/getInfo.php?workbook=20_05.xlsx&amp;sheet=A0&amp;row=193&amp;col=6&amp;number=7243000000&amp;sourceID=14","7243000000")</f>
        <v>7243000000</v>
      </c>
      <c r="G193" s="4" t="str">
        <f>HYPERLINK("http://141.218.60.56/~jnz1568/getInfo.php?workbook=20_05.xlsx&amp;sheet=A0&amp;row=193&amp;col=7&amp;number=0&amp;sourceID=14","0")</f>
        <v>0</v>
      </c>
    </row>
    <row r="194" spans="1:7">
      <c r="A194" s="3">
        <v>20</v>
      </c>
      <c r="B194" s="3">
        <v>5</v>
      </c>
      <c r="C194" s="3">
        <v>47</v>
      </c>
      <c r="D194" s="3">
        <v>11</v>
      </c>
      <c r="E194" s="3">
        <v>-21.501</v>
      </c>
      <c r="F194" s="4" t="str">
        <f>HYPERLINK("http://141.218.60.56/~jnz1568/getInfo.php?workbook=20_05.xlsx&amp;sheet=A0&amp;row=194&amp;col=6&amp;number=18250000000&amp;sourceID=14","18250000000")</f>
        <v>18250000000</v>
      </c>
      <c r="G194" s="4" t="str">
        <f>HYPERLINK("http://141.218.60.56/~jnz1568/getInfo.php?workbook=20_05.xlsx&amp;sheet=A0&amp;row=194&amp;col=7&amp;number=0&amp;sourceID=14","0")</f>
        <v>0</v>
      </c>
    </row>
    <row r="195" spans="1:7">
      <c r="A195" s="3">
        <v>20</v>
      </c>
      <c r="B195" s="3">
        <v>5</v>
      </c>
      <c r="C195" s="3">
        <v>48</v>
      </c>
      <c r="D195" s="3">
        <v>11</v>
      </c>
      <c r="E195" s="3">
        <v>-21.316</v>
      </c>
      <c r="F195" s="4" t="str">
        <f>HYPERLINK("http://141.218.60.56/~jnz1568/getInfo.php?workbook=20_05.xlsx&amp;sheet=A0&amp;row=195&amp;col=6&amp;number=35680000000&amp;sourceID=14","35680000000")</f>
        <v>35680000000</v>
      </c>
      <c r="G195" s="4" t="str">
        <f>HYPERLINK("http://141.218.60.56/~jnz1568/getInfo.php?workbook=20_05.xlsx&amp;sheet=A0&amp;row=195&amp;col=7&amp;number=0&amp;sourceID=14","0")</f>
        <v>0</v>
      </c>
    </row>
    <row r="196" spans="1:7">
      <c r="A196" s="3">
        <v>20</v>
      </c>
      <c r="B196" s="3">
        <v>5</v>
      </c>
      <c r="C196" s="3">
        <v>49</v>
      </c>
      <c r="D196" s="3">
        <v>11</v>
      </c>
      <c r="E196" s="3">
        <v>-20.72</v>
      </c>
      <c r="F196" s="4" t="str">
        <f>HYPERLINK("http://141.218.60.56/~jnz1568/getInfo.php?workbook=20_05.xlsx&amp;sheet=A0&amp;row=196&amp;col=6&amp;number=101300000&amp;sourceID=14","101300000")</f>
        <v>101300000</v>
      </c>
      <c r="G196" s="4" t="str">
        <f>HYPERLINK("http://141.218.60.56/~jnz1568/getInfo.php?workbook=20_05.xlsx&amp;sheet=A0&amp;row=196&amp;col=7&amp;number=0&amp;sourceID=14","0")</f>
        <v>0</v>
      </c>
    </row>
    <row r="197" spans="1:7">
      <c r="A197" s="3">
        <v>20</v>
      </c>
      <c r="B197" s="3">
        <v>5</v>
      </c>
      <c r="C197" s="3">
        <v>31</v>
      </c>
      <c r="D197" s="3">
        <v>12</v>
      </c>
      <c r="E197" s="3">
        <v>26.867</v>
      </c>
      <c r="F197" s="4" t="str">
        <f>HYPERLINK("http://141.218.60.56/~jnz1568/getInfo.php?workbook=20_05.xlsx&amp;sheet=A0&amp;row=197&amp;col=6&amp;number=252700000&amp;sourceID=14","252700000")</f>
        <v>252700000</v>
      </c>
      <c r="G197" s="4" t="str">
        <f>HYPERLINK("http://141.218.60.56/~jnz1568/getInfo.php?workbook=20_05.xlsx&amp;sheet=A0&amp;row=197&amp;col=7&amp;number=0&amp;sourceID=14","0")</f>
        <v>0</v>
      </c>
    </row>
    <row r="198" spans="1:7">
      <c r="A198" s="3">
        <v>20</v>
      </c>
      <c r="B198" s="3">
        <v>5</v>
      </c>
      <c r="C198" s="3">
        <v>32</v>
      </c>
      <c r="D198" s="3">
        <v>12</v>
      </c>
      <c r="E198" s="3">
        <v>-26.049</v>
      </c>
      <c r="F198" s="4" t="str">
        <f>HYPERLINK("http://141.218.60.56/~jnz1568/getInfo.php?workbook=20_05.xlsx&amp;sheet=A0&amp;row=198&amp;col=6&amp;number=108600000&amp;sourceID=14","108600000")</f>
        <v>108600000</v>
      </c>
      <c r="G198" s="4" t="str">
        <f>HYPERLINK("http://141.218.60.56/~jnz1568/getInfo.php?workbook=20_05.xlsx&amp;sheet=A0&amp;row=198&amp;col=7&amp;number=0&amp;sourceID=14","0")</f>
        <v>0</v>
      </c>
    </row>
    <row r="199" spans="1:7">
      <c r="A199" s="3">
        <v>20</v>
      </c>
      <c r="B199" s="3">
        <v>5</v>
      </c>
      <c r="C199" s="3">
        <v>33</v>
      </c>
      <c r="D199" s="3">
        <v>12</v>
      </c>
      <c r="E199" s="3">
        <v>25.947</v>
      </c>
      <c r="F199" s="4" t="str">
        <f>HYPERLINK("http://141.218.60.56/~jnz1568/getInfo.php?workbook=20_05.xlsx&amp;sheet=A0&amp;row=199&amp;col=6&amp;number=31420000&amp;sourceID=14","31420000")</f>
        <v>31420000</v>
      </c>
      <c r="G199" s="4" t="str">
        <f>HYPERLINK("http://141.218.60.56/~jnz1568/getInfo.php?workbook=20_05.xlsx&amp;sheet=A0&amp;row=199&amp;col=7&amp;number=0&amp;sourceID=14","0")</f>
        <v>0</v>
      </c>
    </row>
    <row r="200" spans="1:7">
      <c r="A200" s="3">
        <v>20</v>
      </c>
      <c r="B200" s="3">
        <v>5</v>
      </c>
      <c r="C200" s="3">
        <v>35</v>
      </c>
      <c r="D200" s="3">
        <v>12</v>
      </c>
      <c r="E200" s="3">
        <v>-25.631</v>
      </c>
      <c r="F200" s="4" t="str">
        <f>HYPERLINK("http://141.218.60.56/~jnz1568/getInfo.php?workbook=20_05.xlsx&amp;sheet=A0&amp;row=200&amp;col=6&amp;number=977900000&amp;sourceID=14","977900000")</f>
        <v>977900000</v>
      </c>
      <c r="G200" s="4" t="str">
        <f>HYPERLINK("http://141.218.60.56/~jnz1568/getInfo.php?workbook=20_05.xlsx&amp;sheet=A0&amp;row=200&amp;col=7&amp;number=0&amp;sourceID=14","0")</f>
        <v>0</v>
      </c>
    </row>
    <row r="201" spans="1:7">
      <c r="A201" s="3">
        <v>20</v>
      </c>
      <c r="B201" s="3">
        <v>5</v>
      </c>
      <c r="C201" s="3">
        <v>36</v>
      </c>
      <c r="D201" s="3">
        <v>12</v>
      </c>
      <c r="E201" s="3">
        <v>-25.574</v>
      </c>
      <c r="F201" s="4" t="str">
        <f>HYPERLINK("http://141.218.60.56/~jnz1568/getInfo.php?workbook=20_05.xlsx&amp;sheet=A0&amp;row=201&amp;col=6&amp;number=12930000000&amp;sourceID=14","12930000000")</f>
        <v>12930000000</v>
      </c>
      <c r="G201" s="4" t="str">
        <f>HYPERLINK("http://141.218.60.56/~jnz1568/getInfo.php?workbook=20_05.xlsx&amp;sheet=A0&amp;row=201&amp;col=7&amp;number=0&amp;sourceID=14","0")</f>
        <v>0</v>
      </c>
    </row>
    <row r="202" spans="1:7">
      <c r="A202" s="3">
        <v>20</v>
      </c>
      <c r="B202" s="3">
        <v>5</v>
      </c>
      <c r="C202" s="3">
        <v>37</v>
      </c>
      <c r="D202" s="3">
        <v>12</v>
      </c>
      <c r="E202" s="3">
        <v>-24.264</v>
      </c>
      <c r="F202" s="4" t="str">
        <f>HYPERLINK("http://141.218.60.56/~jnz1568/getInfo.php?workbook=20_05.xlsx&amp;sheet=A0&amp;row=202&amp;col=6&amp;number=506600000&amp;sourceID=14","506600000")</f>
        <v>506600000</v>
      </c>
      <c r="G202" s="4" t="str">
        <f>HYPERLINK("http://141.218.60.56/~jnz1568/getInfo.php?workbook=20_05.xlsx&amp;sheet=A0&amp;row=202&amp;col=7&amp;number=0&amp;sourceID=14","0")</f>
        <v>0</v>
      </c>
    </row>
    <row r="203" spans="1:7">
      <c r="A203" s="3">
        <v>20</v>
      </c>
      <c r="B203" s="3">
        <v>5</v>
      </c>
      <c r="C203" s="3">
        <v>38</v>
      </c>
      <c r="D203" s="3">
        <v>12</v>
      </c>
      <c r="E203" s="3">
        <v>-24.22</v>
      </c>
      <c r="F203" s="4" t="str">
        <f>HYPERLINK("http://141.218.60.56/~jnz1568/getInfo.php?workbook=20_05.xlsx&amp;sheet=A0&amp;row=203&amp;col=6&amp;number=4634000000&amp;sourceID=14","4634000000")</f>
        <v>4634000000</v>
      </c>
      <c r="G203" s="4" t="str">
        <f>HYPERLINK("http://141.218.60.56/~jnz1568/getInfo.php?workbook=20_05.xlsx&amp;sheet=A0&amp;row=203&amp;col=7&amp;number=0&amp;sourceID=14","0")</f>
        <v>0</v>
      </c>
    </row>
    <row r="204" spans="1:7">
      <c r="A204" s="3">
        <v>20</v>
      </c>
      <c r="B204" s="3">
        <v>5</v>
      </c>
      <c r="C204" s="3">
        <v>39</v>
      </c>
      <c r="D204" s="3">
        <v>12</v>
      </c>
      <c r="E204" s="3">
        <v>-23.851</v>
      </c>
      <c r="F204" s="4" t="str">
        <f>HYPERLINK("http://141.218.60.56/~jnz1568/getInfo.php?workbook=20_05.xlsx&amp;sheet=A0&amp;row=204&amp;col=6&amp;number=4640000000&amp;sourceID=14","4640000000")</f>
        <v>4640000000</v>
      </c>
      <c r="G204" s="4" t="str">
        <f>HYPERLINK("http://141.218.60.56/~jnz1568/getInfo.php?workbook=20_05.xlsx&amp;sheet=A0&amp;row=204&amp;col=7&amp;number=0&amp;sourceID=14","0")</f>
        <v>0</v>
      </c>
    </row>
    <row r="205" spans="1:7">
      <c r="A205" s="3">
        <v>20</v>
      </c>
      <c r="B205" s="3">
        <v>5</v>
      </c>
      <c r="C205" s="3">
        <v>40</v>
      </c>
      <c r="D205" s="3">
        <v>12</v>
      </c>
      <c r="E205" s="3">
        <v>-23.422</v>
      </c>
      <c r="F205" s="4" t="str">
        <f>HYPERLINK("http://141.218.60.56/~jnz1568/getInfo.php?workbook=20_05.xlsx&amp;sheet=A0&amp;row=205&amp;col=6&amp;number=30790000000&amp;sourceID=14","30790000000")</f>
        <v>30790000000</v>
      </c>
      <c r="G205" s="4" t="str">
        <f>HYPERLINK("http://141.218.60.56/~jnz1568/getInfo.php?workbook=20_05.xlsx&amp;sheet=A0&amp;row=205&amp;col=7&amp;number=0&amp;sourceID=14","0")</f>
        <v>0</v>
      </c>
    </row>
    <row r="206" spans="1:7">
      <c r="A206" s="3">
        <v>20</v>
      </c>
      <c r="B206" s="3">
        <v>5</v>
      </c>
      <c r="C206" s="3">
        <v>41</v>
      </c>
      <c r="D206" s="3">
        <v>12</v>
      </c>
      <c r="E206" s="3">
        <v>-23.191</v>
      </c>
      <c r="F206" s="4" t="str">
        <f>HYPERLINK("http://141.218.60.56/~jnz1568/getInfo.php?workbook=20_05.xlsx&amp;sheet=A0&amp;row=206&amp;col=6&amp;number=453400000000&amp;sourceID=14","453400000000")</f>
        <v>453400000000</v>
      </c>
      <c r="G206" s="4" t="str">
        <f>HYPERLINK("http://141.218.60.56/~jnz1568/getInfo.php?workbook=20_05.xlsx&amp;sheet=A0&amp;row=206&amp;col=7&amp;number=0&amp;sourceID=14","0")</f>
        <v>0</v>
      </c>
    </row>
    <row r="207" spans="1:7">
      <c r="A207" s="3">
        <v>20</v>
      </c>
      <c r="B207" s="3">
        <v>5</v>
      </c>
      <c r="C207" s="3">
        <v>42</v>
      </c>
      <c r="D207" s="3">
        <v>12</v>
      </c>
      <c r="E207" s="3">
        <v>-22.78</v>
      </c>
      <c r="F207" s="4" t="str">
        <f>HYPERLINK("http://141.218.60.56/~jnz1568/getInfo.php?workbook=20_05.xlsx&amp;sheet=A0&amp;row=207&amp;col=6&amp;number=51010000000&amp;sourceID=14","51010000000")</f>
        <v>51010000000</v>
      </c>
      <c r="G207" s="4" t="str">
        <f>HYPERLINK("http://141.218.60.56/~jnz1568/getInfo.php?workbook=20_05.xlsx&amp;sheet=A0&amp;row=207&amp;col=7&amp;number=0&amp;sourceID=14","0")</f>
        <v>0</v>
      </c>
    </row>
    <row r="208" spans="1:7">
      <c r="A208" s="3">
        <v>20</v>
      </c>
      <c r="B208" s="3">
        <v>5</v>
      </c>
      <c r="C208" s="3">
        <v>43</v>
      </c>
      <c r="D208" s="3">
        <v>12</v>
      </c>
      <c r="E208" s="3">
        <v>-22.632</v>
      </c>
      <c r="F208" s="4" t="str">
        <f>HYPERLINK("http://141.218.60.56/~jnz1568/getInfo.php?workbook=20_05.xlsx&amp;sheet=A0&amp;row=208&amp;col=6&amp;number=167300000000&amp;sourceID=14","167300000000")</f>
        <v>167300000000</v>
      </c>
      <c r="G208" s="4" t="str">
        <f>HYPERLINK("http://141.218.60.56/~jnz1568/getInfo.php?workbook=20_05.xlsx&amp;sheet=A0&amp;row=208&amp;col=7&amp;number=0&amp;sourceID=14","0")</f>
        <v>0</v>
      </c>
    </row>
    <row r="209" spans="1:7">
      <c r="A209" s="3">
        <v>20</v>
      </c>
      <c r="B209" s="3">
        <v>5</v>
      </c>
      <c r="C209" s="3">
        <v>44</v>
      </c>
      <c r="D209" s="3">
        <v>12</v>
      </c>
      <c r="E209" s="3">
        <v>-22.553</v>
      </c>
      <c r="F209" s="4" t="str">
        <f>HYPERLINK("http://141.218.60.56/~jnz1568/getInfo.php?workbook=20_05.xlsx&amp;sheet=A0&amp;row=209&amp;col=6&amp;number=376400000000&amp;sourceID=14","376400000000")</f>
        <v>376400000000</v>
      </c>
      <c r="G209" s="4" t="str">
        <f>HYPERLINK("http://141.218.60.56/~jnz1568/getInfo.php?workbook=20_05.xlsx&amp;sheet=A0&amp;row=209&amp;col=7&amp;number=0&amp;sourceID=14","0")</f>
        <v>0</v>
      </c>
    </row>
    <row r="210" spans="1:7">
      <c r="A210" s="3">
        <v>20</v>
      </c>
      <c r="B210" s="3">
        <v>5</v>
      </c>
      <c r="C210" s="3">
        <v>45</v>
      </c>
      <c r="D210" s="3">
        <v>12</v>
      </c>
      <c r="E210" s="3">
        <v>-22.382</v>
      </c>
      <c r="F210" s="4" t="str">
        <f>HYPERLINK("http://141.218.60.56/~jnz1568/getInfo.php?workbook=20_05.xlsx&amp;sheet=A0&amp;row=210&amp;col=6&amp;number=2103000000&amp;sourceID=14","2103000000")</f>
        <v>2103000000</v>
      </c>
      <c r="G210" s="4" t="str">
        <f>HYPERLINK("http://141.218.60.56/~jnz1568/getInfo.php?workbook=20_05.xlsx&amp;sheet=A0&amp;row=210&amp;col=7&amp;number=0&amp;sourceID=14","0")</f>
        <v>0</v>
      </c>
    </row>
    <row r="211" spans="1:7">
      <c r="A211" s="3">
        <v>20</v>
      </c>
      <c r="B211" s="3">
        <v>5</v>
      </c>
      <c r="C211" s="3">
        <v>46</v>
      </c>
      <c r="D211" s="3">
        <v>12</v>
      </c>
      <c r="E211" s="3">
        <v>-22.123</v>
      </c>
      <c r="F211" s="4" t="str">
        <f>HYPERLINK("http://141.218.60.56/~jnz1568/getInfo.php?workbook=20_05.xlsx&amp;sheet=A0&amp;row=211&amp;col=6&amp;number=1031000000000&amp;sourceID=14","1031000000000")</f>
        <v>1031000000000</v>
      </c>
      <c r="G211" s="4" t="str">
        <f>HYPERLINK("http://141.218.60.56/~jnz1568/getInfo.php?workbook=20_05.xlsx&amp;sheet=A0&amp;row=211&amp;col=7&amp;number=0&amp;sourceID=14","0")</f>
        <v>0</v>
      </c>
    </row>
    <row r="212" spans="1:7">
      <c r="A212" s="3">
        <v>20</v>
      </c>
      <c r="B212" s="3">
        <v>5</v>
      </c>
      <c r="C212" s="3">
        <v>47</v>
      </c>
      <c r="D212" s="3">
        <v>12</v>
      </c>
      <c r="E212" s="3">
        <v>-21.998</v>
      </c>
      <c r="F212" s="4" t="str">
        <f>HYPERLINK("http://141.218.60.56/~jnz1568/getInfo.php?workbook=20_05.xlsx&amp;sheet=A0&amp;row=212&amp;col=6&amp;number=3229000000000&amp;sourceID=14","3229000000000")</f>
        <v>3229000000000</v>
      </c>
      <c r="G212" s="4" t="str">
        <f>HYPERLINK("http://141.218.60.56/~jnz1568/getInfo.php?workbook=20_05.xlsx&amp;sheet=A0&amp;row=212&amp;col=7&amp;number=0&amp;sourceID=14","0")</f>
        <v>0</v>
      </c>
    </row>
    <row r="213" spans="1:7">
      <c r="A213" s="3">
        <v>20</v>
      </c>
      <c r="B213" s="3">
        <v>5</v>
      </c>
      <c r="C213" s="3">
        <v>48</v>
      </c>
      <c r="D213" s="3">
        <v>12</v>
      </c>
      <c r="E213" s="3">
        <v>-21.805</v>
      </c>
      <c r="F213" s="4" t="str">
        <f>HYPERLINK("http://141.218.60.56/~jnz1568/getInfo.php?workbook=20_05.xlsx&amp;sheet=A0&amp;row=213&amp;col=6&amp;number=45120000000&amp;sourceID=14","45120000000")</f>
        <v>45120000000</v>
      </c>
      <c r="G213" s="4" t="str">
        <f>HYPERLINK("http://141.218.60.56/~jnz1568/getInfo.php?workbook=20_05.xlsx&amp;sheet=A0&amp;row=213&amp;col=7&amp;number=0&amp;sourceID=14","0")</f>
        <v>0</v>
      </c>
    </row>
    <row r="214" spans="1:7">
      <c r="A214" s="3">
        <v>20</v>
      </c>
      <c r="B214" s="3">
        <v>5</v>
      </c>
      <c r="C214" s="3">
        <v>49</v>
      </c>
      <c r="D214" s="3">
        <v>12</v>
      </c>
      <c r="E214" s="3">
        <v>-21.182</v>
      </c>
      <c r="F214" s="4" t="str">
        <f>HYPERLINK("http://141.218.60.56/~jnz1568/getInfo.php?workbook=20_05.xlsx&amp;sheet=A0&amp;row=214&amp;col=6&amp;number=73550000000&amp;sourceID=14","73550000000")</f>
        <v>73550000000</v>
      </c>
      <c r="G214" s="4" t="str">
        <f>HYPERLINK("http://141.218.60.56/~jnz1568/getInfo.php?workbook=20_05.xlsx&amp;sheet=A0&amp;row=214&amp;col=7&amp;number=0&amp;sourceID=14","0")</f>
        <v>0</v>
      </c>
    </row>
    <row r="215" spans="1:7">
      <c r="A215" s="3">
        <v>20</v>
      </c>
      <c r="B215" s="3">
        <v>5</v>
      </c>
      <c r="C215" s="3">
        <v>34</v>
      </c>
      <c r="D215" s="3">
        <v>15</v>
      </c>
      <c r="E215" s="3">
        <v>-26.601</v>
      </c>
      <c r="F215" s="4" t="str">
        <f>HYPERLINK("http://141.218.60.56/~jnz1568/getInfo.php?workbook=20_05.xlsx&amp;sheet=A0&amp;row=215&amp;col=6&amp;number=19080000&amp;sourceID=14","19080000")</f>
        <v>19080000</v>
      </c>
      <c r="G215" s="4" t="str">
        <f>HYPERLINK("http://141.218.60.56/~jnz1568/getInfo.php?workbook=20_05.xlsx&amp;sheet=A0&amp;row=215&amp;col=7&amp;number=0&amp;sourceID=14","0")</f>
        <v>0</v>
      </c>
    </row>
    <row r="216" spans="1:7">
      <c r="A216" s="3">
        <v>20</v>
      </c>
      <c r="B216" s="3">
        <v>5</v>
      </c>
      <c r="C216" s="3">
        <v>35</v>
      </c>
      <c r="D216" s="3">
        <v>15</v>
      </c>
      <c r="E216" s="3">
        <v>-26.459</v>
      </c>
      <c r="F216" s="4" t="str">
        <f>HYPERLINK("http://141.218.60.56/~jnz1568/getInfo.php?workbook=20_05.xlsx&amp;sheet=A0&amp;row=216&amp;col=6&amp;number=27730000&amp;sourceID=14","27730000")</f>
        <v>27730000</v>
      </c>
      <c r="G216" s="4" t="str">
        <f>HYPERLINK("http://141.218.60.56/~jnz1568/getInfo.php?workbook=20_05.xlsx&amp;sheet=A0&amp;row=216&amp;col=7&amp;number=0&amp;sourceID=14","0")</f>
        <v>0</v>
      </c>
    </row>
    <row r="217" spans="1:7">
      <c r="A217" s="3">
        <v>20</v>
      </c>
      <c r="B217" s="3">
        <v>5</v>
      </c>
      <c r="C217" s="3">
        <v>37</v>
      </c>
      <c r="D217" s="3">
        <v>15</v>
      </c>
      <c r="E217" s="3">
        <v>-25.005</v>
      </c>
      <c r="F217" s="4" t="str">
        <f>HYPERLINK("http://141.218.60.56/~jnz1568/getInfo.php?workbook=20_05.xlsx&amp;sheet=A0&amp;row=217&amp;col=6&amp;number=11360000000&amp;sourceID=14","11360000000")</f>
        <v>11360000000</v>
      </c>
      <c r="G217" s="4" t="str">
        <f>HYPERLINK("http://141.218.60.56/~jnz1568/getInfo.php?workbook=20_05.xlsx&amp;sheet=A0&amp;row=217&amp;col=7&amp;number=0&amp;sourceID=14","0")</f>
        <v>0</v>
      </c>
    </row>
    <row r="218" spans="1:7">
      <c r="A218" s="3">
        <v>20</v>
      </c>
      <c r="B218" s="3">
        <v>5</v>
      </c>
      <c r="C218" s="3">
        <v>38</v>
      </c>
      <c r="D218" s="3">
        <v>15</v>
      </c>
      <c r="E218" s="3">
        <v>-24.957</v>
      </c>
      <c r="F218" s="4" t="str">
        <f>HYPERLINK("http://141.218.60.56/~jnz1568/getInfo.php?workbook=20_05.xlsx&amp;sheet=A0&amp;row=218&amp;col=6&amp;number=32760000000&amp;sourceID=14","32760000000")</f>
        <v>32760000000</v>
      </c>
      <c r="G218" s="4" t="str">
        <f>HYPERLINK("http://141.218.60.56/~jnz1568/getInfo.php?workbook=20_05.xlsx&amp;sheet=A0&amp;row=218&amp;col=7&amp;number=0&amp;sourceID=14","0")</f>
        <v>0</v>
      </c>
    </row>
    <row r="219" spans="1:7">
      <c r="A219" s="3">
        <v>20</v>
      </c>
      <c r="B219" s="3">
        <v>5</v>
      </c>
      <c r="C219" s="3">
        <v>39</v>
      </c>
      <c r="D219" s="3">
        <v>15</v>
      </c>
      <c r="E219" s="3">
        <v>-24.566</v>
      </c>
      <c r="F219" s="4" t="str">
        <f>HYPERLINK("http://141.218.60.56/~jnz1568/getInfo.php?workbook=20_05.xlsx&amp;sheet=A0&amp;row=219&amp;col=6&amp;number=12060000&amp;sourceID=14","12060000")</f>
        <v>12060000</v>
      </c>
      <c r="G219" s="4" t="str">
        <f>HYPERLINK("http://141.218.60.56/~jnz1568/getInfo.php?workbook=20_05.xlsx&amp;sheet=A0&amp;row=219&amp;col=7&amp;number=0&amp;sourceID=14","0")</f>
        <v>0</v>
      </c>
    </row>
    <row r="220" spans="1:7">
      <c r="A220" s="3">
        <v>20</v>
      </c>
      <c r="B220" s="3">
        <v>5</v>
      </c>
      <c r="C220" s="3">
        <v>40</v>
      </c>
      <c r="D220" s="3">
        <v>15</v>
      </c>
      <c r="E220" s="3">
        <v>-24.111</v>
      </c>
      <c r="F220" s="4" t="str">
        <f>HYPERLINK("http://141.218.60.56/~jnz1568/getInfo.php?workbook=20_05.xlsx&amp;sheet=A0&amp;row=220&amp;col=6&amp;number=124000000000&amp;sourceID=14","124000000000")</f>
        <v>124000000000</v>
      </c>
      <c r="G220" s="4" t="str">
        <f>HYPERLINK("http://141.218.60.56/~jnz1568/getInfo.php?workbook=20_05.xlsx&amp;sheet=A0&amp;row=220&amp;col=7&amp;number=0&amp;sourceID=14","0")</f>
        <v>0</v>
      </c>
    </row>
    <row r="221" spans="1:7">
      <c r="A221" s="3">
        <v>20</v>
      </c>
      <c r="B221" s="3">
        <v>5</v>
      </c>
      <c r="C221" s="3">
        <v>41</v>
      </c>
      <c r="D221" s="3">
        <v>15</v>
      </c>
      <c r="E221" s="3">
        <v>-23.867</v>
      </c>
      <c r="F221" s="4" t="str">
        <f>HYPERLINK("http://141.218.60.56/~jnz1568/getInfo.php?workbook=20_05.xlsx&amp;sheet=A0&amp;row=221&amp;col=6&amp;number=257000000000&amp;sourceID=14","257000000000")</f>
        <v>257000000000</v>
      </c>
      <c r="G221" s="4" t="str">
        <f>HYPERLINK("http://141.218.60.56/~jnz1568/getInfo.php?workbook=20_05.xlsx&amp;sheet=A0&amp;row=221&amp;col=7&amp;number=0&amp;sourceID=14","0")</f>
        <v>0</v>
      </c>
    </row>
    <row r="222" spans="1:7">
      <c r="A222" s="3">
        <v>20</v>
      </c>
      <c r="B222" s="3">
        <v>5</v>
      </c>
      <c r="C222" s="3">
        <v>42</v>
      </c>
      <c r="D222" s="3">
        <v>15</v>
      </c>
      <c r="E222" s="3">
        <v>-23.431</v>
      </c>
      <c r="F222" s="4" t="str">
        <f>HYPERLINK("http://141.218.60.56/~jnz1568/getInfo.php?workbook=20_05.xlsx&amp;sheet=A0&amp;row=222&amp;col=6&amp;number=8965000000&amp;sourceID=14","8965000000")</f>
        <v>8965000000</v>
      </c>
      <c r="G222" s="4" t="str">
        <f>HYPERLINK("http://141.218.60.56/~jnz1568/getInfo.php?workbook=20_05.xlsx&amp;sheet=A0&amp;row=222&amp;col=7&amp;number=0&amp;sourceID=14","0")</f>
        <v>0</v>
      </c>
    </row>
    <row r="223" spans="1:7">
      <c r="A223" s="3">
        <v>20</v>
      </c>
      <c r="B223" s="3">
        <v>5</v>
      </c>
      <c r="C223" s="3">
        <v>43</v>
      </c>
      <c r="D223" s="3">
        <v>15</v>
      </c>
      <c r="E223" s="3">
        <v>-23.274</v>
      </c>
      <c r="F223" s="4" t="str">
        <f>HYPERLINK("http://141.218.60.56/~jnz1568/getInfo.php?workbook=20_05.xlsx&amp;sheet=A0&amp;row=223&amp;col=6&amp;number=438900000000&amp;sourceID=14","438900000000")</f>
        <v>438900000000</v>
      </c>
      <c r="G223" s="4" t="str">
        <f>HYPERLINK("http://141.218.60.56/~jnz1568/getInfo.php?workbook=20_05.xlsx&amp;sheet=A0&amp;row=223&amp;col=7&amp;number=0&amp;sourceID=14","0")</f>
        <v>0</v>
      </c>
    </row>
    <row r="224" spans="1:7">
      <c r="A224" s="3">
        <v>20</v>
      </c>
      <c r="B224" s="3">
        <v>5</v>
      </c>
      <c r="C224" s="3">
        <v>44</v>
      </c>
      <c r="D224" s="3">
        <v>15</v>
      </c>
      <c r="E224" s="3">
        <v>-23.191</v>
      </c>
      <c r="F224" s="4" t="str">
        <f>HYPERLINK("http://141.218.60.56/~jnz1568/getInfo.php?workbook=20_05.xlsx&amp;sheet=A0&amp;row=224&amp;col=6&amp;number=348900000000&amp;sourceID=14","348900000000")</f>
        <v>348900000000</v>
      </c>
      <c r="G224" s="4" t="str">
        <f>HYPERLINK("http://141.218.60.56/~jnz1568/getInfo.php?workbook=20_05.xlsx&amp;sheet=A0&amp;row=224&amp;col=7&amp;number=0&amp;sourceID=14","0")</f>
        <v>0</v>
      </c>
    </row>
    <row r="225" spans="1:7">
      <c r="A225" s="3">
        <v>20</v>
      </c>
      <c r="B225" s="3">
        <v>5</v>
      </c>
      <c r="C225" s="3">
        <v>45</v>
      </c>
      <c r="D225" s="3">
        <v>15</v>
      </c>
      <c r="E225" s="3">
        <v>-23.011</v>
      </c>
      <c r="F225" s="4" t="str">
        <f>HYPERLINK("http://141.218.60.56/~jnz1568/getInfo.php?workbook=20_05.xlsx&amp;sheet=A0&amp;row=225&amp;col=6&amp;number=438000000&amp;sourceID=14","438000000")</f>
        <v>438000000</v>
      </c>
      <c r="G225" s="4" t="str">
        <f>HYPERLINK("http://141.218.60.56/~jnz1568/getInfo.php?workbook=20_05.xlsx&amp;sheet=A0&amp;row=225&amp;col=7&amp;number=0&amp;sourceID=14","0")</f>
        <v>0</v>
      </c>
    </row>
    <row r="226" spans="1:7">
      <c r="A226" s="3">
        <v>20</v>
      </c>
      <c r="B226" s="3">
        <v>5</v>
      </c>
      <c r="C226" s="3">
        <v>46</v>
      </c>
      <c r="D226" s="3">
        <v>15</v>
      </c>
      <c r="E226" s="3">
        <v>-22.736</v>
      </c>
      <c r="F226" s="4" t="str">
        <f>HYPERLINK("http://141.218.60.56/~jnz1568/getInfo.php?workbook=20_05.xlsx&amp;sheet=A0&amp;row=226&amp;col=6&amp;number=578800000000&amp;sourceID=14","578800000000")</f>
        <v>578800000000</v>
      </c>
      <c r="G226" s="4" t="str">
        <f>HYPERLINK("http://141.218.60.56/~jnz1568/getInfo.php?workbook=20_05.xlsx&amp;sheet=A0&amp;row=226&amp;col=7&amp;number=0&amp;sourceID=14","0")</f>
        <v>0</v>
      </c>
    </row>
    <row r="227" spans="1:7">
      <c r="A227" s="3">
        <v>20</v>
      </c>
      <c r="B227" s="3">
        <v>5</v>
      </c>
      <c r="C227" s="3">
        <v>47</v>
      </c>
      <c r="D227" s="3">
        <v>15</v>
      </c>
      <c r="E227" s="3">
        <v>-22.605</v>
      </c>
      <c r="F227" s="4" t="str">
        <f>HYPERLINK("http://141.218.60.56/~jnz1568/getInfo.php?workbook=20_05.xlsx&amp;sheet=A0&amp;row=227&amp;col=6&amp;number=51970000000&amp;sourceID=14","51970000000")</f>
        <v>51970000000</v>
      </c>
      <c r="G227" s="4" t="str">
        <f>HYPERLINK("http://141.218.60.56/~jnz1568/getInfo.php?workbook=20_05.xlsx&amp;sheet=A0&amp;row=227&amp;col=7&amp;number=0&amp;sourceID=14","0")</f>
        <v>0</v>
      </c>
    </row>
    <row r="228" spans="1:7">
      <c r="A228" s="3">
        <v>20</v>
      </c>
      <c r="B228" s="3">
        <v>5</v>
      </c>
      <c r="C228" s="3">
        <v>48</v>
      </c>
      <c r="D228" s="3">
        <v>15</v>
      </c>
      <c r="E228" s="3">
        <v>-22.401</v>
      </c>
      <c r="F228" s="4" t="str">
        <f>HYPERLINK("http://141.218.60.56/~jnz1568/getInfo.php?workbook=20_05.xlsx&amp;sheet=A0&amp;row=228&amp;col=6&amp;number=4032000000000&amp;sourceID=14","4032000000000")</f>
        <v>4032000000000</v>
      </c>
      <c r="G228" s="4" t="str">
        <f>HYPERLINK("http://141.218.60.56/~jnz1568/getInfo.php?workbook=20_05.xlsx&amp;sheet=A0&amp;row=228&amp;col=7&amp;number=0&amp;sourceID=14","0")</f>
        <v>0</v>
      </c>
    </row>
    <row r="229" spans="1:7">
      <c r="A229" s="3">
        <v>20</v>
      </c>
      <c r="B229" s="3">
        <v>5</v>
      </c>
      <c r="C229" s="3">
        <v>49</v>
      </c>
      <c r="D229" s="3">
        <v>15</v>
      </c>
      <c r="E229" s="3">
        <v>-21.744</v>
      </c>
      <c r="F229" s="4" t="str">
        <f>HYPERLINK("http://141.218.60.56/~jnz1568/getInfo.php?workbook=20_05.xlsx&amp;sheet=A0&amp;row=229&amp;col=6&amp;number=820400000000&amp;sourceID=14","820400000000")</f>
        <v>820400000000</v>
      </c>
      <c r="G229" s="4" t="str">
        <f>HYPERLINK("http://141.218.60.56/~jnz1568/getInfo.php?workbook=20_05.xlsx&amp;sheet=A0&amp;row=229&amp;col=7&amp;number=0&amp;sourceID=14","0")</f>
        <v>0</v>
      </c>
    </row>
    <row r="230" spans="1:7">
      <c r="A230" s="3">
        <v>20</v>
      </c>
      <c r="B230" s="3">
        <v>5</v>
      </c>
      <c r="C230" s="3">
        <v>50</v>
      </c>
      <c r="D230" s="3">
        <v>2</v>
      </c>
      <c r="E230" s="3">
        <v>21.61</v>
      </c>
      <c r="F230" s="4" t="str">
        <f>HYPERLINK("http://141.218.60.56/~jnz1568/getInfo.php?workbook=20_05.xlsx&amp;sheet=A0&amp;row=230&amp;col=6&amp;number=5260000000000&amp;sourceID=14","5260000000000")</f>
        <v>5260000000000</v>
      </c>
      <c r="G230" s="4" t="str">
        <f>HYPERLINK("http://141.218.60.56/~jnz1568/getInfo.php?workbook=20_05.xlsx&amp;sheet=A0&amp;row=230&amp;col=7&amp;number=0&amp;sourceID=14","0")</f>
        <v>0</v>
      </c>
    </row>
    <row r="231" spans="1:7">
      <c r="A231" s="3">
        <v>20</v>
      </c>
      <c r="B231" s="3">
        <v>5</v>
      </c>
      <c r="C231" s="3">
        <v>51</v>
      </c>
      <c r="D231" s="3">
        <v>2</v>
      </c>
      <c r="E231" s="3">
        <v>-21.012</v>
      </c>
      <c r="F231" s="4" t="str">
        <f>HYPERLINK("http://141.218.60.56/~jnz1568/getInfo.php?workbook=20_05.xlsx&amp;sheet=A0&amp;row=231&amp;col=6&amp;number=2181000000&amp;sourceID=14","2181000000")</f>
        <v>2181000000</v>
      </c>
      <c r="G231" s="4" t="str">
        <f>HYPERLINK("http://141.218.60.56/~jnz1568/getInfo.php?workbook=20_05.xlsx&amp;sheet=A0&amp;row=231&amp;col=7&amp;number=0&amp;sourceID=14","0")</f>
        <v>0</v>
      </c>
    </row>
    <row r="232" spans="1:7">
      <c r="A232" s="3">
        <v>20</v>
      </c>
      <c r="B232" s="3">
        <v>5</v>
      </c>
      <c r="C232" s="3">
        <v>52</v>
      </c>
      <c r="D232" s="3">
        <v>2</v>
      </c>
      <c r="E232" s="3">
        <v>-20.782</v>
      </c>
      <c r="F232" s="4" t="str">
        <f>HYPERLINK("http://141.218.60.56/~jnz1568/getInfo.php?workbook=20_05.xlsx&amp;sheet=A0&amp;row=232&amp;col=6&amp;number=198100000000&amp;sourceID=14","198100000000")</f>
        <v>198100000000</v>
      </c>
      <c r="G232" s="4" t="str">
        <f>HYPERLINK("http://141.218.60.56/~jnz1568/getInfo.php?workbook=20_05.xlsx&amp;sheet=A0&amp;row=232&amp;col=7&amp;number=0&amp;sourceID=14","0")</f>
        <v>0</v>
      </c>
    </row>
    <row r="233" spans="1:7">
      <c r="A233" s="3">
        <v>20</v>
      </c>
      <c r="B233" s="3">
        <v>5</v>
      </c>
      <c r="C233" s="3">
        <v>53</v>
      </c>
      <c r="D233" s="3">
        <v>2</v>
      </c>
      <c r="E233" s="3">
        <v>-20.678</v>
      </c>
      <c r="F233" s="4" t="str">
        <f>HYPERLINK("http://141.218.60.56/~jnz1568/getInfo.php?workbook=20_05.xlsx&amp;sheet=A0&amp;row=233&amp;col=6&amp;number=2422000000000&amp;sourceID=14","2422000000000")</f>
        <v>2422000000000</v>
      </c>
      <c r="G233" s="4" t="str">
        <f>HYPERLINK("http://141.218.60.56/~jnz1568/getInfo.php?workbook=20_05.xlsx&amp;sheet=A0&amp;row=233&amp;col=7&amp;number=0&amp;sourceID=14","0")</f>
        <v>0</v>
      </c>
    </row>
    <row r="234" spans="1:7">
      <c r="A234" s="3">
        <v>20</v>
      </c>
      <c r="B234" s="3">
        <v>5</v>
      </c>
      <c r="C234" s="3">
        <v>54</v>
      </c>
      <c r="D234" s="3">
        <v>2</v>
      </c>
      <c r="E234" s="3">
        <v>-19.878</v>
      </c>
      <c r="F234" s="4" t="str">
        <f>HYPERLINK("http://141.218.60.56/~jnz1568/getInfo.php?workbook=20_05.xlsx&amp;sheet=A0&amp;row=234&amp;col=6&amp;number=240300000000&amp;sourceID=14","240300000000")</f>
        <v>240300000000</v>
      </c>
      <c r="G234" s="4" t="str">
        <f>HYPERLINK("http://141.218.60.56/~jnz1568/getInfo.php?workbook=20_05.xlsx&amp;sheet=A0&amp;row=234&amp;col=7&amp;number=0&amp;sourceID=14","0")</f>
        <v>0</v>
      </c>
    </row>
    <row r="235" spans="1:7">
      <c r="A235" s="3">
        <v>20</v>
      </c>
      <c r="B235" s="3">
        <v>5</v>
      </c>
      <c r="C235" s="3">
        <v>55</v>
      </c>
      <c r="D235" s="3">
        <v>2</v>
      </c>
      <c r="E235" s="3">
        <v>-19.553</v>
      </c>
      <c r="F235" s="4" t="str">
        <f>HYPERLINK("http://141.218.60.56/~jnz1568/getInfo.php?workbook=20_05.xlsx&amp;sheet=A0&amp;row=235&amp;col=6&amp;number=6366000000&amp;sourceID=14","6366000000")</f>
        <v>6366000000</v>
      </c>
      <c r="G235" s="4" t="str">
        <f>HYPERLINK("http://141.218.60.56/~jnz1568/getInfo.php?workbook=20_05.xlsx&amp;sheet=A0&amp;row=235&amp;col=7&amp;number=0&amp;sourceID=14","0")</f>
        <v>0</v>
      </c>
    </row>
    <row r="236" spans="1:7">
      <c r="A236" s="3">
        <v>20</v>
      </c>
      <c r="B236" s="3">
        <v>5</v>
      </c>
      <c r="C236" s="3">
        <v>56</v>
      </c>
      <c r="D236" s="3">
        <v>2</v>
      </c>
      <c r="E236" s="3">
        <v>-19.187</v>
      </c>
      <c r="F236" s="4" t="str">
        <f>HYPERLINK("http://141.218.60.56/~jnz1568/getInfo.php?workbook=20_05.xlsx&amp;sheet=A0&amp;row=236&amp;col=6&amp;number=65950000000&amp;sourceID=14","65950000000")</f>
        <v>65950000000</v>
      </c>
      <c r="G236" s="4" t="str">
        <f>HYPERLINK("http://141.218.60.56/~jnz1568/getInfo.php?workbook=20_05.xlsx&amp;sheet=A0&amp;row=236&amp;col=7&amp;number=0&amp;sourceID=14","0")</f>
        <v>0</v>
      </c>
    </row>
    <row r="237" spans="1:7">
      <c r="A237" s="3">
        <v>20</v>
      </c>
      <c r="B237" s="3">
        <v>5</v>
      </c>
      <c r="C237" s="3">
        <v>57</v>
      </c>
      <c r="D237" s="3">
        <v>2</v>
      </c>
      <c r="E237" s="3">
        <v>-18.865</v>
      </c>
      <c r="F237" s="4" t="str">
        <f>HYPERLINK("http://141.218.60.56/~jnz1568/getInfo.php?workbook=20_05.xlsx&amp;sheet=A0&amp;row=237&amp;col=6&amp;number=1287000000&amp;sourceID=14","1287000000")</f>
        <v>1287000000</v>
      </c>
      <c r="G237" s="4" t="str">
        <f>HYPERLINK("http://141.218.60.56/~jnz1568/getInfo.php?workbook=20_05.xlsx&amp;sheet=A0&amp;row=237&amp;col=7&amp;number=0&amp;sourceID=14","0")</f>
        <v>0</v>
      </c>
    </row>
    <row r="238" spans="1:7">
      <c r="A238" s="3">
        <v>20</v>
      </c>
      <c r="B238" s="3">
        <v>5</v>
      </c>
      <c r="C238" s="3">
        <v>58</v>
      </c>
      <c r="D238" s="3">
        <v>2</v>
      </c>
      <c r="E238" s="3">
        <v>-18.765</v>
      </c>
      <c r="F238" s="4" t="str">
        <f>HYPERLINK("http://141.218.60.56/~jnz1568/getInfo.php?workbook=20_05.xlsx&amp;sheet=A0&amp;row=238&amp;col=6&amp;number=67930000&amp;sourceID=14","67930000")</f>
        <v>67930000</v>
      </c>
      <c r="G238" s="4" t="str">
        <f>HYPERLINK("http://141.218.60.56/~jnz1568/getInfo.php?workbook=20_05.xlsx&amp;sheet=A0&amp;row=238&amp;col=7&amp;number=0&amp;sourceID=14","0")</f>
        <v>0</v>
      </c>
    </row>
    <row r="239" spans="1:7">
      <c r="A239" s="3">
        <v>20</v>
      </c>
      <c r="B239" s="3">
        <v>5</v>
      </c>
      <c r="C239" s="3">
        <v>59</v>
      </c>
      <c r="D239" s="3">
        <v>2</v>
      </c>
      <c r="E239" s="3">
        <v>-18.715</v>
      </c>
      <c r="F239" s="4" t="str">
        <f>HYPERLINK("http://141.218.60.56/~jnz1568/getInfo.php?workbook=20_05.xlsx&amp;sheet=A0&amp;row=239&amp;col=6&amp;number=75730000&amp;sourceID=14","75730000")</f>
        <v>75730000</v>
      </c>
      <c r="G239" s="4" t="str">
        <f>HYPERLINK("http://141.218.60.56/~jnz1568/getInfo.php?workbook=20_05.xlsx&amp;sheet=A0&amp;row=239&amp;col=7&amp;number=0&amp;sourceID=14","0")</f>
        <v>0</v>
      </c>
    </row>
    <row r="240" spans="1:7">
      <c r="A240" s="3">
        <v>20</v>
      </c>
      <c r="B240" s="3">
        <v>5</v>
      </c>
      <c r="C240" s="3">
        <v>60</v>
      </c>
      <c r="D240" s="3">
        <v>2</v>
      </c>
      <c r="E240" s="3">
        <v>-18.641</v>
      </c>
      <c r="F240" s="4" t="str">
        <f>HYPERLINK("http://141.218.60.56/~jnz1568/getInfo.php?workbook=20_05.xlsx&amp;sheet=A0&amp;row=240&amp;col=6&amp;number=1747000000&amp;sourceID=14","1747000000")</f>
        <v>1747000000</v>
      </c>
      <c r="G240" s="4" t="str">
        <f>HYPERLINK("http://141.218.60.56/~jnz1568/getInfo.php?workbook=20_05.xlsx&amp;sheet=A0&amp;row=240&amp;col=7&amp;number=0&amp;sourceID=14","0")</f>
        <v>0</v>
      </c>
    </row>
    <row r="241" spans="1:7">
      <c r="A241" s="3">
        <v>20</v>
      </c>
      <c r="B241" s="3">
        <v>5</v>
      </c>
      <c r="C241" s="3">
        <v>61</v>
      </c>
      <c r="D241" s="3">
        <v>2</v>
      </c>
      <c r="E241" s="3">
        <v>-18.442</v>
      </c>
      <c r="F241" s="4" t="str">
        <f>HYPERLINK("http://141.218.60.56/~jnz1568/getInfo.php?workbook=20_05.xlsx&amp;sheet=A0&amp;row=241&amp;col=6&amp;number=86240000000&amp;sourceID=14","86240000000")</f>
        <v>86240000000</v>
      </c>
      <c r="G241" s="4" t="str">
        <f>HYPERLINK("http://141.218.60.56/~jnz1568/getInfo.php?workbook=20_05.xlsx&amp;sheet=A0&amp;row=241&amp;col=7&amp;number=0&amp;sourceID=14","0")</f>
        <v>0</v>
      </c>
    </row>
    <row r="242" spans="1:7">
      <c r="A242" s="3">
        <v>20</v>
      </c>
      <c r="B242" s="3">
        <v>5</v>
      </c>
      <c r="C242" s="3">
        <v>62</v>
      </c>
      <c r="D242" s="3">
        <v>2</v>
      </c>
      <c r="E242" s="3">
        <v>-18.331</v>
      </c>
      <c r="F242" s="4" t="str">
        <f>HYPERLINK("http://141.218.60.56/~jnz1568/getInfo.php?workbook=20_05.xlsx&amp;sheet=A0&amp;row=242&amp;col=6&amp;number=57200000000&amp;sourceID=14","57200000000")</f>
        <v>57200000000</v>
      </c>
      <c r="G242" s="4" t="str">
        <f>HYPERLINK("http://141.218.60.56/~jnz1568/getInfo.php?workbook=20_05.xlsx&amp;sheet=A0&amp;row=242&amp;col=7&amp;number=0&amp;sourceID=14","0")</f>
        <v>0</v>
      </c>
    </row>
    <row r="243" spans="1:7">
      <c r="A243" s="3">
        <v>20</v>
      </c>
      <c r="B243" s="3">
        <v>5</v>
      </c>
      <c r="C243" s="3">
        <v>63</v>
      </c>
      <c r="D243" s="3">
        <v>2</v>
      </c>
      <c r="E243" s="3">
        <v>-18.252</v>
      </c>
      <c r="F243" s="4" t="str">
        <f>HYPERLINK("http://141.218.60.56/~jnz1568/getInfo.php?workbook=20_05.xlsx&amp;sheet=A0&amp;row=243&amp;col=6&amp;number=72460000000&amp;sourceID=14","72460000000")</f>
        <v>72460000000</v>
      </c>
      <c r="G243" s="4" t="str">
        <f>HYPERLINK("http://141.218.60.56/~jnz1568/getInfo.php?workbook=20_05.xlsx&amp;sheet=A0&amp;row=243&amp;col=7&amp;number=0&amp;sourceID=14","0")</f>
        <v>0</v>
      </c>
    </row>
    <row r="244" spans="1:7">
      <c r="A244" s="3">
        <v>20</v>
      </c>
      <c r="B244" s="3">
        <v>5</v>
      </c>
      <c r="C244" s="3">
        <v>64</v>
      </c>
      <c r="D244" s="3">
        <v>2</v>
      </c>
      <c r="E244" s="3">
        <v>-17.793</v>
      </c>
      <c r="F244" s="4" t="str">
        <f>HYPERLINK("http://141.218.60.56/~jnz1568/getInfo.php?workbook=20_05.xlsx&amp;sheet=A0&amp;row=244&amp;col=6&amp;number=22480000000&amp;sourceID=14","22480000000")</f>
        <v>22480000000</v>
      </c>
      <c r="G244" s="4" t="str">
        <f>HYPERLINK("http://141.218.60.56/~jnz1568/getInfo.php?workbook=20_05.xlsx&amp;sheet=A0&amp;row=244&amp;col=7&amp;number=0&amp;sourceID=14","0")</f>
        <v>0</v>
      </c>
    </row>
    <row r="245" spans="1:7">
      <c r="A245" s="3">
        <v>20</v>
      </c>
      <c r="B245" s="3">
        <v>5</v>
      </c>
      <c r="C245" s="3">
        <v>51</v>
      </c>
      <c r="D245" s="3">
        <v>11</v>
      </c>
      <c r="E245" s="3">
        <v>-25.247</v>
      </c>
      <c r="F245" s="4" t="str">
        <f>HYPERLINK("http://141.218.60.56/~jnz1568/getInfo.php?workbook=20_05.xlsx&amp;sheet=A0&amp;row=245&amp;col=6&amp;number=272300000&amp;sourceID=14","272300000")</f>
        <v>272300000</v>
      </c>
      <c r="G245" s="4" t="str">
        <f>HYPERLINK("http://141.218.60.56/~jnz1568/getInfo.php?workbook=20_05.xlsx&amp;sheet=A0&amp;row=245&amp;col=7&amp;number=0&amp;sourceID=14","0")</f>
        <v>0</v>
      </c>
    </row>
    <row r="246" spans="1:7">
      <c r="A246" s="3">
        <v>20</v>
      </c>
      <c r="B246" s="3">
        <v>5</v>
      </c>
      <c r="C246" s="3">
        <v>52</v>
      </c>
      <c r="D246" s="3">
        <v>11</v>
      </c>
      <c r="E246" s="3">
        <v>-24.916</v>
      </c>
      <c r="F246" s="4" t="str">
        <f>HYPERLINK("http://141.218.60.56/~jnz1568/getInfo.php?workbook=20_05.xlsx&amp;sheet=A0&amp;row=246&amp;col=6&amp;number=7558000000&amp;sourceID=14","7558000000")</f>
        <v>7558000000</v>
      </c>
      <c r="G246" s="4" t="str">
        <f>HYPERLINK("http://141.218.60.56/~jnz1568/getInfo.php?workbook=20_05.xlsx&amp;sheet=A0&amp;row=246&amp;col=7&amp;number=0&amp;sourceID=14","0")</f>
        <v>0</v>
      </c>
    </row>
    <row r="247" spans="1:7">
      <c r="A247" s="3">
        <v>20</v>
      </c>
      <c r="B247" s="3">
        <v>5</v>
      </c>
      <c r="C247" s="3">
        <v>53</v>
      </c>
      <c r="D247" s="3">
        <v>11</v>
      </c>
      <c r="E247" s="3">
        <v>-24.767</v>
      </c>
      <c r="F247" s="4" t="str">
        <f>HYPERLINK("http://141.218.60.56/~jnz1568/getInfo.php?workbook=20_05.xlsx&amp;sheet=A0&amp;row=247&amp;col=6&amp;number=972000000&amp;sourceID=14","972000000")</f>
        <v>972000000</v>
      </c>
      <c r="G247" s="4" t="str">
        <f>HYPERLINK("http://141.218.60.56/~jnz1568/getInfo.php?workbook=20_05.xlsx&amp;sheet=A0&amp;row=247&amp;col=7&amp;number=0&amp;sourceID=14","0")</f>
        <v>0</v>
      </c>
    </row>
    <row r="248" spans="1:7">
      <c r="A248" s="3">
        <v>20</v>
      </c>
      <c r="B248" s="3">
        <v>5</v>
      </c>
      <c r="C248" s="3">
        <v>54</v>
      </c>
      <c r="D248" s="3">
        <v>11</v>
      </c>
      <c r="E248" s="3">
        <v>-23.627</v>
      </c>
      <c r="F248" s="4" t="str">
        <f>HYPERLINK("http://141.218.60.56/~jnz1568/getInfo.php?workbook=20_05.xlsx&amp;sheet=A0&amp;row=248&amp;col=6&amp;number=410900000&amp;sourceID=14","410900000")</f>
        <v>410900000</v>
      </c>
      <c r="G248" s="4" t="str">
        <f>HYPERLINK("http://141.218.60.56/~jnz1568/getInfo.php?workbook=20_05.xlsx&amp;sheet=A0&amp;row=248&amp;col=7&amp;number=0&amp;sourceID=14","0")</f>
        <v>0</v>
      </c>
    </row>
    <row r="249" spans="1:7">
      <c r="A249" s="3">
        <v>20</v>
      </c>
      <c r="B249" s="3">
        <v>5</v>
      </c>
      <c r="C249" s="3">
        <v>55</v>
      </c>
      <c r="D249" s="3">
        <v>11</v>
      </c>
      <c r="E249" s="3">
        <v>-23.17</v>
      </c>
      <c r="F249" s="4" t="str">
        <f>HYPERLINK("http://141.218.60.56/~jnz1568/getInfo.php?workbook=20_05.xlsx&amp;sheet=A0&amp;row=249&amp;col=6&amp;number=458600000000&amp;sourceID=14","458600000000")</f>
        <v>458600000000</v>
      </c>
      <c r="G249" s="4" t="str">
        <f>HYPERLINK("http://141.218.60.56/~jnz1568/getInfo.php?workbook=20_05.xlsx&amp;sheet=A0&amp;row=249&amp;col=7&amp;number=0&amp;sourceID=14","0")</f>
        <v>0</v>
      </c>
    </row>
    <row r="250" spans="1:7">
      <c r="A250" s="3">
        <v>20</v>
      </c>
      <c r="B250" s="3">
        <v>5</v>
      </c>
      <c r="C250" s="3">
        <v>56</v>
      </c>
      <c r="D250" s="3">
        <v>11</v>
      </c>
      <c r="E250" s="3">
        <v>-22.658</v>
      </c>
      <c r="F250" s="4" t="str">
        <f>HYPERLINK("http://141.218.60.56/~jnz1568/getInfo.php?workbook=20_05.xlsx&amp;sheet=A0&amp;row=250&amp;col=6&amp;number=9999000000&amp;sourceID=14","9999000000")</f>
        <v>9999000000</v>
      </c>
      <c r="G250" s="4" t="str">
        <f>HYPERLINK("http://141.218.60.56/~jnz1568/getInfo.php?workbook=20_05.xlsx&amp;sheet=A0&amp;row=250&amp;col=7&amp;number=0&amp;sourceID=14","0")</f>
        <v>0</v>
      </c>
    </row>
    <row r="251" spans="1:7">
      <c r="A251" s="3">
        <v>20</v>
      </c>
      <c r="B251" s="3">
        <v>5</v>
      </c>
      <c r="C251" s="3">
        <v>57</v>
      </c>
      <c r="D251" s="3">
        <v>11</v>
      </c>
      <c r="E251" s="3">
        <v>-22.21</v>
      </c>
      <c r="F251" s="4" t="str">
        <f>HYPERLINK("http://141.218.60.56/~jnz1568/getInfo.php?workbook=20_05.xlsx&amp;sheet=A0&amp;row=251&amp;col=6&amp;number=55000000000&amp;sourceID=14","55000000000")</f>
        <v>55000000000</v>
      </c>
      <c r="G251" s="4" t="str">
        <f>HYPERLINK("http://141.218.60.56/~jnz1568/getInfo.php?workbook=20_05.xlsx&amp;sheet=A0&amp;row=251&amp;col=7&amp;number=0&amp;sourceID=14","0")</f>
        <v>0</v>
      </c>
    </row>
    <row r="252" spans="1:7">
      <c r="A252" s="3">
        <v>20</v>
      </c>
      <c r="B252" s="3">
        <v>5</v>
      </c>
      <c r="C252" s="3">
        <v>58</v>
      </c>
      <c r="D252" s="3">
        <v>11</v>
      </c>
      <c r="E252" s="3">
        <v>-22.071</v>
      </c>
      <c r="F252" s="4" t="str">
        <f>HYPERLINK("http://141.218.60.56/~jnz1568/getInfo.php?workbook=20_05.xlsx&amp;sheet=A0&amp;row=252&amp;col=6&amp;number=696200000000&amp;sourceID=14","696200000000")</f>
        <v>696200000000</v>
      </c>
      <c r="G252" s="4" t="str">
        <f>HYPERLINK("http://141.218.60.56/~jnz1568/getInfo.php?workbook=20_05.xlsx&amp;sheet=A0&amp;row=252&amp;col=7&amp;number=0&amp;sourceID=14","0")</f>
        <v>0</v>
      </c>
    </row>
    <row r="253" spans="1:7">
      <c r="A253" s="3">
        <v>20</v>
      </c>
      <c r="B253" s="3">
        <v>5</v>
      </c>
      <c r="C253" s="3">
        <v>59</v>
      </c>
      <c r="D253" s="3">
        <v>11</v>
      </c>
      <c r="E253" s="3">
        <v>-22.002</v>
      </c>
      <c r="F253" s="4" t="str">
        <f>HYPERLINK("http://141.218.60.56/~jnz1568/getInfo.php?workbook=20_05.xlsx&amp;sheet=A0&amp;row=253&amp;col=6&amp;number=521600000000&amp;sourceID=14","521600000000")</f>
        <v>521600000000</v>
      </c>
      <c r="G253" s="4" t="str">
        <f>HYPERLINK("http://141.218.60.56/~jnz1568/getInfo.php?workbook=20_05.xlsx&amp;sheet=A0&amp;row=253&amp;col=7&amp;number=0&amp;sourceID=14","0")</f>
        <v>0</v>
      </c>
    </row>
    <row r="254" spans="1:7">
      <c r="A254" s="3">
        <v>20</v>
      </c>
      <c r="B254" s="3">
        <v>5</v>
      </c>
      <c r="C254" s="3">
        <v>60</v>
      </c>
      <c r="D254" s="3">
        <v>11</v>
      </c>
      <c r="E254" s="3">
        <v>-21.9</v>
      </c>
      <c r="F254" s="4" t="str">
        <f>HYPERLINK("http://141.218.60.56/~jnz1568/getInfo.php?workbook=20_05.xlsx&amp;sheet=A0&amp;row=254&amp;col=6&amp;number=6505000000000&amp;sourceID=14","6505000000000")</f>
        <v>6505000000000</v>
      </c>
      <c r="G254" s="4" t="str">
        <f>HYPERLINK("http://141.218.60.56/~jnz1568/getInfo.php?workbook=20_05.xlsx&amp;sheet=A0&amp;row=254&amp;col=7&amp;number=0&amp;sourceID=14","0")</f>
        <v>0</v>
      </c>
    </row>
    <row r="255" spans="1:7">
      <c r="A255" s="3">
        <v>20</v>
      </c>
      <c r="B255" s="3">
        <v>5</v>
      </c>
      <c r="C255" s="3">
        <v>61</v>
      </c>
      <c r="D255" s="3">
        <v>11</v>
      </c>
      <c r="E255" s="3">
        <v>-21.626</v>
      </c>
      <c r="F255" s="4" t="str">
        <f>HYPERLINK("http://141.218.60.56/~jnz1568/getInfo.php?workbook=20_05.xlsx&amp;sheet=A0&amp;row=255&amp;col=6&amp;number=41090000000&amp;sourceID=14","41090000000")</f>
        <v>41090000000</v>
      </c>
      <c r="G255" s="4" t="str">
        <f>HYPERLINK("http://141.218.60.56/~jnz1568/getInfo.php?workbook=20_05.xlsx&amp;sheet=A0&amp;row=255&amp;col=7&amp;number=0&amp;sourceID=14","0")</f>
        <v>0</v>
      </c>
    </row>
    <row r="256" spans="1:7">
      <c r="A256" s="3">
        <v>20</v>
      </c>
      <c r="B256" s="3">
        <v>5</v>
      </c>
      <c r="C256" s="3">
        <v>62</v>
      </c>
      <c r="D256" s="3">
        <v>11</v>
      </c>
      <c r="E256" s="3">
        <v>-21.473</v>
      </c>
      <c r="F256" s="4" t="str">
        <f>HYPERLINK("http://141.218.60.56/~jnz1568/getInfo.php?workbook=20_05.xlsx&amp;sheet=A0&amp;row=256&amp;col=6&amp;number=33820000000&amp;sourceID=14","33820000000")</f>
        <v>33820000000</v>
      </c>
      <c r="G256" s="4" t="str">
        <f>HYPERLINK("http://141.218.60.56/~jnz1568/getInfo.php?workbook=20_05.xlsx&amp;sheet=A0&amp;row=256&amp;col=7&amp;number=0&amp;sourceID=14","0")</f>
        <v>0</v>
      </c>
    </row>
    <row r="257" spans="1:7">
      <c r="A257" s="3">
        <v>20</v>
      </c>
      <c r="B257" s="3">
        <v>5</v>
      </c>
      <c r="C257" s="3">
        <v>63</v>
      </c>
      <c r="D257" s="3">
        <v>11</v>
      </c>
      <c r="E257" s="3">
        <v>-21.366</v>
      </c>
      <c r="F257" s="4" t="str">
        <f>HYPERLINK("http://141.218.60.56/~jnz1568/getInfo.php?workbook=20_05.xlsx&amp;sheet=A0&amp;row=257&amp;col=6&amp;number=7034000000&amp;sourceID=14","7034000000")</f>
        <v>7034000000</v>
      </c>
      <c r="G257" s="4" t="str">
        <f>HYPERLINK("http://141.218.60.56/~jnz1568/getInfo.php?workbook=20_05.xlsx&amp;sheet=A0&amp;row=257&amp;col=7&amp;number=0&amp;sourceID=14","0")</f>
        <v>0</v>
      </c>
    </row>
    <row r="258" spans="1:7">
      <c r="A258" s="3">
        <v>20</v>
      </c>
      <c r="B258" s="3">
        <v>5</v>
      </c>
      <c r="C258" s="3">
        <v>64</v>
      </c>
      <c r="D258" s="3">
        <v>11</v>
      </c>
      <c r="E258" s="3">
        <v>-20.738</v>
      </c>
      <c r="F258" s="4" t="str">
        <f>HYPERLINK("http://141.218.60.56/~jnz1568/getInfo.php?workbook=20_05.xlsx&amp;sheet=A0&amp;row=258&amp;col=6&amp;number=1215000000&amp;sourceID=14","1215000000")</f>
        <v>1215000000</v>
      </c>
      <c r="G258" s="4" t="str">
        <f>HYPERLINK("http://141.218.60.56/~jnz1568/getInfo.php?workbook=20_05.xlsx&amp;sheet=A0&amp;row=258&amp;col=7&amp;number=0&amp;sourceID=14","0")</f>
        <v>0</v>
      </c>
    </row>
    <row r="259" spans="1:7">
      <c r="A259" s="3">
        <v>20</v>
      </c>
      <c r="B259" s="3">
        <v>5</v>
      </c>
      <c r="C259" s="3">
        <v>51</v>
      </c>
      <c r="D259" s="3">
        <v>12</v>
      </c>
      <c r="E259" s="3">
        <v>-25.936</v>
      </c>
      <c r="F259" s="4" t="str">
        <f>HYPERLINK("http://141.218.60.56/~jnz1568/getInfo.php?workbook=20_05.xlsx&amp;sheet=A0&amp;row=259&amp;col=6&amp;number=4796000&amp;sourceID=14","4796000")</f>
        <v>4796000</v>
      </c>
      <c r="G259" s="4" t="str">
        <f>HYPERLINK("http://141.218.60.56/~jnz1568/getInfo.php?workbook=20_05.xlsx&amp;sheet=A0&amp;row=259&amp;col=7&amp;number=0&amp;sourceID=14","0")</f>
        <v>0</v>
      </c>
    </row>
    <row r="260" spans="1:7">
      <c r="A260" s="3">
        <v>20</v>
      </c>
      <c r="B260" s="3">
        <v>5</v>
      </c>
      <c r="C260" s="3">
        <v>52</v>
      </c>
      <c r="D260" s="3">
        <v>12</v>
      </c>
      <c r="E260" s="3">
        <v>-25.586</v>
      </c>
      <c r="F260" s="4" t="str">
        <f>HYPERLINK("http://141.218.60.56/~jnz1568/getInfo.php?workbook=20_05.xlsx&amp;sheet=A0&amp;row=260&amp;col=6&amp;number=4317000&amp;sourceID=14","4317000")</f>
        <v>4317000</v>
      </c>
      <c r="G260" s="4" t="str">
        <f>HYPERLINK("http://141.218.60.56/~jnz1568/getInfo.php?workbook=20_05.xlsx&amp;sheet=A0&amp;row=260&amp;col=7&amp;number=0&amp;sourceID=14","0")</f>
        <v>0</v>
      </c>
    </row>
    <row r="261" spans="1:7">
      <c r="A261" s="3">
        <v>20</v>
      </c>
      <c r="B261" s="3">
        <v>5</v>
      </c>
      <c r="C261" s="3">
        <v>53</v>
      </c>
      <c r="D261" s="3">
        <v>12</v>
      </c>
      <c r="E261" s="3">
        <v>-25.429</v>
      </c>
      <c r="F261" s="4" t="str">
        <f>HYPERLINK("http://141.218.60.56/~jnz1568/getInfo.php?workbook=20_05.xlsx&amp;sheet=A0&amp;row=261&amp;col=6&amp;number=455000000&amp;sourceID=14","455000000")</f>
        <v>455000000</v>
      </c>
      <c r="G261" s="4" t="str">
        <f>HYPERLINK("http://141.218.60.56/~jnz1568/getInfo.php?workbook=20_05.xlsx&amp;sheet=A0&amp;row=261&amp;col=7&amp;number=0&amp;sourceID=14","0")</f>
        <v>0</v>
      </c>
    </row>
    <row r="262" spans="1:7">
      <c r="A262" s="3">
        <v>20</v>
      </c>
      <c r="B262" s="3">
        <v>5</v>
      </c>
      <c r="C262" s="3">
        <v>54</v>
      </c>
      <c r="D262" s="3">
        <v>12</v>
      </c>
      <c r="E262" s="3">
        <v>-24.229</v>
      </c>
      <c r="F262" s="4" t="str">
        <f>HYPERLINK("http://141.218.60.56/~jnz1568/getInfo.php?workbook=20_05.xlsx&amp;sheet=A0&amp;row=262&amp;col=6&amp;number=548300000&amp;sourceID=14","548300000")</f>
        <v>548300000</v>
      </c>
      <c r="G262" s="4" t="str">
        <f>HYPERLINK("http://141.218.60.56/~jnz1568/getInfo.php?workbook=20_05.xlsx&amp;sheet=A0&amp;row=262&amp;col=7&amp;number=0&amp;sourceID=14","0")</f>
        <v>0</v>
      </c>
    </row>
    <row r="263" spans="1:7">
      <c r="A263" s="3">
        <v>20</v>
      </c>
      <c r="B263" s="3">
        <v>5</v>
      </c>
      <c r="C263" s="3">
        <v>55</v>
      </c>
      <c r="D263" s="3">
        <v>12</v>
      </c>
      <c r="E263" s="3">
        <v>-23.748</v>
      </c>
      <c r="F263" s="4" t="str">
        <f>HYPERLINK("http://141.218.60.56/~jnz1568/getInfo.php?workbook=20_05.xlsx&amp;sheet=A0&amp;row=263&amp;col=6&amp;number=584700000&amp;sourceID=14","584700000")</f>
        <v>584700000</v>
      </c>
      <c r="G263" s="4" t="str">
        <f>HYPERLINK("http://141.218.60.56/~jnz1568/getInfo.php?workbook=20_05.xlsx&amp;sheet=A0&amp;row=263&amp;col=7&amp;number=0&amp;sourceID=14","0")</f>
        <v>0</v>
      </c>
    </row>
    <row r="264" spans="1:7">
      <c r="A264" s="3">
        <v>20</v>
      </c>
      <c r="B264" s="3">
        <v>5</v>
      </c>
      <c r="C264" s="3">
        <v>56</v>
      </c>
      <c r="D264" s="3">
        <v>12</v>
      </c>
      <c r="E264" s="3">
        <v>-23.211</v>
      </c>
      <c r="F264" s="4" t="str">
        <f>HYPERLINK("http://141.218.60.56/~jnz1568/getInfo.php?workbook=20_05.xlsx&amp;sheet=A0&amp;row=264&amp;col=6&amp;number=92510000000&amp;sourceID=14","92510000000")</f>
        <v>92510000000</v>
      </c>
      <c r="G264" s="4" t="str">
        <f>HYPERLINK("http://141.218.60.56/~jnz1568/getInfo.php?workbook=20_05.xlsx&amp;sheet=A0&amp;row=264&amp;col=7&amp;number=0&amp;sourceID=14","0")</f>
        <v>0</v>
      </c>
    </row>
    <row r="265" spans="1:7">
      <c r="A265" s="3">
        <v>20</v>
      </c>
      <c r="B265" s="3">
        <v>5</v>
      </c>
      <c r="C265" s="3">
        <v>57</v>
      </c>
      <c r="D265" s="3">
        <v>12</v>
      </c>
      <c r="E265" s="3">
        <v>-22.741</v>
      </c>
      <c r="F265" s="4" t="str">
        <f>HYPERLINK("http://141.218.60.56/~jnz1568/getInfo.php?workbook=20_05.xlsx&amp;sheet=A0&amp;row=265&amp;col=6&amp;number=36830000000&amp;sourceID=14","36830000000")</f>
        <v>36830000000</v>
      </c>
      <c r="G265" s="4" t="str">
        <f>HYPERLINK("http://141.218.60.56/~jnz1568/getInfo.php?workbook=20_05.xlsx&amp;sheet=A0&amp;row=265&amp;col=7&amp;number=0&amp;sourceID=14","0")</f>
        <v>0</v>
      </c>
    </row>
    <row r="266" spans="1:7">
      <c r="A266" s="3">
        <v>20</v>
      </c>
      <c r="B266" s="3">
        <v>5</v>
      </c>
      <c r="C266" s="3">
        <v>58</v>
      </c>
      <c r="D266" s="3">
        <v>12</v>
      </c>
      <c r="E266" s="3">
        <v>-22.595</v>
      </c>
      <c r="F266" s="4" t="str">
        <f>HYPERLINK("http://141.218.60.56/~jnz1568/getInfo.php?workbook=20_05.xlsx&amp;sheet=A0&amp;row=266&amp;col=6&amp;number=129200000000&amp;sourceID=14","129200000000")</f>
        <v>129200000000</v>
      </c>
      <c r="G266" s="4" t="str">
        <f>HYPERLINK("http://141.218.60.56/~jnz1568/getInfo.php?workbook=20_05.xlsx&amp;sheet=A0&amp;row=266&amp;col=7&amp;number=0&amp;sourceID=14","0")</f>
        <v>0</v>
      </c>
    </row>
    <row r="267" spans="1:7">
      <c r="A267" s="3">
        <v>20</v>
      </c>
      <c r="B267" s="3">
        <v>5</v>
      </c>
      <c r="C267" s="3">
        <v>59</v>
      </c>
      <c r="D267" s="3">
        <v>12</v>
      </c>
      <c r="E267" s="3">
        <v>-22.523</v>
      </c>
      <c r="F267" s="4" t="str">
        <f>HYPERLINK("http://141.218.60.56/~jnz1568/getInfo.php?workbook=20_05.xlsx&amp;sheet=A0&amp;row=267&amp;col=6&amp;number=532300000000&amp;sourceID=14","532300000000")</f>
        <v>532300000000</v>
      </c>
      <c r="G267" s="4" t="str">
        <f>HYPERLINK("http://141.218.60.56/~jnz1568/getInfo.php?workbook=20_05.xlsx&amp;sheet=A0&amp;row=267&amp;col=7&amp;number=0&amp;sourceID=14","0")</f>
        <v>0</v>
      </c>
    </row>
    <row r="268" spans="1:7">
      <c r="A268" s="3">
        <v>20</v>
      </c>
      <c r="B268" s="3">
        <v>5</v>
      </c>
      <c r="C268" s="3">
        <v>60</v>
      </c>
      <c r="D268" s="3">
        <v>12</v>
      </c>
      <c r="E268" s="3">
        <v>-22.416</v>
      </c>
      <c r="F268" s="4" t="str">
        <f>HYPERLINK("http://141.218.60.56/~jnz1568/getInfo.php?workbook=20_05.xlsx&amp;sheet=A0&amp;row=268&amp;col=6&amp;number=2988000000&amp;sourceID=14","2988000000")</f>
        <v>2988000000</v>
      </c>
      <c r="G268" s="4" t="str">
        <f>HYPERLINK("http://141.218.60.56/~jnz1568/getInfo.php?workbook=20_05.xlsx&amp;sheet=A0&amp;row=268&amp;col=7&amp;number=0&amp;sourceID=14","0")</f>
        <v>0</v>
      </c>
    </row>
    <row r="269" spans="1:7">
      <c r="A269" s="3">
        <v>20</v>
      </c>
      <c r="B269" s="3">
        <v>5</v>
      </c>
      <c r="C269" s="3">
        <v>61</v>
      </c>
      <c r="D269" s="3">
        <v>12</v>
      </c>
      <c r="E269" s="3">
        <v>-22.129</v>
      </c>
      <c r="F269" s="4" t="str">
        <f>HYPERLINK("http://141.218.60.56/~jnz1568/getInfo.php?workbook=20_05.xlsx&amp;sheet=A0&amp;row=269&amp;col=6&amp;number=2510000000000&amp;sourceID=14","2510000000000")</f>
        <v>2510000000000</v>
      </c>
      <c r="G269" s="4" t="str">
        <f>HYPERLINK("http://141.218.60.56/~jnz1568/getInfo.php?workbook=20_05.xlsx&amp;sheet=A0&amp;row=269&amp;col=7&amp;number=0&amp;sourceID=14","0")</f>
        <v>0</v>
      </c>
    </row>
    <row r="270" spans="1:7">
      <c r="A270" s="3">
        <v>20</v>
      </c>
      <c r="B270" s="3">
        <v>5</v>
      </c>
      <c r="C270" s="3">
        <v>62</v>
      </c>
      <c r="D270" s="3">
        <v>12</v>
      </c>
      <c r="E270" s="3">
        <v>-21.969</v>
      </c>
      <c r="F270" s="4" t="str">
        <f>HYPERLINK("http://141.218.60.56/~jnz1568/getInfo.php?workbook=20_05.xlsx&amp;sheet=A0&amp;row=270&amp;col=6&amp;number=3185000000000&amp;sourceID=14","3185000000000")</f>
        <v>3185000000000</v>
      </c>
      <c r="G270" s="4" t="str">
        <f>HYPERLINK("http://141.218.60.56/~jnz1568/getInfo.php?workbook=20_05.xlsx&amp;sheet=A0&amp;row=270&amp;col=7&amp;number=0&amp;sourceID=14","0")</f>
        <v>0</v>
      </c>
    </row>
    <row r="271" spans="1:7">
      <c r="A271" s="3">
        <v>20</v>
      </c>
      <c r="B271" s="3">
        <v>5</v>
      </c>
      <c r="C271" s="3">
        <v>63</v>
      </c>
      <c r="D271" s="3">
        <v>12</v>
      </c>
      <c r="E271" s="3">
        <v>-21.857</v>
      </c>
      <c r="F271" s="4" t="str">
        <f>HYPERLINK("http://141.218.60.56/~jnz1568/getInfo.php?workbook=20_05.xlsx&amp;sheet=A0&amp;row=271&amp;col=6&amp;number=5074000000000&amp;sourceID=14","5074000000000")</f>
        <v>5074000000000</v>
      </c>
      <c r="G271" s="4" t="str">
        <f>HYPERLINK("http://141.218.60.56/~jnz1568/getInfo.php?workbook=20_05.xlsx&amp;sheet=A0&amp;row=271&amp;col=7&amp;number=0&amp;sourceID=14","0")</f>
        <v>0</v>
      </c>
    </row>
    <row r="272" spans="1:7">
      <c r="A272" s="3">
        <v>20</v>
      </c>
      <c r="B272" s="3">
        <v>5</v>
      </c>
      <c r="C272" s="3">
        <v>64</v>
      </c>
      <c r="D272" s="3">
        <v>12</v>
      </c>
      <c r="E272" s="3">
        <v>-21.201</v>
      </c>
      <c r="F272" s="4" t="str">
        <f>HYPERLINK("http://141.218.60.56/~jnz1568/getInfo.php?workbook=20_05.xlsx&amp;sheet=A0&amp;row=272&amp;col=6&amp;number=44920000000&amp;sourceID=14","44920000000")</f>
        <v>44920000000</v>
      </c>
      <c r="G272" s="4" t="str">
        <f>HYPERLINK("http://141.218.60.56/~jnz1568/getInfo.php?workbook=20_05.xlsx&amp;sheet=A0&amp;row=272&amp;col=7&amp;number=0&amp;sourceID=14","0")</f>
        <v>0</v>
      </c>
    </row>
    <row r="273" spans="1:7">
      <c r="A273" s="3">
        <v>20</v>
      </c>
      <c r="B273" s="3">
        <v>5</v>
      </c>
      <c r="C273" s="3">
        <v>51</v>
      </c>
      <c r="D273" s="3">
        <v>15</v>
      </c>
      <c r="E273" s="3">
        <v>-26.784</v>
      </c>
      <c r="F273" s="4" t="str">
        <f>HYPERLINK("http://141.218.60.56/~jnz1568/getInfo.php?workbook=20_05.xlsx&amp;sheet=A0&amp;row=273&amp;col=6&amp;number=3950000&amp;sourceID=14","3950000")</f>
        <v>3950000</v>
      </c>
      <c r="G273" s="4" t="str">
        <f>HYPERLINK("http://141.218.60.56/~jnz1568/getInfo.php?workbook=20_05.xlsx&amp;sheet=A0&amp;row=273&amp;col=7&amp;number=0&amp;sourceID=14","0")</f>
        <v>0</v>
      </c>
    </row>
    <row r="274" spans="1:7">
      <c r="A274" s="3">
        <v>20</v>
      </c>
      <c r="B274" s="3">
        <v>5</v>
      </c>
      <c r="C274" s="3">
        <v>52</v>
      </c>
      <c r="D274" s="3">
        <v>15</v>
      </c>
      <c r="E274" s="3">
        <v>-26.411</v>
      </c>
      <c r="F274" s="4" t="str">
        <f>HYPERLINK("http://141.218.60.56/~jnz1568/getInfo.php?workbook=20_05.xlsx&amp;sheet=A0&amp;row=274&amp;col=6&amp;number=309200000&amp;sourceID=14","309200000")</f>
        <v>309200000</v>
      </c>
      <c r="G274" s="4" t="str">
        <f>HYPERLINK("http://141.218.60.56/~jnz1568/getInfo.php?workbook=20_05.xlsx&amp;sheet=A0&amp;row=274&amp;col=7&amp;number=0&amp;sourceID=14","0")</f>
        <v>0</v>
      </c>
    </row>
    <row r="275" spans="1:7">
      <c r="A275" s="3">
        <v>20</v>
      </c>
      <c r="B275" s="3">
        <v>5</v>
      </c>
      <c r="C275" s="3">
        <v>53</v>
      </c>
      <c r="D275" s="3">
        <v>15</v>
      </c>
      <c r="E275" s="3">
        <v>-26.244</v>
      </c>
      <c r="F275" s="4" t="str">
        <f>HYPERLINK("http://141.218.60.56/~jnz1568/getInfo.php?workbook=20_05.xlsx&amp;sheet=A0&amp;row=275&amp;col=6&amp;number=1807000000&amp;sourceID=14","1807000000")</f>
        <v>1807000000</v>
      </c>
      <c r="G275" s="4" t="str">
        <f>HYPERLINK("http://141.218.60.56/~jnz1568/getInfo.php?workbook=20_05.xlsx&amp;sheet=A0&amp;row=275&amp;col=7&amp;number=0&amp;sourceID=14","0")</f>
        <v>0</v>
      </c>
    </row>
    <row r="276" spans="1:7">
      <c r="A276" s="3">
        <v>20</v>
      </c>
      <c r="B276" s="3">
        <v>5</v>
      </c>
      <c r="C276" s="3">
        <v>54</v>
      </c>
      <c r="D276" s="3">
        <v>15</v>
      </c>
      <c r="E276" s="3">
        <v>-24.967</v>
      </c>
      <c r="F276" s="4" t="str">
        <f>HYPERLINK("http://141.218.60.56/~jnz1568/getInfo.php?workbook=20_05.xlsx&amp;sheet=A0&amp;row=276&amp;col=6&amp;number=1447000000&amp;sourceID=14","1447000000")</f>
        <v>1447000000</v>
      </c>
      <c r="G276" s="4" t="str">
        <f>HYPERLINK("http://141.218.60.56/~jnz1568/getInfo.php?workbook=20_05.xlsx&amp;sheet=A0&amp;row=276&amp;col=7&amp;number=0&amp;sourceID=14","0")</f>
        <v>0</v>
      </c>
    </row>
    <row r="277" spans="1:7">
      <c r="A277" s="3">
        <v>20</v>
      </c>
      <c r="B277" s="3">
        <v>5</v>
      </c>
      <c r="C277" s="3">
        <v>55</v>
      </c>
      <c r="D277" s="3">
        <v>15</v>
      </c>
      <c r="E277" s="3">
        <v>-24.457</v>
      </c>
      <c r="F277" s="4" t="str">
        <f>HYPERLINK("http://141.218.60.56/~jnz1568/getInfo.php?workbook=20_05.xlsx&amp;sheet=A0&amp;row=277&amp;col=6&amp;number=123200000&amp;sourceID=14","123200000")</f>
        <v>123200000</v>
      </c>
      <c r="G277" s="4" t="str">
        <f>HYPERLINK("http://141.218.60.56/~jnz1568/getInfo.php?workbook=20_05.xlsx&amp;sheet=A0&amp;row=277&amp;col=7&amp;number=0&amp;sourceID=14","0")</f>
        <v>0</v>
      </c>
    </row>
    <row r="278" spans="1:7">
      <c r="A278" s="3">
        <v>20</v>
      </c>
      <c r="B278" s="3">
        <v>5</v>
      </c>
      <c r="C278" s="3">
        <v>56</v>
      </c>
      <c r="D278" s="3">
        <v>15</v>
      </c>
      <c r="E278" s="3">
        <v>-23.887</v>
      </c>
      <c r="F278" s="4" t="str">
        <f>HYPERLINK("http://141.218.60.56/~jnz1568/getInfo.php?workbook=20_05.xlsx&amp;sheet=A0&amp;row=278&amp;col=6&amp;number=135300000000&amp;sourceID=14","135300000000")</f>
        <v>135300000000</v>
      </c>
      <c r="G278" s="4" t="str">
        <f>HYPERLINK("http://141.218.60.56/~jnz1568/getInfo.php?workbook=20_05.xlsx&amp;sheet=A0&amp;row=278&amp;col=7&amp;number=0&amp;sourceID=14","0")</f>
        <v>0</v>
      </c>
    </row>
    <row r="279" spans="1:7">
      <c r="A279" s="3">
        <v>20</v>
      </c>
      <c r="B279" s="3">
        <v>5</v>
      </c>
      <c r="C279" s="3">
        <v>57</v>
      </c>
      <c r="D279" s="3">
        <v>15</v>
      </c>
      <c r="E279" s="3">
        <v>-23.39</v>
      </c>
      <c r="F279" s="4" t="str">
        <f>HYPERLINK("http://141.218.60.56/~jnz1568/getInfo.php?workbook=20_05.xlsx&amp;sheet=A0&amp;row=279&amp;col=6&amp;number=277500000&amp;sourceID=14","277500000")</f>
        <v>277500000</v>
      </c>
      <c r="G279" s="4" t="str">
        <f>HYPERLINK("http://141.218.60.56/~jnz1568/getInfo.php?workbook=20_05.xlsx&amp;sheet=A0&amp;row=279&amp;col=7&amp;number=0&amp;sourceID=14","0")</f>
        <v>0</v>
      </c>
    </row>
    <row r="280" spans="1:7">
      <c r="A280" s="3">
        <v>20</v>
      </c>
      <c r="B280" s="3">
        <v>5</v>
      </c>
      <c r="C280" s="3">
        <v>58</v>
      </c>
      <c r="D280" s="3">
        <v>15</v>
      </c>
      <c r="E280" s="3">
        <v>-23.236</v>
      </c>
      <c r="F280" s="4" t="str">
        <f>HYPERLINK("http://141.218.60.56/~jnz1568/getInfo.php?workbook=20_05.xlsx&amp;sheet=A0&amp;row=280&amp;col=6&amp;number=233400000&amp;sourceID=14","233400000")</f>
        <v>233400000</v>
      </c>
      <c r="G280" s="4" t="str">
        <f>HYPERLINK("http://141.218.60.56/~jnz1568/getInfo.php?workbook=20_05.xlsx&amp;sheet=A0&amp;row=280&amp;col=7&amp;number=0&amp;sourceID=14","0")</f>
        <v>0</v>
      </c>
    </row>
    <row r="281" spans="1:7">
      <c r="A281" s="3">
        <v>20</v>
      </c>
      <c r="B281" s="3">
        <v>5</v>
      </c>
      <c r="C281" s="3">
        <v>59</v>
      </c>
      <c r="D281" s="3">
        <v>15</v>
      </c>
      <c r="E281" s="3">
        <v>-23.159</v>
      </c>
      <c r="F281" s="4" t="str">
        <f>HYPERLINK("http://141.218.60.56/~jnz1568/getInfo.php?workbook=20_05.xlsx&amp;sheet=A0&amp;row=281&amp;col=6&amp;number=5473000000&amp;sourceID=14","5473000000")</f>
        <v>5473000000</v>
      </c>
      <c r="G281" s="4" t="str">
        <f>HYPERLINK("http://141.218.60.56/~jnz1568/getInfo.php?workbook=20_05.xlsx&amp;sheet=A0&amp;row=281&amp;col=7&amp;number=0&amp;sourceID=14","0")</f>
        <v>0</v>
      </c>
    </row>
    <row r="282" spans="1:7">
      <c r="A282" s="3">
        <v>20</v>
      </c>
      <c r="B282" s="3">
        <v>5</v>
      </c>
      <c r="C282" s="3">
        <v>60</v>
      </c>
      <c r="D282" s="3">
        <v>15</v>
      </c>
      <c r="E282" s="3">
        <v>-23.047</v>
      </c>
      <c r="F282" s="4" t="str">
        <f>HYPERLINK("http://141.218.60.56/~jnz1568/getInfo.php?workbook=20_05.xlsx&amp;sheet=A0&amp;row=282&amp;col=6&amp;number=12480000000&amp;sourceID=14","12480000000")</f>
        <v>12480000000</v>
      </c>
      <c r="G282" s="4" t="str">
        <f>HYPERLINK("http://141.218.60.56/~jnz1568/getInfo.php?workbook=20_05.xlsx&amp;sheet=A0&amp;row=282&amp;col=7&amp;number=0&amp;sourceID=14","0")</f>
        <v>0</v>
      </c>
    </row>
    <row r="283" spans="1:7">
      <c r="A283" s="3">
        <v>20</v>
      </c>
      <c r="B283" s="3">
        <v>5</v>
      </c>
      <c r="C283" s="3">
        <v>61</v>
      </c>
      <c r="D283" s="3">
        <v>15</v>
      </c>
      <c r="E283" s="3">
        <v>-22.743</v>
      </c>
      <c r="F283" s="4" t="str">
        <f>HYPERLINK("http://141.218.60.56/~jnz1568/getInfo.php?workbook=20_05.xlsx&amp;sheet=A0&amp;row=283&amp;col=6&amp;number=548900000000&amp;sourceID=14","548900000000")</f>
        <v>548900000000</v>
      </c>
      <c r="G283" s="4" t="str">
        <f>HYPERLINK("http://141.218.60.56/~jnz1568/getInfo.php?workbook=20_05.xlsx&amp;sheet=A0&amp;row=283&amp;col=7&amp;number=0&amp;sourceID=14","0")</f>
        <v>0</v>
      </c>
    </row>
    <row r="284" spans="1:7">
      <c r="A284" s="3">
        <v>20</v>
      </c>
      <c r="B284" s="3">
        <v>5</v>
      </c>
      <c r="C284" s="3">
        <v>62</v>
      </c>
      <c r="D284" s="3">
        <v>15</v>
      </c>
      <c r="E284" s="3">
        <v>-22.575</v>
      </c>
      <c r="F284" s="4" t="str">
        <f>HYPERLINK("http://141.218.60.56/~jnz1568/getInfo.php?workbook=20_05.xlsx&amp;sheet=A0&amp;row=284&amp;col=6&amp;number=1705000000000&amp;sourceID=14","1705000000000")</f>
        <v>1705000000000</v>
      </c>
      <c r="G284" s="4" t="str">
        <f>HYPERLINK("http://141.218.60.56/~jnz1568/getInfo.php?workbook=20_05.xlsx&amp;sheet=A0&amp;row=284&amp;col=7&amp;number=0&amp;sourceID=14","0")</f>
        <v>0</v>
      </c>
    </row>
    <row r="285" spans="1:7">
      <c r="A285" s="3">
        <v>20</v>
      </c>
      <c r="B285" s="3">
        <v>5</v>
      </c>
      <c r="C285" s="3">
        <v>63</v>
      </c>
      <c r="D285" s="3">
        <v>15</v>
      </c>
      <c r="E285" s="3">
        <v>-22.456</v>
      </c>
      <c r="F285" s="4" t="str">
        <f>HYPERLINK("http://141.218.60.56/~jnz1568/getInfo.php?workbook=20_05.xlsx&amp;sheet=A0&amp;row=285&amp;col=6&amp;number=3462000000000&amp;sourceID=14","3462000000000")</f>
        <v>3462000000000</v>
      </c>
      <c r="G285" s="4" t="str">
        <f>HYPERLINK("http://141.218.60.56/~jnz1568/getInfo.php?workbook=20_05.xlsx&amp;sheet=A0&amp;row=285&amp;col=7&amp;number=0&amp;sourceID=14","0")</f>
        <v>0</v>
      </c>
    </row>
    <row r="286" spans="1:7">
      <c r="A286" s="3">
        <v>20</v>
      </c>
      <c r="B286" s="3">
        <v>5</v>
      </c>
      <c r="C286" s="3">
        <v>64</v>
      </c>
      <c r="D286" s="3">
        <v>15</v>
      </c>
      <c r="E286" s="3">
        <v>-21.764</v>
      </c>
      <c r="F286" s="4" t="str">
        <f>HYPERLINK("http://141.218.60.56/~jnz1568/getInfo.php?workbook=20_05.xlsx&amp;sheet=A0&amp;row=286&amp;col=6&amp;number=3764000000000&amp;sourceID=14","3764000000000")</f>
        <v>3764000000000</v>
      </c>
      <c r="G286" s="4" t="str">
        <f>HYPERLINK("http://141.218.60.56/~jnz1568/getInfo.php?workbook=20_05.xlsx&amp;sheet=A0&amp;row=286&amp;col=7&amp;number=0&amp;sourceID=14","0")</f>
        <v>0</v>
      </c>
    </row>
    <row r="287" spans="1:7">
      <c r="A287" s="3">
        <v>20</v>
      </c>
      <c r="B287" s="3">
        <v>5</v>
      </c>
      <c r="C287" s="3">
        <v>32</v>
      </c>
      <c r="D287" s="3">
        <v>13</v>
      </c>
      <c r="E287" s="3">
        <v>-26.081</v>
      </c>
      <c r="F287" s="4" t="str">
        <f>HYPERLINK("http://141.218.60.56/~jnz1568/getInfo.php?workbook=20_05.xlsx&amp;sheet=A0&amp;row=287&amp;col=6&amp;number=1570000000&amp;sourceID=14","1570000000")</f>
        <v>1570000000</v>
      </c>
      <c r="G287" s="4" t="str">
        <f>HYPERLINK("http://141.218.60.56/~jnz1568/getInfo.php?workbook=20_05.xlsx&amp;sheet=A0&amp;row=287&amp;col=7&amp;number=0&amp;sourceID=14","0")</f>
        <v>0</v>
      </c>
    </row>
    <row r="288" spans="1:7">
      <c r="A288" s="3">
        <v>20</v>
      </c>
      <c r="B288" s="3">
        <v>5</v>
      </c>
      <c r="C288" s="3">
        <v>33</v>
      </c>
      <c r="D288" s="3">
        <v>13</v>
      </c>
      <c r="E288" s="3">
        <v>25.98</v>
      </c>
      <c r="F288" s="4" t="str">
        <f>HYPERLINK("http://141.218.60.56/~jnz1568/getInfo.php?workbook=20_05.xlsx&amp;sheet=A0&amp;row=288&amp;col=6&amp;number=7228000000&amp;sourceID=14","7228000000")</f>
        <v>7228000000</v>
      </c>
      <c r="G288" s="4" t="str">
        <f>HYPERLINK("http://141.218.60.56/~jnz1568/getInfo.php?workbook=20_05.xlsx&amp;sheet=A0&amp;row=288&amp;col=7&amp;number=0&amp;sourceID=14","0")</f>
        <v>0</v>
      </c>
    </row>
    <row r="289" spans="1:7">
      <c r="A289" s="3">
        <v>20</v>
      </c>
      <c r="B289" s="3">
        <v>5</v>
      </c>
      <c r="C289" s="3">
        <v>34</v>
      </c>
      <c r="D289" s="3">
        <v>13</v>
      </c>
      <c r="E289" s="3">
        <v>-25.796</v>
      </c>
      <c r="F289" s="4" t="str">
        <f>HYPERLINK("http://141.218.60.56/~jnz1568/getInfo.php?workbook=20_05.xlsx&amp;sheet=A0&amp;row=289&amp;col=6&amp;number=3219000000&amp;sourceID=14","3219000000")</f>
        <v>3219000000</v>
      </c>
      <c r="G289" s="4" t="str">
        <f>HYPERLINK("http://141.218.60.56/~jnz1568/getInfo.php?workbook=20_05.xlsx&amp;sheet=A0&amp;row=289&amp;col=7&amp;number=0&amp;sourceID=14","0")</f>
        <v>0</v>
      </c>
    </row>
    <row r="290" spans="1:7">
      <c r="A290" s="3">
        <v>20</v>
      </c>
      <c r="B290" s="3">
        <v>5</v>
      </c>
      <c r="C290" s="3">
        <v>35</v>
      </c>
      <c r="D290" s="3">
        <v>13</v>
      </c>
      <c r="E290" s="3">
        <v>-25.662</v>
      </c>
      <c r="F290" s="4" t="str">
        <f>HYPERLINK("http://141.218.60.56/~jnz1568/getInfo.php?workbook=20_05.xlsx&amp;sheet=A0&amp;row=290&amp;col=6&amp;number=9642000&amp;sourceID=14","9642000")</f>
        <v>9642000</v>
      </c>
      <c r="G290" s="4" t="str">
        <f>HYPERLINK("http://141.218.60.56/~jnz1568/getInfo.php?workbook=20_05.xlsx&amp;sheet=A0&amp;row=290&amp;col=7&amp;number=0&amp;sourceID=14","0")</f>
        <v>0</v>
      </c>
    </row>
    <row r="291" spans="1:7">
      <c r="A291" s="3">
        <v>20</v>
      </c>
      <c r="B291" s="3">
        <v>5</v>
      </c>
      <c r="C291" s="3">
        <v>36</v>
      </c>
      <c r="D291" s="3">
        <v>13</v>
      </c>
      <c r="E291" s="3">
        <v>-25.604</v>
      </c>
      <c r="F291" s="4" t="str">
        <f>HYPERLINK("http://141.218.60.56/~jnz1568/getInfo.php?workbook=20_05.xlsx&amp;sheet=A0&amp;row=291&amp;col=6&amp;number=245500000&amp;sourceID=14","245500000")</f>
        <v>245500000</v>
      </c>
      <c r="G291" s="4" t="str">
        <f>HYPERLINK("http://141.218.60.56/~jnz1568/getInfo.php?workbook=20_05.xlsx&amp;sheet=A0&amp;row=291&amp;col=7&amp;number=0&amp;sourceID=14","0")</f>
        <v>0</v>
      </c>
    </row>
    <row r="292" spans="1:7">
      <c r="A292" s="3">
        <v>20</v>
      </c>
      <c r="B292" s="3">
        <v>5</v>
      </c>
      <c r="C292" s="3">
        <v>37</v>
      </c>
      <c r="D292" s="3">
        <v>13</v>
      </c>
      <c r="E292" s="3">
        <v>-24.292</v>
      </c>
      <c r="F292" s="4" t="str">
        <f>HYPERLINK("http://141.218.60.56/~jnz1568/getInfo.php?workbook=20_05.xlsx&amp;sheet=A0&amp;row=292&amp;col=6&amp;number=50370000000&amp;sourceID=14","50370000000")</f>
        <v>50370000000</v>
      </c>
      <c r="G292" s="4" t="str">
        <f>HYPERLINK("http://141.218.60.56/~jnz1568/getInfo.php?workbook=20_05.xlsx&amp;sheet=A0&amp;row=292&amp;col=7&amp;number=0&amp;sourceID=14","0")</f>
        <v>0</v>
      </c>
    </row>
    <row r="293" spans="1:7">
      <c r="A293" s="3">
        <v>20</v>
      </c>
      <c r="B293" s="3">
        <v>5</v>
      </c>
      <c r="C293" s="3">
        <v>38</v>
      </c>
      <c r="D293" s="3">
        <v>13</v>
      </c>
      <c r="E293" s="3">
        <v>-24.247</v>
      </c>
      <c r="F293" s="4" t="str">
        <f>HYPERLINK("http://141.218.60.56/~jnz1568/getInfo.php?workbook=20_05.xlsx&amp;sheet=A0&amp;row=293&amp;col=6&amp;number=79910000000&amp;sourceID=14","79910000000")</f>
        <v>79910000000</v>
      </c>
      <c r="G293" s="4" t="str">
        <f>HYPERLINK("http://141.218.60.56/~jnz1568/getInfo.php?workbook=20_05.xlsx&amp;sheet=A0&amp;row=293&amp;col=7&amp;number=0&amp;sourceID=14","0")</f>
        <v>0</v>
      </c>
    </row>
    <row r="294" spans="1:7">
      <c r="A294" s="3">
        <v>20</v>
      </c>
      <c r="B294" s="3">
        <v>5</v>
      </c>
      <c r="C294" s="3">
        <v>39</v>
      </c>
      <c r="D294" s="3">
        <v>13</v>
      </c>
      <c r="E294" s="3">
        <v>-23.877</v>
      </c>
      <c r="F294" s="4" t="str">
        <f>HYPERLINK("http://141.218.60.56/~jnz1568/getInfo.php?workbook=20_05.xlsx&amp;sheet=A0&amp;row=294&amp;col=6&amp;number=1066000000&amp;sourceID=14","1066000000")</f>
        <v>1066000000</v>
      </c>
      <c r="G294" s="4" t="str">
        <f>HYPERLINK("http://141.218.60.56/~jnz1568/getInfo.php?workbook=20_05.xlsx&amp;sheet=A0&amp;row=294&amp;col=7&amp;number=0&amp;sourceID=14","0")</f>
        <v>0</v>
      </c>
    </row>
    <row r="295" spans="1:7">
      <c r="A295" s="3">
        <v>20</v>
      </c>
      <c r="B295" s="3">
        <v>5</v>
      </c>
      <c r="C295" s="3">
        <v>40</v>
      </c>
      <c r="D295" s="3">
        <v>13</v>
      </c>
      <c r="E295" s="3">
        <v>-23.448</v>
      </c>
      <c r="F295" s="4" t="str">
        <f>HYPERLINK("http://141.218.60.56/~jnz1568/getInfo.php?workbook=20_05.xlsx&amp;sheet=A0&amp;row=295&amp;col=6&amp;number=480900000000&amp;sourceID=14","480900000000")</f>
        <v>480900000000</v>
      </c>
      <c r="G295" s="4" t="str">
        <f>HYPERLINK("http://141.218.60.56/~jnz1568/getInfo.php?workbook=20_05.xlsx&amp;sheet=A0&amp;row=295&amp;col=7&amp;number=0&amp;sourceID=14","0")</f>
        <v>0</v>
      </c>
    </row>
    <row r="296" spans="1:7">
      <c r="A296" s="3">
        <v>20</v>
      </c>
      <c r="B296" s="3">
        <v>5</v>
      </c>
      <c r="C296" s="3">
        <v>41</v>
      </c>
      <c r="D296" s="3">
        <v>13</v>
      </c>
      <c r="E296" s="3">
        <v>-23.216</v>
      </c>
      <c r="F296" s="4" t="str">
        <f>HYPERLINK("http://141.218.60.56/~jnz1568/getInfo.php?workbook=20_05.xlsx&amp;sheet=A0&amp;row=296&amp;col=6&amp;number=3751000000&amp;sourceID=14","3751000000")</f>
        <v>3751000000</v>
      </c>
      <c r="G296" s="4" t="str">
        <f>HYPERLINK("http://141.218.60.56/~jnz1568/getInfo.php?workbook=20_05.xlsx&amp;sheet=A0&amp;row=296&amp;col=7&amp;number=0&amp;sourceID=14","0")</f>
        <v>0</v>
      </c>
    </row>
    <row r="297" spans="1:7">
      <c r="A297" s="3">
        <v>20</v>
      </c>
      <c r="B297" s="3">
        <v>5</v>
      </c>
      <c r="C297" s="3">
        <v>42</v>
      </c>
      <c r="D297" s="3">
        <v>13</v>
      </c>
      <c r="E297" s="3">
        <v>-22.804</v>
      </c>
      <c r="F297" s="4" t="str">
        <f>HYPERLINK("http://141.218.60.56/~jnz1568/getInfo.php?workbook=20_05.xlsx&amp;sheet=A0&amp;row=297&amp;col=6&amp;number=361700000&amp;sourceID=14","361700000")</f>
        <v>361700000</v>
      </c>
      <c r="G297" s="4" t="str">
        <f>HYPERLINK("http://141.218.60.56/~jnz1568/getInfo.php?workbook=20_05.xlsx&amp;sheet=A0&amp;row=297&amp;col=7&amp;number=0&amp;sourceID=14","0")</f>
        <v>0</v>
      </c>
    </row>
    <row r="298" spans="1:7">
      <c r="A298" s="3">
        <v>20</v>
      </c>
      <c r="B298" s="3">
        <v>5</v>
      </c>
      <c r="C298" s="3">
        <v>43</v>
      </c>
      <c r="D298" s="3">
        <v>13</v>
      </c>
      <c r="E298" s="3">
        <v>-22.656</v>
      </c>
      <c r="F298" s="4" t="str">
        <f>HYPERLINK("http://141.218.60.56/~jnz1568/getInfo.php?workbook=20_05.xlsx&amp;sheet=A0&amp;row=298&amp;col=6&amp;number=218500000000&amp;sourceID=14","218500000000")</f>
        <v>218500000000</v>
      </c>
      <c r="G298" s="4" t="str">
        <f>HYPERLINK("http://141.218.60.56/~jnz1568/getInfo.php?workbook=20_05.xlsx&amp;sheet=A0&amp;row=298&amp;col=7&amp;number=0&amp;sourceID=14","0")</f>
        <v>0</v>
      </c>
    </row>
    <row r="299" spans="1:7">
      <c r="A299" s="3">
        <v>20</v>
      </c>
      <c r="B299" s="3">
        <v>5</v>
      </c>
      <c r="C299" s="3">
        <v>44</v>
      </c>
      <c r="D299" s="3">
        <v>13</v>
      </c>
      <c r="E299" s="3">
        <v>-22.577</v>
      </c>
      <c r="F299" s="4" t="str">
        <f>HYPERLINK("http://141.218.60.56/~jnz1568/getInfo.php?workbook=20_05.xlsx&amp;sheet=A0&amp;row=299&amp;col=6&amp;number=90510000000&amp;sourceID=14","90510000000")</f>
        <v>90510000000</v>
      </c>
      <c r="G299" s="4" t="str">
        <f>HYPERLINK("http://141.218.60.56/~jnz1568/getInfo.php?workbook=20_05.xlsx&amp;sheet=A0&amp;row=299&amp;col=7&amp;number=0&amp;sourceID=14","0")</f>
        <v>0</v>
      </c>
    </row>
    <row r="300" spans="1:7">
      <c r="A300" s="3">
        <v>20</v>
      </c>
      <c r="B300" s="3">
        <v>5</v>
      </c>
      <c r="C300" s="3">
        <v>45</v>
      </c>
      <c r="D300" s="3">
        <v>13</v>
      </c>
      <c r="E300" s="3">
        <v>-22.406</v>
      </c>
      <c r="F300" s="4" t="str">
        <f>HYPERLINK("http://141.218.60.56/~jnz1568/getInfo.php?workbook=20_05.xlsx&amp;sheet=A0&amp;row=300&amp;col=6&amp;number=48080000000&amp;sourceID=14","48080000000")</f>
        <v>48080000000</v>
      </c>
      <c r="G300" s="4" t="str">
        <f>HYPERLINK("http://141.218.60.56/~jnz1568/getInfo.php?workbook=20_05.xlsx&amp;sheet=A0&amp;row=300&amp;col=7&amp;number=0&amp;sourceID=14","0")</f>
        <v>0</v>
      </c>
    </row>
    <row r="301" spans="1:7">
      <c r="A301" s="3">
        <v>20</v>
      </c>
      <c r="B301" s="3">
        <v>5</v>
      </c>
      <c r="C301" s="3">
        <v>46</v>
      </c>
      <c r="D301" s="3">
        <v>13</v>
      </c>
      <c r="E301" s="3">
        <v>-22.146</v>
      </c>
      <c r="F301" s="4" t="str">
        <f>HYPERLINK("http://141.218.60.56/~jnz1568/getInfo.php?workbook=20_05.xlsx&amp;sheet=A0&amp;row=301&amp;col=6&amp;number=468500000000&amp;sourceID=14","468500000000")</f>
        <v>468500000000</v>
      </c>
      <c r="G301" s="4" t="str">
        <f>HYPERLINK("http://141.218.60.56/~jnz1568/getInfo.php?workbook=20_05.xlsx&amp;sheet=A0&amp;row=301&amp;col=7&amp;number=0&amp;sourceID=14","0")</f>
        <v>0</v>
      </c>
    </row>
    <row r="302" spans="1:7">
      <c r="A302" s="3">
        <v>20</v>
      </c>
      <c r="B302" s="3">
        <v>5</v>
      </c>
      <c r="C302" s="3">
        <v>47</v>
      </c>
      <c r="D302" s="3">
        <v>13</v>
      </c>
      <c r="E302" s="3">
        <v>-22.021</v>
      </c>
      <c r="F302" s="4" t="str">
        <f>HYPERLINK("http://141.218.60.56/~jnz1568/getInfo.php?workbook=20_05.xlsx&amp;sheet=A0&amp;row=302&amp;col=6&amp;number=461000000000&amp;sourceID=14","461000000000")</f>
        <v>461000000000</v>
      </c>
      <c r="G302" s="4" t="str">
        <f>HYPERLINK("http://141.218.60.56/~jnz1568/getInfo.php?workbook=20_05.xlsx&amp;sheet=A0&amp;row=302&amp;col=7&amp;number=0&amp;sourceID=14","0")</f>
        <v>0</v>
      </c>
    </row>
    <row r="303" spans="1:7">
      <c r="A303" s="3">
        <v>20</v>
      </c>
      <c r="B303" s="3">
        <v>5</v>
      </c>
      <c r="C303" s="3">
        <v>48</v>
      </c>
      <c r="D303" s="3">
        <v>13</v>
      </c>
      <c r="E303" s="3">
        <v>-21.827</v>
      </c>
      <c r="F303" s="4" t="str">
        <f>HYPERLINK("http://141.218.60.56/~jnz1568/getInfo.php?workbook=20_05.xlsx&amp;sheet=A0&amp;row=303&amp;col=6&amp;number=903900000000&amp;sourceID=14","903900000000")</f>
        <v>903900000000</v>
      </c>
      <c r="G303" s="4" t="str">
        <f>HYPERLINK("http://141.218.60.56/~jnz1568/getInfo.php?workbook=20_05.xlsx&amp;sheet=A0&amp;row=303&amp;col=7&amp;number=0&amp;sourceID=14","0")</f>
        <v>0</v>
      </c>
    </row>
    <row r="304" spans="1:7">
      <c r="A304" s="3">
        <v>20</v>
      </c>
      <c r="B304" s="3">
        <v>5</v>
      </c>
      <c r="C304" s="3">
        <v>49</v>
      </c>
      <c r="D304" s="3">
        <v>13</v>
      </c>
      <c r="E304" s="3">
        <v>-21.203</v>
      </c>
      <c r="F304" s="4" t="str">
        <f>HYPERLINK("http://141.218.60.56/~jnz1568/getInfo.php?workbook=20_05.xlsx&amp;sheet=A0&amp;row=304&amp;col=6&amp;number=19100000000&amp;sourceID=14","19100000000")</f>
        <v>19100000000</v>
      </c>
      <c r="G304" s="4" t="str">
        <f>HYPERLINK("http://141.218.60.56/~jnz1568/getInfo.php?workbook=20_05.xlsx&amp;sheet=A0&amp;row=304&amp;col=7&amp;number=0&amp;sourceID=14","0")</f>
        <v>0</v>
      </c>
    </row>
    <row r="305" spans="1:7">
      <c r="A305" s="3">
        <v>20</v>
      </c>
      <c r="B305" s="3">
        <v>5</v>
      </c>
      <c r="C305" s="3">
        <v>50</v>
      </c>
      <c r="D305" s="3">
        <v>13</v>
      </c>
      <c r="E305" s="3">
        <v>26.888</v>
      </c>
      <c r="F305" s="4" t="str">
        <f>HYPERLINK("http://141.218.60.56/~jnz1568/getInfo.php?workbook=20_05.xlsx&amp;sheet=A0&amp;row=305&amp;col=6&amp;number=231800000&amp;sourceID=14","231800000")</f>
        <v>231800000</v>
      </c>
      <c r="G305" s="4" t="str">
        <f>HYPERLINK("http://141.218.60.56/~jnz1568/getInfo.php?workbook=20_05.xlsx&amp;sheet=A0&amp;row=305&amp;col=7&amp;number=0&amp;sourceID=14","0")</f>
        <v>0</v>
      </c>
    </row>
    <row r="306" spans="1:7">
      <c r="A306" s="3">
        <v>20</v>
      </c>
      <c r="B306" s="3">
        <v>5</v>
      </c>
      <c r="C306" s="3">
        <v>51</v>
      </c>
      <c r="D306" s="3">
        <v>13</v>
      </c>
      <c r="E306" s="3">
        <v>-25.967</v>
      </c>
      <c r="F306" s="4" t="str">
        <f>HYPERLINK("http://141.218.60.56/~jnz1568/getInfo.php?workbook=20_05.xlsx&amp;sheet=A0&amp;row=306&amp;col=6&amp;number=67280000&amp;sourceID=14","67280000")</f>
        <v>67280000</v>
      </c>
      <c r="G306" s="4" t="str">
        <f>HYPERLINK("http://141.218.60.56/~jnz1568/getInfo.php?workbook=20_05.xlsx&amp;sheet=A0&amp;row=306&amp;col=7&amp;number=0&amp;sourceID=14","0")</f>
        <v>0</v>
      </c>
    </row>
    <row r="307" spans="1:7">
      <c r="A307" s="3">
        <v>20</v>
      </c>
      <c r="B307" s="3">
        <v>5</v>
      </c>
      <c r="C307" s="3">
        <v>52</v>
      </c>
      <c r="D307" s="3">
        <v>13</v>
      </c>
      <c r="E307" s="3">
        <v>-25.617</v>
      </c>
      <c r="F307" s="4" t="str">
        <f>HYPERLINK("http://141.218.60.56/~jnz1568/getInfo.php?workbook=20_05.xlsx&amp;sheet=A0&amp;row=307&amp;col=6&amp;number=911700000&amp;sourceID=14","911700000")</f>
        <v>911700000</v>
      </c>
      <c r="G307" s="4" t="str">
        <f>HYPERLINK("http://141.218.60.56/~jnz1568/getInfo.php?workbook=20_05.xlsx&amp;sheet=A0&amp;row=307&amp;col=7&amp;number=0&amp;sourceID=14","0")</f>
        <v>0</v>
      </c>
    </row>
    <row r="308" spans="1:7">
      <c r="A308" s="3">
        <v>20</v>
      </c>
      <c r="B308" s="3">
        <v>5</v>
      </c>
      <c r="C308" s="3">
        <v>53</v>
      </c>
      <c r="D308" s="3">
        <v>13</v>
      </c>
      <c r="E308" s="3">
        <v>-25.46</v>
      </c>
      <c r="F308" s="4" t="str">
        <f>HYPERLINK("http://141.218.60.56/~jnz1568/getInfo.php?workbook=20_05.xlsx&amp;sheet=A0&amp;row=308&amp;col=6&amp;number=14080000000&amp;sourceID=14","14080000000")</f>
        <v>14080000000</v>
      </c>
      <c r="G308" s="4" t="str">
        <f>HYPERLINK("http://141.218.60.56/~jnz1568/getInfo.php?workbook=20_05.xlsx&amp;sheet=A0&amp;row=308&amp;col=7&amp;number=0&amp;sourceID=14","0")</f>
        <v>0</v>
      </c>
    </row>
    <row r="309" spans="1:7">
      <c r="A309" s="3">
        <v>20</v>
      </c>
      <c r="B309" s="3">
        <v>5</v>
      </c>
      <c r="C309" s="3">
        <v>54</v>
      </c>
      <c r="D309" s="3">
        <v>13</v>
      </c>
      <c r="E309" s="3">
        <v>-24.257</v>
      </c>
      <c r="F309" s="4" t="str">
        <f>HYPERLINK("http://141.218.60.56/~jnz1568/getInfo.php?workbook=20_05.xlsx&amp;sheet=A0&amp;row=309&amp;col=6&amp;number=247100000&amp;sourceID=14","247100000")</f>
        <v>247100000</v>
      </c>
      <c r="G309" s="4" t="str">
        <f>HYPERLINK("http://141.218.60.56/~jnz1568/getInfo.php?workbook=20_05.xlsx&amp;sheet=A0&amp;row=309&amp;col=7&amp;number=0&amp;sourceID=14","0")</f>
        <v>0</v>
      </c>
    </row>
    <row r="310" spans="1:7">
      <c r="A310" s="3">
        <v>20</v>
      </c>
      <c r="B310" s="3">
        <v>5</v>
      </c>
      <c r="C310" s="3">
        <v>55</v>
      </c>
      <c r="D310" s="3">
        <v>13</v>
      </c>
      <c r="E310" s="3">
        <v>-23.775</v>
      </c>
      <c r="F310" s="4" t="str">
        <f>HYPERLINK("http://141.218.60.56/~jnz1568/getInfo.php?workbook=20_05.xlsx&amp;sheet=A0&amp;row=310&amp;col=6&amp;number=16170000000&amp;sourceID=14","16170000000")</f>
        <v>16170000000</v>
      </c>
      <c r="G310" s="4" t="str">
        <f>HYPERLINK("http://141.218.60.56/~jnz1568/getInfo.php?workbook=20_05.xlsx&amp;sheet=A0&amp;row=310&amp;col=7&amp;number=0&amp;sourceID=14","0")</f>
        <v>0</v>
      </c>
    </row>
    <row r="311" spans="1:7">
      <c r="A311" s="3">
        <v>20</v>
      </c>
      <c r="B311" s="3">
        <v>5</v>
      </c>
      <c r="C311" s="3">
        <v>56</v>
      </c>
      <c r="D311" s="3">
        <v>13</v>
      </c>
      <c r="E311" s="3">
        <v>-23.236</v>
      </c>
      <c r="F311" s="4" t="str">
        <f>HYPERLINK("http://141.218.60.56/~jnz1568/getInfo.php?workbook=20_05.xlsx&amp;sheet=A0&amp;row=311&amp;col=6&amp;number=557800000000&amp;sourceID=14","557800000000")</f>
        <v>557800000000</v>
      </c>
      <c r="G311" s="4" t="str">
        <f>HYPERLINK("http://141.218.60.56/~jnz1568/getInfo.php?workbook=20_05.xlsx&amp;sheet=A0&amp;row=311&amp;col=7&amp;number=0&amp;sourceID=14","0")</f>
        <v>0</v>
      </c>
    </row>
    <row r="312" spans="1:7">
      <c r="A312" s="3">
        <v>20</v>
      </c>
      <c r="B312" s="3">
        <v>5</v>
      </c>
      <c r="C312" s="3">
        <v>57</v>
      </c>
      <c r="D312" s="3">
        <v>13</v>
      </c>
      <c r="E312" s="3">
        <v>-22.766</v>
      </c>
      <c r="F312" s="4" t="str">
        <f>HYPERLINK("http://141.218.60.56/~jnz1568/getInfo.php?workbook=20_05.xlsx&amp;sheet=A0&amp;row=312&amp;col=6&amp;number=16450000000&amp;sourceID=14","16450000000")</f>
        <v>16450000000</v>
      </c>
      <c r="G312" s="4" t="str">
        <f>HYPERLINK("http://141.218.60.56/~jnz1568/getInfo.php?workbook=20_05.xlsx&amp;sheet=A0&amp;row=312&amp;col=7&amp;number=0&amp;sourceID=14","0")</f>
        <v>0</v>
      </c>
    </row>
    <row r="313" spans="1:7">
      <c r="A313" s="3">
        <v>20</v>
      </c>
      <c r="B313" s="3">
        <v>5</v>
      </c>
      <c r="C313" s="3">
        <v>58</v>
      </c>
      <c r="D313" s="3">
        <v>13</v>
      </c>
      <c r="E313" s="3">
        <v>-22.619</v>
      </c>
      <c r="F313" s="4" t="str">
        <f>HYPERLINK("http://141.218.60.56/~jnz1568/getInfo.php?workbook=20_05.xlsx&amp;sheet=A0&amp;row=313&amp;col=6&amp;number=580400000&amp;sourceID=14","580400000")</f>
        <v>580400000</v>
      </c>
      <c r="G313" s="4" t="str">
        <f>HYPERLINK("http://141.218.60.56/~jnz1568/getInfo.php?workbook=20_05.xlsx&amp;sheet=A0&amp;row=313&amp;col=7&amp;number=0&amp;sourceID=14","0")</f>
        <v>0</v>
      </c>
    </row>
    <row r="314" spans="1:7">
      <c r="A314" s="3">
        <v>20</v>
      </c>
      <c r="B314" s="3">
        <v>5</v>
      </c>
      <c r="C314" s="3">
        <v>59</v>
      </c>
      <c r="D314" s="3">
        <v>13</v>
      </c>
      <c r="E314" s="3">
        <v>-22.547</v>
      </c>
      <c r="F314" s="4" t="str">
        <f>HYPERLINK("http://141.218.60.56/~jnz1568/getInfo.php?workbook=20_05.xlsx&amp;sheet=A0&amp;row=314&amp;col=6&amp;number=121100000000&amp;sourceID=14","121100000000")</f>
        <v>121100000000</v>
      </c>
      <c r="G314" s="4" t="str">
        <f>HYPERLINK("http://141.218.60.56/~jnz1568/getInfo.php?workbook=20_05.xlsx&amp;sheet=A0&amp;row=314&amp;col=7&amp;number=0&amp;sourceID=14","0")</f>
        <v>0</v>
      </c>
    </row>
    <row r="315" spans="1:7">
      <c r="A315" s="3">
        <v>20</v>
      </c>
      <c r="B315" s="3">
        <v>5</v>
      </c>
      <c r="C315" s="3">
        <v>60</v>
      </c>
      <c r="D315" s="3">
        <v>13</v>
      </c>
      <c r="E315" s="3">
        <v>-22.44</v>
      </c>
      <c r="F315" s="4" t="str">
        <f>HYPERLINK("http://141.218.60.56/~jnz1568/getInfo.php?workbook=20_05.xlsx&amp;sheet=A0&amp;row=315&amp;col=6&amp;number=96850000000&amp;sourceID=14","96850000000")</f>
        <v>96850000000</v>
      </c>
      <c r="G315" s="4" t="str">
        <f>HYPERLINK("http://141.218.60.56/~jnz1568/getInfo.php?workbook=20_05.xlsx&amp;sheet=A0&amp;row=315&amp;col=7&amp;number=0&amp;sourceID=14","0")</f>
        <v>0</v>
      </c>
    </row>
    <row r="316" spans="1:7">
      <c r="A316" s="3">
        <v>20</v>
      </c>
      <c r="B316" s="3">
        <v>5</v>
      </c>
      <c r="C316" s="3">
        <v>61</v>
      </c>
      <c r="D316" s="3">
        <v>13</v>
      </c>
      <c r="E316" s="3">
        <v>-22.152</v>
      </c>
      <c r="F316" s="4" t="str">
        <f>HYPERLINK("http://141.218.60.56/~jnz1568/getInfo.php?workbook=20_05.xlsx&amp;sheet=A0&amp;row=316&amp;col=6&amp;number=2830000000000&amp;sourceID=14","2830000000000")</f>
        <v>2830000000000</v>
      </c>
      <c r="G316" s="4" t="str">
        <f>HYPERLINK("http://141.218.60.56/~jnz1568/getInfo.php?workbook=20_05.xlsx&amp;sheet=A0&amp;row=316&amp;col=7&amp;number=0&amp;sourceID=14","0")</f>
        <v>0</v>
      </c>
    </row>
    <row r="317" spans="1:7">
      <c r="A317" s="3">
        <v>20</v>
      </c>
      <c r="B317" s="3">
        <v>5</v>
      </c>
      <c r="C317" s="3">
        <v>62</v>
      </c>
      <c r="D317" s="3">
        <v>13</v>
      </c>
      <c r="E317" s="3">
        <v>-21.992</v>
      </c>
      <c r="F317" s="4" t="str">
        <f>HYPERLINK("http://141.218.60.56/~jnz1568/getInfo.php?workbook=20_05.xlsx&amp;sheet=A0&amp;row=317&amp;col=6&amp;number=2521000000000&amp;sourceID=14","2521000000000")</f>
        <v>2521000000000</v>
      </c>
      <c r="G317" s="4" t="str">
        <f>HYPERLINK("http://141.218.60.56/~jnz1568/getInfo.php?workbook=20_05.xlsx&amp;sheet=A0&amp;row=317&amp;col=7&amp;number=0&amp;sourceID=14","0")</f>
        <v>0</v>
      </c>
    </row>
    <row r="318" spans="1:7">
      <c r="A318" s="3">
        <v>20</v>
      </c>
      <c r="B318" s="3">
        <v>5</v>
      </c>
      <c r="C318" s="3">
        <v>63</v>
      </c>
      <c r="D318" s="3">
        <v>13</v>
      </c>
      <c r="E318" s="3">
        <v>-21.879</v>
      </c>
      <c r="F318" s="4" t="str">
        <f>HYPERLINK("http://141.218.60.56/~jnz1568/getInfo.php?workbook=20_05.xlsx&amp;sheet=A0&amp;row=318&amp;col=6&amp;number=248700000000&amp;sourceID=14","248700000000")</f>
        <v>248700000000</v>
      </c>
      <c r="G318" s="4" t="str">
        <f>HYPERLINK("http://141.218.60.56/~jnz1568/getInfo.php?workbook=20_05.xlsx&amp;sheet=A0&amp;row=318&amp;col=7&amp;number=0&amp;sourceID=14","0")</f>
        <v>0</v>
      </c>
    </row>
    <row r="319" spans="1:7">
      <c r="A319" s="3">
        <v>20</v>
      </c>
      <c r="B319" s="3">
        <v>5</v>
      </c>
      <c r="C319" s="3">
        <v>64</v>
      </c>
      <c r="D319" s="3">
        <v>13</v>
      </c>
      <c r="E319" s="3">
        <v>-21.222</v>
      </c>
      <c r="F319" s="4" t="str">
        <f>HYPERLINK("http://141.218.60.56/~jnz1568/getInfo.php?workbook=20_05.xlsx&amp;sheet=A0&amp;row=319&amp;col=6&amp;number=151400000000&amp;sourceID=14","151400000000")</f>
        <v>151400000000</v>
      </c>
      <c r="G319" s="4" t="str">
        <f>HYPERLINK("http://141.218.60.56/~jnz1568/getInfo.php?workbook=20_05.xlsx&amp;sheet=A0&amp;row=319&amp;col=7&amp;number=0&amp;sourceID=14","0")</f>
        <v>0</v>
      </c>
    </row>
    <row r="320" spans="1:7">
      <c r="A320" s="3">
        <v>20</v>
      </c>
      <c r="B320" s="3">
        <v>5</v>
      </c>
      <c r="C320" s="3">
        <v>65</v>
      </c>
      <c r="D320" s="3">
        <v>13</v>
      </c>
      <c r="E320" s="3">
        <v>-25.826</v>
      </c>
      <c r="F320" s="4" t="str">
        <f>HYPERLINK("http://141.218.60.56/~jnz1568/getInfo.php?workbook=20_05.xlsx&amp;sheet=A0&amp;row=320&amp;col=6&amp;number=1076000&amp;sourceID=14","1076000")</f>
        <v>1076000</v>
      </c>
      <c r="G320" s="4" t="str">
        <f>HYPERLINK("http://141.218.60.56/~jnz1568/getInfo.php?workbook=20_05.xlsx&amp;sheet=A0&amp;row=320&amp;col=7&amp;number=0&amp;sourceID=14","0")</f>
        <v>0</v>
      </c>
    </row>
    <row r="321" spans="1:7">
      <c r="A321" s="3">
        <v>20</v>
      </c>
      <c r="B321" s="3">
        <v>5</v>
      </c>
      <c r="C321" s="3">
        <v>66</v>
      </c>
      <c r="D321" s="3">
        <v>13</v>
      </c>
      <c r="E321" s="3">
        <v>-22.707</v>
      </c>
      <c r="F321" s="4" t="str">
        <f>HYPERLINK("http://141.218.60.56/~jnz1568/getInfo.php?workbook=20_05.xlsx&amp;sheet=A0&amp;row=321&amp;col=6&amp;number=36370000000&amp;sourceID=14","36370000000")</f>
        <v>36370000000</v>
      </c>
      <c r="G321" s="4" t="str">
        <f>HYPERLINK("http://141.218.60.56/~jnz1568/getInfo.php?workbook=20_05.xlsx&amp;sheet=A0&amp;row=321&amp;col=7&amp;number=0&amp;sourceID=14","0")</f>
        <v>0</v>
      </c>
    </row>
    <row r="322" spans="1:7">
      <c r="A322" s="3">
        <v>20</v>
      </c>
      <c r="B322" s="3">
        <v>5</v>
      </c>
      <c r="C322" s="3">
        <v>67</v>
      </c>
      <c r="D322" s="3">
        <v>13</v>
      </c>
      <c r="E322" s="3">
        <v>-22.577</v>
      </c>
      <c r="F322" s="4" t="str">
        <f>HYPERLINK("http://141.218.60.56/~jnz1568/getInfo.php?workbook=20_05.xlsx&amp;sheet=A0&amp;row=322&amp;col=6&amp;number=18000000000&amp;sourceID=14","18000000000")</f>
        <v>18000000000</v>
      </c>
      <c r="G322" s="4" t="str">
        <f>HYPERLINK("http://141.218.60.56/~jnz1568/getInfo.php?workbook=20_05.xlsx&amp;sheet=A0&amp;row=322&amp;col=7&amp;number=0&amp;sourceID=14","0")</f>
        <v>0</v>
      </c>
    </row>
    <row r="323" spans="1:7">
      <c r="A323" s="3">
        <v>20</v>
      </c>
      <c r="B323" s="3">
        <v>5</v>
      </c>
      <c r="C323" s="3">
        <v>68</v>
      </c>
      <c r="D323" s="3">
        <v>13</v>
      </c>
      <c r="E323" s="3">
        <v>-22.415</v>
      </c>
      <c r="F323" s="4" t="str">
        <f>HYPERLINK("http://141.218.60.56/~jnz1568/getInfo.php?workbook=20_05.xlsx&amp;sheet=A0&amp;row=323&amp;col=6&amp;number=727100000000&amp;sourceID=14","727100000000")</f>
        <v>727100000000</v>
      </c>
      <c r="G323" s="4" t="str">
        <f>HYPERLINK("http://141.218.60.56/~jnz1568/getInfo.php?workbook=20_05.xlsx&amp;sheet=A0&amp;row=323&amp;col=7&amp;number=0&amp;sourceID=14","0")</f>
        <v>0</v>
      </c>
    </row>
    <row r="324" spans="1:7">
      <c r="A324" s="3">
        <v>20</v>
      </c>
      <c r="B324" s="3">
        <v>5</v>
      </c>
      <c r="C324" s="3">
        <v>69</v>
      </c>
      <c r="D324" s="3">
        <v>13</v>
      </c>
      <c r="E324" s="3">
        <v>-22.147</v>
      </c>
      <c r="F324" s="4" t="str">
        <f>HYPERLINK("http://141.218.60.56/~jnz1568/getInfo.php?workbook=20_05.xlsx&amp;sheet=A0&amp;row=324&amp;col=6&amp;number=336900000000&amp;sourceID=14","336900000000")</f>
        <v>336900000000</v>
      </c>
      <c r="G324" s="4" t="str">
        <f>HYPERLINK("http://141.218.60.56/~jnz1568/getInfo.php?workbook=20_05.xlsx&amp;sheet=A0&amp;row=324&amp;col=7&amp;number=0&amp;sourceID=14","0")</f>
        <v>0</v>
      </c>
    </row>
    <row r="325" spans="1:7">
      <c r="A325" s="3">
        <v>20</v>
      </c>
      <c r="B325" s="3">
        <v>5</v>
      </c>
      <c r="C325" s="3">
        <v>70</v>
      </c>
      <c r="D325" s="3">
        <v>13</v>
      </c>
      <c r="E325" s="3">
        <v>-21.934</v>
      </c>
      <c r="F325" s="4" t="str">
        <f>HYPERLINK("http://141.218.60.56/~jnz1568/getInfo.php?workbook=20_05.xlsx&amp;sheet=A0&amp;row=325&amp;col=6&amp;number=10890000000000&amp;sourceID=14","10890000000000")</f>
        <v>10890000000000</v>
      </c>
      <c r="G325" s="4" t="str">
        <f>HYPERLINK("http://141.218.60.56/~jnz1568/getInfo.php?workbook=20_05.xlsx&amp;sheet=A0&amp;row=325&amp;col=7&amp;number=0&amp;sourceID=14","0")</f>
        <v>0</v>
      </c>
    </row>
    <row r="326" spans="1:7">
      <c r="A326" s="3">
        <v>20</v>
      </c>
      <c r="B326" s="3">
        <v>5</v>
      </c>
      <c r="C326" s="3">
        <v>73</v>
      </c>
      <c r="D326" s="3">
        <v>3</v>
      </c>
      <c r="E326" s="3">
        <v>-23.519</v>
      </c>
      <c r="F326" s="4" t="str">
        <f>HYPERLINK("http://141.218.60.56/~jnz1568/getInfo.php?workbook=20_05.xlsx&amp;sheet=A0&amp;row=326&amp;col=6&amp;number=21550000&amp;sourceID=14","21550000")</f>
        <v>21550000</v>
      </c>
      <c r="G326" s="4" t="str">
        <f>HYPERLINK("http://141.218.60.56/~jnz1568/getInfo.php?workbook=20_05.xlsx&amp;sheet=A0&amp;row=326&amp;col=7&amp;number=0&amp;sourceID=14","0")</f>
        <v>0</v>
      </c>
    </row>
    <row r="327" spans="1:7">
      <c r="A327" s="3">
        <v>20</v>
      </c>
      <c r="B327" s="3">
        <v>5</v>
      </c>
      <c r="C327" s="3">
        <v>74</v>
      </c>
      <c r="D327" s="3">
        <v>3</v>
      </c>
      <c r="E327" s="3">
        <v>-22.802</v>
      </c>
      <c r="F327" s="4" t="str">
        <f>HYPERLINK("http://141.218.60.56/~jnz1568/getInfo.php?workbook=20_05.xlsx&amp;sheet=A0&amp;row=327&amp;col=6&amp;number=141200000000&amp;sourceID=14","141200000000")</f>
        <v>141200000000</v>
      </c>
      <c r="G327" s="4" t="str">
        <f>HYPERLINK("http://141.218.60.56/~jnz1568/getInfo.php?workbook=20_05.xlsx&amp;sheet=A0&amp;row=327&amp;col=7&amp;number=0&amp;sourceID=14","0")</f>
        <v>0</v>
      </c>
    </row>
    <row r="328" spans="1:7">
      <c r="A328" s="3">
        <v>20</v>
      </c>
      <c r="B328" s="3">
        <v>5</v>
      </c>
      <c r="C328" s="3">
        <v>75</v>
      </c>
      <c r="D328" s="3">
        <v>3</v>
      </c>
      <c r="E328" s="3">
        <v>-22.458</v>
      </c>
      <c r="F328" s="4" t="str">
        <f>HYPERLINK("http://141.218.60.56/~jnz1568/getInfo.php?workbook=20_05.xlsx&amp;sheet=A0&amp;row=328&amp;col=6&amp;number=16500000&amp;sourceID=14","16500000")</f>
        <v>16500000</v>
      </c>
      <c r="G328" s="4" t="str">
        <f>HYPERLINK("http://141.218.60.56/~jnz1568/getInfo.php?workbook=20_05.xlsx&amp;sheet=A0&amp;row=328&amp;col=7&amp;number=0&amp;sourceID=14","0")</f>
        <v>0</v>
      </c>
    </row>
    <row r="329" spans="1:7">
      <c r="A329" s="3">
        <v>20</v>
      </c>
      <c r="B329" s="3">
        <v>5</v>
      </c>
      <c r="C329" s="3">
        <v>76</v>
      </c>
      <c r="D329" s="3">
        <v>3</v>
      </c>
      <c r="E329" s="3">
        <v>-21.478</v>
      </c>
      <c r="F329" s="4" t="str">
        <f>HYPERLINK("http://141.218.60.56/~jnz1568/getInfo.php?workbook=20_05.xlsx&amp;sheet=A0&amp;row=329&amp;col=6&amp;number=7666000000000&amp;sourceID=14","7666000000000")</f>
        <v>7666000000000</v>
      </c>
      <c r="G329" s="4" t="str">
        <f>HYPERLINK("http://141.218.60.56/~jnz1568/getInfo.php?workbook=20_05.xlsx&amp;sheet=A0&amp;row=329&amp;col=7&amp;number=0&amp;sourceID=14","0")</f>
        <v>0</v>
      </c>
    </row>
    <row r="330" spans="1:7">
      <c r="A330" s="3">
        <v>20</v>
      </c>
      <c r="B330" s="3">
        <v>5</v>
      </c>
      <c r="C330" s="3">
        <v>77</v>
      </c>
      <c r="D330" s="3">
        <v>3</v>
      </c>
      <c r="E330" s="3">
        <v>-21.437</v>
      </c>
      <c r="F330" s="4" t="str">
        <f>HYPERLINK("http://141.218.60.56/~jnz1568/getInfo.php?workbook=20_05.xlsx&amp;sheet=A0&amp;row=330&amp;col=6&amp;number=62690000000&amp;sourceID=14","62690000000")</f>
        <v>62690000000</v>
      </c>
      <c r="G330" s="4" t="str">
        <f>HYPERLINK("http://141.218.60.56/~jnz1568/getInfo.php?workbook=20_05.xlsx&amp;sheet=A0&amp;row=330&amp;col=7&amp;number=0&amp;sourceID=14","0")</f>
        <v>0</v>
      </c>
    </row>
    <row r="331" spans="1:7">
      <c r="A331" s="3">
        <v>20</v>
      </c>
      <c r="B331" s="3">
        <v>5</v>
      </c>
      <c r="C331" s="3">
        <v>78</v>
      </c>
      <c r="D331" s="3">
        <v>3</v>
      </c>
      <c r="E331" s="3">
        <v>-21.328</v>
      </c>
      <c r="F331" s="4" t="str">
        <f>HYPERLINK("http://141.218.60.56/~jnz1568/getInfo.php?workbook=20_05.xlsx&amp;sheet=A0&amp;row=331&amp;col=6&amp;number=68370000000&amp;sourceID=14","68370000000")</f>
        <v>68370000000</v>
      </c>
      <c r="G331" s="4" t="str">
        <f>HYPERLINK("http://141.218.60.56/~jnz1568/getInfo.php?workbook=20_05.xlsx&amp;sheet=A0&amp;row=331&amp;col=7&amp;number=0&amp;sourceID=14","0")</f>
        <v>0</v>
      </c>
    </row>
    <row r="332" spans="1:7">
      <c r="A332" s="3">
        <v>20</v>
      </c>
      <c r="B332" s="3">
        <v>5</v>
      </c>
      <c r="C332" s="3">
        <v>79</v>
      </c>
      <c r="D332" s="3">
        <v>3</v>
      </c>
      <c r="E332" s="3">
        <v>-21.014</v>
      </c>
      <c r="F332" s="4" t="str">
        <f>HYPERLINK("http://141.218.60.56/~jnz1568/getInfo.php?workbook=20_05.xlsx&amp;sheet=A0&amp;row=332&amp;col=6&amp;number=24660000000&amp;sourceID=14","24660000000")</f>
        <v>24660000000</v>
      </c>
      <c r="G332" s="4" t="str">
        <f>HYPERLINK("http://141.218.60.56/~jnz1568/getInfo.php?workbook=20_05.xlsx&amp;sheet=A0&amp;row=332&amp;col=7&amp;number=0&amp;sourceID=14","0")</f>
        <v>0</v>
      </c>
    </row>
    <row r="333" spans="1:7">
      <c r="A333" s="3">
        <v>20</v>
      </c>
      <c r="B333" s="3">
        <v>5</v>
      </c>
      <c r="C333" s="3">
        <v>80</v>
      </c>
      <c r="D333" s="3">
        <v>3</v>
      </c>
      <c r="E333" s="3">
        <v>-20.231</v>
      </c>
      <c r="F333" s="4" t="str">
        <f>HYPERLINK("http://141.218.60.56/~jnz1568/getInfo.php?workbook=20_05.xlsx&amp;sheet=A0&amp;row=333&amp;col=6&amp;number=52540000000&amp;sourceID=14","52540000000")</f>
        <v>52540000000</v>
      </c>
      <c r="G333" s="4" t="str">
        <f>HYPERLINK("http://141.218.60.56/~jnz1568/getInfo.php?workbook=20_05.xlsx&amp;sheet=A0&amp;row=333&amp;col=7&amp;number=0&amp;sourceID=14","0")</f>
        <v>0</v>
      </c>
    </row>
    <row r="334" spans="1:7">
      <c r="A334" s="3">
        <v>20</v>
      </c>
      <c r="B334" s="3">
        <v>5</v>
      </c>
      <c r="C334" s="3">
        <v>81</v>
      </c>
      <c r="D334" s="3">
        <v>3</v>
      </c>
      <c r="E334" s="3">
        <v>-20.197</v>
      </c>
      <c r="F334" s="4" t="str">
        <f>HYPERLINK("http://141.218.60.56/~jnz1568/getInfo.php?workbook=20_05.xlsx&amp;sheet=A0&amp;row=334&amp;col=6&amp;number=291000000000&amp;sourceID=14","291000000000")</f>
        <v>291000000000</v>
      </c>
      <c r="G334" s="4" t="str">
        <f>HYPERLINK("http://141.218.60.56/~jnz1568/getInfo.php?workbook=20_05.xlsx&amp;sheet=A0&amp;row=334&amp;col=7&amp;number=0&amp;sourceID=14","0")</f>
        <v>0</v>
      </c>
    </row>
    <row r="335" spans="1:7">
      <c r="A335" s="3">
        <v>20</v>
      </c>
      <c r="B335" s="3">
        <v>5</v>
      </c>
      <c r="C335" s="3">
        <v>82</v>
      </c>
      <c r="D335" s="3">
        <v>3</v>
      </c>
      <c r="E335" s="3">
        <v>-20.159</v>
      </c>
      <c r="F335" s="4" t="str">
        <f>HYPERLINK("http://141.218.60.56/~jnz1568/getInfo.php?workbook=20_05.xlsx&amp;sheet=A0&amp;row=335&amp;col=6&amp;number=413900000000&amp;sourceID=14","413900000000")</f>
        <v>413900000000</v>
      </c>
      <c r="G335" s="4" t="str">
        <f>HYPERLINK("http://141.218.60.56/~jnz1568/getInfo.php?workbook=20_05.xlsx&amp;sheet=A0&amp;row=335&amp;col=7&amp;number=0&amp;sourceID=14","0")</f>
        <v>0</v>
      </c>
    </row>
    <row r="336" spans="1:7">
      <c r="A336" s="3">
        <v>20</v>
      </c>
      <c r="B336" s="3">
        <v>5</v>
      </c>
      <c r="C336" s="3">
        <v>83</v>
      </c>
      <c r="D336" s="3">
        <v>3</v>
      </c>
      <c r="E336" s="3">
        <v>-20.038</v>
      </c>
      <c r="F336" s="4" t="str">
        <f>HYPERLINK("http://141.218.60.56/~jnz1568/getInfo.php?workbook=20_05.xlsx&amp;sheet=A0&amp;row=336&amp;col=6&amp;number=119000000000&amp;sourceID=14","119000000000")</f>
        <v>119000000000</v>
      </c>
      <c r="G336" s="4" t="str">
        <f>HYPERLINK("http://141.218.60.56/~jnz1568/getInfo.php?workbook=20_05.xlsx&amp;sheet=A0&amp;row=336&amp;col=7&amp;number=0&amp;sourceID=14","0")</f>
        <v>0</v>
      </c>
    </row>
    <row r="337" spans="1:7">
      <c r="A337" s="3">
        <v>20</v>
      </c>
      <c r="B337" s="3">
        <v>5</v>
      </c>
      <c r="C337" s="3">
        <v>84</v>
      </c>
      <c r="D337" s="3">
        <v>3</v>
      </c>
      <c r="E337" s="3">
        <v>-19.794</v>
      </c>
      <c r="F337" s="4" t="str">
        <f>HYPERLINK("http://141.218.60.56/~jnz1568/getInfo.php?workbook=20_05.xlsx&amp;sheet=A0&amp;row=337&amp;col=6&amp;number=6676000000&amp;sourceID=14","6676000000")</f>
        <v>6676000000</v>
      </c>
      <c r="G337" s="4" t="str">
        <f>HYPERLINK("http://141.218.60.56/~jnz1568/getInfo.php?workbook=20_05.xlsx&amp;sheet=A0&amp;row=337&amp;col=7&amp;number=0&amp;sourceID=14","0")</f>
        <v>0</v>
      </c>
    </row>
    <row r="338" spans="1:7">
      <c r="A338" s="3">
        <v>20</v>
      </c>
      <c r="B338" s="3">
        <v>5</v>
      </c>
      <c r="C338" s="3">
        <v>85</v>
      </c>
      <c r="D338" s="3">
        <v>3</v>
      </c>
      <c r="E338" s="3">
        <v>-19.417</v>
      </c>
      <c r="F338" s="4" t="str">
        <f>HYPERLINK("http://141.218.60.56/~jnz1568/getInfo.php?workbook=20_05.xlsx&amp;sheet=A0&amp;row=338&amp;col=6&amp;number=319200000&amp;sourceID=14","319200000")</f>
        <v>319200000</v>
      </c>
      <c r="G338" s="4" t="str">
        <f>HYPERLINK("http://141.218.60.56/~jnz1568/getInfo.php?workbook=20_05.xlsx&amp;sheet=A0&amp;row=338&amp;col=7&amp;number=0&amp;sourceID=14","0")</f>
        <v>0</v>
      </c>
    </row>
    <row r="339" spans="1:7">
      <c r="A339" s="3">
        <v>20</v>
      </c>
      <c r="B339" s="3">
        <v>5</v>
      </c>
      <c r="C339" s="3">
        <v>86</v>
      </c>
      <c r="D339" s="3">
        <v>3</v>
      </c>
      <c r="E339" s="3">
        <v>-18.949</v>
      </c>
      <c r="F339" s="4" t="str">
        <f>HYPERLINK("http://141.218.60.56/~jnz1568/getInfo.php?workbook=20_05.xlsx&amp;sheet=A0&amp;row=339&amp;col=6&amp;number=31360000&amp;sourceID=14","31360000")</f>
        <v>31360000</v>
      </c>
      <c r="G339" s="4" t="str">
        <f>HYPERLINK("http://141.218.60.56/~jnz1568/getInfo.php?workbook=20_05.xlsx&amp;sheet=A0&amp;row=339&amp;col=7&amp;number=0&amp;sourceID=14","0")</f>
        <v>0</v>
      </c>
    </row>
    <row r="340" spans="1:7">
      <c r="A340" s="3">
        <v>20</v>
      </c>
      <c r="B340" s="3">
        <v>5</v>
      </c>
      <c r="C340" s="3">
        <v>73</v>
      </c>
      <c r="D340" s="3">
        <v>8</v>
      </c>
      <c r="E340" s="3">
        <v>-25.461</v>
      </c>
      <c r="F340" s="4" t="str">
        <f>HYPERLINK("http://141.218.60.56/~jnz1568/getInfo.php?workbook=20_05.xlsx&amp;sheet=A0&amp;row=340&amp;col=6&amp;number=31970000&amp;sourceID=14","31970000")</f>
        <v>31970000</v>
      </c>
      <c r="G340" s="4" t="str">
        <f>HYPERLINK("http://141.218.60.56/~jnz1568/getInfo.php?workbook=20_05.xlsx&amp;sheet=A0&amp;row=340&amp;col=7&amp;number=0&amp;sourceID=14","0")</f>
        <v>0</v>
      </c>
    </row>
    <row r="341" spans="1:7">
      <c r="A341" s="3">
        <v>20</v>
      </c>
      <c r="B341" s="3">
        <v>5</v>
      </c>
      <c r="C341" s="3">
        <v>75</v>
      </c>
      <c r="D341" s="3">
        <v>8</v>
      </c>
      <c r="E341" s="3">
        <v>-24.221</v>
      </c>
      <c r="F341" s="4" t="str">
        <f>HYPERLINK("http://141.218.60.56/~jnz1568/getInfo.php?workbook=20_05.xlsx&amp;sheet=A0&amp;row=341&amp;col=6&amp;number=136800000000&amp;sourceID=14","136800000000")</f>
        <v>136800000000</v>
      </c>
      <c r="G341" s="4" t="str">
        <f>HYPERLINK("http://141.218.60.56/~jnz1568/getInfo.php?workbook=20_05.xlsx&amp;sheet=A0&amp;row=341&amp;col=7&amp;number=0&amp;sourceID=14","0")</f>
        <v>0</v>
      </c>
    </row>
    <row r="342" spans="1:7">
      <c r="A342" s="3">
        <v>20</v>
      </c>
      <c r="B342" s="3">
        <v>5</v>
      </c>
      <c r="C342" s="3">
        <v>76</v>
      </c>
      <c r="D342" s="3">
        <v>8</v>
      </c>
      <c r="E342" s="3">
        <v>-23.085</v>
      </c>
      <c r="F342" s="4" t="str">
        <f>HYPERLINK("http://141.218.60.56/~jnz1568/getInfo.php?workbook=20_05.xlsx&amp;sheet=A0&amp;row=342&amp;col=6&amp;number=1912000000&amp;sourceID=14","1912000000")</f>
        <v>1912000000</v>
      </c>
      <c r="G342" s="4" t="str">
        <f>HYPERLINK("http://141.218.60.56/~jnz1568/getInfo.php?workbook=20_05.xlsx&amp;sheet=A0&amp;row=342&amp;col=7&amp;number=0&amp;sourceID=14","0")</f>
        <v>0</v>
      </c>
    </row>
    <row r="343" spans="1:7">
      <c r="A343" s="3">
        <v>20</v>
      </c>
      <c r="B343" s="3">
        <v>5</v>
      </c>
      <c r="C343" s="3">
        <v>77</v>
      </c>
      <c r="D343" s="3">
        <v>8</v>
      </c>
      <c r="E343" s="3">
        <v>-23.038</v>
      </c>
      <c r="F343" s="4" t="str">
        <f>HYPERLINK("http://141.218.60.56/~jnz1568/getInfo.php?workbook=20_05.xlsx&amp;sheet=A0&amp;row=343&amp;col=6&amp;number=13430000000&amp;sourceID=14","13430000000")</f>
        <v>13430000000</v>
      </c>
      <c r="G343" s="4" t="str">
        <f>HYPERLINK("http://141.218.60.56/~jnz1568/getInfo.php?workbook=20_05.xlsx&amp;sheet=A0&amp;row=343&amp;col=7&amp;number=0&amp;sourceID=14","0")</f>
        <v>0</v>
      </c>
    </row>
    <row r="344" spans="1:7">
      <c r="A344" s="3">
        <v>20</v>
      </c>
      <c r="B344" s="3">
        <v>5</v>
      </c>
      <c r="C344" s="3">
        <v>78</v>
      </c>
      <c r="D344" s="3">
        <v>8</v>
      </c>
      <c r="E344" s="3">
        <v>-22.913</v>
      </c>
      <c r="F344" s="4" t="str">
        <f>HYPERLINK("http://141.218.60.56/~jnz1568/getInfo.php?workbook=20_05.xlsx&amp;sheet=A0&amp;row=344&amp;col=6&amp;number=710400000&amp;sourceID=14","710400000")</f>
        <v>710400000</v>
      </c>
      <c r="G344" s="4" t="str">
        <f>HYPERLINK("http://141.218.60.56/~jnz1568/getInfo.php?workbook=20_05.xlsx&amp;sheet=A0&amp;row=344&amp;col=7&amp;number=0&amp;sourceID=14","0")</f>
        <v>0</v>
      </c>
    </row>
    <row r="345" spans="1:7">
      <c r="A345" s="3">
        <v>20</v>
      </c>
      <c r="B345" s="3">
        <v>5</v>
      </c>
      <c r="C345" s="3">
        <v>79</v>
      </c>
      <c r="D345" s="3">
        <v>8</v>
      </c>
      <c r="E345" s="3">
        <v>-22.55</v>
      </c>
      <c r="F345" s="4" t="str">
        <f>HYPERLINK("http://141.218.60.56/~jnz1568/getInfo.php?workbook=20_05.xlsx&amp;sheet=A0&amp;row=345&amp;col=6&amp;number=1798000000000&amp;sourceID=14","1798000000000")</f>
        <v>1798000000000</v>
      </c>
      <c r="G345" s="4" t="str">
        <f>HYPERLINK("http://141.218.60.56/~jnz1568/getInfo.php?workbook=20_05.xlsx&amp;sheet=A0&amp;row=345&amp;col=7&amp;number=0&amp;sourceID=14","0")</f>
        <v>0</v>
      </c>
    </row>
    <row r="346" spans="1:7">
      <c r="A346" s="3">
        <v>20</v>
      </c>
      <c r="B346" s="3">
        <v>5</v>
      </c>
      <c r="C346" s="3">
        <v>80</v>
      </c>
      <c r="D346" s="3">
        <v>8</v>
      </c>
      <c r="E346" s="3">
        <v>-21.651</v>
      </c>
      <c r="F346" s="4" t="str">
        <f>HYPERLINK("http://141.218.60.56/~jnz1568/getInfo.php?workbook=20_05.xlsx&amp;sheet=A0&amp;row=346&amp;col=6&amp;number=3417000000000&amp;sourceID=14","3417000000000")</f>
        <v>3417000000000</v>
      </c>
      <c r="G346" s="4" t="str">
        <f>HYPERLINK("http://141.218.60.56/~jnz1568/getInfo.php?workbook=20_05.xlsx&amp;sheet=A0&amp;row=346&amp;col=7&amp;number=0&amp;sourceID=14","0")</f>
        <v>0</v>
      </c>
    </row>
    <row r="347" spans="1:7">
      <c r="A347" s="3">
        <v>20</v>
      </c>
      <c r="B347" s="3">
        <v>5</v>
      </c>
      <c r="C347" s="3">
        <v>81</v>
      </c>
      <c r="D347" s="3">
        <v>8</v>
      </c>
      <c r="E347" s="3">
        <v>-21.611</v>
      </c>
      <c r="F347" s="4" t="str">
        <f>HYPERLINK("http://141.218.60.56/~jnz1568/getInfo.php?workbook=20_05.xlsx&amp;sheet=A0&amp;row=347&amp;col=6&amp;number=121300000000&amp;sourceID=14","121300000000")</f>
        <v>121300000000</v>
      </c>
      <c r="G347" s="4" t="str">
        <f>HYPERLINK("http://141.218.60.56/~jnz1568/getInfo.php?workbook=20_05.xlsx&amp;sheet=A0&amp;row=347&amp;col=7&amp;number=0&amp;sourceID=14","0")</f>
        <v>0</v>
      </c>
    </row>
    <row r="348" spans="1:7">
      <c r="A348" s="3">
        <v>20</v>
      </c>
      <c r="B348" s="3">
        <v>5</v>
      </c>
      <c r="C348" s="3">
        <v>82</v>
      </c>
      <c r="D348" s="3">
        <v>8</v>
      </c>
      <c r="E348" s="3">
        <v>-21.569</v>
      </c>
      <c r="F348" s="4" t="str">
        <f>HYPERLINK("http://141.218.60.56/~jnz1568/getInfo.php?workbook=20_05.xlsx&amp;sheet=A0&amp;row=348&amp;col=6&amp;number=80450000000&amp;sourceID=14","80450000000")</f>
        <v>80450000000</v>
      </c>
      <c r="G348" s="4" t="str">
        <f>HYPERLINK("http://141.218.60.56/~jnz1568/getInfo.php?workbook=20_05.xlsx&amp;sheet=A0&amp;row=348&amp;col=7&amp;number=0&amp;sourceID=14","0")</f>
        <v>0</v>
      </c>
    </row>
    <row r="349" spans="1:7">
      <c r="A349" s="3">
        <v>20</v>
      </c>
      <c r="B349" s="3">
        <v>5</v>
      </c>
      <c r="C349" s="3">
        <v>83</v>
      </c>
      <c r="D349" s="3">
        <v>8</v>
      </c>
      <c r="E349" s="3">
        <v>-21.43</v>
      </c>
      <c r="F349" s="4" t="str">
        <f>HYPERLINK("http://141.218.60.56/~jnz1568/getInfo.php?workbook=20_05.xlsx&amp;sheet=A0&amp;row=349&amp;col=6&amp;number=42190000000&amp;sourceID=14","42190000000")</f>
        <v>42190000000</v>
      </c>
      <c r="G349" s="4" t="str">
        <f>HYPERLINK("http://141.218.60.56/~jnz1568/getInfo.php?workbook=20_05.xlsx&amp;sheet=A0&amp;row=349&amp;col=7&amp;number=0&amp;sourceID=14","0")</f>
        <v>0</v>
      </c>
    </row>
    <row r="350" spans="1:7">
      <c r="A350" s="3">
        <v>20</v>
      </c>
      <c r="B350" s="3">
        <v>5</v>
      </c>
      <c r="C350" s="3">
        <v>84</v>
      </c>
      <c r="D350" s="3">
        <v>8</v>
      </c>
      <c r="E350" s="3">
        <v>-21.151</v>
      </c>
      <c r="F350" s="4" t="str">
        <f>HYPERLINK("http://141.218.60.56/~jnz1568/getInfo.php?workbook=20_05.xlsx&amp;sheet=A0&amp;row=350&amp;col=6&amp;number=140800000000&amp;sourceID=14","140800000000")</f>
        <v>140800000000</v>
      </c>
      <c r="G350" s="4" t="str">
        <f>HYPERLINK("http://141.218.60.56/~jnz1568/getInfo.php?workbook=20_05.xlsx&amp;sheet=A0&amp;row=350&amp;col=7&amp;number=0&amp;sourceID=14","0")</f>
        <v>0</v>
      </c>
    </row>
    <row r="351" spans="1:7">
      <c r="A351" s="3">
        <v>20</v>
      </c>
      <c r="B351" s="3">
        <v>5</v>
      </c>
      <c r="C351" s="3">
        <v>85</v>
      </c>
      <c r="D351" s="3">
        <v>8</v>
      </c>
      <c r="E351" s="3">
        <v>-20.722</v>
      </c>
      <c r="F351" s="4" t="str">
        <f>HYPERLINK("http://141.218.60.56/~jnz1568/getInfo.php?workbook=20_05.xlsx&amp;sheet=A0&amp;row=351&amp;col=6&amp;number=30200000000&amp;sourceID=14","30200000000")</f>
        <v>30200000000</v>
      </c>
      <c r="G351" s="4" t="str">
        <f>HYPERLINK("http://141.218.60.56/~jnz1568/getInfo.php?workbook=20_05.xlsx&amp;sheet=A0&amp;row=351&amp;col=7&amp;number=0&amp;sourceID=14","0")</f>
        <v>0</v>
      </c>
    </row>
    <row r="352" spans="1:7">
      <c r="A352" s="3">
        <v>20</v>
      </c>
      <c r="B352" s="3">
        <v>5</v>
      </c>
      <c r="C352" s="3">
        <v>86</v>
      </c>
      <c r="D352" s="3">
        <v>8</v>
      </c>
      <c r="E352" s="3">
        <v>-20.189</v>
      </c>
      <c r="F352" s="4" t="str">
        <f>HYPERLINK("http://141.218.60.56/~jnz1568/getInfo.php?workbook=20_05.xlsx&amp;sheet=A0&amp;row=352&amp;col=6&amp;number=489700000000&amp;sourceID=14","489700000000")</f>
        <v>489700000000</v>
      </c>
      <c r="G352" s="4" t="str">
        <f>HYPERLINK("http://141.218.60.56/~jnz1568/getInfo.php?workbook=20_05.xlsx&amp;sheet=A0&amp;row=352&amp;col=7&amp;number=0&amp;sourceID=14","0")</f>
        <v>0</v>
      </c>
    </row>
    <row r="353" spans="1:7">
      <c r="A353" s="3">
        <v>20</v>
      </c>
      <c r="B353" s="3">
        <v>5</v>
      </c>
      <c r="C353" s="3">
        <v>73</v>
      </c>
      <c r="D353" s="3">
        <v>9</v>
      </c>
      <c r="E353" s="3">
        <v>-25.733</v>
      </c>
      <c r="F353" s="4" t="str">
        <f>HYPERLINK("http://141.218.60.56/~jnz1568/getInfo.php?workbook=20_05.xlsx&amp;sheet=A0&amp;row=353&amp;col=6&amp;number=7557000000&amp;sourceID=14","7557000000")</f>
        <v>7557000000</v>
      </c>
      <c r="G353" s="4" t="str">
        <f>HYPERLINK("http://141.218.60.56/~jnz1568/getInfo.php?workbook=20_05.xlsx&amp;sheet=A0&amp;row=353&amp;col=7&amp;number=0&amp;sourceID=14","0")</f>
        <v>0</v>
      </c>
    </row>
    <row r="354" spans="1:7">
      <c r="A354" s="3">
        <v>20</v>
      </c>
      <c r="B354" s="3">
        <v>5</v>
      </c>
      <c r="C354" s="3">
        <v>74</v>
      </c>
      <c r="D354" s="3">
        <v>9</v>
      </c>
      <c r="E354" s="3">
        <v>-24.877</v>
      </c>
      <c r="F354" s="4" t="str">
        <f>HYPERLINK("http://141.218.60.56/~jnz1568/getInfo.php?workbook=20_05.xlsx&amp;sheet=A0&amp;row=354&amp;col=6&amp;number=202500000&amp;sourceID=14","202500000")</f>
        <v>202500000</v>
      </c>
      <c r="G354" s="4" t="str">
        <f>HYPERLINK("http://141.218.60.56/~jnz1568/getInfo.php?workbook=20_05.xlsx&amp;sheet=A0&amp;row=354&amp;col=7&amp;number=0&amp;sourceID=14","0")</f>
        <v>0</v>
      </c>
    </row>
    <row r="355" spans="1:7">
      <c r="A355" s="3">
        <v>20</v>
      </c>
      <c r="B355" s="3">
        <v>5</v>
      </c>
      <c r="C355" s="3">
        <v>75</v>
      </c>
      <c r="D355" s="3">
        <v>9</v>
      </c>
      <c r="E355" s="3">
        <v>-24.468</v>
      </c>
      <c r="F355" s="4" t="str">
        <f>HYPERLINK("http://141.218.60.56/~jnz1568/getInfo.php?workbook=20_05.xlsx&amp;sheet=A0&amp;row=355&amp;col=6&amp;number=11210000&amp;sourceID=14","11210000")</f>
        <v>11210000</v>
      </c>
      <c r="G355" s="4" t="str">
        <f>HYPERLINK("http://141.218.60.56/~jnz1568/getInfo.php?workbook=20_05.xlsx&amp;sheet=A0&amp;row=355&amp;col=7&amp;number=0&amp;sourceID=14","0")</f>
        <v>0</v>
      </c>
    </row>
    <row r="356" spans="1:7">
      <c r="A356" s="3">
        <v>20</v>
      </c>
      <c r="B356" s="3">
        <v>5</v>
      </c>
      <c r="C356" s="3">
        <v>76</v>
      </c>
      <c r="D356" s="3">
        <v>9</v>
      </c>
      <c r="E356" s="3">
        <v>-23.309</v>
      </c>
      <c r="F356" s="4" t="str">
        <f>HYPERLINK("http://141.218.60.56/~jnz1568/getInfo.php?workbook=20_05.xlsx&amp;sheet=A0&amp;row=356&amp;col=6&amp;number=15950000000&amp;sourceID=14","15950000000")</f>
        <v>15950000000</v>
      </c>
      <c r="G356" s="4" t="str">
        <f>HYPERLINK("http://141.218.60.56/~jnz1568/getInfo.php?workbook=20_05.xlsx&amp;sheet=A0&amp;row=356&amp;col=7&amp;number=0&amp;sourceID=14","0")</f>
        <v>0</v>
      </c>
    </row>
    <row r="357" spans="1:7">
      <c r="A357" s="3">
        <v>20</v>
      </c>
      <c r="B357" s="3">
        <v>5</v>
      </c>
      <c r="C357" s="3">
        <v>77</v>
      </c>
      <c r="D357" s="3">
        <v>9</v>
      </c>
      <c r="E357" s="3">
        <v>-23.261</v>
      </c>
      <c r="F357" s="4" t="str">
        <f>HYPERLINK("http://141.218.60.56/~jnz1568/getInfo.php?workbook=20_05.xlsx&amp;sheet=A0&amp;row=357&amp;col=6&amp;number=509500000000&amp;sourceID=14","509500000000")</f>
        <v>509500000000</v>
      </c>
      <c r="G357" s="4" t="str">
        <f>HYPERLINK("http://141.218.60.56/~jnz1568/getInfo.php?workbook=20_05.xlsx&amp;sheet=A0&amp;row=357&amp;col=7&amp;number=0&amp;sourceID=14","0")</f>
        <v>0</v>
      </c>
    </row>
    <row r="358" spans="1:7">
      <c r="A358" s="3">
        <v>20</v>
      </c>
      <c r="B358" s="3">
        <v>5</v>
      </c>
      <c r="C358" s="3">
        <v>78</v>
      </c>
      <c r="D358" s="3">
        <v>9</v>
      </c>
      <c r="E358" s="3">
        <v>-23.133</v>
      </c>
      <c r="F358" s="4" t="str">
        <f>HYPERLINK("http://141.218.60.56/~jnz1568/getInfo.php?workbook=20_05.xlsx&amp;sheet=A0&amp;row=358&amp;col=6&amp;number=1434000000&amp;sourceID=14","1434000000")</f>
        <v>1434000000</v>
      </c>
      <c r="G358" s="4" t="str">
        <f>HYPERLINK("http://141.218.60.56/~jnz1568/getInfo.php?workbook=20_05.xlsx&amp;sheet=A0&amp;row=358&amp;col=7&amp;number=0&amp;sourceID=14","0")</f>
        <v>0</v>
      </c>
    </row>
    <row r="359" spans="1:7">
      <c r="A359" s="3">
        <v>20</v>
      </c>
      <c r="B359" s="3">
        <v>5</v>
      </c>
      <c r="C359" s="3">
        <v>79</v>
      </c>
      <c r="D359" s="3">
        <v>9</v>
      </c>
      <c r="E359" s="3">
        <v>-22.764</v>
      </c>
      <c r="F359" s="4" t="str">
        <f>HYPERLINK("http://141.218.60.56/~jnz1568/getInfo.php?workbook=20_05.xlsx&amp;sheet=A0&amp;row=359&amp;col=6&amp;number=2116000000000&amp;sourceID=14","2116000000000")</f>
        <v>2116000000000</v>
      </c>
      <c r="G359" s="4" t="str">
        <f>HYPERLINK("http://141.218.60.56/~jnz1568/getInfo.php?workbook=20_05.xlsx&amp;sheet=A0&amp;row=359&amp;col=7&amp;number=0&amp;sourceID=14","0")</f>
        <v>0</v>
      </c>
    </row>
    <row r="360" spans="1:7">
      <c r="A360" s="3">
        <v>20</v>
      </c>
      <c r="B360" s="3">
        <v>5</v>
      </c>
      <c r="C360" s="3">
        <v>80</v>
      </c>
      <c r="D360" s="3">
        <v>9</v>
      </c>
      <c r="E360" s="3">
        <v>-21.848</v>
      </c>
      <c r="F360" s="4" t="str">
        <f>HYPERLINK("http://141.218.60.56/~jnz1568/getInfo.php?workbook=20_05.xlsx&amp;sheet=A0&amp;row=360&amp;col=6&amp;number=517900000000&amp;sourceID=14","517900000000")</f>
        <v>517900000000</v>
      </c>
      <c r="G360" s="4" t="str">
        <f>HYPERLINK("http://141.218.60.56/~jnz1568/getInfo.php?workbook=20_05.xlsx&amp;sheet=A0&amp;row=360&amp;col=7&amp;number=0&amp;sourceID=14","0")</f>
        <v>0</v>
      </c>
    </row>
    <row r="361" spans="1:7">
      <c r="A361" s="3">
        <v>20</v>
      </c>
      <c r="B361" s="3">
        <v>5</v>
      </c>
      <c r="C361" s="3">
        <v>81</v>
      </c>
      <c r="D361" s="3">
        <v>9</v>
      </c>
      <c r="E361" s="3">
        <v>-21.807</v>
      </c>
      <c r="F361" s="4" t="str">
        <f>HYPERLINK("http://141.218.60.56/~jnz1568/getInfo.php?workbook=20_05.xlsx&amp;sheet=A0&amp;row=361&amp;col=6&amp;number=109000000000&amp;sourceID=14","109000000000")</f>
        <v>109000000000</v>
      </c>
      <c r="G361" s="4" t="str">
        <f>HYPERLINK("http://141.218.60.56/~jnz1568/getInfo.php?workbook=20_05.xlsx&amp;sheet=A0&amp;row=361&amp;col=7&amp;number=0&amp;sourceID=14","0")</f>
        <v>0</v>
      </c>
    </row>
    <row r="362" spans="1:7">
      <c r="A362" s="3">
        <v>20</v>
      </c>
      <c r="B362" s="3">
        <v>5</v>
      </c>
      <c r="C362" s="3">
        <v>82</v>
      </c>
      <c r="D362" s="3">
        <v>9</v>
      </c>
      <c r="E362" s="3">
        <v>-21.764</v>
      </c>
      <c r="F362" s="4" t="str">
        <f>HYPERLINK("http://141.218.60.56/~jnz1568/getInfo.php?workbook=20_05.xlsx&amp;sheet=A0&amp;row=362&amp;col=6&amp;number=105700000000&amp;sourceID=14","105700000000")</f>
        <v>105700000000</v>
      </c>
      <c r="G362" s="4" t="str">
        <f>HYPERLINK("http://141.218.60.56/~jnz1568/getInfo.php?workbook=20_05.xlsx&amp;sheet=A0&amp;row=362&amp;col=7&amp;number=0&amp;sourceID=14","0")</f>
        <v>0</v>
      </c>
    </row>
    <row r="363" spans="1:7">
      <c r="A363" s="3">
        <v>20</v>
      </c>
      <c r="B363" s="3">
        <v>5</v>
      </c>
      <c r="C363" s="3">
        <v>83</v>
      </c>
      <c r="D363" s="3">
        <v>9</v>
      </c>
      <c r="E363" s="3">
        <v>-21.623</v>
      </c>
      <c r="F363" s="4" t="str">
        <f>HYPERLINK("http://141.218.60.56/~jnz1568/getInfo.php?workbook=20_05.xlsx&amp;sheet=A0&amp;row=363&amp;col=6&amp;number=88030000000&amp;sourceID=14","88030000000")</f>
        <v>88030000000</v>
      </c>
      <c r="G363" s="4" t="str">
        <f>HYPERLINK("http://141.218.60.56/~jnz1568/getInfo.php?workbook=20_05.xlsx&amp;sheet=A0&amp;row=363&amp;col=7&amp;number=0&amp;sourceID=14","0")</f>
        <v>0</v>
      </c>
    </row>
    <row r="364" spans="1:7">
      <c r="A364" s="3">
        <v>20</v>
      </c>
      <c r="B364" s="3">
        <v>5</v>
      </c>
      <c r="C364" s="3">
        <v>84</v>
      </c>
      <c r="D364" s="3">
        <v>9</v>
      </c>
      <c r="E364" s="3">
        <v>-21.339</v>
      </c>
      <c r="F364" s="4" t="str">
        <f>HYPERLINK("http://141.218.60.56/~jnz1568/getInfo.php?workbook=20_05.xlsx&amp;sheet=A0&amp;row=364&amp;col=6&amp;number=374500000000&amp;sourceID=14","374500000000")</f>
        <v>374500000000</v>
      </c>
      <c r="G364" s="4" t="str">
        <f>HYPERLINK("http://141.218.60.56/~jnz1568/getInfo.php?workbook=20_05.xlsx&amp;sheet=A0&amp;row=364&amp;col=7&amp;number=0&amp;sourceID=14","0")</f>
        <v>0</v>
      </c>
    </row>
    <row r="365" spans="1:7">
      <c r="A365" s="3">
        <v>20</v>
      </c>
      <c r="B365" s="3">
        <v>5</v>
      </c>
      <c r="C365" s="3">
        <v>85</v>
      </c>
      <c r="D365" s="3">
        <v>9</v>
      </c>
      <c r="E365" s="3">
        <v>-20.902</v>
      </c>
      <c r="F365" s="4" t="str">
        <f>HYPERLINK("http://141.218.60.56/~jnz1568/getInfo.php?workbook=20_05.xlsx&amp;sheet=A0&amp;row=365&amp;col=6&amp;number=216600000000&amp;sourceID=14","216600000000")</f>
        <v>216600000000</v>
      </c>
      <c r="G365" s="4" t="str">
        <f>HYPERLINK("http://141.218.60.56/~jnz1568/getInfo.php?workbook=20_05.xlsx&amp;sheet=A0&amp;row=365&amp;col=7&amp;number=0&amp;sourceID=14","0")</f>
        <v>0</v>
      </c>
    </row>
    <row r="366" spans="1:7">
      <c r="A366" s="3">
        <v>20</v>
      </c>
      <c r="B366" s="3">
        <v>5</v>
      </c>
      <c r="C366" s="3">
        <v>86</v>
      </c>
      <c r="D366" s="3">
        <v>9</v>
      </c>
      <c r="E366" s="3">
        <v>-20.36</v>
      </c>
      <c r="F366" s="4" t="str">
        <f>HYPERLINK("http://141.218.60.56/~jnz1568/getInfo.php?workbook=20_05.xlsx&amp;sheet=A0&amp;row=366&amp;col=6&amp;number=806700000000&amp;sourceID=14","806700000000")</f>
        <v>806700000000</v>
      </c>
      <c r="G366" s="4" t="str">
        <f>HYPERLINK("http://141.218.60.56/~jnz1568/getInfo.php?workbook=20_05.xlsx&amp;sheet=A0&amp;row=366&amp;col=7&amp;number=0&amp;sourceID=14","0")</f>
        <v>0</v>
      </c>
    </row>
    <row r="367" spans="1:7">
      <c r="A367" s="3">
        <v>20</v>
      </c>
      <c r="B367" s="3">
        <v>5</v>
      </c>
      <c r="C367" s="3">
        <v>88</v>
      </c>
      <c r="D367" s="3">
        <v>3</v>
      </c>
      <c r="E367" s="3">
        <v>-22.745</v>
      </c>
      <c r="F367" s="4" t="str">
        <f>HYPERLINK("http://141.218.60.56/~jnz1568/getInfo.php?workbook=20_05.xlsx&amp;sheet=A0&amp;row=367&amp;col=6&amp;number=352400000000&amp;sourceID=14","352400000000")</f>
        <v>352400000000</v>
      </c>
      <c r="G367" s="4" t="str">
        <f>HYPERLINK("http://141.218.60.56/~jnz1568/getInfo.php?workbook=20_05.xlsx&amp;sheet=A0&amp;row=367&amp;col=7&amp;number=0&amp;sourceID=14","0")</f>
        <v>0</v>
      </c>
    </row>
    <row r="368" spans="1:7">
      <c r="A368" s="3">
        <v>20</v>
      </c>
      <c r="B368" s="3">
        <v>5</v>
      </c>
      <c r="C368" s="3">
        <v>89</v>
      </c>
      <c r="D368" s="3">
        <v>3</v>
      </c>
      <c r="E368" s="3">
        <v>-22.33</v>
      </c>
      <c r="F368" s="4" t="str">
        <f>HYPERLINK("http://141.218.60.56/~jnz1568/getInfo.php?workbook=20_05.xlsx&amp;sheet=A0&amp;row=368&amp;col=6&amp;number=2882000000&amp;sourceID=14","2882000000")</f>
        <v>2882000000</v>
      </c>
      <c r="G368" s="4" t="str">
        <f>HYPERLINK("http://141.218.60.56/~jnz1568/getInfo.php?workbook=20_05.xlsx&amp;sheet=A0&amp;row=368&amp;col=7&amp;number=0&amp;sourceID=14","0")</f>
        <v>0</v>
      </c>
    </row>
    <row r="369" spans="1:7">
      <c r="A369" s="3">
        <v>20</v>
      </c>
      <c r="B369" s="3">
        <v>5</v>
      </c>
      <c r="C369" s="3">
        <v>90</v>
      </c>
      <c r="D369" s="3">
        <v>3</v>
      </c>
      <c r="E369" s="3">
        <v>-21.661</v>
      </c>
      <c r="F369" s="4" t="str">
        <f>HYPERLINK("http://141.218.60.56/~jnz1568/getInfo.php?workbook=20_05.xlsx&amp;sheet=A0&amp;row=369&amp;col=6&amp;number=80120000000&amp;sourceID=14","80120000000")</f>
        <v>80120000000</v>
      </c>
      <c r="G369" s="4" t="str">
        <f>HYPERLINK("http://141.218.60.56/~jnz1568/getInfo.php?workbook=20_05.xlsx&amp;sheet=A0&amp;row=369&amp;col=7&amp;number=0&amp;sourceID=14","0")</f>
        <v>0</v>
      </c>
    </row>
    <row r="370" spans="1:7">
      <c r="A370" s="3">
        <v>20</v>
      </c>
      <c r="B370" s="3">
        <v>5</v>
      </c>
      <c r="C370" s="3">
        <v>91</v>
      </c>
      <c r="D370" s="3">
        <v>3</v>
      </c>
      <c r="E370" s="3">
        <v>21.449</v>
      </c>
      <c r="F370" s="4" t="str">
        <f>HYPERLINK("http://141.218.60.56/~jnz1568/getInfo.php?workbook=20_05.xlsx&amp;sheet=A0&amp;row=370&amp;col=6&amp;number=4616000000000&amp;sourceID=14","4616000000000")</f>
        <v>4616000000000</v>
      </c>
      <c r="G370" s="4" t="str">
        <f>HYPERLINK("http://141.218.60.56/~jnz1568/getInfo.php?workbook=20_05.xlsx&amp;sheet=A0&amp;row=370&amp;col=7&amp;number=0&amp;sourceID=14","0")</f>
        <v>0</v>
      </c>
    </row>
    <row r="371" spans="1:7">
      <c r="A371" s="3">
        <v>20</v>
      </c>
      <c r="B371" s="3">
        <v>5</v>
      </c>
      <c r="C371" s="3">
        <v>92</v>
      </c>
      <c r="D371" s="3">
        <v>3</v>
      </c>
      <c r="E371" s="3">
        <v>-21.442</v>
      </c>
      <c r="F371" s="4" t="str">
        <f>HYPERLINK("http://141.218.60.56/~jnz1568/getInfo.php?workbook=20_05.xlsx&amp;sheet=A0&amp;row=371&amp;col=6&amp;number=223500000000&amp;sourceID=14","223500000000")</f>
        <v>223500000000</v>
      </c>
      <c r="G371" s="4" t="str">
        <f>HYPERLINK("http://141.218.60.56/~jnz1568/getInfo.php?workbook=20_05.xlsx&amp;sheet=A0&amp;row=371&amp;col=7&amp;number=0&amp;sourceID=14","0")</f>
        <v>0</v>
      </c>
    </row>
    <row r="372" spans="1:7">
      <c r="A372" s="3">
        <v>20</v>
      </c>
      <c r="B372" s="3">
        <v>5</v>
      </c>
      <c r="C372" s="3">
        <v>93</v>
      </c>
      <c r="D372" s="3">
        <v>3</v>
      </c>
      <c r="E372" s="3">
        <v>-21.42</v>
      </c>
      <c r="F372" s="4" t="str">
        <f>HYPERLINK("http://141.218.60.56/~jnz1568/getInfo.php?workbook=20_05.xlsx&amp;sheet=A0&amp;row=372&amp;col=6&amp;number=264800000000&amp;sourceID=14","264800000000")</f>
        <v>264800000000</v>
      </c>
      <c r="G372" s="4" t="str">
        <f>HYPERLINK("http://141.218.60.56/~jnz1568/getInfo.php?workbook=20_05.xlsx&amp;sheet=A0&amp;row=372&amp;col=7&amp;number=0&amp;sourceID=14","0")</f>
        <v>0</v>
      </c>
    </row>
    <row r="373" spans="1:7">
      <c r="A373" s="3">
        <v>20</v>
      </c>
      <c r="B373" s="3">
        <v>5</v>
      </c>
      <c r="C373" s="3">
        <v>94</v>
      </c>
      <c r="D373" s="3">
        <v>3</v>
      </c>
      <c r="E373" s="3">
        <v>-21.338</v>
      </c>
      <c r="F373" s="4" t="str">
        <f>HYPERLINK("http://141.218.60.56/~jnz1568/getInfo.php?workbook=20_05.xlsx&amp;sheet=A0&amp;row=373&amp;col=6&amp;number=177800000000&amp;sourceID=14","177800000000")</f>
        <v>177800000000</v>
      </c>
      <c r="G373" s="4" t="str">
        <f>HYPERLINK("http://141.218.60.56/~jnz1568/getInfo.php?workbook=20_05.xlsx&amp;sheet=A0&amp;row=373&amp;col=7&amp;number=0&amp;sourceID=14","0")</f>
        <v>0</v>
      </c>
    </row>
    <row r="374" spans="1:7">
      <c r="A374" s="3">
        <v>20</v>
      </c>
      <c r="B374" s="3">
        <v>5</v>
      </c>
      <c r="C374" s="3">
        <v>95</v>
      </c>
      <c r="D374" s="3">
        <v>3</v>
      </c>
      <c r="E374" s="3">
        <v>-21.07</v>
      </c>
      <c r="F374" s="4" t="str">
        <f>HYPERLINK("http://141.218.60.56/~jnz1568/getInfo.php?workbook=20_05.xlsx&amp;sheet=A0&amp;row=374&amp;col=6&amp;number=10260000000&amp;sourceID=14","10260000000")</f>
        <v>10260000000</v>
      </c>
      <c r="G374" s="4" t="str">
        <f>HYPERLINK("http://141.218.60.56/~jnz1568/getInfo.php?workbook=20_05.xlsx&amp;sheet=A0&amp;row=374&amp;col=7&amp;number=0&amp;sourceID=14","0")</f>
        <v>0</v>
      </c>
    </row>
    <row r="375" spans="1:7">
      <c r="A375" s="3">
        <v>20</v>
      </c>
      <c r="B375" s="3">
        <v>5</v>
      </c>
      <c r="C375" s="3">
        <v>96</v>
      </c>
      <c r="D375" s="3">
        <v>3</v>
      </c>
      <c r="E375" s="3">
        <v>-20.322</v>
      </c>
      <c r="F375" s="4" t="str">
        <f>HYPERLINK("http://141.218.60.56/~jnz1568/getInfo.php?workbook=20_05.xlsx&amp;sheet=A0&amp;row=375&amp;col=6&amp;number=569100000&amp;sourceID=14","569100000")</f>
        <v>569100000</v>
      </c>
      <c r="G375" s="4" t="str">
        <f>HYPERLINK("http://141.218.60.56/~jnz1568/getInfo.php?workbook=20_05.xlsx&amp;sheet=A0&amp;row=375&amp;col=7&amp;number=0&amp;sourceID=14","0")</f>
        <v>0</v>
      </c>
    </row>
    <row r="376" spans="1:7">
      <c r="A376" s="3">
        <v>20</v>
      </c>
      <c r="B376" s="3">
        <v>5</v>
      </c>
      <c r="C376" s="3">
        <v>97</v>
      </c>
      <c r="D376" s="3">
        <v>3</v>
      </c>
      <c r="E376" s="3">
        <v>-20.214</v>
      </c>
      <c r="F376" s="4" t="str">
        <f>HYPERLINK("http://141.218.60.56/~jnz1568/getInfo.php?workbook=20_05.xlsx&amp;sheet=A0&amp;row=376&amp;col=6&amp;number=10190000000&amp;sourceID=14","10190000000")</f>
        <v>10190000000</v>
      </c>
      <c r="G376" s="4" t="str">
        <f>HYPERLINK("http://141.218.60.56/~jnz1568/getInfo.php?workbook=20_05.xlsx&amp;sheet=A0&amp;row=376&amp;col=7&amp;number=0&amp;sourceID=14","0")</f>
        <v>0</v>
      </c>
    </row>
    <row r="377" spans="1:7">
      <c r="A377" s="3">
        <v>20</v>
      </c>
      <c r="B377" s="3">
        <v>5</v>
      </c>
      <c r="C377" s="3">
        <v>98</v>
      </c>
      <c r="D377" s="3">
        <v>3</v>
      </c>
      <c r="E377" s="3">
        <v>-20.138</v>
      </c>
      <c r="F377" s="4" t="str">
        <f>HYPERLINK("http://141.218.60.56/~jnz1568/getInfo.php?workbook=20_05.xlsx&amp;sheet=A0&amp;row=377&amp;col=6&amp;number=575600000000&amp;sourceID=14","575600000000")</f>
        <v>575600000000</v>
      </c>
      <c r="G377" s="4" t="str">
        <f>HYPERLINK("http://141.218.60.56/~jnz1568/getInfo.php?workbook=20_05.xlsx&amp;sheet=A0&amp;row=377&amp;col=7&amp;number=0&amp;sourceID=14","0")</f>
        <v>0</v>
      </c>
    </row>
    <row r="378" spans="1:7">
      <c r="A378" s="3">
        <v>20</v>
      </c>
      <c r="B378" s="3">
        <v>5</v>
      </c>
      <c r="C378" s="3">
        <v>99</v>
      </c>
      <c r="D378" s="3">
        <v>3</v>
      </c>
      <c r="E378" s="3">
        <v>-20.044</v>
      </c>
      <c r="F378" s="4" t="str">
        <f>HYPERLINK("http://141.218.60.56/~jnz1568/getInfo.php?workbook=20_05.xlsx&amp;sheet=A0&amp;row=378&amp;col=6&amp;number=262500000000&amp;sourceID=14","262500000000")</f>
        <v>262500000000</v>
      </c>
      <c r="G378" s="4" t="str">
        <f>HYPERLINK("http://141.218.60.56/~jnz1568/getInfo.php?workbook=20_05.xlsx&amp;sheet=A0&amp;row=378&amp;col=7&amp;number=0&amp;sourceID=14","0")</f>
        <v>0</v>
      </c>
    </row>
    <row r="379" spans="1:7">
      <c r="A379" s="3">
        <v>20</v>
      </c>
      <c r="B379" s="3">
        <v>5</v>
      </c>
      <c r="C379" s="3">
        <v>100</v>
      </c>
      <c r="D379" s="3">
        <v>3</v>
      </c>
      <c r="E379" s="3">
        <v>-19.975</v>
      </c>
      <c r="F379" s="4" t="str">
        <f>HYPERLINK("http://141.218.60.56/~jnz1568/getInfo.php?workbook=20_05.xlsx&amp;sheet=A0&amp;row=379&amp;col=6&amp;number=74740000000&amp;sourceID=14","74740000000")</f>
        <v>74740000000</v>
      </c>
      <c r="G379" s="4" t="str">
        <f>HYPERLINK("http://141.218.60.56/~jnz1568/getInfo.php?workbook=20_05.xlsx&amp;sheet=A0&amp;row=379&amp;col=7&amp;number=0&amp;sourceID=14","0")</f>
        <v>0</v>
      </c>
    </row>
    <row r="380" spans="1:7">
      <c r="A380" s="3">
        <v>20</v>
      </c>
      <c r="B380" s="3">
        <v>5</v>
      </c>
      <c r="C380" s="3">
        <v>101</v>
      </c>
      <c r="D380" s="3">
        <v>3</v>
      </c>
      <c r="E380" s="3">
        <v>-19.837</v>
      </c>
      <c r="F380" s="4" t="str">
        <f>HYPERLINK("http://141.218.60.56/~jnz1568/getInfo.php?workbook=20_05.xlsx&amp;sheet=A0&amp;row=380&amp;col=6&amp;number=136700000000&amp;sourceID=14","136700000000")</f>
        <v>136700000000</v>
      </c>
      <c r="G380" s="4" t="str">
        <f>HYPERLINK("http://141.218.60.56/~jnz1568/getInfo.php?workbook=20_05.xlsx&amp;sheet=A0&amp;row=380&amp;col=7&amp;number=0&amp;sourceID=14","0")</f>
        <v>0</v>
      </c>
    </row>
    <row r="381" spans="1:7">
      <c r="A381" s="3">
        <v>20</v>
      </c>
      <c r="B381" s="3">
        <v>5</v>
      </c>
      <c r="C381" s="3">
        <v>102</v>
      </c>
      <c r="D381" s="3">
        <v>3</v>
      </c>
      <c r="E381" s="3">
        <v>-19.816</v>
      </c>
      <c r="F381" s="4" t="str">
        <f>HYPERLINK("http://141.218.60.56/~jnz1568/getInfo.php?workbook=20_05.xlsx&amp;sheet=A0&amp;row=381&amp;col=6&amp;number=24670000000&amp;sourceID=14","24670000000")</f>
        <v>24670000000</v>
      </c>
      <c r="G381" s="4" t="str">
        <f>HYPERLINK("http://141.218.60.56/~jnz1568/getInfo.php?workbook=20_05.xlsx&amp;sheet=A0&amp;row=381&amp;col=7&amp;number=0&amp;sourceID=14","0")</f>
        <v>0</v>
      </c>
    </row>
    <row r="382" spans="1:7">
      <c r="A382" s="3">
        <v>20</v>
      </c>
      <c r="B382" s="3">
        <v>5</v>
      </c>
      <c r="C382" s="3">
        <v>103</v>
      </c>
      <c r="D382" s="3">
        <v>3</v>
      </c>
      <c r="E382" s="3">
        <v>-19.518</v>
      </c>
      <c r="F382" s="4" t="str">
        <f>HYPERLINK("http://141.218.60.56/~jnz1568/getInfo.php?workbook=20_05.xlsx&amp;sheet=A0&amp;row=382&amp;col=6&amp;number=444800000&amp;sourceID=14","444800000")</f>
        <v>444800000</v>
      </c>
      <c r="G382" s="4" t="str">
        <f>HYPERLINK("http://141.218.60.56/~jnz1568/getInfo.php?workbook=20_05.xlsx&amp;sheet=A0&amp;row=382&amp;col=7&amp;number=0&amp;sourceID=14","0")</f>
        <v>0</v>
      </c>
    </row>
    <row r="383" spans="1:7">
      <c r="A383" s="3">
        <v>20</v>
      </c>
      <c r="B383" s="3">
        <v>5</v>
      </c>
      <c r="C383" s="3">
        <v>104</v>
      </c>
      <c r="D383" s="3">
        <v>3</v>
      </c>
      <c r="E383" s="3">
        <v>-19.347</v>
      </c>
      <c r="F383" s="4" t="str">
        <f>HYPERLINK("http://141.218.60.56/~jnz1568/getInfo.php?workbook=20_05.xlsx&amp;sheet=A0&amp;row=383&amp;col=6&amp;number=220900000&amp;sourceID=14","220900000")</f>
        <v>220900000</v>
      </c>
      <c r="G383" s="4" t="str">
        <f>HYPERLINK("http://141.218.60.56/~jnz1568/getInfo.php?workbook=20_05.xlsx&amp;sheet=A0&amp;row=383&amp;col=7&amp;number=0&amp;sourceID=14","0")</f>
        <v>0</v>
      </c>
    </row>
    <row r="384" spans="1:7">
      <c r="A384" s="3">
        <v>20</v>
      </c>
      <c r="B384" s="3">
        <v>5</v>
      </c>
      <c r="C384" s="3">
        <v>105</v>
      </c>
      <c r="D384" s="3">
        <v>3</v>
      </c>
      <c r="E384" s="3">
        <v>-18.932</v>
      </c>
      <c r="F384" s="4" t="str">
        <f>HYPERLINK("http://141.218.60.56/~jnz1568/getInfo.php?workbook=20_05.xlsx&amp;sheet=A0&amp;row=384&amp;col=6&amp;number=239900000&amp;sourceID=14","239900000")</f>
        <v>239900000</v>
      </c>
      <c r="G384" s="4" t="str">
        <f>HYPERLINK("http://141.218.60.56/~jnz1568/getInfo.php?workbook=20_05.xlsx&amp;sheet=A0&amp;row=384&amp;col=7&amp;number=0&amp;sourceID=14","0")</f>
        <v>0</v>
      </c>
    </row>
    <row r="385" spans="1:7">
      <c r="A385" s="3">
        <v>20</v>
      </c>
      <c r="B385" s="3">
        <v>5</v>
      </c>
      <c r="C385" s="3">
        <v>87</v>
      </c>
      <c r="D385" s="3">
        <v>8</v>
      </c>
      <c r="E385" s="3">
        <v>-25.394</v>
      </c>
      <c r="F385" s="4" t="str">
        <f>HYPERLINK("http://141.218.60.56/~jnz1568/getInfo.php?workbook=20_05.xlsx&amp;sheet=A0&amp;row=385&amp;col=6&amp;number=4103000000&amp;sourceID=14","4103000000")</f>
        <v>4103000000</v>
      </c>
      <c r="G385" s="4" t="str">
        <f>HYPERLINK("http://141.218.60.56/~jnz1568/getInfo.php?workbook=20_05.xlsx&amp;sheet=A0&amp;row=385&amp;col=7&amp;number=0&amp;sourceID=14","0")</f>
        <v>0</v>
      </c>
    </row>
    <row r="386" spans="1:7">
      <c r="A386" s="3">
        <v>20</v>
      </c>
      <c r="B386" s="3">
        <v>5</v>
      </c>
      <c r="C386" s="3">
        <v>88</v>
      </c>
      <c r="D386" s="3">
        <v>8</v>
      </c>
      <c r="E386" s="3">
        <v>-24.555</v>
      </c>
      <c r="F386" s="4" t="str">
        <f>HYPERLINK("http://141.218.60.56/~jnz1568/getInfo.php?workbook=20_05.xlsx&amp;sheet=A0&amp;row=386&amp;col=6&amp;number=190100000&amp;sourceID=14","190100000")</f>
        <v>190100000</v>
      </c>
      <c r="G386" s="4" t="str">
        <f>HYPERLINK("http://141.218.60.56/~jnz1568/getInfo.php?workbook=20_05.xlsx&amp;sheet=A0&amp;row=386&amp;col=7&amp;number=0&amp;sourceID=14","0")</f>
        <v>0</v>
      </c>
    </row>
    <row r="387" spans="1:7">
      <c r="A387" s="3">
        <v>20</v>
      </c>
      <c r="B387" s="3">
        <v>5</v>
      </c>
      <c r="C387" s="3">
        <v>89</v>
      </c>
      <c r="D387" s="3">
        <v>8</v>
      </c>
      <c r="E387" s="3">
        <v>-24.073</v>
      </c>
      <c r="F387" s="4" t="str">
        <f>HYPERLINK("http://141.218.60.56/~jnz1568/getInfo.php?workbook=20_05.xlsx&amp;sheet=A0&amp;row=387&amp;col=6&amp;number=72470000000&amp;sourceID=14","72470000000")</f>
        <v>72470000000</v>
      </c>
      <c r="G387" s="4" t="str">
        <f>HYPERLINK("http://141.218.60.56/~jnz1568/getInfo.php?workbook=20_05.xlsx&amp;sheet=A0&amp;row=387&amp;col=7&amp;number=0&amp;sourceID=14","0")</f>
        <v>0</v>
      </c>
    </row>
    <row r="388" spans="1:7">
      <c r="A388" s="3">
        <v>20</v>
      </c>
      <c r="B388" s="3">
        <v>5</v>
      </c>
      <c r="C388" s="3">
        <v>90</v>
      </c>
      <c r="D388" s="3">
        <v>8</v>
      </c>
      <c r="E388" s="3">
        <v>-23.297</v>
      </c>
      <c r="F388" s="4" t="str">
        <f>HYPERLINK("http://141.218.60.56/~jnz1568/getInfo.php?workbook=20_05.xlsx&amp;sheet=A0&amp;row=388&amp;col=6&amp;number=2434000000&amp;sourceID=14","2434000000")</f>
        <v>2434000000</v>
      </c>
      <c r="G388" s="4" t="str">
        <f>HYPERLINK("http://141.218.60.56/~jnz1568/getInfo.php?workbook=20_05.xlsx&amp;sheet=A0&amp;row=388&amp;col=7&amp;number=0&amp;sourceID=14","0")</f>
        <v>0</v>
      </c>
    </row>
    <row r="389" spans="1:7">
      <c r="A389" s="3">
        <v>20</v>
      </c>
      <c r="B389" s="3">
        <v>5</v>
      </c>
      <c r="C389" s="3">
        <v>91</v>
      </c>
      <c r="D389" s="3">
        <v>8</v>
      </c>
      <c r="E389" s="3">
        <v>23.053</v>
      </c>
      <c r="F389" s="4" t="str">
        <f>HYPERLINK("http://141.218.60.56/~jnz1568/getInfo.php?workbook=20_05.xlsx&amp;sheet=A0&amp;row=389&amp;col=6&amp;number=23710000000&amp;sourceID=14","23710000000")</f>
        <v>23710000000</v>
      </c>
      <c r="G389" s="4" t="str">
        <f>HYPERLINK("http://141.218.60.56/~jnz1568/getInfo.php?workbook=20_05.xlsx&amp;sheet=A0&amp;row=389&amp;col=7&amp;number=0&amp;sourceID=14","0")</f>
        <v>0</v>
      </c>
    </row>
    <row r="390" spans="1:7">
      <c r="A390" s="3">
        <v>20</v>
      </c>
      <c r="B390" s="3">
        <v>5</v>
      </c>
      <c r="C390" s="3">
        <v>92</v>
      </c>
      <c r="D390" s="3">
        <v>8</v>
      </c>
      <c r="E390" s="3">
        <v>-23.043</v>
      </c>
      <c r="F390" s="4" t="str">
        <f>HYPERLINK("http://141.218.60.56/~jnz1568/getInfo.php?workbook=20_05.xlsx&amp;sheet=A0&amp;row=390&amp;col=6&amp;number=664700000000&amp;sourceID=14","664700000000")</f>
        <v>664700000000</v>
      </c>
      <c r="G390" s="4" t="str">
        <f>HYPERLINK("http://141.218.60.56/~jnz1568/getInfo.php?workbook=20_05.xlsx&amp;sheet=A0&amp;row=390&amp;col=7&amp;number=0&amp;sourceID=14","0")</f>
        <v>0</v>
      </c>
    </row>
    <row r="391" spans="1:7">
      <c r="A391" s="3">
        <v>20</v>
      </c>
      <c r="B391" s="3">
        <v>5</v>
      </c>
      <c r="C391" s="3">
        <v>93</v>
      </c>
      <c r="D391" s="3">
        <v>8</v>
      </c>
      <c r="E391" s="3">
        <v>-23.018</v>
      </c>
      <c r="F391" s="4" t="str">
        <f>HYPERLINK("http://141.218.60.56/~jnz1568/getInfo.php?workbook=20_05.xlsx&amp;sheet=A0&amp;row=391&amp;col=6&amp;number=21980000000&amp;sourceID=14","21980000000")</f>
        <v>21980000000</v>
      </c>
      <c r="G391" s="4" t="str">
        <f>HYPERLINK("http://141.218.60.56/~jnz1568/getInfo.php?workbook=20_05.xlsx&amp;sheet=A0&amp;row=391&amp;col=7&amp;number=0&amp;sourceID=14","0")</f>
        <v>0</v>
      </c>
    </row>
    <row r="392" spans="1:7">
      <c r="A392" s="3">
        <v>20</v>
      </c>
      <c r="B392" s="3">
        <v>5</v>
      </c>
      <c r="C392" s="3">
        <v>94</v>
      </c>
      <c r="D392" s="3">
        <v>8</v>
      </c>
      <c r="E392" s="3">
        <v>-22.923</v>
      </c>
      <c r="F392" s="4" t="str">
        <f>HYPERLINK("http://141.218.60.56/~jnz1568/getInfo.php?workbook=20_05.xlsx&amp;sheet=A0&amp;row=392&amp;col=6&amp;number=19210000000&amp;sourceID=14","19210000000")</f>
        <v>19210000000</v>
      </c>
      <c r="G392" s="4" t="str">
        <f>HYPERLINK("http://141.218.60.56/~jnz1568/getInfo.php?workbook=20_05.xlsx&amp;sheet=A0&amp;row=392&amp;col=7&amp;number=0&amp;sourceID=14","0")</f>
        <v>0</v>
      </c>
    </row>
    <row r="393" spans="1:7">
      <c r="A393" s="3">
        <v>20</v>
      </c>
      <c r="B393" s="3">
        <v>5</v>
      </c>
      <c r="C393" s="3">
        <v>95</v>
      </c>
      <c r="D393" s="3">
        <v>8</v>
      </c>
      <c r="E393" s="3">
        <v>-22.614</v>
      </c>
      <c r="F393" s="4" t="str">
        <f>HYPERLINK("http://141.218.60.56/~jnz1568/getInfo.php?workbook=20_05.xlsx&amp;sheet=A0&amp;row=393&amp;col=6&amp;number=2955000000000&amp;sourceID=14","2955000000000")</f>
        <v>2955000000000</v>
      </c>
      <c r="G393" s="4" t="str">
        <f>HYPERLINK("http://141.218.60.56/~jnz1568/getInfo.php?workbook=20_05.xlsx&amp;sheet=A0&amp;row=393&amp;col=7&amp;number=0&amp;sourceID=14","0")</f>
        <v>0</v>
      </c>
    </row>
    <row r="394" spans="1:7">
      <c r="A394" s="3">
        <v>20</v>
      </c>
      <c r="B394" s="3">
        <v>5</v>
      </c>
      <c r="C394" s="3">
        <v>96</v>
      </c>
      <c r="D394" s="3">
        <v>8</v>
      </c>
      <c r="E394" s="3">
        <v>-21.755</v>
      </c>
      <c r="F394" s="4" t="str">
        <f>HYPERLINK("http://141.218.60.56/~jnz1568/getInfo.php?workbook=20_05.xlsx&amp;sheet=A0&amp;row=394&amp;col=6&amp;number=991000000000&amp;sourceID=14","991000000000")</f>
        <v>991000000000</v>
      </c>
      <c r="G394" s="4" t="str">
        <f>HYPERLINK("http://141.218.60.56/~jnz1568/getInfo.php?workbook=20_05.xlsx&amp;sheet=A0&amp;row=394&amp;col=7&amp;number=0&amp;sourceID=14","0")</f>
        <v>0</v>
      </c>
    </row>
    <row r="395" spans="1:7">
      <c r="A395" s="3">
        <v>20</v>
      </c>
      <c r="B395" s="3">
        <v>5</v>
      </c>
      <c r="C395" s="3">
        <v>97</v>
      </c>
      <c r="D395" s="3">
        <v>8</v>
      </c>
      <c r="E395" s="3">
        <v>-21.632</v>
      </c>
      <c r="F395" s="4" t="str">
        <f>HYPERLINK("http://141.218.60.56/~jnz1568/getInfo.php?workbook=20_05.xlsx&amp;sheet=A0&amp;row=395&amp;col=6&amp;number=823000000000&amp;sourceID=14","823000000000")</f>
        <v>823000000000</v>
      </c>
      <c r="G395" s="4" t="str">
        <f>HYPERLINK("http://141.218.60.56/~jnz1568/getInfo.php?workbook=20_05.xlsx&amp;sheet=A0&amp;row=395&amp;col=7&amp;number=0&amp;sourceID=14","0")</f>
        <v>0</v>
      </c>
    </row>
    <row r="396" spans="1:7">
      <c r="A396" s="3">
        <v>20</v>
      </c>
      <c r="B396" s="3">
        <v>5</v>
      </c>
      <c r="C396" s="3">
        <v>98</v>
      </c>
      <c r="D396" s="3">
        <v>8</v>
      </c>
      <c r="E396" s="3">
        <v>-21.544</v>
      </c>
      <c r="F396" s="4" t="str">
        <f>HYPERLINK("http://141.218.60.56/~jnz1568/getInfo.php?workbook=20_05.xlsx&amp;sheet=A0&amp;row=396&amp;col=6&amp;number=3036000000&amp;sourceID=14","3036000000")</f>
        <v>3036000000</v>
      </c>
      <c r="G396" s="4" t="str">
        <f>HYPERLINK("http://141.218.60.56/~jnz1568/getInfo.php?workbook=20_05.xlsx&amp;sheet=A0&amp;row=396&amp;col=7&amp;number=0&amp;sourceID=14","0")</f>
        <v>0</v>
      </c>
    </row>
    <row r="397" spans="1:7">
      <c r="A397" s="3">
        <v>20</v>
      </c>
      <c r="B397" s="3">
        <v>5</v>
      </c>
      <c r="C397" s="3">
        <v>99</v>
      </c>
      <c r="D397" s="3">
        <v>8</v>
      </c>
      <c r="E397" s="3">
        <v>-21.437</v>
      </c>
      <c r="F397" s="4" t="str">
        <f>HYPERLINK("http://141.218.60.56/~jnz1568/getInfo.php?workbook=20_05.xlsx&amp;sheet=A0&amp;row=397&amp;col=6&amp;number=30730000000&amp;sourceID=14","30730000000")</f>
        <v>30730000000</v>
      </c>
      <c r="G397" s="4" t="str">
        <f>HYPERLINK("http://141.218.60.56/~jnz1568/getInfo.php?workbook=20_05.xlsx&amp;sheet=A0&amp;row=397&amp;col=7&amp;number=0&amp;sourceID=14","0")</f>
        <v>0</v>
      </c>
    </row>
    <row r="398" spans="1:7">
      <c r="A398" s="3">
        <v>20</v>
      </c>
      <c r="B398" s="3">
        <v>5</v>
      </c>
      <c r="C398" s="3">
        <v>100</v>
      </c>
      <c r="D398" s="3">
        <v>8</v>
      </c>
      <c r="E398" s="3">
        <v>-21.358</v>
      </c>
      <c r="F398" s="4" t="str">
        <f>HYPERLINK("http://141.218.60.56/~jnz1568/getInfo.php?workbook=20_05.xlsx&amp;sheet=A0&amp;row=398&amp;col=6&amp;number=199000000000&amp;sourceID=14","199000000000")</f>
        <v>199000000000</v>
      </c>
      <c r="G398" s="4" t="str">
        <f>HYPERLINK("http://141.218.60.56/~jnz1568/getInfo.php?workbook=20_05.xlsx&amp;sheet=A0&amp;row=398&amp;col=7&amp;number=0&amp;sourceID=14","0")</f>
        <v>0</v>
      </c>
    </row>
    <row r="399" spans="1:7">
      <c r="A399" s="3">
        <v>20</v>
      </c>
      <c r="B399" s="3">
        <v>5</v>
      </c>
      <c r="C399" s="3">
        <v>101</v>
      </c>
      <c r="D399" s="3">
        <v>8</v>
      </c>
      <c r="E399" s="3">
        <v>-21.201</v>
      </c>
      <c r="F399" s="4" t="str">
        <f>HYPERLINK("http://141.218.60.56/~jnz1568/getInfo.php?workbook=20_05.xlsx&amp;sheet=A0&amp;row=399&amp;col=6&amp;number=4674000000&amp;sourceID=14","4674000000")</f>
        <v>4674000000</v>
      </c>
      <c r="G399" s="4" t="str">
        <f>HYPERLINK("http://141.218.60.56/~jnz1568/getInfo.php?workbook=20_05.xlsx&amp;sheet=A0&amp;row=399&amp;col=7&amp;number=0&amp;sourceID=14","0")</f>
        <v>0</v>
      </c>
    </row>
    <row r="400" spans="1:7">
      <c r="A400" s="3">
        <v>20</v>
      </c>
      <c r="B400" s="3">
        <v>5</v>
      </c>
      <c r="C400" s="3">
        <v>102</v>
      </c>
      <c r="D400" s="3">
        <v>8</v>
      </c>
      <c r="E400" s="3">
        <v>-21.176</v>
      </c>
      <c r="F400" s="4" t="str">
        <f>HYPERLINK("http://141.218.60.56/~jnz1568/getInfo.php?workbook=20_05.xlsx&amp;sheet=A0&amp;row=400&amp;col=6&amp;number=98920000000&amp;sourceID=14","98920000000")</f>
        <v>98920000000</v>
      </c>
      <c r="G400" s="4" t="str">
        <f>HYPERLINK("http://141.218.60.56/~jnz1568/getInfo.php?workbook=20_05.xlsx&amp;sheet=A0&amp;row=400&amp;col=7&amp;number=0&amp;sourceID=14","0")</f>
        <v>0</v>
      </c>
    </row>
    <row r="401" spans="1:7">
      <c r="A401" s="3">
        <v>20</v>
      </c>
      <c r="B401" s="3">
        <v>5</v>
      </c>
      <c r="C401" s="3">
        <v>103</v>
      </c>
      <c r="D401" s="3">
        <v>8</v>
      </c>
      <c r="E401" s="3">
        <v>-20.836</v>
      </c>
      <c r="F401" s="4" t="str">
        <f>HYPERLINK("http://141.218.60.56/~jnz1568/getInfo.php?workbook=20_05.xlsx&amp;sheet=A0&amp;row=401&amp;col=6&amp;number=279200000000&amp;sourceID=14","279200000000")</f>
        <v>279200000000</v>
      </c>
      <c r="G401" s="4" t="str">
        <f>HYPERLINK("http://141.218.60.56/~jnz1568/getInfo.php?workbook=20_05.xlsx&amp;sheet=A0&amp;row=401&amp;col=7&amp;number=0&amp;sourceID=14","0")</f>
        <v>0</v>
      </c>
    </row>
    <row r="402" spans="1:7">
      <c r="A402" s="3">
        <v>20</v>
      </c>
      <c r="B402" s="3">
        <v>5</v>
      </c>
      <c r="C402" s="3">
        <v>104</v>
      </c>
      <c r="D402" s="3">
        <v>8</v>
      </c>
      <c r="E402" s="3">
        <v>-20.642</v>
      </c>
      <c r="F402" s="4" t="str">
        <f>HYPERLINK("http://141.218.60.56/~jnz1568/getInfo.php?workbook=20_05.xlsx&amp;sheet=A0&amp;row=402&amp;col=6&amp;number=13530000000&amp;sourceID=14","13530000000")</f>
        <v>13530000000</v>
      </c>
      <c r="G402" s="4" t="str">
        <f>HYPERLINK("http://141.218.60.56/~jnz1568/getInfo.php?workbook=20_05.xlsx&amp;sheet=A0&amp;row=402&amp;col=7&amp;number=0&amp;sourceID=14","0")</f>
        <v>0</v>
      </c>
    </row>
    <row r="403" spans="1:7">
      <c r="A403" s="3">
        <v>20</v>
      </c>
      <c r="B403" s="3">
        <v>5</v>
      </c>
      <c r="C403" s="3">
        <v>105</v>
      </c>
      <c r="D403" s="3">
        <v>8</v>
      </c>
      <c r="E403" s="3">
        <v>-20.17</v>
      </c>
      <c r="F403" s="4" t="str">
        <f>HYPERLINK("http://141.218.60.56/~jnz1568/getInfo.php?workbook=20_05.xlsx&amp;sheet=A0&amp;row=403&amp;col=6&amp;number=827300000000&amp;sourceID=14","827300000000")</f>
        <v>827300000000</v>
      </c>
      <c r="G403" s="4" t="str">
        <f>HYPERLINK("http://141.218.60.56/~jnz1568/getInfo.php?workbook=20_05.xlsx&amp;sheet=A0&amp;row=403&amp;col=7&amp;number=0&amp;sourceID=14","0")</f>
        <v>0</v>
      </c>
    </row>
    <row r="404" spans="1:7">
      <c r="A404" s="3">
        <v>20</v>
      </c>
      <c r="B404" s="3">
        <v>5</v>
      </c>
      <c r="C404" s="3">
        <v>87</v>
      </c>
      <c r="D404" s="3">
        <v>9</v>
      </c>
      <c r="E404" s="3">
        <v>-25.665</v>
      </c>
      <c r="F404" s="4" t="str">
        <f>HYPERLINK("http://141.218.60.56/~jnz1568/getInfo.php?workbook=20_05.xlsx&amp;sheet=A0&amp;row=404&amp;col=6&amp;number=153700000&amp;sourceID=14","153700000")</f>
        <v>153700000</v>
      </c>
      <c r="G404" s="4" t="str">
        <f>HYPERLINK("http://141.218.60.56/~jnz1568/getInfo.php?workbook=20_05.xlsx&amp;sheet=A0&amp;row=404&amp;col=7&amp;number=0&amp;sourceID=14","0")</f>
        <v>0</v>
      </c>
    </row>
    <row r="405" spans="1:7">
      <c r="A405" s="3">
        <v>20</v>
      </c>
      <c r="B405" s="3">
        <v>5</v>
      </c>
      <c r="C405" s="3">
        <v>88</v>
      </c>
      <c r="D405" s="3">
        <v>9</v>
      </c>
      <c r="E405" s="3">
        <v>-24.809</v>
      </c>
      <c r="F405" s="4" t="str">
        <f>HYPERLINK("http://141.218.60.56/~jnz1568/getInfo.php?workbook=20_05.xlsx&amp;sheet=A0&amp;row=405&amp;col=6&amp;number=147600000&amp;sourceID=14","147600000")</f>
        <v>147600000</v>
      </c>
      <c r="G405" s="4" t="str">
        <f>HYPERLINK("http://141.218.60.56/~jnz1568/getInfo.php?workbook=20_05.xlsx&amp;sheet=A0&amp;row=405&amp;col=7&amp;number=0&amp;sourceID=14","0")</f>
        <v>0</v>
      </c>
    </row>
    <row r="406" spans="1:7">
      <c r="A406" s="3">
        <v>20</v>
      </c>
      <c r="B406" s="3">
        <v>5</v>
      </c>
      <c r="C406" s="3">
        <v>89</v>
      </c>
      <c r="D406" s="3">
        <v>9</v>
      </c>
      <c r="E406" s="3">
        <v>-24.317</v>
      </c>
      <c r="F406" s="4" t="str">
        <f>HYPERLINK("http://141.218.60.56/~jnz1568/getInfo.php?workbook=20_05.xlsx&amp;sheet=A0&amp;row=406&amp;col=6&amp;number=55840000000&amp;sourceID=14","55840000000")</f>
        <v>55840000000</v>
      </c>
      <c r="G406" s="4" t="str">
        <f>HYPERLINK("http://141.218.60.56/~jnz1568/getInfo.php?workbook=20_05.xlsx&amp;sheet=A0&amp;row=406&amp;col=7&amp;number=0&amp;sourceID=14","0")</f>
        <v>0</v>
      </c>
    </row>
    <row r="407" spans="1:7">
      <c r="A407" s="3">
        <v>20</v>
      </c>
      <c r="B407" s="3">
        <v>5</v>
      </c>
      <c r="C407" s="3">
        <v>90</v>
      </c>
      <c r="D407" s="3">
        <v>9</v>
      </c>
      <c r="E407" s="3">
        <v>-23.525</v>
      </c>
      <c r="F407" s="4" t="str">
        <f>HYPERLINK("http://141.218.60.56/~jnz1568/getInfo.php?workbook=20_05.xlsx&amp;sheet=A0&amp;row=407&amp;col=6&amp;number=2449000000&amp;sourceID=14","2449000000")</f>
        <v>2449000000</v>
      </c>
      <c r="G407" s="4" t="str">
        <f>HYPERLINK("http://141.218.60.56/~jnz1568/getInfo.php?workbook=20_05.xlsx&amp;sheet=A0&amp;row=407&amp;col=7&amp;number=0&amp;sourceID=14","0")</f>
        <v>0</v>
      </c>
    </row>
    <row r="408" spans="1:7">
      <c r="A408" s="3">
        <v>20</v>
      </c>
      <c r="B408" s="3">
        <v>5</v>
      </c>
      <c r="C408" s="3">
        <v>91</v>
      </c>
      <c r="D408" s="3">
        <v>9</v>
      </c>
      <c r="E408" s="3">
        <v>23.276</v>
      </c>
      <c r="F408" s="4" t="str">
        <f>HYPERLINK("http://141.218.60.56/~jnz1568/getInfo.php?workbook=20_05.xlsx&amp;sheet=A0&amp;row=408&amp;col=6&amp;number=53520000000&amp;sourceID=14","53520000000")</f>
        <v>53520000000</v>
      </c>
      <c r="G408" s="4" t="str">
        <f>HYPERLINK("http://141.218.60.56/~jnz1568/getInfo.php?workbook=20_05.xlsx&amp;sheet=A0&amp;row=408&amp;col=7&amp;number=0&amp;sourceID=14","0")</f>
        <v>0</v>
      </c>
    </row>
    <row r="409" spans="1:7">
      <c r="A409" s="3">
        <v>20</v>
      </c>
      <c r="B409" s="3">
        <v>5</v>
      </c>
      <c r="C409" s="3">
        <v>92</v>
      </c>
      <c r="D409" s="3">
        <v>9</v>
      </c>
      <c r="E409" s="3">
        <v>-23.266</v>
      </c>
      <c r="F409" s="4" t="str">
        <f>HYPERLINK("http://141.218.60.56/~jnz1568/getInfo.php?workbook=20_05.xlsx&amp;sheet=A0&amp;row=409&amp;col=6&amp;number=133000000000&amp;sourceID=14","133000000000")</f>
        <v>133000000000</v>
      </c>
      <c r="G409" s="4" t="str">
        <f>HYPERLINK("http://141.218.60.56/~jnz1568/getInfo.php?workbook=20_05.xlsx&amp;sheet=A0&amp;row=409&amp;col=7&amp;number=0&amp;sourceID=14","0")</f>
        <v>0</v>
      </c>
    </row>
    <row r="410" spans="1:7">
      <c r="A410" s="3">
        <v>20</v>
      </c>
      <c r="B410" s="3">
        <v>5</v>
      </c>
      <c r="C410" s="3">
        <v>93</v>
      </c>
      <c r="D410" s="3">
        <v>9</v>
      </c>
      <c r="E410" s="3">
        <v>-23.241</v>
      </c>
      <c r="F410" s="4" t="str">
        <f>HYPERLINK("http://141.218.60.56/~jnz1568/getInfo.php?workbook=20_05.xlsx&amp;sheet=A0&amp;row=410&amp;col=6&amp;number=194400000000&amp;sourceID=14","194400000000")</f>
        <v>194400000000</v>
      </c>
      <c r="G410" s="4" t="str">
        <f>HYPERLINK("http://141.218.60.56/~jnz1568/getInfo.php?workbook=20_05.xlsx&amp;sheet=A0&amp;row=410&amp;col=7&amp;number=0&amp;sourceID=14","0")</f>
        <v>0</v>
      </c>
    </row>
    <row r="411" spans="1:7">
      <c r="A411" s="3">
        <v>20</v>
      </c>
      <c r="B411" s="3">
        <v>5</v>
      </c>
      <c r="C411" s="3">
        <v>94</v>
      </c>
      <c r="D411" s="3">
        <v>9</v>
      </c>
      <c r="E411" s="3">
        <v>-23.144</v>
      </c>
      <c r="F411" s="4" t="str">
        <f>HYPERLINK("http://141.218.60.56/~jnz1568/getInfo.php?workbook=20_05.xlsx&amp;sheet=A0&amp;row=411&amp;col=6&amp;number=1587000000&amp;sourceID=14","1587000000")</f>
        <v>1587000000</v>
      </c>
      <c r="G411" s="4" t="str">
        <f>HYPERLINK("http://141.218.60.56/~jnz1568/getInfo.php?workbook=20_05.xlsx&amp;sheet=A0&amp;row=411&amp;col=7&amp;number=0&amp;sourceID=14","0")</f>
        <v>0</v>
      </c>
    </row>
    <row r="412" spans="1:7">
      <c r="A412" s="3">
        <v>20</v>
      </c>
      <c r="B412" s="3">
        <v>5</v>
      </c>
      <c r="C412" s="3">
        <v>95</v>
      </c>
      <c r="D412" s="3">
        <v>9</v>
      </c>
      <c r="E412" s="3">
        <v>-22.829</v>
      </c>
      <c r="F412" s="4" t="str">
        <f>HYPERLINK("http://141.218.60.56/~jnz1568/getInfo.php?workbook=20_05.xlsx&amp;sheet=A0&amp;row=412&amp;col=6&amp;number=377500000000&amp;sourceID=14","377500000000")</f>
        <v>377500000000</v>
      </c>
      <c r="G412" s="4" t="str">
        <f>HYPERLINK("http://141.218.60.56/~jnz1568/getInfo.php?workbook=20_05.xlsx&amp;sheet=A0&amp;row=412&amp;col=7&amp;number=0&amp;sourceID=14","0")</f>
        <v>0</v>
      </c>
    </row>
    <row r="413" spans="1:7">
      <c r="A413" s="3">
        <v>20</v>
      </c>
      <c r="B413" s="3">
        <v>5</v>
      </c>
      <c r="C413" s="3">
        <v>96</v>
      </c>
      <c r="D413" s="3">
        <v>9</v>
      </c>
      <c r="E413" s="3">
        <v>-21.954</v>
      </c>
      <c r="F413" s="4" t="str">
        <f>HYPERLINK("http://141.218.60.56/~jnz1568/getInfo.php?workbook=20_05.xlsx&amp;sheet=A0&amp;row=413&amp;col=6&amp;number=3895000000000&amp;sourceID=14","3895000000000")</f>
        <v>3895000000000</v>
      </c>
      <c r="G413" s="4" t="str">
        <f>HYPERLINK("http://141.218.60.56/~jnz1568/getInfo.php?workbook=20_05.xlsx&amp;sheet=A0&amp;row=413&amp;col=7&amp;number=0&amp;sourceID=14","0")</f>
        <v>0</v>
      </c>
    </row>
    <row r="414" spans="1:7">
      <c r="A414" s="3">
        <v>20</v>
      </c>
      <c r="B414" s="3">
        <v>5</v>
      </c>
      <c r="C414" s="3">
        <v>97</v>
      </c>
      <c r="D414" s="3">
        <v>9</v>
      </c>
      <c r="E414" s="3">
        <v>-21.828</v>
      </c>
      <c r="F414" s="4" t="str">
        <f>HYPERLINK("http://141.218.60.56/~jnz1568/getInfo.php?workbook=20_05.xlsx&amp;sheet=A0&amp;row=414&amp;col=6&amp;number=1452000000000&amp;sourceID=14","1452000000000")</f>
        <v>1452000000000</v>
      </c>
      <c r="G414" s="4" t="str">
        <f>HYPERLINK("http://141.218.60.56/~jnz1568/getInfo.php?workbook=20_05.xlsx&amp;sheet=A0&amp;row=414&amp;col=7&amp;number=0&amp;sourceID=14","0")</f>
        <v>0</v>
      </c>
    </row>
    <row r="415" spans="1:7">
      <c r="A415" s="3">
        <v>20</v>
      </c>
      <c r="B415" s="3">
        <v>5</v>
      </c>
      <c r="C415" s="3">
        <v>98</v>
      </c>
      <c r="D415" s="3">
        <v>9</v>
      </c>
      <c r="E415" s="3">
        <v>-21.739</v>
      </c>
      <c r="F415" s="4" t="str">
        <f>HYPERLINK("http://141.218.60.56/~jnz1568/getInfo.php?workbook=20_05.xlsx&amp;sheet=A0&amp;row=415&amp;col=6&amp;number=33500000000&amp;sourceID=14","33500000000")</f>
        <v>33500000000</v>
      </c>
      <c r="G415" s="4" t="str">
        <f>HYPERLINK("http://141.218.60.56/~jnz1568/getInfo.php?workbook=20_05.xlsx&amp;sheet=A0&amp;row=415&amp;col=7&amp;number=0&amp;sourceID=14","0")</f>
        <v>0</v>
      </c>
    </row>
    <row r="416" spans="1:7">
      <c r="A416" s="3">
        <v>20</v>
      </c>
      <c r="B416" s="3">
        <v>5</v>
      </c>
      <c r="C416" s="3">
        <v>99</v>
      </c>
      <c r="D416" s="3">
        <v>9</v>
      </c>
      <c r="E416" s="3">
        <v>-21.63</v>
      </c>
      <c r="F416" s="4" t="str">
        <f>HYPERLINK("http://141.218.60.56/~jnz1568/getInfo.php?workbook=20_05.xlsx&amp;sheet=A0&amp;row=416&amp;col=6&amp;number=159800000000&amp;sourceID=14","159800000000")</f>
        <v>159800000000</v>
      </c>
      <c r="G416" s="4" t="str">
        <f>HYPERLINK("http://141.218.60.56/~jnz1568/getInfo.php?workbook=20_05.xlsx&amp;sheet=A0&amp;row=416&amp;col=7&amp;number=0&amp;sourceID=14","0")</f>
        <v>0</v>
      </c>
    </row>
    <row r="417" spans="1:7">
      <c r="A417" s="3">
        <v>20</v>
      </c>
      <c r="B417" s="3">
        <v>5</v>
      </c>
      <c r="C417" s="3">
        <v>100</v>
      </c>
      <c r="D417" s="3">
        <v>9</v>
      </c>
      <c r="E417" s="3">
        <v>-21.55</v>
      </c>
      <c r="F417" s="4" t="str">
        <f>HYPERLINK("http://141.218.60.56/~jnz1568/getInfo.php?workbook=20_05.xlsx&amp;sheet=A0&amp;row=417&amp;col=6&amp;number=459400000000&amp;sourceID=14","459400000000")</f>
        <v>459400000000</v>
      </c>
      <c r="G417" s="4" t="str">
        <f>HYPERLINK("http://141.218.60.56/~jnz1568/getInfo.php?workbook=20_05.xlsx&amp;sheet=A0&amp;row=417&amp;col=7&amp;number=0&amp;sourceID=14","0")</f>
        <v>0</v>
      </c>
    </row>
    <row r="418" spans="1:7">
      <c r="A418" s="3">
        <v>20</v>
      </c>
      <c r="B418" s="3">
        <v>5</v>
      </c>
      <c r="C418" s="3">
        <v>101</v>
      </c>
      <c r="D418" s="3">
        <v>9</v>
      </c>
      <c r="E418" s="3">
        <v>-21.389</v>
      </c>
      <c r="F418" s="4" t="str">
        <f>HYPERLINK("http://141.218.60.56/~jnz1568/getInfo.php?workbook=20_05.xlsx&amp;sheet=A0&amp;row=418&amp;col=6&amp;number=15950000000&amp;sourceID=14","15950000000")</f>
        <v>15950000000</v>
      </c>
      <c r="G418" s="4" t="str">
        <f>HYPERLINK("http://141.218.60.56/~jnz1568/getInfo.php?workbook=20_05.xlsx&amp;sheet=A0&amp;row=418&amp;col=7&amp;number=0&amp;sourceID=14","0")</f>
        <v>0</v>
      </c>
    </row>
    <row r="419" spans="1:7">
      <c r="A419" s="3">
        <v>20</v>
      </c>
      <c r="B419" s="3">
        <v>5</v>
      </c>
      <c r="C419" s="3">
        <v>102</v>
      </c>
      <c r="D419" s="3">
        <v>9</v>
      </c>
      <c r="E419" s="3">
        <v>-21.364</v>
      </c>
      <c r="F419" s="4" t="str">
        <f>HYPERLINK("http://141.218.60.56/~jnz1568/getInfo.php?workbook=20_05.xlsx&amp;sheet=A0&amp;row=419&amp;col=6&amp;number=222700000000&amp;sourceID=14","222700000000")</f>
        <v>222700000000</v>
      </c>
      <c r="G419" s="4" t="str">
        <f>HYPERLINK("http://141.218.60.56/~jnz1568/getInfo.php?workbook=20_05.xlsx&amp;sheet=A0&amp;row=419&amp;col=7&amp;number=0&amp;sourceID=14","0")</f>
        <v>0</v>
      </c>
    </row>
    <row r="420" spans="1:7">
      <c r="A420" s="3">
        <v>20</v>
      </c>
      <c r="B420" s="3">
        <v>5</v>
      </c>
      <c r="C420" s="3">
        <v>103</v>
      </c>
      <c r="D420" s="3">
        <v>9</v>
      </c>
      <c r="E420" s="3">
        <v>-21.018</v>
      </c>
      <c r="F420" s="4" t="str">
        <f>HYPERLINK("http://141.218.60.56/~jnz1568/getInfo.php?workbook=20_05.xlsx&amp;sheet=A0&amp;row=420&amp;col=6&amp;number=490800000000&amp;sourceID=14","490800000000")</f>
        <v>490800000000</v>
      </c>
      <c r="G420" s="4" t="str">
        <f>HYPERLINK("http://141.218.60.56/~jnz1568/getInfo.php?workbook=20_05.xlsx&amp;sheet=A0&amp;row=420&amp;col=7&amp;number=0&amp;sourceID=14","0")</f>
        <v>0</v>
      </c>
    </row>
    <row r="421" spans="1:7">
      <c r="A421" s="3">
        <v>20</v>
      </c>
      <c r="B421" s="3">
        <v>5</v>
      </c>
      <c r="C421" s="3">
        <v>104</v>
      </c>
      <c r="D421" s="3">
        <v>9</v>
      </c>
      <c r="E421" s="3">
        <v>-20.82</v>
      </c>
      <c r="F421" s="4" t="str">
        <f>HYPERLINK("http://141.218.60.56/~jnz1568/getInfo.php?workbook=20_05.xlsx&amp;sheet=A0&amp;row=421&amp;col=6&amp;number=533500000&amp;sourceID=14","533500000")</f>
        <v>533500000</v>
      </c>
      <c r="G421" s="4" t="str">
        <f>HYPERLINK("http://141.218.60.56/~jnz1568/getInfo.php?workbook=20_05.xlsx&amp;sheet=A0&amp;row=421&amp;col=7&amp;number=0&amp;sourceID=14","0")</f>
        <v>0</v>
      </c>
    </row>
    <row r="422" spans="1:7">
      <c r="A422" s="3">
        <v>20</v>
      </c>
      <c r="B422" s="3">
        <v>5</v>
      </c>
      <c r="C422" s="3">
        <v>105</v>
      </c>
      <c r="D422" s="3">
        <v>9</v>
      </c>
      <c r="E422" s="3">
        <v>-20.341</v>
      </c>
      <c r="F422" s="4" t="str">
        <f>HYPERLINK("http://141.218.60.56/~jnz1568/getInfo.php?workbook=20_05.xlsx&amp;sheet=A0&amp;row=422&amp;col=6&amp;number=252900000000&amp;sourceID=14","252900000000")</f>
        <v>252900000000</v>
      </c>
      <c r="G422" s="4" t="str">
        <f>HYPERLINK("http://141.218.60.56/~jnz1568/getInfo.php?workbook=20_05.xlsx&amp;sheet=A0&amp;row=422&amp;col=7&amp;number=0&amp;sourceID=14","0")</f>
        <v>0</v>
      </c>
    </row>
    <row r="423" spans="1:7">
      <c r="A423" s="3">
        <v>20</v>
      </c>
      <c r="B423" s="3">
        <v>5</v>
      </c>
      <c r="C423" s="3">
        <v>73</v>
      </c>
      <c r="D423" s="3">
        <v>4</v>
      </c>
      <c r="E423" s="3">
        <v>-23.6</v>
      </c>
      <c r="F423" s="4" t="str">
        <f>HYPERLINK("http://141.218.60.56/~jnz1568/getInfo.php?workbook=20_05.xlsx&amp;sheet=A0&amp;row=423&amp;col=6&amp;number=171500000&amp;sourceID=14","171500000")</f>
        <v>171500000</v>
      </c>
      <c r="G423" s="4" t="str">
        <f>HYPERLINK("http://141.218.60.56/~jnz1568/getInfo.php?workbook=20_05.xlsx&amp;sheet=A0&amp;row=423&amp;col=7&amp;number=0&amp;sourceID=14","0")</f>
        <v>0</v>
      </c>
    </row>
    <row r="424" spans="1:7">
      <c r="A424" s="3">
        <v>20</v>
      </c>
      <c r="B424" s="3">
        <v>5</v>
      </c>
      <c r="C424" s="3">
        <v>74</v>
      </c>
      <c r="D424" s="3">
        <v>4</v>
      </c>
      <c r="E424" s="3">
        <v>-22.878</v>
      </c>
      <c r="F424" s="4" t="str">
        <f>HYPERLINK("http://141.218.60.56/~jnz1568/getInfo.php?workbook=20_05.xlsx&amp;sheet=A0&amp;row=424&amp;col=6&amp;number=684300000000&amp;sourceID=14","684300000000")</f>
        <v>684300000000</v>
      </c>
      <c r="G424" s="4" t="str">
        <f>HYPERLINK("http://141.218.60.56/~jnz1568/getInfo.php?workbook=20_05.xlsx&amp;sheet=A0&amp;row=424&amp;col=7&amp;number=0&amp;sourceID=14","0")</f>
        <v>0</v>
      </c>
    </row>
    <row r="425" spans="1:7">
      <c r="A425" s="3">
        <v>20</v>
      </c>
      <c r="B425" s="3">
        <v>5</v>
      </c>
      <c r="C425" s="3">
        <v>75</v>
      </c>
      <c r="D425" s="3">
        <v>4</v>
      </c>
      <c r="E425" s="3">
        <v>-22.531</v>
      </c>
      <c r="F425" s="4" t="str">
        <f>HYPERLINK("http://141.218.60.56/~jnz1568/getInfo.php?workbook=20_05.xlsx&amp;sheet=A0&amp;row=425&amp;col=6&amp;number=2594000000&amp;sourceID=14","2594000000")</f>
        <v>2594000000</v>
      </c>
      <c r="G425" s="4" t="str">
        <f>HYPERLINK("http://141.218.60.56/~jnz1568/getInfo.php?workbook=20_05.xlsx&amp;sheet=A0&amp;row=425&amp;col=7&amp;number=0&amp;sourceID=14","0")</f>
        <v>0</v>
      </c>
    </row>
    <row r="426" spans="1:7">
      <c r="A426" s="3">
        <v>20</v>
      </c>
      <c r="B426" s="3">
        <v>5</v>
      </c>
      <c r="C426" s="3">
        <v>76</v>
      </c>
      <c r="D426" s="3">
        <v>4</v>
      </c>
      <c r="E426" s="3">
        <v>-21.545</v>
      </c>
      <c r="F426" s="4" t="str">
        <f>HYPERLINK("http://141.218.60.56/~jnz1568/getInfo.php?workbook=20_05.xlsx&amp;sheet=A0&amp;row=426&amp;col=6&amp;number=551200000000&amp;sourceID=14","551200000000")</f>
        <v>551200000000</v>
      </c>
      <c r="G426" s="4" t="str">
        <f>HYPERLINK("http://141.218.60.56/~jnz1568/getInfo.php?workbook=20_05.xlsx&amp;sheet=A0&amp;row=426&amp;col=7&amp;number=0&amp;sourceID=14","0")</f>
        <v>0</v>
      </c>
    </row>
    <row r="427" spans="1:7">
      <c r="A427" s="3">
        <v>20</v>
      </c>
      <c r="B427" s="3">
        <v>5</v>
      </c>
      <c r="C427" s="3">
        <v>77</v>
      </c>
      <c r="D427" s="3">
        <v>4</v>
      </c>
      <c r="E427" s="3">
        <v>-21.504</v>
      </c>
      <c r="F427" s="4" t="str">
        <f>HYPERLINK("http://141.218.60.56/~jnz1568/getInfo.php?workbook=20_05.xlsx&amp;sheet=A0&amp;row=427&amp;col=6&amp;number=466600000&amp;sourceID=14","466600000")</f>
        <v>466600000</v>
      </c>
      <c r="G427" s="4" t="str">
        <f>HYPERLINK("http://141.218.60.56/~jnz1568/getInfo.php?workbook=20_05.xlsx&amp;sheet=A0&amp;row=427&amp;col=7&amp;number=0&amp;sourceID=14","0")</f>
        <v>0</v>
      </c>
    </row>
    <row r="428" spans="1:7">
      <c r="A428" s="3">
        <v>20</v>
      </c>
      <c r="B428" s="3">
        <v>5</v>
      </c>
      <c r="C428" s="3">
        <v>78</v>
      </c>
      <c r="D428" s="3">
        <v>4</v>
      </c>
      <c r="E428" s="3">
        <v>-21.395</v>
      </c>
      <c r="F428" s="4" t="str">
        <f>HYPERLINK("http://141.218.60.56/~jnz1568/getInfo.php?workbook=20_05.xlsx&amp;sheet=A0&amp;row=428&amp;col=6&amp;number=4600000000000&amp;sourceID=14","4600000000000")</f>
        <v>4600000000000</v>
      </c>
      <c r="G428" s="4" t="str">
        <f>HYPERLINK("http://141.218.60.56/~jnz1568/getInfo.php?workbook=20_05.xlsx&amp;sheet=A0&amp;row=428&amp;col=7&amp;number=0&amp;sourceID=14","0")</f>
        <v>0</v>
      </c>
    </row>
    <row r="429" spans="1:7">
      <c r="A429" s="3">
        <v>20</v>
      </c>
      <c r="B429" s="3">
        <v>5</v>
      </c>
      <c r="C429" s="3">
        <v>79</v>
      </c>
      <c r="D429" s="3">
        <v>4</v>
      </c>
      <c r="E429" s="3">
        <v>-21.078</v>
      </c>
      <c r="F429" s="4" t="str">
        <f>HYPERLINK("http://141.218.60.56/~jnz1568/getInfo.php?workbook=20_05.xlsx&amp;sheet=A0&amp;row=429&amp;col=6&amp;number=2976000000&amp;sourceID=14","2976000000")</f>
        <v>2976000000</v>
      </c>
      <c r="G429" s="4" t="str">
        <f>HYPERLINK("http://141.218.60.56/~jnz1568/getInfo.php?workbook=20_05.xlsx&amp;sheet=A0&amp;row=429&amp;col=7&amp;number=0&amp;sourceID=14","0")</f>
        <v>0</v>
      </c>
    </row>
    <row r="430" spans="1:7">
      <c r="A430" s="3">
        <v>20</v>
      </c>
      <c r="B430" s="3">
        <v>5</v>
      </c>
      <c r="C430" s="3">
        <v>80</v>
      </c>
      <c r="D430" s="3">
        <v>4</v>
      </c>
      <c r="E430" s="3">
        <v>-20.291</v>
      </c>
      <c r="F430" s="4" t="str">
        <f>HYPERLINK("http://141.218.60.56/~jnz1568/getInfo.php?workbook=20_05.xlsx&amp;sheet=A0&amp;row=430&amp;col=6&amp;number=2147000000&amp;sourceID=14","2147000000")</f>
        <v>2147000000</v>
      </c>
      <c r="G430" s="4" t="str">
        <f>HYPERLINK("http://141.218.60.56/~jnz1568/getInfo.php?workbook=20_05.xlsx&amp;sheet=A0&amp;row=430&amp;col=7&amp;number=0&amp;sourceID=14","0")</f>
        <v>0</v>
      </c>
    </row>
    <row r="431" spans="1:7">
      <c r="A431" s="3">
        <v>20</v>
      </c>
      <c r="B431" s="3">
        <v>5</v>
      </c>
      <c r="C431" s="3">
        <v>81</v>
      </c>
      <c r="D431" s="3">
        <v>4</v>
      </c>
      <c r="E431" s="3">
        <v>-20.256</v>
      </c>
      <c r="F431" s="4" t="str">
        <f>HYPERLINK("http://141.218.60.56/~jnz1568/getInfo.php?workbook=20_05.xlsx&amp;sheet=A0&amp;row=431&amp;col=6&amp;number=10640000000&amp;sourceID=14","10640000000")</f>
        <v>10640000000</v>
      </c>
      <c r="G431" s="4" t="str">
        <f>HYPERLINK("http://141.218.60.56/~jnz1568/getInfo.php?workbook=20_05.xlsx&amp;sheet=A0&amp;row=431&amp;col=7&amp;number=0&amp;sourceID=14","0")</f>
        <v>0</v>
      </c>
    </row>
    <row r="432" spans="1:7">
      <c r="A432" s="3">
        <v>20</v>
      </c>
      <c r="B432" s="3">
        <v>5</v>
      </c>
      <c r="C432" s="3">
        <v>82</v>
      </c>
      <c r="D432" s="3">
        <v>4</v>
      </c>
      <c r="E432" s="3">
        <v>-20.218</v>
      </c>
      <c r="F432" s="4" t="str">
        <f>HYPERLINK("http://141.218.60.56/~jnz1568/getInfo.php?workbook=20_05.xlsx&amp;sheet=A0&amp;row=432&amp;col=6&amp;number=197900000000&amp;sourceID=14","197900000000")</f>
        <v>197900000000</v>
      </c>
      <c r="G432" s="4" t="str">
        <f>HYPERLINK("http://141.218.60.56/~jnz1568/getInfo.php?workbook=20_05.xlsx&amp;sheet=A0&amp;row=432&amp;col=7&amp;number=0&amp;sourceID=14","0")</f>
        <v>0</v>
      </c>
    </row>
    <row r="433" spans="1:7">
      <c r="A433" s="3">
        <v>20</v>
      </c>
      <c r="B433" s="3">
        <v>5</v>
      </c>
      <c r="C433" s="3">
        <v>83</v>
      </c>
      <c r="D433" s="3">
        <v>4</v>
      </c>
      <c r="E433" s="3">
        <v>-20.096</v>
      </c>
      <c r="F433" s="4" t="str">
        <f>HYPERLINK("http://141.218.60.56/~jnz1568/getInfo.php?workbook=20_05.xlsx&amp;sheet=A0&amp;row=433&amp;col=6&amp;number=810200000000&amp;sourceID=14","810200000000")</f>
        <v>810200000000</v>
      </c>
      <c r="G433" s="4" t="str">
        <f>HYPERLINK("http://141.218.60.56/~jnz1568/getInfo.php?workbook=20_05.xlsx&amp;sheet=A0&amp;row=433&amp;col=7&amp;number=0&amp;sourceID=14","0")</f>
        <v>0</v>
      </c>
    </row>
    <row r="434" spans="1:7">
      <c r="A434" s="3">
        <v>20</v>
      </c>
      <c r="B434" s="3">
        <v>5</v>
      </c>
      <c r="C434" s="3">
        <v>84</v>
      </c>
      <c r="D434" s="3">
        <v>4</v>
      </c>
      <c r="E434" s="3">
        <v>-19.851</v>
      </c>
      <c r="F434" s="4" t="str">
        <f>HYPERLINK("http://141.218.60.56/~jnz1568/getInfo.php?workbook=20_05.xlsx&amp;sheet=A0&amp;row=434&amp;col=6&amp;number=11390000000&amp;sourceID=14","11390000000")</f>
        <v>11390000000</v>
      </c>
      <c r="G434" s="4" t="str">
        <f>HYPERLINK("http://141.218.60.56/~jnz1568/getInfo.php?workbook=20_05.xlsx&amp;sheet=A0&amp;row=434&amp;col=7&amp;number=0&amp;sourceID=14","0")</f>
        <v>0</v>
      </c>
    </row>
    <row r="435" spans="1:7">
      <c r="A435" s="3">
        <v>20</v>
      </c>
      <c r="B435" s="3">
        <v>5</v>
      </c>
      <c r="C435" s="3">
        <v>85</v>
      </c>
      <c r="D435" s="3">
        <v>4</v>
      </c>
      <c r="E435" s="3">
        <v>-19.472</v>
      </c>
      <c r="F435" s="4" t="str">
        <f>HYPERLINK("http://141.218.60.56/~jnz1568/getInfo.php?workbook=20_05.xlsx&amp;sheet=A0&amp;row=435&amp;col=6&amp;number=47270000&amp;sourceID=14","47270000")</f>
        <v>47270000</v>
      </c>
      <c r="G435" s="4" t="str">
        <f>HYPERLINK("http://141.218.60.56/~jnz1568/getInfo.php?workbook=20_05.xlsx&amp;sheet=A0&amp;row=435&amp;col=7&amp;number=0&amp;sourceID=14","0")</f>
        <v>0</v>
      </c>
    </row>
    <row r="436" spans="1:7">
      <c r="A436" s="3">
        <v>20</v>
      </c>
      <c r="B436" s="3">
        <v>5</v>
      </c>
      <c r="C436" s="3">
        <v>86</v>
      </c>
      <c r="D436" s="3">
        <v>4</v>
      </c>
      <c r="E436" s="3">
        <v>-19.001</v>
      </c>
      <c r="F436" s="4" t="str">
        <f>HYPERLINK("http://141.218.60.56/~jnz1568/getInfo.php?workbook=20_05.xlsx&amp;sheet=A0&amp;row=436&amp;col=6&amp;number=21540000&amp;sourceID=14","21540000")</f>
        <v>21540000</v>
      </c>
      <c r="G436" s="4" t="str">
        <f>HYPERLINK("http://141.218.60.56/~jnz1568/getInfo.php?workbook=20_05.xlsx&amp;sheet=A0&amp;row=436&amp;col=7&amp;number=0&amp;sourceID=14","0")</f>
        <v>0</v>
      </c>
    </row>
    <row r="437" spans="1:7">
      <c r="A437" s="3">
        <v>20</v>
      </c>
      <c r="B437" s="3">
        <v>5</v>
      </c>
      <c r="C437" s="3">
        <v>73</v>
      </c>
      <c r="D437" s="3">
        <v>6</v>
      </c>
      <c r="E437" s="3">
        <v>-24.75</v>
      </c>
      <c r="F437" s="4" t="str">
        <f>HYPERLINK("http://141.218.60.56/~jnz1568/getInfo.php?workbook=20_05.xlsx&amp;sheet=A0&amp;row=437&amp;col=6&amp;number=34120000000&amp;sourceID=14","34120000000")</f>
        <v>34120000000</v>
      </c>
      <c r="G437" s="4" t="str">
        <f>HYPERLINK("http://141.218.60.56/~jnz1568/getInfo.php?workbook=20_05.xlsx&amp;sheet=A0&amp;row=437&amp;col=7&amp;number=0&amp;sourceID=14","0")</f>
        <v>0</v>
      </c>
    </row>
    <row r="438" spans="1:7">
      <c r="A438" s="3">
        <v>20</v>
      </c>
      <c r="B438" s="3">
        <v>5</v>
      </c>
      <c r="C438" s="3">
        <v>74</v>
      </c>
      <c r="D438" s="3">
        <v>6</v>
      </c>
      <c r="E438" s="3">
        <v>-23.957</v>
      </c>
      <c r="F438" s="4" t="str">
        <f>HYPERLINK("http://141.218.60.56/~jnz1568/getInfo.php?workbook=20_05.xlsx&amp;sheet=A0&amp;row=438&amp;col=6&amp;number=2577000000&amp;sourceID=14","2577000000")</f>
        <v>2577000000</v>
      </c>
      <c r="G438" s="4" t="str">
        <f>HYPERLINK("http://141.218.60.56/~jnz1568/getInfo.php?workbook=20_05.xlsx&amp;sheet=A0&amp;row=438&amp;col=7&amp;number=0&amp;sourceID=14","0")</f>
        <v>0</v>
      </c>
    </row>
    <row r="439" spans="1:7">
      <c r="A439" s="3">
        <v>20</v>
      </c>
      <c r="B439" s="3">
        <v>5</v>
      </c>
      <c r="C439" s="3">
        <v>75</v>
      </c>
      <c r="D439" s="3">
        <v>6</v>
      </c>
      <c r="E439" s="3">
        <v>-23.578</v>
      </c>
      <c r="F439" s="4" t="str">
        <f>HYPERLINK("http://141.218.60.56/~jnz1568/getInfo.php?workbook=20_05.xlsx&amp;sheet=A0&amp;row=439&amp;col=6&amp;number=451600000000&amp;sourceID=14","451600000000")</f>
        <v>451600000000</v>
      </c>
      <c r="G439" s="4" t="str">
        <f>HYPERLINK("http://141.218.60.56/~jnz1568/getInfo.php?workbook=20_05.xlsx&amp;sheet=A0&amp;row=439&amp;col=7&amp;number=0&amp;sourceID=14","0")</f>
        <v>0</v>
      </c>
    </row>
    <row r="440" spans="1:7">
      <c r="A440" s="3">
        <v>20</v>
      </c>
      <c r="B440" s="3">
        <v>5</v>
      </c>
      <c r="C440" s="3">
        <v>76</v>
      </c>
      <c r="D440" s="3">
        <v>6</v>
      </c>
      <c r="E440" s="3">
        <v>-22.5</v>
      </c>
      <c r="F440" s="4" t="str">
        <f>HYPERLINK("http://141.218.60.56/~jnz1568/getInfo.php?workbook=20_05.xlsx&amp;sheet=A0&amp;row=440&amp;col=6&amp;number=18460000000&amp;sourceID=14","18460000000")</f>
        <v>18460000000</v>
      </c>
      <c r="G440" s="4" t="str">
        <f>HYPERLINK("http://141.218.60.56/~jnz1568/getInfo.php?workbook=20_05.xlsx&amp;sheet=A0&amp;row=440&amp;col=7&amp;number=0&amp;sourceID=14","0")</f>
        <v>0</v>
      </c>
    </row>
    <row r="441" spans="1:7">
      <c r="A441" s="3">
        <v>20</v>
      </c>
      <c r="B441" s="3">
        <v>5</v>
      </c>
      <c r="C441" s="3">
        <v>77</v>
      </c>
      <c r="D441" s="3">
        <v>6</v>
      </c>
      <c r="E441" s="3">
        <v>-22.455</v>
      </c>
      <c r="F441" s="4" t="str">
        <f>HYPERLINK("http://141.218.60.56/~jnz1568/getInfo.php?workbook=20_05.xlsx&amp;sheet=A0&amp;row=441&amp;col=6&amp;number=392300000000&amp;sourceID=14","392300000000")</f>
        <v>392300000000</v>
      </c>
      <c r="G441" s="4" t="str">
        <f>HYPERLINK("http://141.218.60.56/~jnz1568/getInfo.php?workbook=20_05.xlsx&amp;sheet=A0&amp;row=441&amp;col=7&amp;number=0&amp;sourceID=14","0")</f>
        <v>0</v>
      </c>
    </row>
    <row r="442" spans="1:7">
      <c r="A442" s="3">
        <v>20</v>
      </c>
      <c r="B442" s="3">
        <v>5</v>
      </c>
      <c r="C442" s="3">
        <v>78</v>
      </c>
      <c r="D442" s="3">
        <v>6</v>
      </c>
      <c r="E442" s="3">
        <v>-22.336</v>
      </c>
      <c r="F442" s="4" t="str">
        <f>HYPERLINK("http://141.218.60.56/~jnz1568/getInfo.php?workbook=20_05.xlsx&amp;sheet=A0&amp;row=442&amp;col=6&amp;number=1204000000&amp;sourceID=14","1204000000")</f>
        <v>1204000000</v>
      </c>
      <c r="G442" s="4" t="str">
        <f>HYPERLINK("http://141.218.60.56/~jnz1568/getInfo.php?workbook=20_05.xlsx&amp;sheet=A0&amp;row=442&amp;col=7&amp;number=0&amp;sourceID=14","0")</f>
        <v>0</v>
      </c>
    </row>
    <row r="443" spans="1:7">
      <c r="A443" s="3">
        <v>20</v>
      </c>
      <c r="B443" s="3">
        <v>5</v>
      </c>
      <c r="C443" s="3">
        <v>79</v>
      </c>
      <c r="D443" s="3">
        <v>6</v>
      </c>
      <c r="E443" s="3">
        <v>-21.991</v>
      </c>
      <c r="F443" s="4" t="str">
        <f>HYPERLINK("http://141.218.60.56/~jnz1568/getInfo.php?workbook=20_05.xlsx&amp;sheet=A0&amp;row=443&amp;col=6&amp;number=101200000000&amp;sourceID=14","101200000000")</f>
        <v>101200000000</v>
      </c>
      <c r="G443" s="4" t="str">
        <f>HYPERLINK("http://141.218.60.56/~jnz1568/getInfo.php?workbook=20_05.xlsx&amp;sheet=A0&amp;row=443&amp;col=7&amp;number=0&amp;sourceID=14","0")</f>
        <v>0</v>
      </c>
    </row>
    <row r="444" spans="1:7">
      <c r="A444" s="3">
        <v>20</v>
      </c>
      <c r="B444" s="3">
        <v>5</v>
      </c>
      <c r="C444" s="3">
        <v>80</v>
      </c>
      <c r="D444" s="3">
        <v>6</v>
      </c>
      <c r="E444" s="3">
        <v>-21.135</v>
      </c>
      <c r="F444" s="4" t="str">
        <f>HYPERLINK("http://141.218.60.56/~jnz1568/getInfo.php?workbook=20_05.xlsx&amp;sheet=A0&amp;row=444&amp;col=6&amp;number=96280000000&amp;sourceID=14","96280000000")</f>
        <v>96280000000</v>
      </c>
      <c r="G444" s="4" t="str">
        <f>HYPERLINK("http://141.218.60.56/~jnz1568/getInfo.php?workbook=20_05.xlsx&amp;sheet=A0&amp;row=444&amp;col=7&amp;number=0&amp;sourceID=14","0")</f>
        <v>0</v>
      </c>
    </row>
    <row r="445" spans="1:7">
      <c r="A445" s="3">
        <v>20</v>
      </c>
      <c r="B445" s="3">
        <v>5</v>
      </c>
      <c r="C445" s="3">
        <v>81</v>
      </c>
      <c r="D445" s="3">
        <v>6</v>
      </c>
      <c r="E445" s="3">
        <v>-21.097</v>
      </c>
      <c r="F445" s="4" t="str">
        <f>HYPERLINK("http://141.218.60.56/~jnz1568/getInfo.php?workbook=20_05.xlsx&amp;sheet=A0&amp;row=445&amp;col=6&amp;number=100300000000&amp;sourceID=14","100300000000")</f>
        <v>100300000000</v>
      </c>
      <c r="G445" s="4" t="str">
        <f>HYPERLINK("http://141.218.60.56/~jnz1568/getInfo.php?workbook=20_05.xlsx&amp;sheet=A0&amp;row=445&amp;col=7&amp;number=0&amp;sourceID=14","0")</f>
        <v>0</v>
      </c>
    </row>
    <row r="446" spans="1:7">
      <c r="A446" s="3">
        <v>20</v>
      </c>
      <c r="B446" s="3">
        <v>5</v>
      </c>
      <c r="C446" s="3">
        <v>82</v>
      </c>
      <c r="D446" s="3">
        <v>6</v>
      </c>
      <c r="E446" s="3">
        <v>-21.056</v>
      </c>
      <c r="F446" s="4" t="str">
        <f>HYPERLINK("http://141.218.60.56/~jnz1568/getInfo.php?workbook=20_05.xlsx&amp;sheet=A0&amp;row=446&amp;col=6&amp;number=2212000000&amp;sourceID=14","2212000000")</f>
        <v>2212000000</v>
      </c>
      <c r="G446" s="4" t="str">
        <f>HYPERLINK("http://141.218.60.56/~jnz1568/getInfo.php?workbook=20_05.xlsx&amp;sheet=A0&amp;row=446&amp;col=7&amp;number=0&amp;sourceID=14","0")</f>
        <v>0</v>
      </c>
    </row>
    <row r="447" spans="1:7">
      <c r="A447" s="3">
        <v>20</v>
      </c>
      <c r="B447" s="3">
        <v>5</v>
      </c>
      <c r="C447" s="3">
        <v>83</v>
      </c>
      <c r="D447" s="3">
        <v>6</v>
      </c>
      <c r="E447" s="3">
        <v>-20.925</v>
      </c>
      <c r="F447" s="4" t="str">
        <f>HYPERLINK("http://141.218.60.56/~jnz1568/getInfo.php?workbook=20_05.xlsx&amp;sheet=A0&amp;row=447&amp;col=6&amp;number=11280000000&amp;sourceID=14","11280000000")</f>
        <v>11280000000</v>
      </c>
      <c r="G447" s="4" t="str">
        <f>HYPERLINK("http://141.218.60.56/~jnz1568/getInfo.php?workbook=20_05.xlsx&amp;sheet=A0&amp;row=447&amp;col=7&amp;number=0&amp;sourceID=14","0")</f>
        <v>0</v>
      </c>
    </row>
    <row r="448" spans="1:7">
      <c r="A448" s="3">
        <v>20</v>
      </c>
      <c r="B448" s="3">
        <v>5</v>
      </c>
      <c r="C448" s="3">
        <v>84</v>
      </c>
      <c r="D448" s="3">
        <v>6</v>
      </c>
      <c r="E448" s="3">
        <v>-20.658</v>
      </c>
      <c r="F448" s="4" t="str">
        <f>HYPERLINK("http://141.218.60.56/~jnz1568/getInfo.php?workbook=20_05.xlsx&amp;sheet=A0&amp;row=448&amp;col=6&amp;number=132600000000&amp;sourceID=14","132600000000")</f>
        <v>132600000000</v>
      </c>
      <c r="G448" s="4" t="str">
        <f>HYPERLINK("http://141.218.60.56/~jnz1568/getInfo.php?workbook=20_05.xlsx&amp;sheet=A0&amp;row=448&amp;col=7&amp;number=0&amp;sourceID=14","0")</f>
        <v>0</v>
      </c>
    </row>
    <row r="449" spans="1:7">
      <c r="A449" s="3">
        <v>20</v>
      </c>
      <c r="B449" s="3">
        <v>5</v>
      </c>
      <c r="C449" s="3">
        <v>85</v>
      </c>
      <c r="D449" s="3">
        <v>6</v>
      </c>
      <c r="E449" s="3">
        <v>-20.248</v>
      </c>
      <c r="F449" s="4" t="str">
        <f>HYPERLINK("http://141.218.60.56/~jnz1568/getInfo.php?workbook=20_05.xlsx&amp;sheet=A0&amp;row=449&amp;col=6&amp;number=1229000000000&amp;sourceID=14","1229000000000")</f>
        <v>1229000000000</v>
      </c>
      <c r="G449" s="4" t="str">
        <f>HYPERLINK("http://141.218.60.56/~jnz1568/getInfo.php?workbook=20_05.xlsx&amp;sheet=A0&amp;row=449&amp;col=7&amp;number=0&amp;sourceID=14","0")</f>
        <v>0</v>
      </c>
    </row>
    <row r="450" spans="1:7">
      <c r="A450" s="3">
        <v>20</v>
      </c>
      <c r="B450" s="3">
        <v>5</v>
      </c>
      <c r="C450" s="3">
        <v>86</v>
      </c>
      <c r="D450" s="3">
        <v>6</v>
      </c>
      <c r="E450" s="3">
        <v>-19.739</v>
      </c>
      <c r="F450" s="4" t="str">
        <f>HYPERLINK("http://141.218.60.56/~jnz1568/getInfo.php?workbook=20_05.xlsx&amp;sheet=A0&amp;row=450&amp;col=6&amp;number=5964000000&amp;sourceID=14","5964000000")</f>
        <v>5964000000</v>
      </c>
      <c r="G450" s="4" t="str">
        <f>HYPERLINK("http://141.218.60.56/~jnz1568/getInfo.php?workbook=20_05.xlsx&amp;sheet=A0&amp;row=450&amp;col=7&amp;number=0&amp;sourceID=14","0")</f>
        <v>0</v>
      </c>
    </row>
    <row r="451" spans="1:7">
      <c r="A451" s="3">
        <v>20</v>
      </c>
      <c r="B451" s="3">
        <v>5</v>
      </c>
      <c r="C451" s="3">
        <v>73</v>
      </c>
      <c r="D451" s="3">
        <v>10</v>
      </c>
      <c r="E451" s="3">
        <v>-25.812</v>
      </c>
      <c r="F451" s="4" t="str">
        <f>HYPERLINK("http://141.218.60.56/~jnz1568/getInfo.php?workbook=20_05.xlsx&amp;sheet=A0&amp;row=451&amp;col=6&amp;number=1513000000&amp;sourceID=14","1513000000")</f>
        <v>1513000000</v>
      </c>
      <c r="G451" s="4" t="str">
        <f>HYPERLINK("http://141.218.60.56/~jnz1568/getInfo.php?workbook=20_05.xlsx&amp;sheet=A0&amp;row=451&amp;col=7&amp;number=0&amp;sourceID=14","0")</f>
        <v>0</v>
      </c>
    </row>
    <row r="452" spans="1:7">
      <c r="A452" s="3">
        <v>20</v>
      </c>
      <c r="B452" s="3">
        <v>5</v>
      </c>
      <c r="C452" s="3">
        <v>74</v>
      </c>
      <c r="D452" s="3">
        <v>10</v>
      </c>
      <c r="E452" s="3">
        <v>-24.951</v>
      </c>
      <c r="F452" s="4" t="str">
        <f>HYPERLINK("http://141.218.60.56/~jnz1568/getInfo.php?workbook=20_05.xlsx&amp;sheet=A0&amp;row=452&amp;col=6&amp;number=93590000&amp;sourceID=14","93590000")</f>
        <v>93590000</v>
      </c>
      <c r="G452" s="4" t="str">
        <f>HYPERLINK("http://141.218.60.56/~jnz1568/getInfo.php?workbook=20_05.xlsx&amp;sheet=A0&amp;row=452&amp;col=7&amp;number=0&amp;sourceID=14","0")</f>
        <v>0</v>
      </c>
    </row>
    <row r="453" spans="1:7">
      <c r="A453" s="3">
        <v>20</v>
      </c>
      <c r="B453" s="3">
        <v>5</v>
      </c>
      <c r="C453" s="3">
        <v>75</v>
      </c>
      <c r="D453" s="3">
        <v>10</v>
      </c>
      <c r="E453" s="3">
        <v>-24.539</v>
      </c>
      <c r="F453" s="4" t="str">
        <f>HYPERLINK("http://141.218.60.56/~jnz1568/getInfo.php?workbook=20_05.xlsx&amp;sheet=A0&amp;row=453&amp;col=6&amp;number=5357000000&amp;sourceID=14","5357000000")</f>
        <v>5357000000</v>
      </c>
      <c r="G453" s="4" t="str">
        <f>HYPERLINK("http://141.218.60.56/~jnz1568/getInfo.php?workbook=20_05.xlsx&amp;sheet=A0&amp;row=453&amp;col=7&amp;number=0&amp;sourceID=14","0")</f>
        <v>0</v>
      </c>
    </row>
    <row r="454" spans="1:7">
      <c r="A454" s="3">
        <v>20</v>
      </c>
      <c r="B454" s="3">
        <v>5</v>
      </c>
      <c r="C454" s="3">
        <v>76</v>
      </c>
      <c r="D454" s="3">
        <v>10</v>
      </c>
      <c r="E454" s="3">
        <v>-23.374</v>
      </c>
      <c r="F454" s="4" t="str">
        <f>HYPERLINK("http://141.218.60.56/~jnz1568/getInfo.php?workbook=20_05.xlsx&amp;sheet=A0&amp;row=454&amp;col=6&amp;number=3034000000&amp;sourceID=14","3034000000")</f>
        <v>3034000000</v>
      </c>
      <c r="G454" s="4" t="str">
        <f>HYPERLINK("http://141.218.60.56/~jnz1568/getInfo.php?workbook=20_05.xlsx&amp;sheet=A0&amp;row=454&amp;col=7&amp;number=0&amp;sourceID=14","0")</f>
        <v>0</v>
      </c>
    </row>
    <row r="455" spans="1:7">
      <c r="A455" s="3">
        <v>20</v>
      </c>
      <c r="B455" s="3">
        <v>5</v>
      </c>
      <c r="C455" s="3">
        <v>77</v>
      </c>
      <c r="D455" s="3">
        <v>10</v>
      </c>
      <c r="E455" s="3">
        <v>-23.325</v>
      </c>
      <c r="F455" s="4" t="str">
        <f>HYPERLINK("http://141.218.60.56/~jnz1568/getInfo.php?workbook=20_05.xlsx&amp;sheet=A0&amp;row=455&amp;col=6&amp;number=209300000000&amp;sourceID=14","209300000000")</f>
        <v>209300000000</v>
      </c>
      <c r="G455" s="4" t="str">
        <f>HYPERLINK("http://141.218.60.56/~jnz1568/getInfo.php?workbook=20_05.xlsx&amp;sheet=A0&amp;row=455&amp;col=7&amp;number=0&amp;sourceID=14","0")</f>
        <v>0</v>
      </c>
    </row>
    <row r="456" spans="1:7">
      <c r="A456" s="3">
        <v>20</v>
      </c>
      <c r="B456" s="3">
        <v>5</v>
      </c>
      <c r="C456" s="3">
        <v>78</v>
      </c>
      <c r="D456" s="3">
        <v>10</v>
      </c>
      <c r="E456" s="3">
        <v>-23.197</v>
      </c>
      <c r="F456" s="4" t="str">
        <f>HYPERLINK("http://141.218.60.56/~jnz1568/getInfo.php?workbook=20_05.xlsx&amp;sheet=A0&amp;row=456&amp;col=6&amp;number=1097000000&amp;sourceID=14","1097000000")</f>
        <v>1097000000</v>
      </c>
      <c r="G456" s="4" t="str">
        <f>HYPERLINK("http://141.218.60.56/~jnz1568/getInfo.php?workbook=20_05.xlsx&amp;sheet=A0&amp;row=456&amp;col=7&amp;number=0&amp;sourceID=14","0")</f>
        <v>0</v>
      </c>
    </row>
    <row r="457" spans="1:7">
      <c r="A457" s="3">
        <v>20</v>
      </c>
      <c r="B457" s="3">
        <v>5</v>
      </c>
      <c r="C457" s="3">
        <v>79</v>
      </c>
      <c r="D457" s="3">
        <v>10</v>
      </c>
      <c r="E457" s="3">
        <v>-22.825</v>
      </c>
      <c r="F457" s="4" t="str">
        <f>HYPERLINK("http://141.218.60.56/~jnz1568/getInfo.php?workbook=20_05.xlsx&amp;sheet=A0&amp;row=457&amp;col=6&amp;number=200000000000&amp;sourceID=14","200000000000")</f>
        <v>200000000000</v>
      </c>
      <c r="G457" s="4" t="str">
        <f>HYPERLINK("http://141.218.60.56/~jnz1568/getInfo.php?workbook=20_05.xlsx&amp;sheet=A0&amp;row=457&amp;col=7&amp;number=0&amp;sourceID=14","0")</f>
        <v>0</v>
      </c>
    </row>
    <row r="458" spans="1:7">
      <c r="A458" s="3">
        <v>20</v>
      </c>
      <c r="B458" s="3">
        <v>5</v>
      </c>
      <c r="C458" s="3">
        <v>80</v>
      </c>
      <c r="D458" s="3">
        <v>10</v>
      </c>
      <c r="E458" s="3">
        <v>-21.905</v>
      </c>
      <c r="F458" s="4" t="str">
        <f>HYPERLINK("http://141.218.60.56/~jnz1568/getInfo.php?workbook=20_05.xlsx&amp;sheet=A0&amp;row=458&amp;col=6&amp;number=532900000000&amp;sourceID=14","532900000000")</f>
        <v>532900000000</v>
      </c>
      <c r="G458" s="4" t="str">
        <f>HYPERLINK("http://141.218.60.56/~jnz1568/getInfo.php?workbook=20_05.xlsx&amp;sheet=A0&amp;row=458&amp;col=7&amp;number=0&amp;sourceID=14","0")</f>
        <v>0</v>
      </c>
    </row>
    <row r="459" spans="1:7">
      <c r="A459" s="3">
        <v>20</v>
      </c>
      <c r="B459" s="3">
        <v>5</v>
      </c>
      <c r="C459" s="3">
        <v>81</v>
      </c>
      <c r="D459" s="3">
        <v>10</v>
      </c>
      <c r="E459" s="3">
        <v>-21.864</v>
      </c>
      <c r="F459" s="4" t="str">
        <f>HYPERLINK("http://141.218.60.56/~jnz1568/getInfo.php?workbook=20_05.xlsx&amp;sheet=A0&amp;row=459&amp;col=6&amp;number=809100000000&amp;sourceID=14","809100000000")</f>
        <v>809100000000</v>
      </c>
      <c r="G459" s="4" t="str">
        <f>HYPERLINK("http://141.218.60.56/~jnz1568/getInfo.php?workbook=20_05.xlsx&amp;sheet=A0&amp;row=459&amp;col=7&amp;number=0&amp;sourceID=14","0")</f>
        <v>0</v>
      </c>
    </row>
    <row r="460" spans="1:7">
      <c r="A460" s="3">
        <v>20</v>
      </c>
      <c r="B460" s="3">
        <v>5</v>
      </c>
      <c r="C460" s="3">
        <v>82</v>
      </c>
      <c r="D460" s="3">
        <v>10</v>
      </c>
      <c r="E460" s="3">
        <v>-21.82</v>
      </c>
      <c r="F460" s="4" t="str">
        <f>HYPERLINK("http://141.218.60.56/~jnz1568/getInfo.php?workbook=20_05.xlsx&amp;sheet=A0&amp;row=460&amp;col=6&amp;number=199900000000&amp;sourceID=14","199900000000")</f>
        <v>199900000000</v>
      </c>
      <c r="G460" s="4" t="str">
        <f>HYPERLINK("http://141.218.60.56/~jnz1568/getInfo.php?workbook=20_05.xlsx&amp;sheet=A0&amp;row=460&amp;col=7&amp;number=0&amp;sourceID=14","0")</f>
        <v>0</v>
      </c>
    </row>
    <row r="461" spans="1:7">
      <c r="A461" s="3">
        <v>20</v>
      </c>
      <c r="B461" s="3">
        <v>5</v>
      </c>
      <c r="C461" s="3">
        <v>83</v>
      </c>
      <c r="D461" s="3">
        <v>10</v>
      </c>
      <c r="E461" s="3">
        <v>-21.679</v>
      </c>
      <c r="F461" s="4" t="str">
        <f>HYPERLINK("http://141.218.60.56/~jnz1568/getInfo.php?workbook=20_05.xlsx&amp;sheet=A0&amp;row=461&amp;col=6&amp;number=36370000000&amp;sourceID=14","36370000000")</f>
        <v>36370000000</v>
      </c>
      <c r="G461" s="4" t="str">
        <f>HYPERLINK("http://141.218.60.56/~jnz1568/getInfo.php?workbook=20_05.xlsx&amp;sheet=A0&amp;row=461&amp;col=7&amp;number=0&amp;sourceID=14","0")</f>
        <v>0</v>
      </c>
    </row>
    <row r="462" spans="1:7">
      <c r="A462" s="3">
        <v>20</v>
      </c>
      <c r="B462" s="3">
        <v>5</v>
      </c>
      <c r="C462" s="3">
        <v>84</v>
      </c>
      <c r="D462" s="3">
        <v>10</v>
      </c>
      <c r="E462" s="3">
        <v>-21.393</v>
      </c>
      <c r="F462" s="4" t="str">
        <f>HYPERLINK("http://141.218.60.56/~jnz1568/getInfo.php?workbook=20_05.xlsx&amp;sheet=A0&amp;row=462&amp;col=6&amp;number=721800000000&amp;sourceID=14","721800000000")</f>
        <v>721800000000</v>
      </c>
      <c r="G462" s="4" t="str">
        <f>HYPERLINK("http://141.218.60.56/~jnz1568/getInfo.php?workbook=20_05.xlsx&amp;sheet=A0&amp;row=462&amp;col=7&amp;number=0&amp;sourceID=14","0")</f>
        <v>0</v>
      </c>
    </row>
    <row r="463" spans="1:7">
      <c r="A463" s="3">
        <v>20</v>
      </c>
      <c r="B463" s="3">
        <v>5</v>
      </c>
      <c r="C463" s="3">
        <v>85</v>
      </c>
      <c r="D463" s="3">
        <v>10</v>
      </c>
      <c r="E463" s="3">
        <v>-20.954</v>
      </c>
      <c r="F463" s="4" t="str">
        <f>HYPERLINK("http://141.218.60.56/~jnz1568/getInfo.php?workbook=20_05.xlsx&amp;sheet=A0&amp;row=463&amp;col=6&amp;number=36860000000&amp;sourceID=14","36860000000")</f>
        <v>36860000000</v>
      </c>
      <c r="G463" s="4" t="str">
        <f>HYPERLINK("http://141.218.60.56/~jnz1568/getInfo.php?workbook=20_05.xlsx&amp;sheet=A0&amp;row=463&amp;col=7&amp;number=0&amp;sourceID=14","0")</f>
        <v>0</v>
      </c>
    </row>
    <row r="464" spans="1:7">
      <c r="A464" s="3">
        <v>20</v>
      </c>
      <c r="B464" s="3">
        <v>5</v>
      </c>
      <c r="C464" s="3">
        <v>86</v>
      </c>
      <c r="D464" s="3">
        <v>10</v>
      </c>
      <c r="E464" s="3">
        <v>-20.409</v>
      </c>
      <c r="F464" s="4" t="str">
        <f>HYPERLINK("http://141.218.60.56/~jnz1568/getInfo.php?workbook=20_05.xlsx&amp;sheet=A0&amp;row=464&amp;col=6&amp;number=63120000000&amp;sourceID=14","63120000000")</f>
        <v>63120000000</v>
      </c>
      <c r="G464" s="4" t="str">
        <f>HYPERLINK("http://141.218.60.56/~jnz1568/getInfo.php?workbook=20_05.xlsx&amp;sheet=A0&amp;row=464&amp;col=7&amp;number=0&amp;sourceID=14","0")</f>
        <v>0</v>
      </c>
    </row>
    <row r="465" spans="1:7">
      <c r="A465" s="3">
        <v>20</v>
      </c>
      <c r="B465" s="3">
        <v>5</v>
      </c>
      <c r="C465" s="3">
        <v>87</v>
      </c>
      <c r="D465" s="3">
        <v>4</v>
      </c>
      <c r="E465" s="3">
        <v>-23.543</v>
      </c>
      <c r="F465" s="4" t="str">
        <f>HYPERLINK("http://141.218.60.56/~jnz1568/getInfo.php?workbook=20_05.xlsx&amp;sheet=A0&amp;row=465&amp;col=6&amp;number=4868000&amp;sourceID=14","4868000")</f>
        <v>4868000</v>
      </c>
      <c r="G465" s="4" t="str">
        <f>HYPERLINK("http://141.218.60.56/~jnz1568/getInfo.php?workbook=20_05.xlsx&amp;sheet=A0&amp;row=465&amp;col=7&amp;number=0&amp;sourceID=14","0")</f>
        <v>0</v>
      </c>
    </row>
    <row r="466" spans="1:7">
      <c r="A466" s="3">
        <v>20</v>
      </c>
      <c r="B466" s="3">
        <v>5</v>
      </c>
      <c r="C466" s="3">
        <v>88</v>
      </c>
      <c r="D466" s="3">
        <v>4</v>
      </c>
      <c r="E466" s="3">
        <v>-22.82</v>
      </c>
      <c r="F466" s="4" t="str">
        <f>HYPERLINK("http://141.218.60.56/~jnz1568/getInfo.php?workbook=20_05.xlsx&amp;sheet=A0&amp;row=466&amp;col=6&amp;number=104600000000&amp;sourceID=14","104600000000")</f>
        <v>104600000000</v>
      </c>
      <c r="G466" s="4" t="str">
        <f>HYPERLINK("http://141.218.60.56/~jnz1568/getInfo.php?workbook=20_05.xlsx&amp;sheet=A0&amp;row=466&amp;col=7&amp;number=0&amp;sourceID=14","0")</f>
        <v>0</v>
      </c>
    </row>
    <row r="467" spans="1:7">
      <c r="A467" s="3">
        <v>20</v>
      </c>
      <c r="B467" s="3">
        <v>5</v>
      </c>
      <c r="C467" s="3">
        <v>89</v>
      </c>
      <c r="D467" s="3">
        <v>4</v>
      </c>
      <c r="E467" s="3">
        <v>-22.403</v>
      </c>
      <c r="F467" s="4" t="str">
        <f>HYPERLINK("http://141.218.60.56/~jnz1568/getInfo.php?workbook=20_05.xlsx&amp;sheet=A0&amp;row=467&amp;col=6&amp;number=2541000000&amp;sourceID=14","2541000000")</f>
        <v>2541000000</v>
      </c>
      <c r="G467" s="4" t="str">
        <f>HYPERLINK("http://141.218.60.56/~jnz1568/getInfo.php?workbook=20_05.xlsx&amp;sheet=A0&amp;row=467&amp;col=7&amp;number=0&amp;sourceID=14","0")</f>
        <v>0</v>
      </c>
    </row>
    <row r="468" spans="1:7">
      <c r="A468" s="3">
        <v>20</v>
      </c>
      <c r="B468" s="3">
        <v>5</v>
      </c>
      <c r="C468" s="3">
        <v>90</v>
      </c>
      <c r="D468" s="3">
        <v>4</v>
      </c>
      <c r="E468" s="3">
        <v>-21.73</v>
      </c>
      <c r="F468" s="4" t="str">
        <f>HYPERLINK("http://141.218.60.56/~jnz1568/getInfo.php?workbook=20_05.xlsx&amp;sheet=A0&amp;row=468&amp;col=6&amp;number=88540000000&amp;sourceID=14","88540000000")</f>
        <v>88540000000</v>
      </c>
      <c r="G468" s="4" t="str">
        <f>HYPERLINK("http://141.218.60.56/~jnz1568/getInfo.php?workbook=20_05.xlsx&amp;sheet=A0&amp;row=468&amp;col=7&amp;number=0&amp;sourceID=14","0")</f>
        <v>0</v>
      </c>
    </row>
    <row r="469" spans="1:7">
      <c r="A469" s="3">
        <v>20</v>
      </c>
      <c r="B469" s="3">
        <v>5</v>
      </c>
      <c r="C469" s="3">
        <v>91</v>
      </c>
      <c r="D469" s="3">
        <v>4</v>
      </c>
      <c r="E469" s="3">
        <v>21.515</v>
      </c>
      <c r="F469" s="4" t="str">
        <f>HYPERLINK("http://141.218.60.56/~jnz1568/getInfo.php?workbook=20_05.xlsx&amp;sheet=A0&amp;row=469&amp;col=6&amp;number=2036000000000&amp;sourceID=14","2036000000000")</f>
        <v>2036000000000</v>
      </c>
      <c r="G469" s="4" t="str">
        <f>HYPERLINK("http://141.218.60.56/~jnz1568/getInfo.php?workbook=20_05.xlsx&amp;sheet=A0&amp;row=469&amp;col=7&amp;number=0&amp;sourceID=14","0")</f>
        <v>0</v>
      </c>
    </row>
    <row r="470" spans="1:7">
      <c r="A470" s="3">
        <v>20</v>
      </c>
      <c r="B470" s="3">
        <v>5</v>
      </c>
      <c r="C470" s="3">
        <v>92</v>
      </c>
      <c r="D470" s="3">
        <v>4</v>
      </c>
      <c r="E470" s="3">
        <v>-21.508</v>
      </c>
      <c r="F470" s="4" t="str">
        <f>HYPERLINK("http://141.218.60.56/~jnz1568/getInfo.php?workbook=20_05.xlsx&amp;sheet=A0&amp;row=470&amp;col=6&amp;number=215600000000&amp;sourceID=14","215600000000")</f>
        <v>215600000000</v>
      </c>
      <c r="G470" s="4" t="str">
        <f>HYPERLINK("http://141.218.60.56/~jnz1568/getInfo.php?workbook=20_05.xlsx&amp;sheet=A0&amp;row=470&amp;col=7&amp;number=0&amp;sourceID=14","0")</f>
        <v>0</v>
      </c>
    </row>
    <row r="471" spans="1:7">
      <c r="A471" s="3">
        <v>20</v>
      </c>
      <c r="B471" s="3">
        <v>5</v>
      </c>
      <c r="C471" s="3">
        <v>93</v>
      </c>
      <c r="D471" s="3">
        <v>4</v>
      </c>
      <c r="E471" s="3">
        <v>-21.487</v>
      </c>
      <c r="F471" s="4" t="str">
        <f>HYPERLINK("http://141.218.60.56/~jnz1568/getInfo.php?workbook=20_05.xlsx&amp;sheet=A0&amp;row=471&amp;col=6&amp;number=214700000000&amp;sourceID=14","214700000000")</f>
        <v>214700000000</v>
      </c>
      <c r="G471" s="4" t="str">
        <f>HYPERLINK("http://141.218.60.56/~jnz1568/getInfo.php?workbook=20_05.xlsx&amp;sheet=A0&amp;row=471&amp;col=7&amp;number=0&amp;sourceID=14","0")</f>
        <v>0</v>
      </c>
    </row>
    <row r="472" spans="1:7">
      <c r="A472" s="3">
        <v>20</v>
      </c>
      <c r="B472" s="3">
        <v>5</v>
      </c>
      <c r="C472" s="3">
        <v>94</v>
      </c>
      <c r="D472" s="3">
        <v>4</v>
      </c>
      <c r="E472" s="3">
        <v>-21.404</v>
      </c>
      <c r="F472" s="4" t="str">
        <f>HYPERLINK("http://141.218.60.56/~jnz1568/getInfo.php?workbook=20_05.xlsx&amp;sheet=A0&amp;row=472&amp;col=6&amp;number=2571000000000&amp;sourceID=14","2571000000000")</f>
        <v>2571000000000</v>
      </c>
      <c r="G472" s="4" t="str">
        <f>HYPERLINK("http://141.218.60.56/~jnz1568/getInfo.php?workbook=20_05.xlsx&amp;sheet=A0&amp;row=472&amp;col=7&amp;number=0&amp;sourceID=14","0")</f>
        <v>0</v>
      </c>
    </row>
    <row r="473" spans="1:7">
      <c r="A473" s="3">
        <v>20</v>
      </c>
      <c r="B473" s="3">
        <v>5</v>
      </c>
      <c r="C473" s="3">
        <v>95</v>
      </c>
      <c r="D473" s="3">
        <v>4</v>
      </c>
      <c r="E473" s="3">
        <v>-21.134</v>
      </c>
      <c r="F473" s="4" t="str">
        <f>HYPERLINK("http://141.218.60.56/~jnz1568/getInfo.php?workbook=20_05.xlsx&amp;sheet=A0&amp;row=473&amp;col=6&amp;number=11650000000&amp;sourceID=14","11650000000")</f>
        <v>11650000000</v>
      </c>
      <c r="G473" s="4" t="str">
        <f>HYPERLINK("http://141.218.60.56/~jnz1568/getInfo.php?workbook=20_05.xlsx&amp;sheet=A0&amp;row=473&amp;col=7&amp;number=0&amp;sourceID=14","0")</f>
        <v>0</v>
      </c>
    </row>
    <row r="474" spans="1:7">
      <c r="A474" s="3">
        <v>20</v>
      </c>
      <c r="B474" s="3">
        <v>5</v>
      </c>
      <c r="C474" s="3">
        <v>96</v>
      </c>
      <c r="D474" s="3">
        <v>4</v>
      </c>
      <c r="E474" s="3">
        <v>-20.382</v>
      </c>
      <c r="F474" s="4" t="str">
        <f>HYPERLINK("http://141.218.60.56/~jnz1568/getInfo.php?workbook=20_05.xlsx&amp;sheet=A0&amp;row=474&amp;col=6&amp;number=731500000&amp;sourceID=14","731500000")</f>
        <v>731500000</v>
      </c>
      <c r="G474" s="4" t="str">
        <f>HYPERLINK("http://141.218.60.56/~jnz1568/getInfo.php?workbook=20_05.xlsx&amp;sheet=A0&amp;row=474&amp;col=7&amp;number=0&amp;sourceID=14","0")</f>
        <v>0</v>
      </c>
    </row>
    <row r="475" spans="1:7">
      <c r="A475" s="3">
        <v>20</v>
      </c>
      <c r="B475" s="3">
        <v>5</v>
      </c>
      <c r="C475" s="3">
        <v>98</v>
      </c>
      <c r="D475" s="3">
        <v>4</v>
      </c>
      <c r="E475" s="3">
        <v>-20.197</v>
      </c>
      <c r="F475" s="4" t="str">
        <f>HYPERLINK("http://141.218.60.56/~jnz1568/getInfo.php?workbook=20_05.xlsx&amp;sheet=A0&amp;row=475&amp;col=6&amp;number=276500000000&amp;sourceID=14","276500000000")</f>
        <v>276500000000</v>
      </c>
      <c r="G475" s="4" t="str">
        <f>HYPERLINK("http://141.218.60.56/~jnz1568/getInfo.php?workbook=20_05.xlsx&amp;sheet=A0&amp;row=475&amp;col=7&amp;number=0&amp;sourceID=14","0")</f>
        <v>0</v>
      </c>
    </row>
    <row r="476" spans="1:7">
      <c r="A476" s="3">
        <v>20</v>
      </c>
      <c r="B476" s="3">
        <v>5</v>
      </c>
      <c r="C476" s="3">
        <v>99</v>
      </c>
      <c r="D476" s="3">
        <v>4</v>
      </c>
      <c r="E476" s="3">
        <v>-20.103</v>
      </c>
      <c r="F476" s="4" t="str">
        <f>HYPERLINK("http://141.218.60.56/~jnz1568/getInfo.php?workbook=20_05.xlsx&amp;sheet=A0&amp;row=476&amp;col=6&amp;number=362200000000&amp;sourceID=14","362200000000")</f>
        <v>362200000000</v>
      </c>
      <c r="G476" s="4" t="str">
        <f>HYPERLINK("http://141.218.60.56/~jnz1568/getInfo.php?workbook=20_05.xlsx&amp;sheet=A0&amp;row=476&amp;col=7&amp;number=0&amp;sourceID=14","0")</f>
        <v>0</v>
      </c>
    </row>
    <row r="477" spans="1:7">
      <c r="A477" s="3">
        <v>20</v>
      </c>
      <c r="B477" s="3">
        <v>5</v>
      </c>
      <c r="C477" s="3">
        <v>100</v>
      </c>
      <c r="D477" s="3">
        <v>4</v>
      </c>
      <c r="E477" s="3">
        <v>-20.033</v>
      </c>
      <c r="F477" s="4" t="str">
        <f>HYPERLINK("http://141.218.60.56/~jnz1568/getInfo.php?workbook=20_05.xlsx&amp;sheet=A0&amp;row=477&amp;col=6&amp;number=70070000000&amp;sourceID=14","70070000000")</f>
        <v>70070000000</v>
      </c>
      <c r="G477" s="4" t="str">
        <f>HYPERLINK("http://141.218.60.56/~jnz1568/getInfo.php?workbook=20_05.xlsx&amp;sheet=A0&amp;row=477&amp;col=7&amp;number=0&amp;sourceID=14","0")</f>
        <v>0</v>
      </c>
    </row>
    <row r="478" spans="1:7">
      <c r="A478" s="3">
        <v>20</v>
      </c>
      <c r="B478" s="3">
        <v>5</v>
      </c>
      <c r="C478" s="3">
        <v>101</v>
      </c>
      <c r="D478" s="3">
        <v>4</v>
      </c>
      <c r="E478" s="3">
        <v>-19.894</v>
      </c>
      <c r="F478" s="4" t="str">
        <f>HYPERLINK("http://141.218.60.56/~jnz1568/getInfo.php?workbook=20_05.xlsx&amp;sheet=A0&amp;row=478&amp;col=6&amp;number=435500000000&amp;sourceID=14","435500000000")</f>
        <v>435500000000</v>
      </c>
      <c r="G478" s="4" t="str">
        <f>HYPERLINK("http://141.218.60.56/~jnz1568/getInfo.php?workbook=20_05.xlsx&amp;sheet=A0&amp;row=478&amp;col=7&amp;number=0&amp;sourceID=14","0")</f>
        <v>0</v>
      </c>
    </row>
    <row r="479" spans="1:7">
      <c r="A479" s="3">
        <v>20</v>
      </c>
      <c r="B479" s="3">
        <v>5</v>
      </c>
      <c r="C479" s="3">
        <v>102</v>
      </c>
      <c r="D479" s="3">
        <v>4</v>
      </c>
      <c r="E479" s="3">
        <v>-19.873</v>
      </c>
      <c r="F479" s="4" t="str">
        <f>HYPERLINK("http://141.218.60.56/~jnz1568/getInfo.php?workbook=20_05.xlsx&amp;sheet=A0&amp;row=479&amp;col=6&amp;number=27830000000&amp;sourceID=14","27830000000")</f>
        <v>27830000000</v>
      </c>
      <c r="G479" s="4" t="str">
        <f>HYPERLINK("http://141.218.60.56/~jnz1568/getInfo.php?workbook=20_05.xlsx&amp;sheet=A0&amp;row=479&amp;col=7&amp;number=0&amp;sourceID=14","0")</f>
        <v>0</v>
      </c>
    </row>
    <row r="480" spans="1:7">
      <c r="A480" s="3">
        <v>20</v>
      </c>
      <c r="B480" s="3">
        <v>5</v>
      </c>
      <c r="C480" s="3">
        <v>103</v>
      </c>
      <c r="D480" s="3">
        <v>4</v>
      </c>
      <c r="E480" s="3">
        <v>-19.573</v>
      </c>
      <c r="F480" s="4" t="str">
        <f>HYPERLINK("http://141.218.60.56/~jnz1568/getInfo.php?workbook=20_05.xlsx&amp;sheet=A0&amp;row=480&amp;col=6&amp;number=632200000&amp;sourceID=14","632200000")</f>
        <v>632200000</v>
      </c>
      <c r="G480" s="4" t="str">
        <f>HYPERLINK("http://141.218.60.56/~jnz1568/getInfo.php?workbook=20_05.xlsx&amp;sheet=A0&amp;row=480&amp;col=7&amp;number=0&amp;sourceID=14","0")</f>
        <v>0</v>
      </c>
    </row>
    <row r="481" spans="1:7">
      <c r="A481" s="3">
        <v>20</v>
      </c>
      <c r="B481" s="3">
        <v>5</v>
      </c>
      <c r="C481" s="3">
        <v>104</v>
      </c>
      <c r="D481" s="3">
        <v>4</v>
      </c>
      <c r="E481" s="3">
        <v>-19.401</v>
      </c>
      <c r="F481" s="4" t="str">
        <f>HYPERLINK("http://141.218.60.56/~jnz1568/getInfo.php?workbook=20_05.xlsx&amp;sheet=A0&amp;row=481&amp;col=6&amp;number=2786000000&amp;sourceID=14","2786000000")</f>
        <v>2786000000</v>
      </c>
      <c r="G481" s="4" t="str">
        <f>HYPERLINK("http://141.218.60.56/~jnz1568/getInfo.php?workbook=20_05.xlsx&amp;sheet=A0&amp;row=481&amp;col=7&amp;number=0&amp;sourceID=14","0")</f>
        <v>0</v>
      </c>
    </row>
    <row r="482" spans="1:7">
      <c r="A482" s="3">
        <v>20</v>
      </c>
      <c r="B482" s="3">
        <v>5</v>
      </c>
      <c r="C482" s="3">
        <v>105</v>
      </c>
      <c r="D482" s="3">
        <v>4</v>
      </c>
      <c r="E482" s="3">
        <v>-18.984</v>
      </c>
      <c r="F482" s="4" t="str">
        <f>HYPERLINK("http://141.218.60.56/~jnz1568/getInfo.php?workbook=20_05.xlsx&amp;sheet=A0&amp;row=482&amp;col=6&amp;number=130400000&amp;sourceID=14","130400000")</f>
        <v>130400000</v>
      </c>
      <c r="G482" s="4" t="str">
        <f>HYPERLINK("http://141.218.60.56/~jnz1568/getInfo.php?workbook=20_05.xlsx&amp;sheet=A0&amp;row=482&amp;col=7&amp;number=0&amp;sourceID=14","0")</f>
        <v>0</v>
      </c>
    </row>
    <row r="483" spans="1:7">
      <c r="A483" s="3">
        <v>20</v>
      </c>
      <c r="B483" s="3">
        <v>5</v>
      </c>
      <c r="C483" s="3">
        <v>87</v>
      </c>
      <c r="D483" s="3">
        <v>6</v>
      </c>
      <c r="E483" s="3">
        <v>-24.687</v>
      </c>
      <c r="F483" s="4" t="str">
        <f>HYPERLINK("http://141.218.60.56/~jnz1568/getInfo.php?workbook=20_05.xlsx&amp;sheet=A0&amp;row=483&amp;col=6&amp;number=2360000000&amp;sourceID=14","2360000000")</f>
        <v>2360000000</v>
      </c>
      <c r="G483" s="4" t="str">
        <f>HYPERLINK("http://141.218.60.56/~jnz1568/getInfo.php?workbook=20_05.xlsx&amp;sheet=A0&amp;row=483&amp;col=7&amp;number=0&amp;sourceID=14","0")</f>
        <v>0</v>
      </c>
    </row>
    <row r="484" spans="1:7">
      <c r="A484" s="3">
        <v>20</v>
      </c>
      <c r="B484" s="3">
        <v>5</v>
      </c>
      <c r="C484" s="3">
        <v>88</v>
      </c>
      <c r="D484" s="3">
        <v>6</v>
      </c>
      <c r="E484" s="3">
        <v>-23.894</v>
      </c>
      <c r="F484" s="4" t="str">
        <f>HYPERLINK("http://141.218.60.56/~jnz1568/getInfo.php?workbook=20_05.xlsx&amp;sheet=A0&amp;row=484&amp;col=6&amp;number=2383000000&amp;sourceID=14","2383000000")</f>
        <v>2383000000</v>
      </c>
      <c r="G484" s="4" t="str">
        <f>HYPERLINK("http://141.218.60.56/~jnz1568/getInfo.php?workbook=20_05.xlsx&amp;sheet=A0&amp;row=484&amp;col=7&amp;number=0&amp;sourceID=14","0")</f>
        <v>0</v>
      </c>
    </row>
    <row r="485" spans="1:7">
      <c r="A485" s="3">
        <v>20</v>
      </c>
      <c r="B485" s="3">
        <v>5</v>
      </c>
      <c r="C485" s="3">
        <v>89</v>
      </c>
      <c r="D485" s="3">
        <v>6</v>
      </c>
      <c r="E485" s="3">
        <v>-23.437</v>
      </c>
      <c r="F485" s="4" t="str">
        <f>HYPERLINK("http://141.218.60.56/~jnz1568/getInfo.php?workbook=20_05.xlsx&amp;sheet=A0&amp;row=485&amp;col=6&amp;number=45220000000&amp;sourceID=14","45220000000")</f>
        <v>45220000000</v>
      </c>
      <c r="G485" s="4" t="str">
        <f>HYPERLINK("http://141.218.60.56/~jnz1568/getInfo.php?workbook=20_05.xlsx&amp;sheet=A0&amp;row=485&amp;col=7&amp;number=0&amp;sourceID=14","0")</f>
        <v>0</v>
      </c>
    </row>
    <row r="486" spans="1:7">
      <c r="A486" s="3">
        <v>20</v>
      </c>
      <c r="B486" s="3">
        <v>5</v>
      </c>
      <c r="C486" s="3">
        <v>90</v>
      </c>
      <c r="D486" s="3">
        <v>6</v>
      </c>
      <c r="E486" s="3">
        <v>-22.701</v>
      </c>
      <c r="F486" s="4" t="str">
        <f>HYPERLINK("http://141.218.60.56/~jnz1568/getInfo.php?workbook=20_05.xlsx&amp;sheet=A0&amp;row=486&amp;col=6&amp;number=62190000000&amp;sourceID=14","62190000000")</f>
        <v>62190000000</v>
      </c>
      <c r="G486" s="4" t="str">
        <f>HYPERLINK("http://141.218.60.56/~jnz1568/getInfo.php?workbook=20_05.xlsx&amp;sheet=A0&amp;row=486&amp;col=7&amp;number=0&amp;sourceID=14","0")</f>
        <v>0</v>
      </c>
    </row>
    <row r="487" spans="1:7">
      <c r="A487" s="3">
        <v>20</v>
      </c>
      <c r="B487" s="3">
        <v>5</v>
      </c>
      <c r="C487" s="3">
        <v>91</v>
      </c>
      <c r="D487" s="3">
        <v>6</v>
      </c>
      <c r="E487" s="3">
        <v>22.469</v>
      </c>
      <c r="F487" s="4" t="str">
        <f>HYPERLINK("http://141.218.60.56/~jnz1568/getInfo.php?workbook=20_05.xlsx&amp;sheet=A0&amp;row=487&amp;col=6&amp;number=236600000000&amp;sourceID=14","236600000000")</f>
        <v>236600000000</v>
      </c>
      <c r="G487" s="4" t="str">
        <f>HYPERLINK("http://141.218.60.56/~jnz1568/getInfo.php?workbook=20_05.xlsx&amp;sheet=A0&amp;row=487&amp;col=7&amp;number=0&amp;sourceID=14","0")</f>
        <v>0</v>
      </c>
    </row>
    <row r="488" spans="1:7">
      <c r="A488" s="3">
        <v>20</v>
      </c>
      <c r="B488" s="3">
        <v>5</v>
      </c>
      <c r="C488" s="3">
        <v>92</v>
      </c>
      <c r="D488" s="3">
        <v>6</v>
      </c>
      <c r="E488" s="3">
        <v>-22.46</v>
      </c>
      <c r="F488" s="4" t="str">
        <f>HYPERLINK("http://141.218.60.56/~jnz1568/getInfo.php?workbook=20_05.xlsx&amp;sheet=A0&amp;row=488&amp;col=6&amp;number=766000000000&amp;sourceID=14","766000000000")</f>
        <v>766000000000</v>
      </c>
      <c r="G488" s="4" t="str">
        <f>HYPERLINK("http://141.218.60.56/~jnz1568/getInfo.php?workbook=20_05.xlsx&amp;sheet=A0&amp;row=488&amp;col=7&amp;number=0&amp;sourceID=14","0")</f>
        <v>0</v>
      </c>
    </row>
    <row r="489" spans="1:7">
      <c r="A489" s="3">
        <v>20</v>
      </c>
      <c r="B489" s="3">
        <v>5</v>
      </c>
      <c r="C489" s="3">
        <v>93</v>
      </c>
      <c r="D489" s="3">
        <v>6</v>
      </c>
      <c r="E489" s="3">
        <v>-22.436</v>
      </c>
      <c r="F489" s="4" t="str">
        <f>HYPERLINK("http://141.218.60.56/~jnz1568/getInfo.php?workbook=20_05.xlsx&amp;sheet=A0&amp;row=489&amp;col=6&amp;number=638100000000&amp;sourceID=14","638100000000")</f>
        <v>638100000000</v>
      </c>
      <c r="G489" s="4" t="str">
        <f>HYPERLINK("http://141.218.60.56/~jnz1568/getInfo.php?workbook=20_05.xlsx&amp;sheet=A0&amp;row=489&amp;col=7&amp;number=0&amp;sourceID=14","0")</f>
        <v>0</v>
      </c>
    </row>
    <row r="490" spans="1:7">
      <c r="A490" s="3">
        <v>20</v>
      </c>
      <c r="B490" s="3">
        <v>5</v>
      </c>
      <c r="C490" s="3">
        <v>94</v>
      </c>
      <c r="D490" s="3">
        <v>6</v>
      </c>
      <c r="E490" s="3">
        <v>-22.346</v>
      </c>
      <c r="F490" s="4" t="str">
        <f>HYPERLINK("http://141.218.60.56/~jnz1568/getInfo.php?workbook=20_05.xlsx&amp;sheet=A0&amp;row=490&amp;col=6&amp;number=24440000000&amp;sourceID=14","24440000000")</f>
        <v>24440000000</v>
      </c>
      <c r="G490" s="4" t="str">
        <f>HYPERLINK("http://141.218.60.56/~jnz1568/getInfo.php?workbook=20_05.xlsx&amp;sheet=A0&amp;row=490&amp;col=7&amp;number=0&amp;sourceID=14","0")</f>
        <v>0</v>
      </c>
    </row>
    <row r="491" spans="1:7">
      <c r="A491" s="3">
        <v>20</v>
      </c>
      <c r="B491" s="3">
        <v>5</v>
      </c>
      <c r="C491" s="3">
        <v>95</v>
      </c>
      <c r="D491" s="3">
        <v>6</v>
      </c>
      <c r="E491" s="3">
        <v>-22.052</v>
      </c>
      <c r="F491" s="4" t="str">
        <f>HYPERLINK("http://141.218.60.56/~jnz1568/getInfo.php?workbook=20_05.xlsx&amp;sheet=A0&amp;row=491&amp;col=6&amp;number=6067000000&amp;sourceID=14","6067000000")</f>
        <v>6067000000</v>
      </c>
      <c r="G491" s="4" t="str">
        <f>HYPERLINK("http://141.218.60.56/~jnz1568/getInfo.php?workbook=20_05.xlsx&amp;sheet=A0&amp;row=491&amp;col=7&amp;number=0&amp;sourceID=14","0")</f>
        <v>0</v>
      </c>
    </row>
    <row r="492" spans="1:7">
      <c r="A492" s="3">
        <v>20</v>
      </c>
      <c r="B492" s="3">
        <v>5</v>
      </c>
      <c r="C492" s="3">
        <v>96</v>
      </c>
      <c r="D492" s="3">
        <v>6</v>
      </c>
      <c r="E492" s="3">
        <v>-21.235</v>
      </c>
      <c r="F492" s="4" t="str">
        <f>HYPERLINK("http://141.218.60.56/~jnz1568/getInfo.php?workbook=20_05.xlsx&amp;sheet=A0&amp;row=492&amp;col=6&amp;number=709700000000&amp;sourceID=14","709700000000")</f>
        <v>709700000000</v>
      </c>
      <c r="G492" s="4" t="str">
        <f>HYPERLINK("http://141.218.60.56/~jnz1568/getInfo.php?workbook=20_05.xlsx&amp;sheet=A0&amp;row=492&amp;col=7&amp;number=0&amp;sourceID=14","0")</f>
        <v>0</v>
      </c>
    </row>
    <row r="493" spans="1:7">
      <c r="A493" s="3">
        <v>20</v>
      </c>
      <c r="B493" s="3">
        <v>5</v>
      </c>
      <c r="C493" s="3">
        <v>97</v>
      </c>
      <c r="D493" s="3">
        <v>6</v>
      </c>
      <c r="E493" s="3">
        <v>-21.117</v>
      </c>
      <c r="F493" s="4" t="str">
        <f>HYPERLINK("http://141.218.60.56/~jnz1568/getInfo.php?workbook=20_05.xlsx&amp;sheet=A0&amp;row=493&amp;col=6&amp;number=171000000&amp;sourceID=14","171000000")</f>
        <v>171000000</v>
      </c>
      <c r="G493" s="4" t="str">
        <f>HYPERLINK("http://141.218.60.56/~jnz1568/getInfo.php?workbook=20_05.xlsx&amp;sheet=A0&amp;row=493&amp;col=7&amp;number=0&amp;sourceID=14","0")</f>
        <v>0</v>
      </c>
    </row>
    <row r="494" spans="1:7">
      <c r="A494" s="3">
        <v>20</v>
      </c>
      <c r="B494" s="3">
        <v>5</v>
      </c>
      <c r="C494" s="3">
        <v>98</v>
      </c>
      <c r="D494" s="3">
        <v>6</v>
      </c>
      <c r="E494" s="3">
        <v>-21.034</v>
      </c>
      <c r="F494" s="4" t="str">
        <f>HYPERLINK("http://141.218.60.56/~jnz1568/getInfo.php?workbook=20_05.xlsx&amp;sheet=A0&amp;row=494&amp;col=6&amp;number=1559000000&amp;sourceID=14","1559000000")</f>
        <v>1559000000</v>
      </c>
      <c r="G494" s="4" t="str">
        <f>HYPERLINK("http://141.218.60.56/~jnz1568/getInfo.php?workbook=20_05.xlsx&amp;sheet=A0&amp;row=494&amp;col=7&amp;number=0&amp;sourceID=14","0")</f>
        <v>0</v>
      </c>
    </row>
    <row r="495" spans="1:7">
      <c r="A495" s="3">
        <v>20</v>
      </c>
      <c r="B495" s="3">
        <v>5</v>
      </c>
      <c r="C495" s="3">
        <v>99</v>
      </c>
      <c r="D495" s="3">
        <v>6</v>
      </c>
      <c r="E495" s="3">
        <v>-20.931</v>
      </c>
      <c r="F495" s="4" t="str">
        <f>HYPERLINK("http://141.218.60.56/~jnz1568/getInfo.php?workbook=20_05.xlsx&amp;sheet=A0&amp;row=495&amp;col=6&amp;number=21990000000&amp;sourceID=14","21990000000")</f>
        <v>21990000000</v>
      </c>
      <c r="G495" s="4" t="str">
        <f>HYPERLINK("http://141.218.60.56/~jnz1568/getInfo.php?workbook=20_05.xlsx&amp;sheet=A0&amp;row=495&amp;col=7&amp;number=0&amp;sourceID=14","0")</f>
        <v>0</v>
      </c>
    </row>
    <row r="496" spans="1:7">
      <c r="A496" s="3">
        <v>20</v>
      </c>
      <c r="B496" s="3">
        <v>5</v>
      </c>
      <c r="C496" s="3">
        <v>100</v>
      </c>
      <c r="D496" s="3">
        <v>6</v>
      </c>
      <c r="E496" s="3">
        <v>-20.856</v>
      </c>
      <c r="F496" s="4" t="str">
        <f>HYPERLINK("http://141.218.60.56/~jnz1568/getInfo.php?workbook=20_05.xlsx&amp;sheet=A0&amp;row=496&amp;col=6&amp;number=170600000000&amp;sourceID=14","170600000000")</f>
        <v>170600000000</v>
      </c>
      <c r="G496" s="4" t="str">
        <f>HYPERLINK("http://141.218.60.56/~jnz1568/getInfo.php?workbook=20_05.xlsx&amp;sheet=A0&amp;row=496&amp;col=7&amp;number=0&amp;sourceID=14","0")</f>
        <v>0</v>
      </c>
    </row>
    <row r="497" spans="1:7">
      <c r="A497" s="3">
        <v>20</v>
      </c>
      <c r="B497" s="3">
        <v>5</v>
      </c>
      <c r="C497" s="3">
        <v>101</v>
      </c>
      <c r="D497" s="3">
        <v>6</v>
      </c>
      <c r="E497" s="3">
        <v>-20.706</v>
      </c>
      <c r="F497" s="4" t="str">
        <f>HYPERLINK("http://141.218.60.56/~jnz1568/getInfo.php?workbook=20_05.xlsx&amp;sheet=A0&amp;row=497&amp;col=6&amp;number=22220000000&amp;sourceID=14","22220000000")</f>
        <v>22220000000</v>
      </c>
      <c r="G497" s="4" t="str">
        <f>HYPERLINK("http://141.218.60.56/~jnz1568/getInfo.php?workbook=20_05.xlsx&amp;sheet=A0&amp;row=497&amp;col=7&amp;number=0&amp;sourceID=14","0")</f>
        <v>0</v>
      </c>
    </row>
    <row r="498" spans="1:7">
      <c r="A498" s="3">
        <v>20</v>
      </c>
      <c r="B498" s="3">
        <v>5</v>
      </c>
      <c r="C498" s="3">
        <v>102</v>
      </c>
      <c r="D498" s="3">
        <v>6</v>
      </c>
      <c r="E498" s="3">
        <v>-20.683</v>
      </c>
      <c r="F498" s="4" t="str">
        <f>HYPERLINK("http://141.218.60.56/~jnz1568/getInfo.php?workbook=20_05.xlsx&amp;sheet=A0&amp;row=498&amp;col=6&amp;number=140300000000&amp;sourceID=14","140300000000")</f>
        <v>140300000000</v>
      </c>
      <c r="G498" s="4" t="str">
        <f>HYPERLINK("http://141.218.60.56/~jnz1568/getInfo.php?workbook=20_05.xlsx&amp;sheet=A0&amp;row=498&amp;col=7&amp;number=0&amp;sourceID=14","0")</f>
        <v>0</v>
      </c>
    </row>
    <row r="499" spans="1:7">
      <c r="A499" s="3">
        <v>20</v>
      </c>
      <c r="B499" s="3">
        <v>5</v>
      </c>
      <c r="C499" s="3">
        <v>103</v>
      </c>
      <c r="D499" s="3">
        <v>6</v>
      </c>
      <c r="E499" s="3">
        <v>-20.358</v>
      </c>
      <c r="F499" s="4" t="str">
        <f>HYPERLINK("http://141.218.60.56/~jnz1568/getInfo.php?workbook=20_05.xlsx&amp;sheet=A0&amp;row=499&amp;col=6&amp;number=654800000000&amp;sourceID=14","654800000000")</f>
        <v>654800000000</v>
      </c>
      <c r="G499" s="4" t="str">
        <f>HYPERLINK("http://141.218.60.56/~jnz1568/getInfo.php?workbook=20_05.xlsx&amp;sheet=A0&amp;row=499&amp;col=7&amp;number=0&amp;sourceID=14","0")</f>
        <v>0</v>
      </c>
    </row>
    <row r="500" spans="1:7">
      <c r="A500" s="3">
        <v>20</v>
      </c>
      <c r="B500" s="3">
        <v>5</v>
      </c>
      <c r="C500" s="3">
        <v>104</v>
      </c>
      <c r="D500" s="3">
        <v>6</v>
      </c>
      <c r="E500" s="3">
        <v>-20.172</v>
      </c>
      <c r="F500" s="4" t="str">
        <f>HYPERLINK("http://141.218.60.56/~jnz1568/getInfo.php?workbook=20_05.xlsx&amp;sheet=A0&amp;row=500&amp;col=6&amp;number=289900000000&amp;sourceID=14","289900000000")</f>
        <v>289900000000</v>
      </c>
      <c r="G500" s="4" t="str">
        <f>HYPERLINK("http://141.218.60.56/~jnz1568/getInfo.php?workbook=20_05.xlsx&amp;sheet=A0&amp;row=500&amp;col=7&amp;number=0&amp;sourceID=14","0")</f>
        <v>0</v>
      </c>
    </row>
    <row r="501" spans="1:7">
      <c r="A501" s="3">
        <v>20</v>
      </c>
      <c r="B501" s="3">
        <v>5</v>
      </c>
      <c r="C501" s="3">
        <v>105</v>
      </c>
      <c r="D501" s="3">
        <v>6</v>
      </c>
      <c r="E501" s="3">
        <v>-19.721</v>
      </c>
      <c r="F501" s="4" t="str">
        <f>HYPERLINK("http://141.218.60.56/~jnz1568/getInfo.php?workbook=20_05.xlsx&amp;sheet=A0&amp;row=501&amp;col=6&amp;number=381000000&amp;sourceID=14","381000000")</f>
        <v>381000000</v>
      </c>
      <c r="G501" s="4" t="str">
        <f>HYPERLINK("http://141.218.60.56/~jnz1568/getInfo.php?workbook=20_05.xlsx&amp;sheet=A0&amp;row=501&amp;col=7&amp;number=0&amp;sourceID=14","0")</f>
        <v>0</v>
      </c>
    </row>
    <row r="502" spans="1:7">
      <c r="A502" s="3">
        <v>20</v>
      </c>
      <c r="B502" s="3">
        <v>5</v>
      </c>
      <c r="C502" s="3">
        <v>87</v>
      </c>
      <c r="D502" s="3">
        <v>10</v>
      </c>
      <c r="E502" s="3">
        <v>-25.744</v>
      </c>
      <c r="F502" s="4" t="str">
        <f>HYPERLINK("http://141.218.60.56/~jnz1568/getInfo.php?workbook=20_05.xlsx&amp;sheet=A0&amp;row=502&amp;col=6&amp;number=7242000000&amp;sourceID=14","7242000000")</f>
        <v>7242000000</v>
      </c>
      <c r="G502" s="4" t="str">
        <f>HYPERLINK("http://141.218.60.56/~jnz1568/getInfo.php?workbook=20_05.xlsx&amp;sheet=A0&amp;row=502&amp;col=7&amp;number=0&amp;sourceID=14","0")</f>
        <v>0</v>
      </c>
    </row>
    <row r="503" spans="1:7">
      <c r="A503" s="3">
        <v>20</v>
      </c>
      <c r="B503" s="3">
        <v>5</v>
      </c>
      <c r="C503" s="3">
        <v>89</v>
      </c>
      <c r="D503" s="3">
        <v>10</v>
      </c>
      <c r="E503" s="3">
        <v>-24.387</v>
      </c>
      <c r="F503" s="4" t="str">
        <f>HYPERLINK("http://141.218.60.56/~jnz1568/getInfo.php?workbook=20_05.xlsx&amp;sheet=A0&amp;row=503&amp;col=6&amp;number=30420000000&amp;sourceID=14","30420000000")</f>
        <v>30420000000</v>
      </c>
      <c r="G503" s="4" t="str">
        <f>HYPERLINK("http://141.218.60.56/~jnz1568/getInfo.php?workbook=20_05.xlsx&amp;sheet=A0&amp;row=503&amp;col=7&amp;number=0&amp;sourceID=14","0")</f>
        <v>0</v>
      </c>
    </row>
    <row r="504" spans="1:7">
      <c r="A504" s="3">
        <v>20</v>
      </c>
      <c r="B504" s="3">
        <v>5</v>
      </c>
      <c r="C504" s="3">
        <v>90</v>
      </c>
      <c r="D504" s="3">
        <v>10</v>
      </c>
      <c r="E504" s="3">
        <v>-23.591</v>
      </c>
      <c r="F504" s="4" t="str">
        <f>HYPERLINK("http://141.218.60.56/~jnz1568/getInfo.php?workbook=20_05.xlsx&amp;sheet=A0&amp;row=504&amp;col=6&amp;number=604600000&amp;sourceID=14","604600000")</f>
        <v>604600000</v>
      </c>
      <c r="G504" s="4" t="str">
        <f>HYPERLINK("http://141.218.60.56/~jnz1568/getInfo.php?workbook=20_05.xlsx&amp;sheet=A0&amp;row=504&amp;col=7&amp;number=0&amp;sourceID=14","0")</f>
        <v>0</v>
      </c>
    </row>
    <row r="505" spans="1:7">
      <c r="A505" s="3">
        <v>20</v>
      </c>
      <c r="B505" s="3">
        <v>5</v>
      </c>
      <c r="C505" s="3">
        <v>91</v>
      </c>
      <c r="D505" s="3">
        <v>10</v>
      </c>
      <c r="E505" s="3">
        <v>23.341</v>
      </c>
      <c r="F505" s="4" t="str">
        <f>HYPERLINK("http://141.218.60.56/~jnz1568/getInfo.php?workbook=20_05.xlsx&amp;sheet=A0&amp;row=505&amp;col=6&amp;number=8690000000&amp;sourceID=14","8690000000")</f>
        <v>8690000000</v>
      </c>
      <c r="G505" s="4" t="str">
        <f>HYPERLINK("http://141.218.60.56/~jnz1568/getInfo.php?workbook=20_05.xlsx&amp;sheet=A0&amp;row=505&amp;col=7&amp;number=0&amp;sourceID=14","0")</f>
        <v>0</v>
      </c>
    </row>
    <row r="506" spans="1:7">
      <c r="A506" s="3">
        <v>20</v>
      </c>
      <c r="B506" s="3">
        <v>5</v>
      </c>
      <c r="C506" s="3">
        <v>92</v>
      </c>
      <c r="D506" s="3">
        <v>10</v>
      </c>
      <c r="E506" s="3">
        <v>-23.331</v>
      </c>
      <c r="F506" s="4" t="str">
        <f>HYPERLINK("http://141.218.60.56/~jnz1568/getInfo.php?workbook=20_05.xlsx&amp;sheet=A0&amp;row=506&amp;col=6&amp;number=130400000000&amp;sourceID=14","130400000000")</f>
        <v>130400000000</v>
      </c>
      <c r="G506" s="4" t="str">
        <f>HYPERLINK("http://141.218.60.56/~jnz1568/getInfo.php?workbook=20_05.xlsx&amp;sheet=A0&amp;row=506&amp;col=7&amp;number=0&amp;sourceID=14","0")</f>
        <v>0</v>
      </c>
    </row>
    <row r="507" spans="1:7">
      <c r="A507" s="3">
        <v>20</v>
      </c>
      <c r="B507" s="3">
        <v>5</v>
      </c>
      <c r="C507" s="3">
        <v>93</v>
      </c>
      <c r="D507" s="3">
        <v>10</v>
      </c>
      <c r="E507" s="3">
        <v>-23.305</v>
      </c>
      <c r="F507" s="4" t="str">
        <f>HYPERLINK("http://141.218.60.56/~jnz1568/getInfo.php?workbook=20_05.xlsx&amp;sheet=A0&amp;row=507&amp;col=6&amp;number=375800000000&amp;sourceID=14","375800000000")</f>
        <v>375800000000</v>
      </c>
      <c r="G507" s="4" t="str">
        <f>HYPERLINK("http://141.218.60.56/~jnz1568/getInfo.php?workbook=20_05.xlsx&amp;sheet=A0&amp;row=507&amp;col=7&amp;number=0&amp;sourceID=14","0")</f>
        <v>0</v>
      </c>
    </row>
    <row r="508" spans="1:7">
      <c r="A508" s="3">
        <v>20</v>
      </c>
      <c r="B508" s="3">
        <v>5</v>
      </c>
      <c r="C508" s="3">
        <v>94</v>
      </c>
      <c r="D508" s="3">
        <v>10</v>
      </c>
      <c r="E508" s="3">
        <v>-23.208</v>
      </c>
      <c r="F508" s="4" t="str">
        <f>HYPERLINK("http://141.218.60.56/~jnz1568/getInfo.php?workbook=20_05.xlsx&amp;sheet=A0&amp;row=508&amp;col=6&amp;number=1576000000&amp;sourceID=14","1576000000")</f>
        <v>1576000000</v>
      </c>
      <c r="G508" s="4" t="str">
        <f>HYPERLINK("http://141.218.60.56/~jnz1568/getInfo.php?workbook=20_05.xlsx&amp;sheet=A0&amp;row=508&amp;col=7&amp;number=0&amp;sourceID=14","0")</f>
        <v>0</v>
      </c>
    </row>
    <row r="509" spans="1:7">
      <c r="A509" s="3">
        <v>20</v>
      </c>
      <c r="B509" s="3">
        <v>5</v>
      </c>
      <c r="C509" s="3">
        <v>95</v>
      </c>
      <c r="D509" s="3">
        <v>10</v>
      </c>
      <c r="E509" s="3">
        <v>-22.891</v>
      </c>
      <c r="F509" s="4" t="str">
        <f>HYPERLINK("http://141.218.60.56/~jnz1568/getInfo.php?workbook=20_05.xlsx&amp;sheet=A0&amp;row=509&amp;col=6&amp;number=476600000000&amp;sourceID=14","476600000000")</f>
        <v>476600000000</v>
      </c>
      <c r="G509" s="4" t="str">
        <f>HYPERLINK("http://141.218.60.56/~jnz1568/getInfo.php?workbook=20_05.xlsx&amp;sheet=A0&amp;row=509&amp;col=7&amp;number=0&amp;sourceID=14","0")</f>
        <v>0</v>
      </c>
    </row>
    <row r="510" spans="1:7">
      <c r="A510" s="3">
        <v>20</v>
      </c>
      <c r="B510" s="3">
        <v>5</v>
      </c>
      <c r="C510" s="3">
        <v>96</v>
      </c>
      <c r="D510" s="3">
        <v>10</v>
      </c>
      <c r="E510" s="3">
        <v>-22.012</v>
      </c>
      <c r="F510" s="4" t="str">
        <f>HYPERLINK("http://141.218.60.56/~jnz1568/getInfo.php?workbook=20_05.xlsx&amp;sheet=A0&amp;row=510&amp;col=6&amp;number=914500000000&amp;sourceID=14","914500000000")</f>
        <v>914500000000</v>
      </c>
      <c r="G510" s="4" t="str">
        <f>HYPERLINK("http://141.218.60.56/~jnz1568/getInfo.php?workbook=20_05.xlsx&amp;sheet=A0&amp;row=510&amp;col=7&amp;number=0&amp;sourceID=14","0")</f>
        <v>0</v>
      </c>
    </row>
    <row r="511" spans="1:7">
      <c r="A511" s="3">
        <v>20</v>
      </c>
      <c r="B511" s="3">
        <v>5</v>
      </c>
      <c r="C511" s="3">
        <v>97</v>
      </c>
      <c r="D511" s="3">
        <v>10</v>
      </c>
      <c r="E511" s="3">
        <v>-21.885</v>
      </c>
      <c r="F511" s="4" t="str">
        <f>HYPERLINK("http://141.218.60.56/~jnz1568/getInfo.php?workbook=20_05.xlsx&amp;sheet=A0&amp;row=511&amp;col=6&amp;number=2454000000000&amp;sourceID=14","2454000000000")</f>
        <v>2454000000000</v>
      </c>
      <c r="G511" s="4" t="str">
        <f>HYPERLINK("http://141.218.60.56/~jnz1568/getInfo.php?workbook=20_05.xlsx&amp;sheet=A0&amp;row=511&amp;col=7&amp;number=0&amp;sourceID=14","0")</f>
        <v>0</v>
      </c>
    </row>
    <row r="512" spans="1:7">
      <c r="A512" s="3">
        <v>20</v>
      </c>
      <c r="B512" s="3">
        <v>5</v>
      </c>
      <c r="C512" s="3">
        <v>98</v>
      </c>
      <c r="D512" s="3">
        <v>10</v>
      </c>
      <c r="E512" s="3">
        <v>-21.796</v>
      </c>
      <c r="F512" s="4" t="str">
        <f>HYPERLINK("http://141.218.60.56/~jnz1568/getInfo.php?workbook=20_05.xlsx&amp;sheet=A0&amp;row=512&amp;col=6&amp;number=3269000000&amp;sourceID=14","3269000000")</f>
        <v>3269000000</v>
      </c>
      <c r="G512" s="4" t="str">
        <f>HYPERLINK("http://141.218.60.56/~jnz1568/getInfo.php?workbook=20_05.xlsx&amp;sheet=A0&amp;row=512&amp;col=7&amp;number=0&amp;sourceID=14","0")</f>
        <v>0</v>
      </c>
    </row>
    <row r="513" spans="1:7">
      <c r="A513" s="3">
        <v>20</v>
      </c>
      <c r="B513" s="3">
        <v>5</v>
      </c>
      <c r="C513" s="3">
        <v>99</v>
      </c>
      <c r="D513" s="3">
        <v>10</v>
      </c>
      <c r="E513" s="3">
        <v>-21.686</v>
      </c>
      <c r="F513" s="4" t="str">
        <f>HYPERLINK("http://141.218.60.56/~jnz1568/getInfo.php?workbook=20_05.xlsx&amp;sheet=A0&amp;row=513&amp;col=6&amp;number=4008000000&amp;sourceID=14","4008000000")</f>
        <v>4008000000</v>
      </c>
      <c r="G513" s="4" t="str">
        <f>HYPERLINK("http://141.218.60.56/~jnz1568/getInfo.php?workbook=20_05.xlsx&amp;sheet=A0&amp;row=513&amp;col=7&amp;number=0&amp;sourceID=14","0")</f>
        <v>0</v>
      </c>
    </row>
    <row r="514" spans="1:7">
      <c r="A514" s="3">
        <v>20</v>
      </c>
      <c r="B514" s="3">
        <v>5</v>
      </c>
      <c r="C514" s="3">
        <v>100</v>
      </c>
      <c r="D514" s="3">
        <v>10</v>
      </c>
      <c r="E514" s="3">
        <v>-21.605</v>
      </c>
      <c r="F514" s="4" t="str">
        <f>HYPERLINK("http://141.218.60.56/~jnz1568/getInfo.php?workbook=20_05.xlsx&amp;sheet=A0&amp;row=514&amp;col=6&amp;number=132700000000&amp;sourceID=14","132700000000")</f>
        <v>132700000000</v>
      </c>
      <c r="G514" s="4" t="str">
        <f>HYPERLINK("http://141.218.60.56/~jnz1568/getInfo.php?workbook=20_05.xlsx&amp;sheet=A0&amp;row=514&amp;col=7&amp;number=0&amp;sourceID=14","0")</f>
        <v>0</v>
      </c>
    </row>
    <row r="515" spans="1:7">
      <c r="A515" s="3">
        <v>20</v>
      </c>
      <c r="B515" s="3">
        <v>5</v>
      </c>
      <c r="C515" s="3">
        <v>101</v>
      </c>
      <c r="D515" s="3">
        <v>10</v>
      </c>
      <c r="E515" s="3">
        <v>-21.444</v>
      </c>
      <c r="F515" s="4" t="str">
        <f>HYPERLINK("http://141.218.60.56/~jnz1568/getInfo.php?workbook=20_05.xlsx&amp;sheet=A0&amp;row=515&amp;col=6&amp;number=73920000000&amp;sourceID=14","73920000000")</f>
        <v>73920000000</v>
      </c>
      <c r="G515" s="4" t="str">
        <f>HYPERLINK("http://141.218.60.56/~jnz1568/getInfo.php?workbook=20_05.xlsx&amp;sheet=A0&amp;row=515&amp;col=7&amp;number=0&amp;sourceID=14","0")</f>
        <v>0</v>
      </c>
    </row>
    <row r="516" spans="1:7">
      <c r="A516" s="3">
        <v>20</v>
      </c>
      <c r="B516" s="3">
        <v>5</v>
      </c>
      <c r="C516" s="3">
        <v>102</v>
      </c>
      <c r="D516" s="3">
        <v>10</v>
      </c>
      <c r="E516" s="3">
        <v>-21.419</v>
      </c>
      <c r="F516" s="4" t="str">
        <f>HYPERLINK("http://141.218.60.56/~jnz1568/getInfo.php?workbook=20_05.xlsx&amp;sheet=A0&amp;row=516&amp;col=6&amp;number=692300000000&amp;sourceID=14","692300000000")</f>
        <v>692300000000</v>
      </c>
      <c r="G516" s="4" t="str">
        <f>HYPERLINK("http://141.218.60.56/~jnz1568/getInfo.php?workbook=20_05.xlsx&amp;sheet=A0&amp;row=516&amp;col=7&amp;number=0&amp;sourceID=14","0")</f>
        <v>0</v>
      </c>
    </row>
    <row r="517" spans="1:7">
      <c r="A517" s="3">
        <v>20</v>
      </c>
      <c r="B517" s="3">
        <v>5</v>
      </c>
      <c r="C517" s="3">
        <v>103</v>
      </c>
      <c r="D517" s="3">
        <v>10</v>
      </c>
      <c r="E517" s="3">
        <v>-21.071</v>
      </c>
      <c r="F517" s="4" t="str">
        <f>HYPERLINK("http://141.218.60.56/~jnz1568/getInfo.php?workbook=20_05.xlsx&amp;sheet=A0&amp;row=517&amp;col=6&amp;number=117500000000&amp;sourceID=14","117500000000")</f>
        <v>117500000000</v>
      </c>
      <c r="G517" s="4" t="str">
        <f>HYPERLINK("http://141.218.60.56/~jnz1568/getInfo.php?workbook=20_05.xlsx&amp;sheet=A0&amp;row=517&amp;col=7&amp;number=0&amp;sourceID=14","0")</f>
        <v>0</v>
      </c>
    </row>
    <row r="518" spans="1:7">
      <c r="A518" s="3">
        <v>20</v>
      </c>
      <c r="B518" s="3">
        <v>5</v>
      </c>
      <c r="C518" s="3">
        <v>104</v>
      </c>
      <c r="D518" s="3">
        <v>10</v>
      </c>
      <c r="E518" s="3">
        <v>-20.872</v>
      </c>
      <c r="F518" s="4" t="str">
        <f>HYPERLINK("http://141.218.60.56/~jnz1568/getInfo.php?workbook=20_05.xlsx&amp;sheet=A0&amp;row=518&amp;col=6&amp;number=733300000000&amp;sourceID=14","733300000000")</f>
        <v>733300000000</v>
      </c>
      <c r="G518" s="4" t="str">
        <f>HYPERLINK("http://141.218.60.56/~jnz1568/getInfo.php?workbook=20_05.xlsx&amp;sheet=A0&amp;row=518&amp;col=7&amp;number=0&amp;sourceID=14","0")</f>
        <v>0</v>
      </c>
    </row>
    <row r="519" spans="1:7">
      <c r="A519" s="3">
        <v>20</v>
      </c>
      <c r="B519" s="3">
        <v>5</v>
      </c>
      <c r="C519" s="3">
        <v>105</v>
      </c>
      <c r="D519" s="3">
        <v>10</v>
      </c>
      <c r="E519" s="3">
        <v>-20.39</v>
      </c>
      <c r="F519" s="4" t="str">
        <f>HYPERLINK("http://141.218.60.56/~jnz1568/getInfo.php?workbook=20_05.xlsx&amp;sheet=A0&amp;row=519&amp;col=6&amp;number=128800000000&amp;sourceID=14","128800000000")</f>
        <v>128800000000</v>
      </c>
      <c r="G519" s="4" t="str">
        <f>HYPERLINK("http://141.218.60.56/~jnz1568/getInfo.php?workbook=20_05.xlsx&amp;sheet=A0&amp;row=519&amp;col=7&amp;number=0&amp;sourceID=14","0")</f>
        <v>0</v>
      </c>
    </row>
    <row r="520" spans="1:7">
      <c r="A520" s="3">
        <v>20</v>
      </c>
      <c r="B520" s="3">
        <v>5</v>
      </c>
      <c r="C520" s="3">
        <v>106</v>
      </c>
      <c r="D520" s="3">
        <v>4</v>
      </c>
      <c r="E520" s="3">
        <v>-22.698</v>
      </c>
      <c r="F520" s="4" t="str">
        <f>HYPERLINK("http://141.218.60.56/~jnz1568/getInfo.php?workbook=20_05.xlsx&amp;sheet=A0&amp;row=520&amp;col=6&amp;number=271000000000&amp;sourceID=14","271000000000")</f>
        <v>271000000000</v>
      </c>
      <c r="G520" s="4" t="str">
        <f>HYPERLINK("http://141.218.60.56/~jnz1568/getInfo.php?workbook=20_05.xlsx&amp;sheet=A0&amp;row=520&amp;col=7&amp;number=0&amp;sourceID=14","0")</f>
        <v>0</v>
      </c>
    </row>
    <row r="521" spans="1:7">
      <c r="A521" s="3">
        <v>20</v>
      </c>
      <c r="B521" s="3">
        <v>5</v>
      </c>
      <c r="C521" s="3">
        <v>107</v>
      </c>
      <c r="D521" s="3">
        <v>4</v>
      </c>
      <c r="E521" s="3">
        <v>-21.698</v>
      </c>
      <c r="F521" s="4" t="str">
        <f>HYPERLINK("http://141.218.60.56/~jnz1568/getInfo.php?workbook=20_05.xlsx&amp;sheet=A0&amp;row=521&amp;col=6&amp;number=330100000000&amp;sourceID=14","330100000000")</f>
        <v>330100000000</v>
      </c>
      <c r="G521" s="4" t="str">
        <f>HYPERLINK("http://141.218.60.56/~jnz1568/getInfo.php?workbook=20_05.xlsx&amp;sheet=A0&amp;row=521&amp;col=7&amp;number=0&amp;sourceID=14","0")</f>
        <v>0</v>
      </c>
    </row>
    <row r="522" spans="1:7">
      <c r="A522" s="3">
        <v>20</v>
      </c>
      <c r="B522" s="3">
        <v>5</v>
      </c>
      <c r="C522" s="3">
        <v>108</v>
      </c>
      <c r="D522" s="3">
        <v>4</v>
      </c>
      <c r="E522" s="3">
        <v>21.497</v>
      </c>
      <c r="F522" s="4" t="str">
        <f>HYPERLINK("http://141.218.60.56/~jnz1568/getInfo.php?workbook=20_05.xlsx&amp;sheet=A0&amp;row=522&amp;col=6&amp;number=4695000000000&amp;sourceID=14","4695000000000")</f>
        <v>4695000000000</v>
      </c>
      <c r="G522" s="4" t="str">
        <f>HYPERLINK("http://141.218.60.56/~jnz1568/getInfo.php?workbook=20_05.xlsx&amp;sheet=A0&amp;row=522&amp;col=7&amp;number=0&amp;sourceID=14","0")</f>
        <v>0</v>
      </c>
    </row>
    <row r="523" spans="1:7">
      <c r="A523" s="3">
        <v>20</v>
      </c>
      <c r="B523" s="3">
        <v>5</v>
      </c>
      <c r="C523" s="3">
        <v>109</v>
      </c>
      <c r="D523" s="3">
        <v>4</v>
      </c>
      <c r="E523" s="3">
        <v>-21.469</v>
      </c>
      <c r="F523" s="4" t="str">
        <f>HYPERLINK("http://141.218.60.56/~jnz1568/getInfo.php?workbook=20_05.xlsx&amp;sheet=A0&amp;row=523&amp;col=6&amp;number=2014000000000&amp;sourceID=14","2014000000000")</f>
        <v>2014000000000</v>
      </c>
      <c r="G523" s="4" t="str">
        <f>HYPERLINK("http://141.218.60.56/~jnz1568/getInfo.php?workbook=20_05.xlsx&amp;sheet=A0&amp;row=523&amp;col=7&amp;number=0&amp;sourceID=14","0")</f>
        <v>0</v>
      </c>
    </row>
    <row r="524" spans="1:7">
      <c r="A524" s="3">
        <v>20</v>
      </c>
      <c r="B524" s="3">
        <v>5</v>
      </c>
      <c r="C524" s="3">
        <v>110</v>
      </c>
      <c r="D524" s="3">
        <v>4</v>
      </c>
      <c r="E524" s="3">
        <v>21.364</v>
      </c>
      <c r="F524" s="4" t="str">
        <f>HYPERLINK("http://141.218.60.56/~jnz1568/getInfo.php?workbook=20_05.xlsx&amp;sheet=A0&amp;row=524&amp;col=6&amp;number=171900000000&amp;sourceID=14","171900000000")</f>
        <v>171900000000</v>
      </c>
      <c r="G524" s="4" t="str">
        <f>HYPERLINK("http://141.218.60.56/~jnz1568/getInfo.php?workbook=20_05.xlsx&amp;sheet=A0&amp;row=524&amp;col=7&amp;number=0&amp;sourceID=14","0")</f>
        <v>0</v>
      </c>
    </row>
    <row r="525" spans="1:7">
      <c r="A525" s="3">
        <v>20</v>
      </c>
      <c r="B525" s="3">
        <v>5</v>
      </c>
      <c r="C525" s="3">
        <v>111</v>
      </c>
      <c r="D525" s="3">
        <v>4</v>
      </c>
      <c r="E525" s="3">
        <v>-21.212</v>
      </c>
      <c r="F525" s="4" t="str">
        <f>HYPERLINK("http://141.218.60.56/~jnz1568/getInfo.php?workbook=20_05.xlsx&amp;sheet=A0&amp;row=525&amp;col=6&amp;number=3845000000&amp;sourceID=14","3845000000")</f>
        <v>3845000000</v>
      </c>
      <c r="G525" s="4" t="str">
        <f>HYPERLINK("http://141.218.60.56/~jnz1568/getInfo.php?workbook=20_05.xlsx&amp;sheet=A0&amp;row=525&amp;col=7&amp;number=0&amp;sourceID=14","0")</f>
        <v>0</v>
      </c>
    </row>
    <row r="526" spans="1:7">
      <c r="A526" s="3">
        <v>20</v>
      </c>
      <c r="B526" s="3">
        <v>5</v>
      </c>
      <c r="C526" s="3">
        <v>112</v>
      </c>
      <c r="D526" s="3">
        <v>4</v>
      </c>
      <c r="E526" s="3">
        <v>21.196</v>
      </c>
      <c r="F526" s="4" t="str">
        <f>HYPERLINK("http://141.218.60.56/~jnz1568/getInfo.php?workbook=20_05.xlsx&amp;sheet=A0&amp;row=526&amp;col=6&amp;number=1253000000&amp;sourceID=14","1253000000")</f>
        <v>1253000000</v>
      </c>
      <c r="G526" s="4" t="str">
        <f>HYPERLINK("http://141.218.60.56/~jnz1568/getInfo.php?workbook=20_05.xlsx&amp;sheet=A0&amp;row=526&amp;col=7&amp;number=0&amp;sourceID=14","0")</f>
        <v>0</v>
      </c>
    </row>
    <row r="527" spans="1:7">
      <c r="A527" s="3">
        <v>20</v>
      </c>
      <c r="B527" s="3">
        <v>5</v>
      </c>
      <c r="C527" s="3">
        <v>113</v>
      </c>
      <c r="D527" s="3">
        <v>4</v>
      </c>
      <c r="E527" s="3">
        <v>20.343</v>
      </c>
      <c r="F527" s="4" t="str">
        <f>HYPERLINK("http://141.218.60.56/~jnz1568/getInfo.php?workbook=20_05.xlsx&amp;sheet=A0&amp;row=527&amp;col=6&amp;number=1230000000&amp;sourceID=14","1230000000")</f>
        <v>1230000000</v>
      </c>
      <c r="G527" s="4" t="str">
        <f>HYPERLINK("http://141.218.60.56/~jnz1568/getInfo.php?workbook=20_05.xlsx&amp;sheet=A0&amp;row=527&amp;col=7&amp;number=0&amp;sourceID=14","0")</f>
        <v>0</v>
      </c>
    </row>
    <row r="528" spans="1:7">
      <c r="A528" s="3">
        <v>20</v>
      </c>
      <c r="B528" s="3">
        <v>5</v>
      </c>
      <c r="C528" s="3">
        <v>114</v>
      </c>
      <c r="D528" s="3">
        <v>4</v>
      </c>
      <c r="E528" s="3">
        <v>-20.139</v>
      </c>
      <c r="F528" s="4" t="str">
        <f>HYPERLINK("http://141.218.60.56/~jnz1568/getInfo.php?workbook=20_05.xlsx&amp;sheet=A0&amp;row=528&amp;col=6&amp;number=790700000000&amp;sourceID=14","790700000000")</f>
        <v>790700000000</v>
      </c>
      <c r="G528" s="4" t="str">
        <f>HYPERLINK("http://141.218.60.56/~jnz1568/getInfo.php?workbook=20_05.xlsx&amp;sheet=A0&amp;row=528&amp;col=7&amp;number=0&amp;sourceID=14","0")</f>
        <v>0</v>
      </c>
    </row>
    <row r="529" spans="1:7">
      <c r="A529" s="3">
        <v>20</v>
      </c>
      <c r="B529" s="3">
        <v>5</v>
      </c>
      <c r="C529" s="3">
        <v>115</v>
      </c>
      <c r="D529" s="3">
        <v>4</v>
      </c>
      <c r="E529" s="3">
        <v>-20.061</v>
      </c>
      <c r="F529" s="4" t="str">
        <f>HYPERLINK("http://141.218.60.56/~jnz1568/getInfo.php?workbook=20_05.xlsx&amp;sheet=A0&amp;row=529&amp;col=6&amp;number=106500000000&amp;sourceID=14","106500000000")</f>
        <v>106500000000</v>
      </c>
      <c r="G529" s="4" t="str">
        <f>HYPERLINK("http://141.218.60.56/~jnz1568/getInfo.php?workbook=20_05.xlsx&amp;sheet=A0&amp;row=529&amp;col=7&amp;number=0&amp;sourceID=14","0")</f>
        <v>0</v>
      </c>
    </row>
    <row r="530" spans="1:7">
      <c r="A530" s="3">
        <v>20</v>
      </c>
      <c r="B530" s="3">
        <v>5</v>
      </c>
      <c r="C530" s="3">
        <v>116</v>
      </c>
      <c r="D530" s="3">
        <v>4</v>
      </c>
      <c r="E530" s="3">
        <v>-19.93</v>
      </c>
      <c r="F530" s="4" t="str">
        <f>HYPERLINK("http://141.218.60.56/~jnz1568/getInfo.php?workbook=20_05.xlsx&amp;sheet=A0&amp;row=530&amp;col=6&amp;number=33040000000&amp;sourceID=14","33040000000")</f>
        <v>33040000000</v>
      </c>
      <c r="G530" s="4" t="str">
        <f>HYPERLINK("http://141.218.60.56/~jnz1568/getInfo.php?workbook=20_05.xlsx&amp;sheet=A0&amp;row=530&amp;col=7&amp;number=0&amp;sourceID=14","0")</f>
        <v>0</v>
      </c>
    </row>
    <row r="531" spans="1:7">
      <c r="A531" s="3">
        <v>20</v>
      </c>
      <c r="B531" s="3">
        <v>5</v>
      </c>
      <c r="C531" s="3">
        <v>117</v>
      </c>
      <c r="D531" s="3">
        <v>4</v>
      </c>
      <c r="E531" s="3">
        <v>-19.705</v>
      </c>
      <c r="F531" s="4" t="str">
        <f>HYPERLINK("http://141.218.60.56/~jnz1568/getInfo.php?workbook=20_05.xlsx&amp;sheet=A0&amp;row=531&amp;col=6&amp;number=2279000000&amp;sourceID=14","2279000000")</f>
        <v>2279000000</v>
      </c>
      <c r="G531" s="4" t="str">
        <f>HYPERLINK("http://141.218.60.56/~jnz1568/getInfo.php?workbook=20_05.xlsx&amp;sheet=A0&amp;row=531&amp;col=7&amp;number=0&amp;sourceID=14","0")</f>
        <v>0</v>
      </c>
    </row>
    <row r="532" spans="1:7">
      <c r="A532" s="3">
        <v>20</v>
      </c>
      <c r="B532" s="3">
        <v>5</v>
      </c>
      <c r="C532" s="3">
        <v>106</v>
      </c>
      <c r="D532" s="3">
        <v>6</v>
      </c>
      <c r="E532" s="3">
        <v>-23.761</v>
      </c>
      <c r="F532" s="4" t="str">
        <f>HYPERLINK("http://141.218.60.56/~jnz1568/getInfo.php?workbook=20_05.xlsx&amp;sheet=A0&amp;row=532&amp;col=6&amp;number=198000000&amp;sourceID=14","198000000")</f>
        <v>198000000</v>
      </c>
      <c r="G532" s="4" t="str">
        <f>HYPERLINK("http://141.218.60.56/~jnz1568/getInfo.php?workbook=20_05.xlsx&amp;sheet=A0&amp;row=532&amp;col=7&amp;number=0&amp;sourceID=14","0")</f>
        <v>0</v>
      </c>
    </row>
    <row r="533" spans="1:7">
      <c r="A533" s="3">
        <v>20</v>
      </c>
      <c r="B533" s="3">
        <v>5</v>
      </c>
      <c r="C533" s="3">
        <v>107</v>
      </c>
      <c r="D533" s="3">
        <v>6</v>
      </c>
      <c r="E533" s="3">
        <v>-22.666</v>
      </c>
      <c r="F533" s="4" t="str">
        <f>HYPERLINK("http://141.218.60.56/~jnz1568/getInfo.php?workbook=20_05.xlsx&amp;sheet=A0&amp;row=533&amp;col=6&amp;number=6776000000&amp;sourceID=14","6776000000")</f>
        <v>6776000000</v>
      </c>
      <c r="G533" s="4" t="str">
        <f>HYPERLINK("http://141.218.60.56/~jnz1568/getInfo.php?workbook=20_05.xlsx&amp;sheet=A0&amp;row=533&amp;col=7&amp;number=0&amp;sourceID=14","0")</f>
        <v>0</v>
      </c>
    </row>
    <row r="534" spans="1:7">
      <c r="A534" s="3">
        <v>20</v>
      </c>
      <c r="B534" s="3">
        <v>5</v>
      </c>
      <c r="C534" s="3">
        <v>108</v>
      </c>
      <c r="D534" s="3">
        <v>6</v>
      </c>
      <c r="E534" s="3">
        <v>22.449</v>
      </c>
      <c r="F534" s="4" t="str">
        <f>HYPERLINK("http://141.218.60.56/~jnz1568/getInfo.php?workbook=20_05.xlsx&amp;sheet=A0&amp;row=534&amp;col=6&amp;number=93090000000&amp;sourceID=14","93090000000")</f>
        <v>93090000000</v>
      </c>
      <c r="G534" s="4" t="str">
        <f>HYPERLINK("http://141.218.60.56/~jnz1568/getInfo.php?workbook=20_05.xlsx&amp;sheet=A0&amp;row=534&amp;col=7&amp;number=0&amp;sourceID=14","0")</f>
        <v>0</v>
      </c>
    </row>
    <row r="535" spans="1:7">
      <c r="A535" s="3">
        <v>20</v>
      </c>
      <c r="B535" s="3">
        <v>5</v>
      </c>
      <c r="C535" s="3">
        <v>109</v>
      </c>
      <c r="D535" s="3">
        <v>6</v>
      </c>
      <c r="E535" s="3">
        <v>-22.417</v>
      </c>
      <c r="F535" s="4" t="str">
        <f>HYPERLINK("http://141.218.60.56/~jnz1568/getInfo.php?workbook=20_05.xlsx&amp;sheet=A0&amp;row=535&amp;col=6&amp;number=436700000000&amp;sourceID=14","436700000000")</f>
        <v>436700000000</v>
      </c>
      <c r="G535" s="4" t="str">
        <f>HYPERLINK("http://141.218.60.56/~jnz1568/getInfo.php?workbook=20_05.xlsx&amp;sheet=A0&amp;row=535&amp;col=7&amp;number=0&amp;sourceID=14","0")</f>
        <v>0</v>
      </c>
    </row>
    <row r="536" spans="1:7">
      <c r="A536" s="3">
        <v>20</v>
      </c>
      <c r="B536" s="3">
        <v>5</v>
      </c>
      <c r="C536" s="3">
        <v>110</v>
      </c>
      <c r="D536" s="3">
        <v>6</v>
      </c>
      <c r="E536" s="3">
        <v>22.303</v>
      </c>
      <c r="F536" s="4" t="str">
        <f>HYPERLINK("http://141.218.60.56/~jnz1568/getInfo.php?workbook=20_05.xlsx&amp;sheet=A0&amp;row=536&amp;col=6&amp;number=150400000000&amp;sourceID=14","150400000000")</f>
        <v>150400000000</v>
      </c>
      <c r="G536" s="4" t="str">
        <f>HYPERLINK("http://141.218.60.56/~jnz1568/getInfo.php?workbook=20_05.xlsx&amp;sheet=A0&amp;row=536&amp;col=7&amp;number=0&amp;sourceID=14","0")</f>
        <v>0</v>
      </c>
    </row>
    <row r="537" spans="1:7">
      <c r="A537" s="3">
        <v>20</v>
      </c>
      <c r="B537" s="3">
        <v>5</v>
      </c>
      <c r="C537" s="3">
        <v>111</v>
      </c>
      <c r="D537" s="3">
        <v>6</v>
      </c>
      <c r="E537" s="3">
        <v>-22.137</v>
      </c>
      <c r="F537" s="4" t="str">
        <f>HYPERLINK("http://141.218.60.56/~jnz1568/getInfo.php?workbook=20_05.xlsx&amp;sheet=A0&amp;row=537&amp;col=6&amp;number=4411000000000&amp;sourceID=14","4411000000000")</f>
        <v>4411000000000</v>
      </c>
      <c r="G537" s="4" t="str">
        <f>HYPERLINK("http://141.218.60.56/~jnz1568/getInfo.php?workbook=20_05.xlsx&amp;sheet=A0&amp;row=537&amp;col=7&amp;number=0&amp;sourceID=14","0")</f>
        <v>0</v>
      </c>
    </row>
    <row r="538" spans="1:7">
      <c r="A538" s="3">
        <v>20</v>
      </c>
      <c r="B538" s="3">
        <v>5</v>
      </c>
      <c r="C538" s="3">
        <v>112</v>
      </c>
      <c r="D538" s="3">
        <v>6</v>
      </c>
      <c r="E538" s="3">
        <v>22.121</v>
      </c>
      <c r="F538" s="4" t="str">
        <f>HYPERLINK("http://141.218.60.56/~jnz1568/getInfo.php?workbook=20_05.xlsx&amp;sheet=A0&amp;row=538&amp;col=6&amp;number=4570000000000&amp;sourceID=14","4570000000000")</f>
        <v>4570000000000</v>
      </c>
      <c r="G538" s="4" t="str">
        <f>HYPERLINK("http://141.218.60.56/~jnz1568/getInfo.php?workbook=20_05.xlsx&amp;sheet=A0&amp;row=538&amp;col=7&amp;number=0&amp;sourceID=14","0")</f>
        <v>0</v>
      </c>
    </row>
    <row r="539" spans="1:7">
      <c r="A539" s="3">
        <v>20</v>
      </c>
      <c r="B539" s="3">
        <v>5</v>
      </c>
      <c r="C539" s="3">
        <v>113</v>
      </c>
      <c r="D539" s="3">
        <v>6</v>
      </c>
      <c r="E539" s="3">
        <v>21.193</v>
      </c>
      <c r="F539" s="4" t="str">
        <f>HYPERLINK("http://141.218.60.56/~jnz1568/getInfo.php?workbook=20_05.xlsx&amp;sheet=A0&amp;row=539&amp;col=6&amp;number=83480000000&amp;sourceID=14","83480000000")</f>
        <v>83480000000</v>
      </c>
      <c r="G539" s="4" t="str">
        <f>HYPERLINK("http://141.218.60.56/~jnz1568/getInfo.php?workbook=20_05.xlsx&amp;sheet=A0&amp;row=539&amp;col=7&amp;number=0&amp;sourceID=14","0")</f>
        <v>0</v>
      </c>
    </row>
    <row r="540" spans="1:7">
      <c r="A540" s="3">
        <v>20</v>
      </c>
      <c r="B540" s="3">
        <v>5</v>
      </c>
      <c r="C540" s="3">
        <v>114</v>
      </c>
      <c r="D540" s="3">
        <v>6</v>
      </c>
      <c r="E540" s="3">
        <v>-20.971</v>
      </c>
      <c r="F540" s="4" t="str">
        <f>HYPERLINK("http://141.218.60.56/~jnz1568/getInfo.php?workbook=20_05.xlsx&amp;sheet=A0&amp;row=540&amp;col=6&amp;number=841900000&amp;sourceID=14","841900000")</f>
        <v>841900000</v>
      </c>
      <c r="G540" s="4" t="str">
        <f>HYPERLINK("http://141.218.60.56/~jnz1568/getInfo.php?workbook=20_05.xlsx&amp;sheet=A0&amp;row=540&amp;col=7&amp;number=0&amp;sourceID=14","0")</f>
        <v>0</v>
      </c>
    </row>
    <row r="541" spans="1:7">
      <c r="A541" s="3">
        <v>20</v>
      </c>
      <c r="B541" s="3">
        <v>5</v>
      </c>
      <c r="C541" s="3">
        <v>116</v>
      </c>
      <c r="D541" s="3">
        <v>6</v>
      </c>
      <c r="E541" s="3">
        <v>-20.744</v>
      </c>
      <c r="F541" s="4" t="str">
        <f>HYPERLINK("http://141.218.60.56/~jnz1568/getInfo.php?workbook=20_05.xlsx&amp;sheet=A0&amp;row=541&amp;col=6&amp;number=12280000000&amp;sourceID=14","12280000000")</f>
        <v>12280000000</v>
      </c>
      <c r="G541" s="4" t="str">
        <f>HYPERLINK("http://141.218.60.56/~jnz1568/getInfo.php?workbook=20_05.xlsx&amp;sheet=A0&amp;row=541&amp;col=7&amp;number=0&amp;sourceID=14","0")</f>
        <v>0</v>
      </c>
    </row>
    <row r="542" spans="1:7">
      <c r="A542" s="3">
        <v>20</v>
      </c>
      <c r="B542" s="3">
        <v>5</v>
      </c>
      <c r="C542" s="3">
        <v>117</v>
      </c>
      <c r="D542" s="3">
        <v>6</v>
      </c>
      <c r="E542" s="3">
        <v>-20.501</v>
      </c>
      <c r="F542" s="4" t="str">
        <f>HYPERLINK("http://141.218.60.56/~jnz1568/getInfo.php?workbook=20_05.xlsx&amp;sheet=A0&amp;row=542&amp;col=6&amp;number=553500000000&amp;sourceID=14","553500000000")</f>
        <v>553500000000</v>
      </c>
      <c r="G542" s="4" t="str">
        <f>HYPERLINK("http://141.218.60.56/~jnz1568/getInfo.php?workbook=20_05.xlsx&amp;sheet=A0&amp;row=542&amp;col=7&amp;number=0&amp;sourceID=14","0")</f>
        <v>0</v>
      </c>
    </row>
    <row r="543" spans="1:7">
      <c r="A543" s="3">
        <v>20</v>
      </c>
      <c r="B543" s="3">
        <v>5</v>
      </c>
      <c r="C543" s="3">
        <v>118</v>
      </c>
      <c r="D543" s="3">
        <v>6</v>
      </c>
      <c r="E543" s="3">
        <v>-20.349</v>
      </c>
      <c r="F543" s="4" t="str">
        <f>HYPERLINK("http://141.218.60.56/~jnz1568/getInfo.php?workbook=20_05.xlsx&amp;sheet=A0&amp;row=543&amp;col=6&amp;number=56440000000&amp;sourceID=14","56440000000")</f>
        <v>56440000000</v>
      </c>
      <c r="G543" s="4" t="str">
        <f>HYPERLINK("http://141.218.60.56/~jnz1568/getInfo.php?workbook=20_05.xlsx&amp;sheet=A0&amp;row=543&amp;col=7&amp;number=0&amp;sourceID=14","0")</f>
        <v>0</v>
      </c>
    </row>
    <row r="544" spans="1:7">
      <c r="A544" s="3">
        <v>20</v>
      </c>
      <c r="B544" s="3">
        <v>5</v>
      </c>
      <c r="C544" s="3">
        <v>106</v>
      </c>
      <c r="D544" s="3">
        <v>10</v>
      </c>
      <c r="E544" s="3">
        <v>-24.738</v>
      </c>
      <c r="F544" s="4" t="str">
        <f>HYPERLINK("http://141.218.60.56/~jnz1568/getInfo.php?workbook=20_05.xlsx&amp;sheet=A0&amp;row=544&amp;col=6&amp;number=111100000&amp;sourceID=14","111100000")</f>
        <v>111100000</v>
      </c>
      <c r="G544" s="4" t="str">
        <f>HYPERLINK("http://141.218.60.56/~jnz1568/getInfo.php?workbook=20_05.xlsx&amp;sheet=A0&amp;row=544&amp;col=7&amp;number=0&amp;sourceID=14","0")</f>
        <v>0</v>
      </c>
    </row>
    <row r="545" spans="1:7">
      <c r="A545" s="3">
        <v>20</v>
      </c>
      <c r="B545" s="3">
        <v>5</v>
      </c>
      <c r="C545" s="3">
        <v>107</v>
      </c>
      <c r="D545" s="3">
        <v>10</v>
      </c>
      <c r="E545" s="3">
        <v>-23.554</v>
      </c>
      <c r="F545" s="4" t="str">
        <f>HYPERLINK("http://141.218.60.56/~jnz1568/getInfo.php?workbook=20_05.xlsx&amp;sheet=A0&amp;row=545&amp;col=6&amp;number=1500000000&amp;sourceID=14","1500000000")</f>
        <v>1500000000</v>
      </c>
      <c r="G545" s="4" t="str">
        <f>HYPERLINK("http://141.218.60.56/~jnz1568/getInfo.php?workbook=20_05.xlsx&amp;sheet=A0&amp;row=545&amp;col=7&amp;number=0&amp;sourceID=14","0")</f>
        <v>0</v>
      </c>
    </row>
    <row r="546" spans="1:7">
      <c r="A546" s="3">
        <v>20</v>
      </c>
      <c r="B546" s="3">
        <v>5</v>
      </c>
      <c r="C546" s="3">
        <v>108</v>
      </c>
      <c r="D546" s="3">
        <v>10</v>
      </c>
      <c r="E546" s="3">
        <v>23.32</v>
      </c>
      <c r="F546" s="4" t="str">
        <f>HYPERLINK("http://141.218.60.56/~jnz1568/getInfo.php?workbook=20_05.xlsx&amp;sheet=A0&amp;row=546&amp;col=6&amp;number=98360000000&amp;sourceID=14","98360000000")</f>
        <v>98360000000</v>
      </c>
      <c r="G546" s="4" t="str">
        <f>HYPERLINK("http://141.218.60.56/~jnz1568/getInfo.php?workbook=20_05.xlsx&amp;sheet=A0&amp;row=546&amp;col=7&amp;number=0&amp;sourceID=14","0")</f>
        <v>0</v>
      </c>
    </row>
    <row r="547" spans="1:7">
      <c r="A547" s="3">
        <v>20</v>
      </c>
      <c r="B547" s="3">
        <v>5</v>
      </c>
      <c r="C547" s="3">
        <v>109</v>
      </c>
      <c r="D547" s="3">
        <v>10</v>
      </c>
      <c r="E547" s="3">
        <v>-23.285</v>
      </c>
      <c r="F547" s="4" t="str">
        <f>HYPERLINK("http://141.218.60.56/~jnz1568/getInfo.php?workbook=20_05.xlsx&amp;sheet=A0&amp;row=547&amp;col=6&amp;number=335300000000&amp;sourceID=14","335300000000")</f>
        <v>335300000000</v>
      </c>
      <c r="G547" s="4" t="str">
        <f>HYPERLINK("http://141.218.60.56/~jnz1568/getInfo.php?workbook=20_05.xlsx&amp;sheet=A0&amp;row=547&amp;col=7&amp;number=0&amp;sourceID=14","0")</f>
        <v>0</v>
      </c>
    </row>
    <row r="548" spans="1:7">
      <c r="A548" s="3">
        <v>20</v>
      </c>
      <c r="B548" s="3">
        <v>5</v>
      </c>
      <c r="C548" s="3">
        <v>110</v>
      </c>
      <c r="D548" s="3">
        <v>10</v>
      </c>
      <c r="E548" s="3">
        <v>23.163</v>
      </c>
      <c r="F548" s="4" t="str">
        <f>HYPERLINK("http://141.218.60.56/~jnz1568/getInfo.php?workbook=20_05.xlsx&amp;sheet=A0&amp;row=548&amp;col=6&amp;number=93330000000&amp;sourceID=14","93330000000")</f>
        <v>93330000000</v>
      </c>
      <c r="G548" s="4" t="str">
        <f>HYPERLINK("http://141.218.60.56/~jnz1568/getInfo.php?workbook=20_05.xlsx&amp;sheet=A0&amp;row=548&amp;col=7&amp;number=0&amp;sourceID=14","0")</f>
        <v>0</v>
      </c>
    </row>
    <row r="549" spans="1:7">
      <c r="A549" s="3">
        <v>20</v>
      </c>
      <c r="B549" s="3">
        <v>5</v>
      </c>
      <c r="C549" s="3">
        <v>111</v>
      </c>
      <c r="D549" s="3">
        <v>10</v>
      </c>
      <c r="E549" s="3">
        <v>-22.983</v>
      </c>
      <c r="F549" s="4" t="str">
        <f>HYPERLINK("http://141.218.60.56/~jnz1568/getInfo.php?workbook=20_05.xlsx&amp;sheet=A0&amp;row=549&amp;col=6&amp;number=49940000000&amp;sourceID=14","49940000000")</f>
        <v>49940000000</v>
      </c>
      <c r="G549" s="4" t="str">
        <f>HYPERLINK("http://141.218.60.56/~jnz1568/getInfo.php?workbook=20_05.xlsx&amp;sheet=A0&amp;row=549&amp;col=7&amp;number=0&amp;sourceID=14","0")</f>
        <v>0</v>
      </c>
    </row>
    <row r="550" spans="1:7">
      <c r="A550" s="3">
        <v>20</v>
      </c>
      <c r="B550" s="3">
        <v>5</v>
      </c>
      <c r="C550" s="3">
        <v>112</v>
      </c>
      <c r="D550" s="3">
        <v>10</v>
      </c>
      <c r="E550" s="3">
        <v>22.966</v>
      </c>
      <c r="F550" s="4" t="str">
        <f>HYPERLINK("http://141.218.60.56/~jnz1568/getInfo.php?workbook=20_05.xlsx&amp;sheet=A0&amp;row=550&amp;col=6&amp;number=4135000000&amp;sourceID=14","4135000000")</f>
        <v>4135000000</v>
      </c>
      <c r="G550" s="4" t="str">
        <f>HYPERLINK("http://141.218.60.56/~jnz1568/getInfo.php?workbook=20_05.xlsx&amp;sheet=A0&amp;row=550&amp;col=7&amp;number=0&amp;sourceID=14","0")</f>
        <v>0</v>
      </c>
    </row>
    <row r="551" spans="1:7">
      <c r="A551" s="3">
        <v>20</v>
      </c>
      <c r="B551" s="3">
        <v>5</v>
      </c>
      <c r="C551" s="3">
        <v>113</v>
      </c>
      <c r="D551" s="3">
        <v>10</v>
      </c>
      <c r="E551" s="3">
        <v>21.967</v>
      </c>
      <c r="F551" s="4" t="str">
        <f>HYPERLINK("http://141.218.60.56/~jnz1568/getInfo.php?workbook=20_05.xlsx&amp;sheet=A0&amp;row=551&amp;col=6&amp;number=6090000000000&amp;sourceID=14","6090000000000")</f>
        <v>6090000000000</v>
      </c>
      <c r="G551" s="4" t="str">
        <f>HYPERLINK("http://141.218.60.56/~jnz1568/getInfo.php?workbook=20_05.xlsx&amp;sheet=A0&amp;row=551&amp;col=7&amp;number=0&amp;sourceID=14","0")</f>
        <v>0</v>
      </c>
    </row>
    <row r="552" spans="1:7">
      <c r="A552" s="3">
        <v>20</v>
      </c>
      <c r="B552" s="3">
        <v>5</v>
      </c>
      <c r="C552" s="3">
        <v>114</v>
      </c>
      <c r="D552" s="3">
        <v>10</v>
      </c>
      <c r="E552" s="3">
        <v>-21.728</v>
      </c>
      <c r="F552" s="4" t="str">
        <f>HYPERLINK("http://141.218.60.56/~jnz1568/getInfo.php?workbook=20_05.xlsx&amp;sheet=A0&amp;row=552&amp;col=6&amp;number=7806000000&amp;sourceID=14","7806000000")</f>
        <v>7806000000</v>
      </c>
      <c r="G552" s="4" t="str">
        <f>HYPERLINK("http://141.218.60.56/~jnz1568/getInfo.php?workbook=20_05.xlsx&amp;sheet=A0&amp;row=552&amp;col=7&amp;number=0&amp;sourceID=14","0")</f>
        <v>0</v>
      </c>
    </row>
    <row r="553" spans="1:7">
      <c r="A553" s="3">
        <v>20</v>
      </c>
      <c r="B553" s="3">
        <v>5</v>
      </c>
      <c r="C553" s="3">
        <v>115</v>
      </c>
      <c r="D553" s="3">
        <v>10</v>
      </c>
      <c r="E553" s="3">
        <v>-21.638</v>
      </c>
      <c r="F553" s="4" t="str">
        <f>HYPERLINK("http://141.218.60.56/~jnz1568/getInfo.php?workbook=20_05.xlsx&amp;sheet=A0&amp;row=553&amp;col=6&amp;number=174400000000&amp;sourceID=14","174400000000")</f>
        <v>174400000000</v>
      </c>
      <c r="G553" s="4" t="str">
        <f>HYPERLINK("http://141.218.60.56/~jnz1568/getInfo.php?workbook=20_05.xlsx&amp;sheet=A0&amp;row=553&amp;col=7&amp;number=0&amp;sourceID=14","0")</f>
        <v>0</v>
      </c>
    </row>
    <row r="554" spans="1:7">
      <c r="A554" s="3">
        <v>20</v>
      </c>
      <c r="B554" s="3">
        <v>5</v>
      </c>
      <c r="C554" s="3">
        <v>116</v>
      </c>
      <c r="D554" s="3">
        <v>10</v>
      </c>
      <c r="E554" s="3">
        <v>-21.485</v>
      </c>
      <c r="F554" s="4" t="str">
        <f>HYPERLINK("http://141.218.60.56/~jnz1568/getInfo.php?workbook=20_05.xlsx&amp;sheet=A0&amp;row=554&amp;col=6&amp;number=811300000000&amp;sourceID=14","811300000000")</f>
        <v>811300000000</v>
      </c>
      <c r="G554" s="4" t="str">
        <f>HYPERLINK("http://141.218.60.56/~jnz1568/getInfo.php?workbook=20_05.xlsx&amp;sheet=A0&amp;row=554&amp;col=7&amp;number=0&amp;sourceID=14","0")</f>
        <v>0</v>
      </c>
    </row>
    <row r="555" spans="1:7">
      <c r="A555" s="3">
        <v>20</v>
      </c>
      <c r="B555" s="3">
        <v>5</v>
      </c>
      <c r="C555" s="3">
        <v>117</v>
      </c>
      <c r="D555" s="3">
        <v>10</v>
      </c>
      <c r="E555" s="3">
        <v>-21.224</v>
      </c>
      <c r="F555" s="4" t="str">
        <f>HYPERLINK("http://141.218.60.56/~jnz1568/getInfo.php?workbook=20_05.xlsx&amp;sheet=A0&amp;row=555&amp;col=6&amp;number=35850000000&amp;sourceID=14","35850000000")</f>
        <v>35850000000</v>
      </c>
      <c r="G555" s="4" t="str">
        <f>HYPERLINK("http://141.218.60.56/~jnz1568/getInfo.php?workbook=20_05.xlsx&amp;sheet=A0&amp;row=555&amp;col=7&amp;number=0&amp;sourceID=14","0")</f>
        <v>0</v>
      </c>
    </row>
    <row r="556" spans="1:7">
      <c r="A556" s="3">
        <v>20</v>
      </c>
      <c r="B556" s="3">
        <v>5</v>
      </c>
      <c r="C556" s="3">
        <v>118</v>
      </c>
      <c r="D556" s="3">
        <v>10</v>
      </c>
      <c r="E556" s="3">
        <v>-21.061</v>
      </c>
      <c r="F556" s="4" t="str">
        <f>HYPERLINK("http://141.218.60.56/~jnz1568/getInfo.php?workbook=20_05.xlsx&amp;sheet=A0&amp;row=556&amp;col=6&amp;number=973400000000&amp;sourceID=14","973400000000")</f>
        <v>973400000000</v>
      </c>
      <c r="G556" s="4" t="str">
        <f>HYPERLINK("http://141.218.60.56/~jnz1568/getInfo.php?workbook=20_05.xlsx&amp;sheet=A0&amp;row=556&amp;col=7&amp;number=0&amp;sourceID=14","0")</f>
        <v>0</v>
      </c>
    </row>
    <row r="557" spans="1:7">
      <c r="A557" s="3">
        <v>20</v>
      </c>
      <c r="B557" s="3">
        <v>5</v>
      </c>
      <c r="C557" s="3">
        <v>87</v>
      </c>
      <c r="D557" s="3">
        <v>5</v>
      </c>
      <c r="E557" s="3">
        <v>-23.644</v>
      </c>
      <c r="F557" s="4" t="str">
        <f>HYPERLINK("http://141.218.60.56/~jnz1568/getInfo.php?workbook=20_05.xlsx&amp;sheet=A0&amp;row=557&amp;col=6&amp;number=772400000&amp;sourceID=14","772400000")</f>
        <v>772400000</v>
      </c>
      <c r="G557" s="4" t="str">
        <f>HYPERLINK("http://141.218.60.56/~jnz1568/getInfo.php?workbook=20_05.xlsx&amp;sheet=A0&amp;row=557&amp;col=7&amp;number=0&amp;sourceID=14","0")</f>
        <v>0</v>
      </c>
    </row>
    <row r="558" spans="1:7">
      <c r="A558" s="3">
        <v>20</v>
      </c>
      <c r="B558" s="3">
        <v>5</v>
      </c>
      <c r="C558" s="3">
        <v>88</v>
      </c>
      <c r="D558" s="3">
        <v>5</v>
      </c>
      <c r="E558" s="3">
        <v>-22.916</v>
      </c>
      <c r="F558" s="4" t="str">
        <f>HYPERLINK("http://141.218.60.56/~jnz1568/getInfo.php?workbook=20_05.xlsx&amp;sheet=A0&amp;row=558&amp;col=6&amp;number=379900000000&amp;sourceID=14","379900000000")</f>
        <v>379900000000</v>
      </c>
      <c r="G558" s="4" t="str">
        <f>HYPERLINK("http://141.218.60.56/~jnz1568/getInfo.php?workbook=20_05.xlsx&amp;sheet=A0&amp;row=558&amp;col=7&amp;number=0&amp;sourceID=14","0")</f>
        <v>0</v>
      </c>
    </row>
    <row r="559" spans="1:7">
      <c r="A559" s="3">
        <v>20</v>
      </c>
      <c r="B559" s="3">
        <v>5</v>
      </c>
      <c r="C559" s="3">
        <v>89</v>
      </c>
      <c r="D559" s="3">
        <v>5</v>
      </c>
      <c r="E559" s="3">
        <v>-22.495</v>
      </c>
      <c r="F559" s="4" t="str">
        <f>HYPERLINK("http://141.218.60.56/~jnz1568/getInfo.php?workbook=20_05.xlsx&amp;sheet=A0&amp;row=559&amp;col=6&amp;number=810400000&amp;sourceID=14","810400000")</f>
        <v>810400000</v>
      </c>
      <c r="G559" s="4" t="str">
        <f>HYPERLINK("http://141.218.60.56/~jnz1568/getInfo.php?workbook=20_05.xlsx&amp;sheet=A0&amp;row=559&amp;col=7&amp;number=0&amp;sourceID=14","0")</f>
        <v>0</v>
      </c>
    </row>
    <row r="560" spans="1:7">
      <c r="A560" s="3">
        <v>20</v>
      </c>
      <c r="B560" s="3">
        <v>5</v>
      </c>
      <c r="C560" s="3">
        <v>90</v>
      </c>
      <c r="D560" s="3">
        <v>5</v>
      </c>
      <c r="E560" s="3">
        <v>-21.816</v>
      </c>
      <c r="F560" s="4" t="str">
        <f>HYPERLINK("http://141.218.60.56/~jnz1568/getInfo.php?workbook=20_05.xlsx&amp;sheet=A0&amp;row=560&amp;col=6&amp;number=6651000000&amp;sourceID=14","6651000000")</f>
        <v>6651000000</v>
      </c>
      <c r="G560" s="4" t="str">
        <f>HYPERLINK("http://141.218.60.56/~jnz1568/getInfo.php?workbook=20_05.xlsx&amp;sheet=A0&amp;row=560&amp;col=7&amp;number=0&amp;sourceID=14","0")</f>
        <v>0</v>
      </c>
    </row>
    <row r="561" spans="1:7">
      <c r="A561" s="3">
        <v>20</v>
      </c>
      <c r="B561" s="3">
        <v>5</v>
      </c>
      <c r="C561" s="3">
        <v>91</v>
      </c>
      <c r="D561" s="3">
        <v>5</v>
      </c>
      <c r="E561" s="3">
        <v>21.601</v>
      </c>
      <c r="F561" s="4" t="str">
        <f>HYPERLINK("http://141.218.60.56/~jnz1568/getInfo.php?workbook=20_05.xlsx&amp;sheet=A0&amp;row=561&amp;col=6&amp;number=5437000000&amp;sourceID=14","5437000000")</f>
        <v>5437000000</v>
      </c>
      <c r="G561" s="4" t="str">
        <f>HYPERLINK("http://141.218.60.56/~jnz1568/getInfo.php?workbook=20_05.xlsx&amp;sheet=A0&amp;row=561&amp;col=7&amp;number=0&amp;sourceID=14","0")</f>
        <v>0</v>
      </c>
    </row>
    <row r="562" spans="1:7">
      <c r="A562" s="3">
        <v>20</v>
      </c>
      <c r="B562" s="3">
        <v>5</v>
      </c>
      <c r="C562" s="3">
        <v>92</v>
      </c>
      <c r="D562" s="3">
        <v>5</v>
      </c>
      <c r="E562" s="3">
        <v>-21.593</v>
      </c>
      <c r="F562" s="4" t="str">
        <f>HYPERLINK("http://141.218.60.56/~jnz1568/getInfo.php?workbook=20_05.xlsx&amp;sheet=A0&amp;row=562&amp;col=6&amp;number=9243000000&amp;sourceID=14","9243000000")</f>
        <v>9243000000</v>
      </c>
      <c r="G562" s="4" t="str">
        <f>HYPERLINK("http://141.218.60.56/~jnz1568/getInfo.php?workbook=20_05.xlsx&amp;sheet=A0&amp;row=562&amp;col=7&amp;number=0&amp;sourceID=14","0")</f>
        <v>0</v>
      </c>
    </row>
    <row r="563" spans="1:7">
      <c r="A563" s="3">
        <v>20</v>
      </c>
      <c r="B563" s="3">
        <v>5</v>
      </c>
      <c r="C563" s="3">
        <v>93</v>
      </c>
      <c r="D563" s="3">
        <v>5</v>
      </c>
      <c r="E563" s="3">
        <v>-21.572</v>
      </c>
      <c r="F563" s="4" t="str">
        <f>HYPERLINK("http://141.218.60.56/~jnz1568/getInfo.php?workbook=20_05.xlsx&amp;sheet=A0&amp;row=563&amp;col=6&amp;number=12600000000&amp;sourceID=14","12600000000")</f>
        <v>12600000000</v>
      </c>
      <c r="G563" s="4" t="str">
        <f>HYPERLINK("http://141.218.60.56/~jnz1568/getInfo.php?workbook=20_05.xlsx&amp;sheet=A0&amp;row=563&amp;col=7&amp;number=0&amp;sourceID=14","0")</f>
        <v>0</v>
      </c>
    </row>
    <row r="564" spans="1:7">
      <c r="A564" s="3">
        <v>20</v>
      </c>
      <c r="B564" s="3">
        <v>5</v>
      </c>
      <c r="C564" s="3">
        <v>94</v>
      </c>
      <c r="D564" s="3">
        <v>5</v>
      </c>
      <c r="E564" s="3">
        <v>-21.488</v>
      </c>
      <c r="F564" s="4" t="str">
        <f>HYPERLINK("http://141.218.60.56/~jnz1568/getInfo.php?workbook=20_05.xlsx&amp;sheet=A0&amp;row=564&amp;col=6&amp;number=2369000000000&amp;sourceID=14","2369000000000")</f>
        <v>2369000000000</v>
      </c>
      <c r="G564" s="4" t="str">
        <f>HYPERLINK("http://141.218.60.56/~jnz1568/getInfo.php?workbook=20_05.xlsx&amp;sheet=A0&amp;row=564&amp;col=7&amp;number=0&amp;sourceID=14","0")</f>
        <v>0</v>
      </c>
    </row>
    <row r="565" spans="1:7">
      <c r="A565" s="3">
        <v>20</v>
      </c>
      <c r="B565" s="3">
        <v>5</v>
      </c>
      <c r="C565" s="3">
        <v>95</v>
      </c>
      <c r="D565" s="3">
        <v>5</v>
      </c>
      <c r="E565" s="3">
        <v>-21.216</v>
      </c>
      <c r="F565" s="4" t="str">
        <f>HYPERLINK("http://141.218.60.56/~jnz1568/getInfo.php?workbook=20_05.xlsx&amp;sheet=A0&amp;row=565&amp;col=6&amp;number=1297000000&amp;sourceID=14","1297000000")</f>
        <v>1297000000</v>
      </c>
      <c r="G565" s="4" t="str">
        <f>HYPERLINK("http://141.218.60.56/~jnz1568/getInfo.php?workbook=20_05.xlsx&amp;sheet=A0&amp;row=565&amp;col=7&amp;number=0&amp;sourceID=14","0")</f>
        <v>0</v>
      </c>
    </row>
    <row r="566" spans="1:7">
      <c r="A566" s="3">
        <v>20</v>
      </c>
      <c r="B566" s="3">
        <v>5</v>
      </c>
      <c r="C566" s="3">
        <v>96</v>
      </c>
      <c r="D566" s="3">
        <v>5</v>
      </c>
      <c r="E566" s="3">
        <v>-20.459</v>
      </c>
      <c r="F566" s="4" t="str">
        <f>HYPERLINK("http://141.218.60.56/~jnz1568/getInfo.php?workbook=20_05.xlsx&amp;sheet=A0&amp;row=566&amp;col=6&amp;number=113600000&amp;sourceID=14","113600000")</f>
        <v>113600000</v>
      </c>
      <c r="G566" s="4" t="str">
        <f>HYPERLINK("http://141.218.60.56/~jnz1568/getInfo.php?workbook=20_05.xlsx&amp;sheet=A0&amp;row=566&amp;col=7&amp;number=0&amp;sourceID=14","0")</f>
        <v>0</v>
      </c>
    </row>
    <row r="567" spans="1:7">
      <c r="A567" s="3">
        <v>20</v>
      </c>
      <c r="B567" s="3">
        <v>5</v>
      </c>
      <c r="C567" s="3">
        <v>97</v>
      </c>
      <c r="D567" s="3">
        <v>5</v>
      </c>
      <c r="E567" s="3">
        <v>-20.349</v>
      </c>
      <c r="F567" s="4" t="str">
        <f>HYPERLINK("http://141.218.60.56/~jnz1568/getInfo.php?workbook=20_05.xlsx&amp;sheet=A0&amp;row=567&amp;col=6&amp;number=576600000&amp;sourceID=14","576600000")</f>
        <v>576600000</v>
      </c>
      <c r="G567" s="4" t="str">
        <f>HYPERLINK("http://141.218.60.56/~jnz1568/getInfo.php?workbook=20_05.xlsx&amp;sheet=A0&amp;row=567&amp;col=7&amp;number=0&amp;sourceID=14","0")</f>
        <v>0</v>
      </c>
    </row>
    <row r="568" spans="1:7">
      <c r="A568" s="3">
        <v>20</v>
      </c>
      <c r="B568" s="3">
        <v>5</v>
      </c>
      <c r="C568" s="3">
        <v>98</v>
      </c>
      <c r="D568" s="3">
        <v>5</v>
      </c>
      <c r="E568" s="3">
        <v>-20.272</v>
      </c>
      <c r="F568" s="4" t="str">
        <f>HYPERLINK("http://141.218.60.56/~jnz1568/getInfo.php?workbook=20_05.xlsx&amp;sheet=A0&amp;row=568&amp;col=6&amp;number=4400000000&amp;sourceID=14","4400000000")</f>
        <v>4400000000</v>
      </c>
      <c r="G568" s="4" t="str">
        <f>HYPERLINK("http://141.218.60.56/~jnz1568/getInfo.php?workbook=20_05.xlsx&amp;sheet=A0&amp;row=568&amp;col=7&amp;number=0&amp;sourceID=14","0")</f>
        <v>0</v>
      </c>
    </row>
    <row r="569" spans="1:7">
      <c r="A569" s="3">
        <v>20</v>
      </c>
      <c r="B569" s="3">
        <v>5</v>
      </c>
      <c r="C569" s="3">
        <v>99</v>
      </c>
      <c r="D569" s="3">
        <v>5</v>
      </c>
      <c r="E569" s="3">
        <v>-20.177</v>
      </c>
      <c r="F569" s="4" t="str">
        <f>HYPERLINK("http://141.218.60.56/~jnz1568/getInfo.php?workbook=20_05.xlsx&amp;sheet=A0&amp;row=569&amp;col=6&amp;number=254100000000&amp;sourceID=14","254100000000")</f>
        <v>254100000000</v>
      </c>
      <c r="G569" s="4" t="str">
        <f>HYPERLINK("http://141.218.60.56/~jnz1568/getInfo.php?workbook=20_05.xlsx&amp;sheet=A0&amp;row=569&amp;col=7&amp;number=0&amp;sourceID=14","0")</f>
        <v>0</v>
      </c>
    </row>
    <row r="570" spans="1:7">
      <c r="A570" s="3">
        <v>20</v>
      </c>
      <c r="B570" s="3">
        <v>5</v>
      </c>
      <c r="C570" s="3">
        <v>100</v>
      </c>
      <c r="D570" s="3">
        <v>5</v>
      </c>
      <c r="E570" s="3">
        <v>-20.107</v>
      </c>
      <c r="F570" s="4" t="str">
        <f>HYPERLINK("http://141.218.60.56/~jnz1568/getInfo.php?workbook=20_05.xlsx&amp;sheet=A0&amp;row=570&amp;col=6&amp;number=43660000000&amp;sourceID=14","43660000000")</f>
        <v>43660000000</v>
      </c>
      <c r="G570" s="4" t="str">
        <f>HYPERLINK("http://141.218.60.56/~jnz1568/getInfo.php?workbook=20_05.xlsx&amp;sheet=A0&amp;row=570&amp;col=7&amp;number=0&amp;sourceID=14","0")</f>
        <v>0</v>
      </c>
    </row>
    <row r="571" spans="1:7">
      <c r="A571" s="3">
        <v>20</v>
      </c>
      <c r="B571" s="3">
        <v>5</v>
      </c>
      <c r="C571" s="3">
        <v>101</v>
      </c>
      <c r="D571" s="3">
        <v>5</v>
      </c>
      <c r="E571" s="3">
        <v>-19.967</v>
      </c>
      <c r="F571" s="4" t="str">
        <f>HYPERLINK("http://141.218.60.56/~jnz1568/getInfo.php?workbook=20_05.xlsx&amp;sheet=A0&amp;row=571&amp;col=6&amp;number=900800000000&amp;sourceID=14","900800000000")</f>
        <v>900800000000</v>
      </c>
      <c r="G571" s="4" t="str">
        <f>HYPERLINK("http://141.218.60.56/~jnz1568/getInfo.php?workbook=20_05.xlsx&amp;sheet=A0&amp;row=571&amp;col=7&amp;number=0&amp;sourceID=14","0")</f>
        <v>0</v>
      </c>
    </row>
    <row r="572" spans="1:7">
      <c r="A572" s="3">
        <v>20</v>
      </c>
      <c r="B572" s="3">
        <v>5</v>
      </c>
      <c r="C572" s="3">
        <v>102</v>
      </c>
      <c r="D572" s="3">
        <v>5</v>
      </c>
      <c r="E572" s="3">
        <v>-19.946</v>
      </c>
      <c r="F572" s="4" t="str">
        <f>HYPERLINK("http://141.218.60.56/~jnz1568/getInfo.php?workbook=20_05.xlsx&amp;sheet=A0&amp;row=572&amp;col=6&amp;number=214700000000&amp;sourceID=14","214700000000")</f>
        <v>214700000000</v>
      </c>
      <c r="G572" s="4" t="str">
        <f>HYPERLINK("http://141.218.60.56/~jnz1568/getInfo.php?workbook=20_05.xlsx&amp;sheet=A0&amp;row=572&amp;col=7&amp;number=0&amp;sourceID=14","0")</f>
        <v>0</v>
      </c>
    </row>
    <row r="573" spans="1:7">
      <c r="A573" s="3">
        <v>20</v>
      </c>
      <c r="B573" s="3">
        <v>5</v>
      </c>
      <c r="C573" s="3">
        <v>103</v>
      </c>
      <c r="D573" s="3">
        <v>5</v>
      </c>
      <c r="E573" s="3">
        <v>-19.643</v>
      </c>
      <c r="F573" s="4" t="str">
        <f>HYPERLINK("http://141.218.60.56/~jnz1568/getInfo.php?workbook=20_05.xlsx&amp;sheet=A0&amp;row=573&amp;col=6&amp;number=3640000000&amp;sourceID=14","3640000000")</f>
        <v>3640000000</v>
      </c>
      <c r="G573" s="4" t="str">
        <f>HYPERLINK("http://141.218.60.56/~jnz1568/getInfo.php?workbook=20_05.xlsx&amp;sheet=A0&amp;row=573&amp;col=7&amp;number=0&amp;sourceID=14","0")</f>
        <v>0</v>
      </c>
    </row>
    <row r="574" spans="1:7">
      <c r="A574" s="3">
        <v>20</v>
      </c>
      <c r="B574" s="3">
        <v>5</v>
      </c>
      <c r="C574" s="3">
        <v>104</v>
      </c>
      <c r="D574" s="3">
        <v>5</v>
      </c>
      <c r="E574" s="3">
        <v>-19.471</v>
      </c>
      <c r="F574" s="4" t="str">
        <f>HYPERLINK("http://141.218.60.56/~jnz1568/getInfo.php?workbook=20_05.xlsx&amp;sheet=A0&amp;row=574&amp;col=6&amp;number=3793000000&amp;sourceID=14","3793000000")</f>
        <v>3793000000</v>
      </c>
      <c r="G574" s="4" t="str">
        <f>HYPERLINK("http://141.218.60.56/~jnz1568/getInfo.php?workbook=20_05.xlsx&amp;sheet=A0&amp;row=574&amp;col=7&amp;number=0&amp;sourceID=14","0")</f>
        <v>0</v>
      </c>
    </row>
    <row r="575" spans="1:7">
      <c r="A575" s="3">
        <v>20</v>
      </c>
      <c r="B575" s="3">
        <v>5</v>
      </c>
      <c r="C575" s="3">
        <v>105</v>
      </c>
      <c r="D575" s="3">
        <v>5</v>
      </c>
      <c r="E575" s="3">
        <v>-19.05</v>
      </c>
      <c r="F575" s="4" t="str">
        <f>HYPERLINK("http://141.218.60.56/~jnz1568/getInfo.php?workbook=20_05.xlsx&amp;sheet=A0&amp;row=575&amp;col=6&amp;number=54590000&amp;sourceID=14","54590000")</f>
        <v>54590000</v>
      </c>
      <c r="G575" s="4" t="str">
        <f>HYPERLINK("http://141.218.60.56/~jnz1568/getInfo.php?workbook=20_05.xlsx&amp;sheet=A0&amp;row=575&amp;col=7&amp;number=0&amp;sourceID=14","0")</f>
        <v>0</v>
      </c>
    </row>
    <row r="576" spans="1:7">
      <c r="A576" s="3">
        <v>20</v>
      </c>
      <c r="B576" s="3">
        <v>5</v>
      </c>
      <c r="C576" s="3">
        <v>87</v>
      </c>
      <c r="D576" s="3">
        <v>7</v>
      </c>
      <c r="E576" s="3">
        <v>-24.702</v>
      </c>
      <c r="F576" s="4" t="str">
        <f>HYPERLINK("http://141.218.60.56/~jnz1568/getInfo.php?workbook=20_05.xlsx&amp;sheet=A0&amp;row=576&amp;col=6&amp;number=29550000000&amp;sourceID=14","29550000000")</f>
        <v>29550000000</v>
      </c>
      <c r="G576" s="4" t="str">
        <f>HYPERLINK("http://141.218.60.56/~jnz1568/getInfo.php?workbook=20_05.xlsx&amp;sheet=A0&amp;row=576&amp;col=7&amp;number=0&amp;sourceID=14","0")</f>
        <v>0</v>
      </c>
    </row>
    <row r="577" spans="1:7">
      <c r="A577" s="3">
        <v>20</v>
      </c>
      <c r="B577" s="3">
        <v>5</v>
      </c>
      <c r="C577" s="3">
        <v>88</v>
      </c>
      <c r="D577" s="3">
        <v>7</v>
      </c>
      <c r="E577" s="3">
        <v>-23.908</v>
      </c>
      <c r="F577" s="4" t="str">
        <f>HYPERLINK("http://141.218.60.56/~jnz1568/getInfo.php?workbook=20_05.xlsx&amp;sheet=A0&amp;row=577&amp;col=6&amp;number=3998000000&amp;sourceID=14","3998000000")</f>
        <v>3998000000</v>
      </c>
      <c r="G577" s="4" t="str">
        <f>HYPERLINK("http://141.218.60.56/~jnz1568/getInfo.php?workbook=20_05.xlsx&amp;sheet=A0&amp;row=577&amp;col=7&amp;number=0&amp;sourceID=14","0")</f>
        <v>0</v>
      </c>
    </row>
    <row r="578" spans="1:7">
      <c r="A578" s="3">
        <v>20</v>
      </c>
      <c r="B578" s="3">
        <v>5</v>
      </c>
      <c r="C578" s="3">
        <v>89</v>
      </c>
      <c r="D578" s="3">
        <v>7</v>
      </c>
      <c r="E578" s="3">
        <v>-23.45</v>
      </c>
      <c r="F578" s="4" t="str">
        <f>HYPERLINK("http://141.218.60.56/~jnz1568/getInfo.php?workbook=20_05.xlsx&amp;sheet=A0&amp;row=578&amp;col=6&amp;number=467300000000&amp;sourceID=14","467300000000")</f>
        <v>467300000000</v>
      </c>
      <c r="G578" s="4" t="str">
        <f>HYPERLINK("http://141.218.60.56/~jnz1568/getInfo.php?workbook=20_05.xlsx&amp;sheet=A0&amp;row=578&amp;col=7&amp;number=0&amp;sourceID=14","0")</f>
        <v>0</v>
      </c>
    </row>
    <row r="579" spans="1:7">
      <c r="A579" s="3">
        <v>20</v>
      </c>
      <c r="B579" s="3">
        <v>5</v>
      </c>
      <c r="C579" s="3">
        <v>90</v>
      </c>
      <c r="D579" s="3">
        <v>7</v>
      </c>
      <c r="E579" s="3">
        <v>-22.713</v>
      </c>
      <c r="F579" s="4" t="str">
        <f>HYPERLINK("http://141.218.60.56/~jnz1568/getInfo.php?workbook=20_05.xlsx&amp;sheet=A0&amp;row=579&amp;col=6&amp;number=4505000000&amp;sourceID=14","4505000000")</f>
        <v>4505000000</v>
      </c>
      <c r="G579" s="4" t="str">
        <f>HYPERLINK("http://141.218.60.56/~jnz1568/getInfo.php?workbook=20_05.xlsx&amp;sheet=A0&amp;row=579&amp;col=7&amp;number=0&amp;sourceID=14","0")</f>
        <v>0</v>
      </c>
    </row>
    <row r="580" spans="1:7">
      <c r="A580" s="3">
        <v>20</v>
      </c>
      <c r="B580" s="3">
        <v>5</v>
      </c>
      <c r="C580" s="3">
        <v>91</v>
      </c>
      <c r="D580" s="3">
        <v>7</v>
      </c>
      <c r="E580" s="3">
        <v>22.482</v>
      </c>
      <c r="F580" s="4" t="str">
        <f>HYPERLINK("http://141.218.60.56/~jnz1568/getInfo.php?workbook=20_05.xlsx&amp;sheet=A0&amp;row=580&amp;col=6&amp;number=25530000000&amp;sourceID=14","25530000000")</f>
        <v>25530000000</v>
      </c>
      <c r="G580" s="4" t="str">
        <f>HYPERLINK("http://141.218.60.56/~jnz1568/getInfo.php?workbook=20_05.xlsx&amp;sheet=A0&amp;row=580&amp;col=7&amp;number=0&amp;sourceID=14","0")</f>
        <v>0</v>
      </c>
    </row>
    <row r="581" spans="1:7">
      <c r="A581" s="3">
        <v>20</v>
      </c>
      <c r="B581" s="3">
        <v>5</v>
      </c>
      <c r="C581" s="3">
        <v>92</v>
      </c>
      <c r="D581" s="3">
        <v>7</v>
      </c>
      <c r="E581" s="3">
        <v>-22.472</v>
      </c>
      <c r="F581" s="4" t="str">
        <f>HYPERLINK("http://141.218.60.56/~jnz1568/getInfo.php?workbook=20_05.xlsx&amp;sheet=A0&amp;row=581&amp;col=6&amp;number=75940000000&amp;sourceID=14","75940000000")</f>
        <v>75940000000</v>
      </c>
      <c r="G581" s="4" t="str">
        <f>HYPERLINK("http://141.218.60.56/~jnz1568/getInfo.php?workbook=20_05.xlsx&amp;sheet=A0&amp;row=581&amp;col=7&amp;number=0&amp;sourceID=14","0")</f>
        <v>0</v>
      </c>
    </row>
    <row r="582" spans="1:7">
      <c r="A582" s="3">
        <v>20</v>
      </c>
      <c r="B582" s="3">
        <v>5</v>
      </c>
      <c r="C582" s="3">
        <v>93</v>
      </c>
      <c r="D582" s="3">
        <v>7</v>
      </c>
      <c r="E582" s="3">
        <v>-22.448</v>
      </c>
      <c r="F582" s="4" t="str">
        <f>HYPERLINK("http://141.218.60.56/~jnz1568/getInfo.php?workbook=20_05.xlsx&amp;sheet=A0&amp;row=582&amp;col=6&amp;number=388200000000&amp;sourceID=14","388200000000")</f>
        <v>388200000000</v>
      </c>
      <c r="G582" s="4" t="str">
        <f>HYPERLINK("http://141.218.60.56/~jnz1568/getInfo.php?workbook=20_05.xlsx&amp;sheet=A0&amp;row=582&amp;col=7&amp;number=0&amp;sourceID=14","0")</f>
        <v>0</v>
      </c>
    </row>
    <row r="583" spans="1:7">
      <c r="A583" s="3">
        <v>20</v>
      </c>
      <c r="B583" s="3">
        <v>5</v>
      </c>
      <c r="C583" s="3">
        <v>94</v>
      </c>
      <c r="D583" s="3">
        <v>7</v>
      </c>
      <c r="E583" s="3">
        <v>-22.358</v>
      </c>
      <c r="F583" s="4" t="str">
        <f>HYPERLINK("http://141.218.60.56/~jnz1568/getInfo.php?workbook=20_05.xlsx&amp;sheet=A0&amp;row=583&amp;col=6&amp;number=16930000000&amp;sourceID=14","16930000000")</f>
        <v>16930000000</v>
      </c>
      <c r="G583" s="4" t="str">
        <f>HYPERLINK("http://141.218.60.56/~jnz1568/getInfo.php?workbook=20_05.xlsx&amp;sheet=A0&amp;row=583&amp;col=7&amp;number=0&amp;sourceID=14","0")</f>
        <v>0</v>
      </c>
    </row>
    <row r="584" spans="1:7">
      <c r="A584" s="3">
        <v>20</v>
      </c>
      <c r="B584" s="3">
        <v>5</v>
      </c>
      <c r="C584" s="3">
        <v>95</v>
      </c>
      <c r="D584" s="3">
        <v>7</v>
      </c>
      <c r="E584" s="3">
        <v>-22.064</v>
      </c>
      <c r="F584" s="4" t="str">
        <f>HYPERLINK("http://141.218.60.56/~jnz1568/getInfo.php?workbook=20_05.xlsx&amp;sheet=A0&amp;row=584&amp;col=6&amp;number=159200000000&amp;sourceID=14","159200000000")</f>
        <v>159200000000</v>
      </c>
      <c r="G584" s="4" t="str">
        <f>HYPERLINK("http://141.218.60.56/~jnz1568/getInfo.php?workbook=20_05.xlsx&amp;sheet=A0&amp;row=584&amp;col=7&amp;number=0&amp;sourceID=14","0")</f>
        <v>0</v>
      </c>
    </row>
    <row r="585" spans="1:7">
      <c r="A585" s="3">
        <v>20</v>
      </c>
      <c r="B585" s="3">
        <v>5</v>
      </c>
      <c r="C585" s="3">
        <v>96</v>
      </c>
      <c r="D585" s="3">
        <v>7</v>
      </c>
      <c r="E585" s="3">
        <v>-21.245</v>
      </c>
      <c r="F585" s="4" t="str">
        <f>HYPERLINK("http://141.218.60.56/~jnz1568/getInfo.php?workbook=20_05.xlsx&amp;sheet=A0&amp;row=585&amp;col=6&amp;number=48900000000&amp;sourceID=14","48900000000")</f>
        <v>48900000000</v>
      </c>
      <c r="G585" s="4" t="str">
        <f>HYPERLINK("http://141.218.60.56/~jnz1568/getInfo.php?workbook=20_05.xlsx&amp;sheet=A0&amp;row=585&amp;col=7&amp;number=0&amp;sourceID=14","0")</f>
        <v>0</v>
      </c>
    </row>
    <row r="586" spans="1:7">
      <c r="A586" s="3">
        <v>20</v>
      </c>
      <c r="B586" s="3">
        <v>5</v>
      </c>
      <c r="C586" s="3">
        <v>97</v>
      </c>
      <c r="D586" s="3">
        <v>7</v>
      </c>
      <c r="E586" s="3">
        <v>-21.128</v>
      </c>
      <c r="F586" s="4" t="str">
        <f>HYPERLINK("http://141.218.60.56/~jnz1568/getInfo.php?workbook=20_05.xlsx&amp;sheet=A0&amp;row=586&amp;col=6&amp;number=91910000000&amp;sourceID=14","91910000000")</f>
        <v>91910000000</v>
      </c>
      <c r="G586" s="4" t="str">
        <f>HYPERLINK("http://141.218.60.56/~jnz1568/getInfo.php?workbook=20_05.xlsx&amp;sheet=A0&amp;row=586&amp;col=7&amp;number=0&amp;sourceID=14","0")</f>
        <v>0</v>
      </c>
    </row>
    <row r="587" spans="1:7">
      <c r="A587" s="3">
        <v>20</v>
      </c>
      <c r="B587" s="3">
        <v>5</v>
      </c>
      <c r="C587" s="3">
        <v>98</v>
      </c>
      <c r="D587" s="3">
        <v>7</v>
      </c>
      <c r="E587" s="3">
        <v>-21.044</v>
      </c>
      <c r="F587" s="4" t="str">
        <f>HYPERLINK("http://141.218.60.56/~jnz1568/getInfo.php?workbook=20_05.xlsx&amp;sheet=A0&amp;row=587&amp;col=6&amp;number=4379000000&amp;sourceID=14","4379000000")</f>
        <v>4379000000</v>
      </c>
      <c r="G587" s="4" t="str">
        <f>HYPERLINK("http://141.218.60.56/~jnz1568/getInfo.php?workbook=20_05.xlsx&amp;sheet=A0&amp;row=587&amp;col=7&amp;number=0&amp;sourceID=14","0")</f>
        <v>0</v>
      </c>
    </row>
    <row r="588" spans="1:7">
      <c r="A588" s="3">
        <v>20</v>
      </c>
      <c r="B588" s="3">
        <v>5</v>
      </c>
      <c r="C588" s="3">
        <v>99</v>
      </c>
      <c r="D588" s="3">
        <v>7</v>
      </c>
      <c r="E588" s="3">
        <v>-20.942</v>
      </c>
      <c r="F588" s="4" t="str">
        <f>HYPERLINK("http://141.218.60.56/~jnz1568/getInfo.php?workbook=20_05.xlsx&amp;sheet=A0&amp;row=588&amp;col=6&amp;number=7589000000&amp;sourceID=14","7589000000")</f>
        <v>7589000000</v>
      </c>
      <c r="G588" s="4" t="str">
        <f>HYPERLINK("http://141.218.60.56/~jnz1568/getInfo.php?workbook=20_05.xlsx&amp;sheet=A0&amp;row=588&amp;col=7&amp;number=0&amp;sourceID=14","0")</f>
        <v>0</v>
      </c>
    </row>
    <row r="589" spans="1:7">
      <c r="A589" s="3">
        <v>20</v>
      </c>
      <c r="B589" s="3">
        <v>5</v>
      </c>
      <c r="C589" s="3">
        <v>100</v>
      </c>
      <c r="D589" s="3">
        <v>7</v>
      </c>
      <c r="E589" s="3">
        <v>-20.867</v>
      </c>
      <c r="F589" s="4" t="str">
        <f>HYPERLINK("http://141.218.60.56/~jnz1568/getInfo.php?workbook=20_05.xlsx&amp;sheet=A0&amp;row=589&amp;col=6&amp;number=7496000000&amp;sourceID=14","7496000000")</f>
        <v>7496000000</v>
      </c>
      <c r="G589" s="4" t="str">
        <f>HYPERLINK("http://141.218.60.56/~jnz1568/getInfo.php?workbook=20_05.xlsx&amp;sheet=A0&amp;row=589&amp;col=7&amp;number=0&amp;sourceID=14","0")</f>
        <v>0</v>
      </c>
    </row>
    <row r="590" spans="1:7">
      <c r="A590" s="3">
        <v>20</v>
      </c>
      <c r="B590" s="3">
        <v>5</v>
      </c>
      <c r="C590" s="3">
        <v>101</v>
      </c>
      <c r="D590" s="3">
        <v>7</v>
      </c>
      <c r="E590" s="3">
        <v>-20.716</v>
      </c>
      <c r="F590" s="4" t="str">
        <f>HYPERLINK("http://141.218.60.56/~jnz1568/getInfo.php?workbook=20_05.xlsx&amp;sheet=A0&amp;row=590&amp;col=6&amp;number=70450000000&amp;sourceID=14","70450000000")</f>
        <v>70450000000</v>
      </c>
      <c r="G590" s="4" t="str">
        <f>HYPERLINK("http://141.218.60.56/~jnz1568/getInfo.php?workbook=20_05.xlsx&amp;sheet=A0&amp;row=590&amp;col=7&amp;number=0&amp;sourceID=14","0")</f>
        <v>0</v>
      </c>
    </row>
    <row r="591" spans="1:7">
      <c r="A591" s="3">
        <v>20</v>
      </c>
      <c r="B591" s="3">
        <v>5</v>
      </c>
      <c r="C591" s="3">
        <v>102</v>
      </c>
      <c r="D591" s="3">
        <v>7</v>
      </c>
      <c r="E591" s="3">
        <v>-20.693</v>
      </c>
      <c r="F591" s="4" t="str">
        <f>HYPERLINK("http://141.218.60.56/~jnz1568/getInfo.php?workbook=20_05.xlsx&amp;sheet=A0&amp;row=591&amp;col=6&amp;number=189300000000&amp;sourceID=14","189300000000")</f>
        <v>189300000000</v>
      </c>
      <c r="G591" s="4" t="str">
        <f>HYPERLINK("http://141.218.60.56/~jnz1568/getInfo.php?workbook=20_05.xlsx&amp;sheet=A0&amp;row=591&amp;col=7&amp;number=0&amp;sourceID=14","0")</f>
        <v>0</v>
      </c>
    </row>
    <row r="592" spans="1:7">
      <c r="A592" s="3">
        <v>20</v>
      </c>
      <c r="B592" s="3">
        <v>5</v>
      </c>
      <c r="C592" s="3">
        <v>103</v>
      </c>
      <c r="D592" s="3">
        <v>7</v>
      </c>
      <c r="E592" s="3">
        <v>-20.368</v>
      </c>
      <c r="F592" s="4" t="str">
        <f>HYPERLINK("http://141.218.60.56/~jnz1568/getInfo.php?workbook=20_05.xlsx&amp;sheet=A0&amp;row=592&amp;col=6&amp;number=515300000000&amp;sourceID=14","515300000000")</f>
        <v>515300000000</v>
      </c>
      <c r="G592" s="4" t="str">
        <f>HYPERLINK("http://141.218.60.56/~jnz1568/getInfo.php?workbook=20_05.xlsx&amp;sheet=A0&amp;row=592&amp;col=7&amp;number=0&amp;sourceID=14","0")</f>
        <v>0</v>
      </c>
    </row>
    <row r="593" spans="1:7">
      <c r="A593" s="3">
        <v>20</v>
      </c>
      <c r="B593" s="3">
        <v>5</v>
      </c>
      <c r="C593" s="3">
        <v>104</v>
      </c>
      <c r="D593" s="3">
        <v>7</v>
      </c>
      <c r="E593" s="3">
        <v>-20.182</v>
      </c>
      <c r="F593" s="4" t="str">
        <f>HYPERLINK("http://141.218.60.56/~jnz1568/getInfo.php?workbook=20_05.xlsx&amp;sheet=A0&amp;row=593&amp;col=6&amp;number=634400000000&amp;sourceID=14","634400000000")</f>
        <v>634400000000</v>
      </c>
      <c r="G593" s="4" t="str">
        <f>HYPERLINK("http://141.218.60.56/~jnz1568/getInfo.php?workbook=20_05.xlsx&amp;sheet=A0&amp;row=593&amp;col=7&amp;number=0&amp;sourceID=14","0")</f>
        <v>0</v>
      </c>
    </row>
    <row r="594" spans="1:7">
      <c r="A594" s="3">
        <v>20</v>
      </c>
      <c r="B594" s="3">
        <v>5</v>
      </c>
      <c r="C594" s="3">
        <v>105</v>
      </c>
      <c r="D594" s="3">
        <v>7</v>
      </c>
      <c r="E594" s="3">
        <v>-19.731</v>
      </c>
      <c r="F594" s="4" t="str">
        <f>HYPERLINK("http://141.218.60.56/~jnz1568/getInfo.php?workbook=20_05.xlsx&amp;sheet=A0&amp;row=594&amp;col=6&amp;number=80750000&amp;sourceID=14","80750000")</f>
        <v>80750000</v>
      </c>
      <c r="G594" s="4" t="str">
        <f>HYPERLINK("http://141.218.60.56/~jnz1568/getInfo.php?workbook=20_05.xlsx&amp;sheet=A0&amp;row=594&amp;col=7&amp;number=0&amp;sourceID=14","0")</f>
        <v>0</v>
      </c>
    </row>
    <row r="595" spans="1:7">
      <c r="A595" s="3">
        <v>20</v>
      </c>
      <c r="B595" s="3">
        <v>5</v>
      </c>
      <c r="C595" s="3">
        <v>106</v>
      </c>
      <c r="D595" s="3">
        <v>5</v>
      </c>
      <c r="E595" s="3">
        <v>-22.793</v>
      </c>
      <c r="F595" s="4" t="str">
        <f>HYPERLINK("http://141.218.60.56/~jnz1568/getInfo.php?workbook=20_05.xlsx&amp;sheet=A0&amp;row=595&amp;col=6&amp;number=598900000000&amp;sourceID=14","598900000000")</f>
        <v>598900000000</v>
      </c>
      <c r="G595" s="4" t="str">
        <f>HYPERLINK("http://141.218.60.56/~jnz1568/getInfo.php?workbook=20_05.xlsx&amp;sheet=A0&amp;row=595&amp;col=7&amp;number=0&amp;sourceID=14","0")</f>
        <v>0</v>
      </c>
    </row>
    <row r="596" spans="1:7">
      <c r="A596" s="3">
        <v>20</v>
      </c>
      <c r="B596" s="3">
        <v>5</v>
      </c>
      <c r="C596" s="3">
        <v>107</v>
      </c>
      <c r="D596" s="3">
        <v>5</v>
      </c>
      <c r="E596" s="3">
        <v>-21.784</v>
      </c>
      <c r="F596" s="4" t="str">
        <f>HYPERLINK("http://141.218.60.56/~jnz1568/getInfo.php?workbook=20_05.xlsx&amp;sheet=A0&amp;row=596&amp;col=6&amp;number=104900000000&amp;sourceID=14","104900000000")</f>
        <v>104900000000</v>
      </c>
      <c r="G596" s="4" t="str">
        <f>HYPERLINK("http://141.218.60.56/~jnz1568/getInfo.php?workbook=20_05.xlsx&amp;sheet=A0&amp;row=596&amp;col=7&amp;number=0&amp;sourceID=14","0")</f>
        <v>0</v>
      </c>
    </row>
    <row r="597" spans="1:7">
      <c r="A597" s="3">
        <v>20</v>
      </c>
      <c r="B597" s="3">
        <v>5</v>
      </c>
      <c r="C597" s="3">
        <v>108</v>
      </c>
      <c r="D597" s="3">
        <v>5</v>
      </c>
      <c r="E597" s="3">
        <v>21.582</v>
      </c>
      <c r="F597" s="4" t="str">
        <f>HYPERLINK("http://141.218.60.56/~jnz1568/getInfo.php?workbook=20_05.xlsx&amp;sheet=A0&amp;row=597&amp;col=6&amp;number=45720000000&amp;sourceID=14","45720000000")</f>
        <v>45720000000</v>
      </c>
      <c r="G597" s="4" t="str">
        <f>HYPERLINK("http://141.218.60.56/~jnz1568/getInfo.php?workbook=20_05.xlsx&amp;sheet=A0&amp;row=597&amp;col=7&amp;number=0&amp;sourceID=14","0")</f>
        <v>0</v>
      </c>
    </row>
    <row r="598" spans="1:7">
      <c r="A598" s="3">
        <v>20</v>
      </c>
      <c r="B598" s="3">
        <v>5</v>
      </c>
      <c r="C598" s="3">
        <v>109</v>
      </c>
      <c r="D598" s="3">
        <v>5</v>
      </c>
      <c r="E598" s="3">
        <v>-21.554</v>
      </c>
      <c r="F598" s="4" t="str">
        <f>HYPERLINK("http://141.218.60.56/~jnz1568/getInfo.php?workbook=20_05.xlsx&amp;sheet=A0&amp;row=598&amp;col=6&amp;number=822100000000&amp;sourceID=14","822100000000")</f>
        <v>822100000000</v>
      </c>
      <c r="G598" s="4" t="str">
        <f>HYPERLINK("http://141.218.60.56/~jnz1568/getInfo.php?workbook=20_05.xlsx&amp;sheet=A0&amp;row=598&amp;col=7&amp;number=0&amp;sourceID=14","0")</f>
        <v>0</v>
      </c>
    </row>
    <row r="599" spans="1:7">
      <c r="A599" s="3">
        <v>20</v>
      </c>
      <c r="B599" s="3">
        <v>5</v>
      </c>
      <c r="C599" s="3">
        <v>110</v>
      </c>
      <c r="D599" s="3">
        <v>5</v>
      </c>
      <c r="E599" s="3">
        <v>21.448</v>
      </c>
      <c r="F599" s="4" t="str">
        <f>HYPERLINK("http://141.218.60.56/~jnz1568/getInfo.php?workbook=20_05.xlsx&amp;sheet=A0&amp;row=599&amp;col=6&amp;number=4627000000000&amp;sourceID=14","4627000000000")</f>
        <v>4627000000000</v>
      </c>
      <c r="G599" s="4" t="str">
        <f>HYPERLINK("http://141.218.60.56/~jnz1568/getInfo.php?workbook=20_05.xlsx&amp;sheet=A0&amp;row=599&amp;col=7&amp;number=0&amp;sourceID=14","0")</f>
        <v>0</v>
      </c>
    </row>
    <row r="600" spans="1:7">
      <c r="A600" s="3">
        <v>20</v>
      </c>
      <c r="B600" s="3">
        <v>5</v>
      </c>
      <c r="C600" s="3">
        <v>111</v>
      </c>
      <c r="D600" s="3">
        <v>5</v>
      </c>
      <c r="E600" s="3">
        <v>-21.295</v>
      </c>
      <c r="F600" s="4" t="str">
        <f>HYPERLINK("http://141.218.60.56/~jnz1568/getInfo.php?workbook=20_05.xlsx&amp;sheet=A0&amp;row=600&amp;col=6&amp;number=2084000000&amp;sourceID=14","2084000000")</f>
        <v>2084000000</v>
      </c>
      <c r="G600" s="4" t="str">
        <f>HYPERLINK("http://141.218.60.56/~jnz1568/getInfo.php?workbook=20_05.xlsx&amp;sheet=A0&amp;row=600&amp;col=7&amp;number=0&amp;sourceID=14","0")</f>
        <v>0</v>
      </c>
    </row>
    <row r="601" spans="1:7">
      <c r="A601" s="3">
        <v>20</v>
      </c>
      <c r="B601" s="3">
        <v>5</v>
      </c>
      <c r="C601" s="3">
        <v>112</v>
      </c>
      <c r="D601" s="3">
        <v>5</v>
      </c>
      <c r="E601" s="3">
        <v>21.279</v>
      </c>
      <c r="F601" s="4" t="str">
        <f>HYPERLINK("http://141.218.60.56/~jnz1568/getInfo.php?workbook=20_05.xlsx&amp;sheet=A0&amp;row=601&amp;col=6&amp;number=1020000000&amp;sourceID=14","1020000000")</f>
        <v>1020000000</v>
      </c>
      <c r="G601" s="4" t="str">
        <f>HYPERLINK("http://141.218.60.56/~jnz1568/getInfo.php?workbook=20_05.xlsx&amp;sheet=A0&amp;row=601&amp;col=7&amp;number=0&amp;sourceID=14","0")</f>
        <v>0</v>
      </c>
    </row>
    <row r="602" spans="1:7">
      <c r="A602" s="3">
        <v>20</v>
      </c>
      <c r="B602" s="3">
        <v>5</v>
      </c>
      <c r="C602" s="3">
        <v>113</v>
      </c>
      <c r="D602" s="3">
        <v>5</v>
      </c>
      <c r="E602" s="3">
        <v>20.419</v>
      </c>
      <c r="F602" s="4" t="str">
        <f>HYPERLINK("http://141.218.60.56/~jnz1568/getInfo.php?workbook=20_05.xlsx&amp;sheet=A0&amp;row=602&amp;col=6&amp;number=547600000&amp;sourceID=14","547600000")</f>
        <v>547600000</v>
      </c>
      <c r="G602" s="4" t="str">
        <f>HYPERLINK("http://141.218.60.56/~jnz1568/getInfo.php?workbook=20_05.xlsx&amp;sheet=A0&amp;row=602&amp;col=7&amp;number=0&amp;sourceID=14","0")</f>
        <v>0</v>
      </c>
    </row>
    <row r="603" spans="1:7">
      <c r="A603" s="3">
        <v>20</v>
      </c>
      <c r="B603" s="3">
        <v>5</v>
      </c>
      <c r="C603" s="3">
        <v>114</v>
      </c>
      <c r="D603" s="3">
        <v>5</v>
      </c>
      <c r="E603" s="3">
        <v>-20.214</v>
      </c>
      <c r="F603" s="4" t="str">
        <f>HYPERLINK("http://141.218.60.56/~jnz1568/getInfo.php?workbook=20_05.xlsx&amp;sheet=A0&amp;row=603&amp;col=6&amp;number=83000000000&amp;sourceID=14","83000000000")</f>
        <v>83000000000</v>
      </c>
      <c r="G603" s="4" t="str">
        <f>HYPERLINK("http://141.218.60.56/~jnz1568/getInfo.php?workbook=20_05.xlsx&amp;sheet=A0&amp;row=603&amp;col=7&amp;number=0&amp;sourceID=14","0")</f>
        <v>0</v>
      </c>
    </row>
    <row r="604" spans="1:7">
      <c r="A604" s="3">
        <v>20</v>
      </c>
      <c r="B604" s="3">
        <v>5</v>
      </c>
      <c r="C604" s="3">
        <v>115</v>
      </c>
      <c r="D604" s="3">
        <v>5</v>
      </c>
      <c r="E604" s="3">
        <v>-20.135</v>
      </c>
      <c r="F604" s="4" t="str">
        <f>HYPERLINK("http://141.218.60.56/~jnz1568/getInfo.php?workbook=20_05.xlsx&amp;sheet=A0&amp;row=604&amp;col=6&amp;number=724700000000&amp;sourceID=14","724700000000")</f>
        <v>724700000000</v>
      </c>
      <c r="G604" s="4" t="str">
        <f>HYPERLINK("http://141.218.60.56/~jnz1568/getInfo.php?workbook=20_05.xlsx&amp;sheet=A0&amp;row=604&amp;col=7&amp;number=0&amp;sourceID=14","0")</f>
        <v>0</v>
      </c>
    </row>
    <row r="605" spans="1:7">
      <c r="A605" s="3">
        <v>20</v>
      </c>
      <c r="B605" s="3">
        <v>5</v>
      </c>
      <c r="C605" s="3">
        <v>116</v>
      </c>
      <c r="D605" s="3">
        <v>5</v>
      </c>
      <c r="E605" s="3">
        <v>-20.003</v>
      </c>
      <c r="F605" s="4" t="str">
        <f>HYPERLINK("http://141.218.60.56/~jnz1568/getInfo.php?workbook=20_05.xlsx&amp;sheet=A0&amp;row=605&amp;col=6&amp;number=217300000000&amp;sourceID=14","217300000000")</f>
        <v>217300000000</v>
      </c>
      <c r="G605" s="4" t="str">
        <f>HYPERLINK("http://141.218.60.56/~jnz1568/getInfo.php?workbook=20_05.xlsx&amp;sheet=A0&amp;row=605&amp;col=7&amp;number=0&amp;sourceID=14","0")</f>
        <v>0</v>
      </c>
    </row>
    <row r="606" spans="1:7">
      <c r="A606" s="3">
        <v>20</v>
      </c>
      <c r="B606" s="3">
        <v>5</v>
      </c>
      <c r="C606" s="3">
        <v>117</v>
      </c>
      <c r="D606" s="3">
        <v>5</v>
      </c>
      <c r="E606" s="3">
        <v>-19.777</v>
      </c>
      <c r="F606" s="4" t="str">
        <f>HYPERLINK("http://141.218.60.56/~jnz1568/getInfo.php?workbook=20_05.xlsx&amp;sheet=A0&amp;row=606&amp;col=6&amp;number=246500000&amp;sourceID=14","246500000")</f>
        <v>246500000</v>
      </c>
      <c r="G606" s="4" t="str">
        <f>HYPERLINK("http://141.218.60.56/~jnz1568/getInfo.php?workbook=20_05.xlsx&amp;sheet=A0&amp;row=606&amp;col=7&amp;number=0&amp;sourceID=14","0")</f>
        <v>0</v>
      </c>
    </row>
    <row r="607" spans="1:7">
      <c r="A607" s="3">
        <v>20</v>
      </c>
      <c r="B607" s="3">
        <v>5</v>
      </c>
      <c r="C607" s="3">
        <v>118</v>
      </c>
      <c r="D607" s="3">
        <v>5</v>
      </c>
      <c r="E607" s="3">
        <v>-19.635</v>
      </c>
      <c r="F607" s="4" t="str">
        <f>HYPERLINK("http://141.218.60.56/~jnz1568/getInfo.php?workbook=20_05.xlsx&amp;sheet=A0&amp;row=607&amp;col=6&amp;number=436900000&amp;sourceID=14","436900000")</f>
        <v>436900000</v>
      </c>
      <c r="G607" s="4" t="str">
        <f>HYPERLINK("http://141.218.60.56/~jnz1568/getInfo.php?workbook=20_05.xlsx&amp;sheet=A0&amp;row=607&amp;col=7&amp;number=0&amp;sourceID=14","0")</f>
        <v>0</v>
      </c>
    </row>
    <row r="608" spans="1:7">
      <c r="A608" s="3">
        <v>20</v>
      </c>
      <c r="B608" s="3">
        <v>5</v>
      </c>
      <c r="C608" s="3">
        <v>106</v>
      </c>
      <c r="D608" s="3">
        <v>7</v>
      </c>
      <c r="E608" s="3">
        <v>-23.774</v>
      </c>
      <c r="F608" s="4" t="str">
        <f>HYPERLINK("http://141.218.60.56/~jnz1568/getInfo.php?workbook=20_05.xlsx&amp;sheet=A0&amp;row=608&amp;col=6&amp;number=4265000000&amp;sourceID=14","4265000000")</f>
        <v>4265000000</v>
      </c>
      <c r="G608" s="4" t="str">
        <f>HYPERLINK("http://141.218.60.56/~jnz1568/getInfo.php?workbook=20_05.xlsx&amp;sheet=A0&amp;row=608&amp;col=7&amp;number=0&amp;sourceID=14","0")</f>
        <v>0</v>
      </c>
    </row>
    <row r="609" spans="1:7">
      <c r="A609" s="3">
        <v>20</v>
      </c>
      <c r="B609" s="3">
        <v>5</v>
      </c>
      <c r="C609" s="3">
        <v>107</v>
      </c>
      <c r="D609" s="3">
        <v>7</v>
      </c>
      <c r="E609" s="3">
        <v>-22.679</v>
      </c>
      <c r="F609" s="4" t="str">
        <f>HYPERLINK("http://141.218.60.56/~jnz1568/getInfo.php?workbook=20_05.xlsx&amp;sheet=A0&amp;row=609&amp;col=6&amp;number=33950000000&amp;sourceID=14","33950000000")</f>
        <v>33950000000</v>
      </c>
      <c r="G609" s="4" t="str">
        <f>HYPERLINK("http://141.218.60.56/~jnz1568/getInfo.php?workbook=20_05.xlsx&amp;sheet=A0&amp;row=609&amp;col=7&amp;number=0&amp;sourceID=14","0")</f>
        <v>0</v>
      </c>
    </row>
    <row r="610" spans="1:7">
      <c r="A610" s="3">
        <v>20</v>
      </c>
      <c r="B610" s="3">
        <v>5</v>
      </c>
      <c r="C610" s="3">
        <v>108</v>
      </c>
      <c r="D610" s="3">
        <v>7</v>
      </c>
      <c r="E610" s="3">
        <v>22.462</v>
      </c>
      <c r="F610" s="4" t="str">
        <f>HYPERLINK("http://141.218.60.56/~jnz1568/getInfo.php?workbook=20_05.xlsx&amp;sheet=A0&amp;row=610&amp;col=6&amp;number=382800000000&amp;sourceID=14","382800000000")</f>
        <v>382800000000</v>
      </c>
      <c r="G610" s="4" t="str">
        <f>HYPERLINK("http://141.218.60.56/~jnz1568/getInfo.php?workbook=20_05.xlsx&amp;sheet=A0&amp;row=610&amp;col=7&amp;number=0&amp;sourceID=14","0")</f>
        <v>0</v>
      </c>
    </row>
    <row r="611" spans="1:7">
      <c r="A611" s="3">
        <v>20</v>
      </c>
      <c r="B611" s="3">
        <v>5</v>
      </c>
      <c r="C611" s="3">
        <v>109</v>
      </c>
      <c r="D611" s="3">
        <v>7</v>
      </c>
      <c r="E611" s="3">
        <v>-22.429</v>
      </c>
      <c r="F611" s="4" t="str">
        <f>HYPERLINK("http://141.218.60.56/~jnz1568/getInfo.php?workbook=20_05.xlsx&amp;sheet=A0&amp;row=611&amp;col=6&amp;number=803100000000&amp;sourceID=14","803100000000")</f>
        <v>803100000000</v>
      </c>
      <c r="G611" s="4" t="str">
        <f>HYPERLINK("http://141.218.60.56/~jnz1568/getInfo.php?workbook=20_05.xlsx&amp;sheet=A0&amp;row=611&amp;col=7&amp;number=0&amp;sourceID=14","0")</f>
        <v>0</v>
      </c>
    </row>
    <row r="612" spans="1:7">
      <c r="A612" s="3">
        <v>20</v>
      </c>
      <c r="B612" s="3">
        <v>5</v>
      </c>
      <c r="C612" s="3">
        <v>110</v>
      </c>
      <c r="D612" s="3">
        <v>7</v>
      </c>
      <c r="E612" s="3">
        <v>22.316</v>
      </c>
      <c r="F612" s="4" t="str">
        <f>HYPERLINK("http://141.218.60.56/~jnz1568/getInfo.php?workbook=20_05.xlsx&amp;sheet=A0&amp;row=612&amp;col=6&amp;number=310400000000&amp;sourceID=14","310400000000")</f>
        <v>310400000000</v>
      </c>
      <c r="G612" s="4" t="str">
        <f>HYPERLINK("http://141.218.60.56/~jnz1568/getInfo.php?workbook=20_05.xlsx&amp;sheet=A0&amp;row=612&amp;col=7&amp;number=0&amp;sourceID=14","0")</f>
        <v>0</v>
      </c>
    </row>
    <row r="613" spans="1:7">
      <c r="A613" s="3">
        <v>20</v>
      </c>
      <c r="B613" s="3">
        <v>5</v>
      </c>
      <c r="C613" s="3">
        <v>111</v>
      </c>
      <c r="D613" s="3">
        <v>7</v>
      </c>
      <c r="E613" s="3">
        <v>-22.149</v>
      </c>
      <c r="F613" s="4" t="str">
        <f>HYPERLINK("http://141.218.60.56/~jnz1568/getInfo.php?workbook=20_05.xlsx&amp;sheet=A0&amp;row=613&amp;col=6&amp;number=795900000000&amp;sourceID=14","795900000000")</f>
        <v>795900000000</v>
      </c>
      <c r="G613" s="4" t="str">
        <f>HYPERLINK("http://141.218.60.56/~jnz1568/getInfo.php?workbook=20_05.xlsx&amp;sheet=A0&amp;row=613&amp;col=7&amp;number=0&amp;sourceID=14","0")</f>
        <v>0</v>
      </c>
    </row>
    <row r="614" spans="1:7">
      <c r="A614" s="3">
        <v>20</v>
      </c>
      <c r="B614" s="3">
        <v>5</v>
      </c>
      <c r="C614" s="3">
        <v>112</v>
      </c>
      <c r="D614" s="3">
        <v>7</v>
      </c>
      <c r="E614" s="3">
        <v>22.134</v>
      </c>
      <c r="F614" s="4" t="str">
        <f>HYPERLINK("http://141.218.60.56/~jnz1568/getInfo.php?workbook=20_05.xlsx&amp;sheet=A0&amp;row=614&amp;col=6&amp;number=360500000000&amp;sourceID=14","360500000000")</f>
        <v>360500000000</v>
      </c>
      <c r="G614" s="4" t="str">
        <f>HYPERLINK("http://141.218.60.56/~jnz1568/getInfo.php?workbook=20_05.xlsx&amp;sheet=A0&amp;row=614&amp;col=7&amp;number=0&amp;sourceID=14","0")</f>
        <v>0</v>
      </c>
    </row>
    <row r="615" spans="1:7">
      <c r="A615" s="3">
        <v>20</v>
      </c>
      <c r="B615" s="3">
        <v>5</v>
      </c>
      <c r="C615" s="3">
        <v>113</v>
      </c>
      <c r="D615" s="3">
        <v>7</v>
      </c>
      <c r="E615" s="3">
        <v>21.204</v>
      </c>
      <c r="F615" s="4" t="str">
        <f>HYPERLINK("http://141.218.60.56/~jnz1568/getInfo.php?workbook=20_05.xlsx&amp;sheet=A0&amp;row=615&amp;col=6&amp;number=404400000000&amp;sourceID=14","404400000000")</f>
        <v>404400000000</v>
      </c>
      <c r="G615" s="4" t="str">
        <f>HYPERLINK("http://141.218.60.56/~jnz1568/getInfo.php?workbook=20_05.xlsx&amp;sheet=A0&amp;row=615&amp;col=7&amp;number=0&amp;sourceID=14","0")</f>
        <v>0</v>
      </c>
    </row>
    <row r="616" spans="1:7">
      <c r="A616" s="3">
        <v>20</v>
      </c>
      <c r="B616" s="3">
        <v>5</v>
      </c>
      <c r="C616" s="3">
        <v>114</v>
      </c>
      <c r="D616" s="3">
        <v>7</v>
      </c>
      <c r="E616" s="3">
        <v>-20.982</v>
      </c>
      <c r="F616" s="4" t="str">
        <f>HYPERLINK("http://141.218.60.56/~jnz1568/getInfo.php?workbook=20_05.xlsx&amp;sheet=A0&amp;row=616&amp;col=6&amp;number=39840000&amp;sourceID=14","39840000")</f>
        <v>39840000</v>
      </c>
      <c r="G616" s="4" t="str">
        <f>HYPERLINK("http://141.218.60.56/~jnz1568/getInfo.php?workbook=20_05.xlsx&amp;sheet=A0&amp;row=616&amp;col=7&amp;number=0&amp;sourceID=14","0")</f>
        <v>0</v>
      </c>
    </row>
    <row r="617" spans="1:7">
      <c r="A617" s="3">
        <v>20</v>
      </c>
      <c r="B617" s="3">
        <v>5</v>
      </c>
      <c r="C617" s="3">
        <v>115</v>
      </c>
      <c r="D617" s="3">
        <v>7</v>
      </c>
      <c r="E617" s="3">
        <v>-20.897</v>
      </c>
      <c r="F617" s="4" t="str">
        <f>HYPERLINK("http://141.218.60.56/~jnz1568/getInfo.php?workbook=20_05.xlsx&amp;sheet=A0&amp;row=617&amp;col=6&amp;number=52340000000&amp;sourceID=14","52340000000")</f>
        <v>52340000000</v>
      </c>
      <c r="G617" s="4" t="str">
        <f>HYPERLINK("http://141.218.60.56/~jnz1568/getInfo.php?workbook=20_05.xlsx&amp;sheet=A0&amp;row=617&amp;col=7&amp;number=0&amp;sourceID=14","0")</f>
        <v>0</v>
      </c>
    </row>
    <row r="618" spans="1:7">
      <c r="A618" s="3">
        <v>20</v>
      </c>
      <c r="B618" s="3">
        <v>5</v>
      </c>
      <c r="C618" s="3">
        <v>116</v>
      </c>
      <c r="D618" s="3">
        <v>7</v>
      </c>
      <c r="E618" s="3">
        <v>-20.755</v>
      </c>
      <c r="F618" s="4" t="str">
        <f>HYPERLINK("http://141.218.60.56/~jnz1568/getInfo.php?workbook=20_05.xlsx&amp;sheet=A0&amp;row=618&amp;col=6&amp;number=139900000000&amp;sourceID=14","139900000000")</f>
        <v>139900000000</v>
      </c>
      <c r="G618" s="4" t="str">
        <f>HYPERLINK("http://141.218.60.56/~jnz1568/getInfo.php?workbook=20_05.xlsx&amp;sheet=A0&amp;row=618&amp;col=7&amp;number=0&amp;sourceID=14","0")</f>
        <v>0</v>
      </c>
    </row>
    <row r="619" spans="1:7">
      <c r="A619" s="3">
        <v>20</v>
      </c>
      <c r="B619" s="3">
        <v>5</v>
      </c>
      <c r="C619" s="3">
        <v>117</v>
      </c>
      <c r="D619" s="3">
        <v>7</v>
      </c>
      <c r="E619" s="3">
        <v>-20.511</v>
      </c>
      <c r="F619" s="4" t="str">
        <f>HYPERLINK("http://141.218.60.56/~jnz1568/getInfo.php?workbook=20_05.xlsx&amp;sheet=A0&amp;row=619&amp;col=6&amp;number=3927000000&amp;sourceID=14","3927000000")</f>
        <v>3927000000</v>
      </c>
      <c r="G619" s="4" t="str">
        <f>HYPERLINK("http://141.218.60.56/~jnz1568/getInfo.php?workbook=20_05.xlsx&amp;sheet=A0&amp;row=619&amp;col=7&amp;number=0&amp;sourceID=14","0")</f>
        <v>0</v>
      </c>
    </row>
    <row r="620" spans="1:7">
      <c r="A620" s="3">
        <v>20</v>
      </c>
      <c r="B620" s="3">
        <v>5</v>
      </c>
      <c r="C620" s="3">
        <v>118</v>
      </c>
      <c r="D620" s="3">
        <v>7</v>
      </c>
      <c r="E620" s="3">
        <v>-20.359</v>
      </c>
      <c r="F620" s="4" t="str">
        <f>HYPERLINK("http://141.218.60.56/~jnz1568/getInfo.php?workbook=20_05.xlsx&amp;sheet=A0&amp;row=620&amp;col=6&amp;number=1114000000000&amp;sourceID=14","1114000000000")</f>
        <v>1114000000000</v>
      </c>
      <c r="G620" s="4" t="str">
        <f>HYPERLINK("http://141.218.60.56/~jnz1568/getInfo.php?workbook=20_05.xlsx&amp;sheet=A0&amp;row=620&amp;col=7&amp;number=0&amp;sourceID=14","0")</f>
        <v>0</v>
      </c>
    </row>
    <row r="621" spans="1:7">
      <c r="A621" s="3">
        <v>20</v>
      </c>
      <c r="B621" s="3">
        <v>5</v>
      </c>
      <c r="C621" s="3">
        <v>119</v>
      </c>
      <c r="D621" s="3">
        <v>5</v>
      </c>
      <c r="E621" s="3">
        <v>-21.734</v>
      </c>
      <c r="F621" s="4" t="str">
        <f>HYPERLINK("http://141.218.60.56/~jnz1568/getInfo.php?workbook=20_05.xlsx&amp;sheet=A0&amp;row=621&amp;col=6&amp;number=642500000000&amp;sourceID=14","642500000000")</f>
        <v>642500000000</v>
      </c>
      <c r="G621" s="4" t="str">
        <f>HYPERLINK("http://141.218.60.56/~jnz1568/getInfo.php?workbook=20_05.xlsx&amp;sheet=A0&amp;row=621&amp;col=7&amp;number=0&amp;sourceID=14","0")</f>
        <v>0</v>
      </c>
    </row>
    <row r="622" spans="1:7">
      <c r="A622" s="3">
        <v>20</v>
      </c>
      <c r="B622" s="3">
        <v>5</v>
      </c>
      <c r="C622" s="3">
        <v>120</v>
      </c>
      <c r="D622" s="3">
        <v>5</v>
      </c>
      <c r="E622" s="3">
        <v>21.498</v>
      </c>
      <c r="F622" s="4" t="str">
        <f>HYPERLINK("http://141.218.60.56/~jnz1568/getInfo.php?workbook=20_05.xlsx&amp;sheet=A0&amp;row=622&amp;col=6&amp;number=7798000000000&amp;sourceID=14","7798000000000")</f>
        <v>7798000000000</v>
      </c>
      <c r="G622" s="4" t="str">
        <f>HYPERLINK("http://141.218.60.56/~jnz1568/getInfo.php?workbook=20_05.xlsx&amp;sheet=A0&amp;row=622&amp;col=7&amp;number=0&amp;sourceID=14","0")</f>
        <v>0</v>
      </c>
    </row>
    <row r="623" spans="1:7">
      <c r="A623" s="3">
        <v>20</v>
      </c>
      <c r="B623" s="3">
        <v>5</v>
      </c>
      <c r="C623" s="3">
        <v>121</v>
      </c>
      <c r="D623" s="3">
        <v>5</v>
      </c>
      <c r="E623" s="3">
        <v>21.18</v>
      </c>
      <c r="F623" s="4" t="str">
        <f>HYPERLINK("http://141.218.60.56/~jnz1568/getInfo.php?workbook=20_05.xlsx&amp;sheet=A0&amp;row=623&amp;col=6&amp;number=1197000000&amp;sourceID=14","1197000000")</f>
        <v>1197000000</v>
      </c>
      <c r="G623" s="4" t="str">
        <f>HYPERLINK("http://141.218.60.56/~jnz1568/getInfo.php?workbook=20_05.xlsx&amp;sheet=A0&amp;row=623&amp;col=7&amp;number=0&amp;sourceID=14","0")</f>
        <v>0</v>
      </c>
    </row>
    <row r="624" spans="1:7">
      <c r="A624" s="3">
        <v>20</v>
      </c>
      <c r="B624" s="3">
        <v>5</v>
      </c>
      <c r="C624" s="3">
        <v>122</v>
      </c>
      <c r="D624" s="3">
        <v>5</v>
      </c>
      <c r="E624" s="3">
        <v>20.536</v>
      </c>
      <c r="F624" s="4" t="str">
        <f>HYPERLINK("http://141.218.60.56/~jnz1568/getInfo.php?workbook=20_05.xlsx&amp;sheet=A0&amp;row=624&amp;col=6&amp;number=9144000000&amp;sourceID=14","9144000000")</f>
        <v>9144000000</v>
      </c>
      <c r="G624" s="4" t="str">
        <f>HYPERLINK("http://141.218.60.56/~jnz1568/getInfo.php?workbook=20_05.xlsx&amp;sheet=A0&amp;row=624&amp;col=7&amp;number=0&amp;sourceID=14","0")</f>
        <v>0</v>
      </c>
    </row>
    <row r="625" spans="1:7">
      <c r="A625" s="3">
        <v>20</v>
      </c>
      <c r="B625" s="3">
        <v>5</v>
      </c>
      <c r="C625" s="3">
        <v>123</v>
      </c>
      <c r="D625" s="3">
        <v>5</v>
      </c>
      <c r="E625" s="3">
        <v>-20.143</v>
      </c>
      <c r="F625" s="4" t="str">
        <f>HYPERLINK("http://141.218.60.56/~jnz1568/getInfo.php?workbook=20_05.xlsx&amp;sheet=A0&amp;row=625&amp;col=6&amp;number=862100000000&amp;sourceID=14","862100000000")</f>
        <v>862100000000</v>
      </c>
      <c r="G625" s="4" t="str">
        <f>HYPERLINK("http://141.218.60.56/~jnz1568/getInfo.php?workbook=20_05.xlsx&amp;sheet=A0&amp;row=625&amp;col=7&amp;number=0&amp;sourceID=14","0")</f>
        <v>0</v>
      </c>
    </row>
    <row r="626" spans="1:7">
      <c r="A626" s="3">
        <v>20</v>
      </c>
      <c r="B626" s="3">
        <v>5</v>
      </c>
      <c r="C626" s="3">
        <v>124</v>
      </c>
      <c r="D626" s="3">
        <v>5</v>
      </c>
      <c r="E626" s="3">
        <v>-19.75</v>
      </c>
      <c r="F626" s="4" t="str">
        <f>HYPERLINK("http://141.218.60.56/~jnz1568/getInfo.php?workbook=20_05.xlsx&amp;sheet=A0&amp;row=626&amp;col=6&amp;number=9662000000&amp;sourceID=14","9662000000")</f>
        <v>9662000000</v>
      </c>
      <c r="G626" s="4" t="str">
        <f>HYPERLINK("http://141.218.60.56/~jnz1568/getInfo.php?workbook=20_05.xlsx&amp;sheet=A0&amp;row=626&amp;col=7&amp;number=0&amp;sourceID=14","0")</f>
        <v>0</v>
      </c>
    </row>
    <row r="627" spans="1:7">
      <c r="A627" s="3">
        <v>20</v>
      </c>
      <c r="B627" s="3">
        <v>5</v>
      </c>
      <c r="C627" s="3">
        <v>119</v>
      </c>
      <c r="D627" s="3">
        <v>7</v>
      </c>
      <c r="E627" s="3">
        <v>-22.625</v>
      </c>
      <c r="F627" s="4" t="str">
        <f>HYPERLINK("http://141.218.60.56/~jnz1568/getInfo.php?workbook=20_05.xlsx&amp;sheet=A0&amp;row=627&amp;col=6&amp;number=29750000000&amp;sourceID=14","29750000000")</f>
        <v>29750000000</v>
      </c>
      <c r="G627" s="4" t="str">
        <f>HYPERLINK("http://141.218.60.56/~jnz1568/getInfo.php?workbook=20_05.xlsx&amp;sheet=A0&amp;row=627&amp;col=7&amp;number=0&amp;sourceID=14","0")</f>
        <v>0</v>
      </c>
    </row>
    <row r="628" spans="1:7">
      <c r="A628" s="3">
        <v>20</v>
      </c>
      <c r="B628" s="3">
        <v>5</v>
      </c>
      <c r="C628" s="3">
        <v>120</v>
      </c>
      <c r="D628" s="3">
        <v>7</v>
      </c>
      <c r="E628" s="3">
        <v>22.371</v>
      </c>
      <c r="F628" s="4" t="str">
        <f>HYPERLINK("http://141.218.60.56/~jnz1568/getInfo.php?workbook=20_05.xlsx&amp;sheet=A0&amp;row=628&amp;col=6&amp;number=2534000000&amp;sourceID=14","2534000000")</f>
        <v>2534000000</v>
      </c>
      <c r="G628" s="4" t="str">
        <f>HYPERLINK("http://141.218.60.56/~jnz1568/getInfo.php?workbook=20_05.xlsx&amp;sheet=A0&amp;row=628&amp;col=7&amp;number=0&amp;sourceID=14","0")</f>
        <v>0</v>
      </c>
    </row>
    <row r="629" spans="1:7">
      <c r="A629" s="3">
        <v>20</v>
      </c>
      <c r="B629" s="3">
        <v>5</v>
      </c>
      <c r="C629" s="3">
        <v>121</v>
      </c>
      <c r="D629" s="3">
        <v>7</v>
      </c>
      <c r="E629" s="3">
        <v>22.026</v>
      </c>
      <c r="F629" s="4" t="str">
        <f>HYPERLINK("http://141.218.60.56/~jnz1568/getInfo.php?workbook=20_05.xlsx&amp;sheet=A0&amp;row=629&amp;col=6&amp;number=6198000000000&amp;sourceID=14","6198000000000")</f>
        <v>6198000000000</v>
      </c>
      <c r="G629" s="4" t="str">
        <f>HYPERLINK("http://141.218.60.56/~jnz1568/getInfo.php?workbook=20_05.xlsx&amp;sheet=A0&amp;row=629&amp;col=7&amp;number=0&amp;sourceID=14","0")</f>
        <v>0</v>
      </c>
    </row>
    <row r="630" spans="1:7">
      <c r="A630" s="3">
        <v>20</v>
      </c>
      <c r="B630" s="3">
        <v>5</v>
      </c>
      <c r="C630" s="3">
        <v>122</v>
      </c>
      <c r="D630" s="3">
        <v>7</v>
      </c>
      <c r="E630" s="3">
        <v>21.331</v>
      </c>
      <c r="F630" s="4" t="str">
        <f>HYPERLINK("http://141.218.60.56/~jnz1568/getInfo.php?workbook=20_05.xlsx&amp;sheet=A0&amp;row=630&amp;col=6&amp;number=4591000000000&amp;sourceID=14","4591000000000")</f>
        <v>4591000000000</v>
      </c>
      <c r="G630" s="4" t="str">
        <f>HYPERLINK("http://141.218.60.56/~jnz1568/getInfo.php?workbook=20_05.xlsx&amp;sheet=A0&amp;row=630&amp;col=7&amp;number=0&amp;sourceID=14","0")</f>
        <v>0</v>
      </c>
    </row>
    <row r="631" spans="1:7">
      <c r="A631" s="3">
        <v>20</v>
      </c>
      <c r="B631" s="3">
        <v>5</v>
      </c>
      <c r="C631" s="3">
        <v>123</v>
      </c>
      <c r="D631" s="3">
        <v>7</v>
      </c>
      <c r="E631" s="3">
        <v>-20.905</v>
      </c>
      <c r="F631" s="4" t="str">
        <f>HYPERLINK("http://141.218.60.56/~jnz1568/getInfo.php?workbook=20_05.xlsx&amp;sheet=A0&amp;row=631&amp;col=6&amp;number=85100000&amp;sourceID=14","85100000")</f>
        <v>85100000</v>
      </c>
      <c r="G631" s="4" t="str">
        <f>HYPERLINK("http://141.218.60.56/~jnz1568/getInfo.php?workbook=20_05.xlsx&amp;sheet=A0&amp;row=631&amp;col=7&amp;number=0&amp;sourceID=14","0")</f>
        <v>0</v>
      </c>
    </row>
    <row r="632" spans="1:7">
      <c r="A632" s="3">
        <v>20</v>
      </c>
      <c r="B632" s="3">
        <v>5</v>
      </c>
      <c r="C632" s="3">
        <v>124</v>
      </c>
      <c r="D632" s="3">
        <v>7</v>
      </c>
      <c r="E632" s="3">
        <v>-20.482</v>
      </c>
      <c r="F632" s="4" t="str">
        <f>HYPERLINK("http://141.218.60.56/~jnz1568/getInfo.php?workbook=20_05.xlsx&amp;sheet=A0&amp;row=632&amp;col=6&amp;number=619800000000&amp;sourceID=14","619800000000")</f>
        <v>619800000000</v>
      </c>
      <c r="G632" s="4" t="str">
        <f>HYPERLINK("http://141.218.60.56/~jnz1568/getInfo.php?workbook=20_05.xlsx&amp;sheet=A0&amp;row=632&amp;col=7&amp;number=0&amp;sourceID=14","0")</f>
        <v>0</v>
      </c>
    </row>
    <row r="633" spans="1:7">
      <c r="A633" s="3">
        <v>20</v>
      </c>
      <c r="B633" s="3">
        <v>5</v>
      </c>
      <c r="C633" s="3">
        <v>71</v>
      </c>
      <c r="D633" s="3">
        <v>123</v>
      </c>
      <c r="E633" s="3">
        <v>-1028.872</v>
      </c>
      <c r="F633" s="4" t="str">
        <f>HYPERLINK("http://141.218.60.56/~jnz1568/getInfo.php?workbook=20_05.xlsx&amp;sheet=A0&amp;row=633&amp;col=6&amp;number=26510000000&amp;sourceID=14","26510000000")</f>
        <v>26510000000</v>
      </c>
      <c r="G633" s="4" t="str">
        <f>HYPERLINK("http://141.218.60.56/~jnz1568/getInfo.php?workbook=20_05.xlsx&amp;sheet=A0&amp;row=633&amp;col=7&amp;number=0&amp;sourceID=14","0")</f>
        <v>0</v>
      </c>
    </row>
    <row r="634" spans="1:7">
      <c r="A634" s="3">
        <v>20</v>
      </c>
      <c r="B634" s="3">
        <v>5</v>
      </c>
      <c r="C634" s="3">
        <v>72</v>
      </c>
      <c r="D634" s="3">
        <v>124</v>
      </c>
      <c r="E634" s="3">
        <v>-999.637</v>
      </c>
      <c r="F634" s="4" t="str">
        <f>HYPERLINK("http://141.218.60.56/~jnz1568/getInfo.php?workbook=20_05.xlsx&amp;sheet=A0&amp;row=634&amp;col=6&amp;number=41790000000&amp;sourceID=14","41790000000")</f>
        <v>41790000000</v>
      </c>
      <c r="G634" s="4" t="str">
        <f>HYPERLINK("http://141.218.60.56/~jnz1568/getInfo.php?workbook=20_05.xlsx&amp;sheet=A0&amp;row=634&amp;col=7&amp;number=0&amp;sourceID=14","0")</f>
        <v>0</v>
      </c>
    </row>
    <row r="635" spans="1:7">
      <c r="A635" s="3">
        <v>20</v>
      </c>
      <c r="B635" s="3">
        <v>5</v>
      </c>
      <c r="C635" s="3">
        <v>125</v>
      </c>
      <c r="D635" s="3">
        <v>65</v>
      </c>
      <c r="E635" s="3">
        <v>-971.913</v>
      </c>
      <c r="F635" s="4" t="str">
        <f>HYPERLINK("http://141.218.60.56/~jnz1568/getInfo.php?workbook=20_05.xlsx&amp;sheet=A0&amp;row=635&amp;col=6&amp;number=332800000&amp;sourceID=14","332800000")</f>
        <v>332800000</v>
      </c>
      <c r="G635" s="4" t="str">
        <f>HYPERLINK("http://141.218.60.56/~jnz1568/getInfo.php?workbook=20_05.xlsx&amp;sheet=A0&amp;row=635&amp;col=7&amp;number=0&amp;sourceID=14","0")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8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4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43</v>
      </c>
      <c r="D3" s="2" t="s">
        <v>4</v>
      </c>
      <c r="E3" s="2" t="s">
        <v>48</v>
      </c>
      <c r="F3" s="2" t="s">
        <v>49</v>
      </c>
      <c r="G3" s="2" t="s">
        <v>50</v>
      </c>
    </row>
    <row r="4" spans="1:7">
      <c r="A4" s="3">
        <v>20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HYPERLINK("http://141.218.60.56/~jnz1568/getInfo.php?workbook=20_05.xlsx&amp;sheet=U0&amp;row=4&amp;col=6&amp;number=3&amp;sourceID=14","3")</f>
        <v>3</v>
      </c>
      <c r="G4" s="4" t="str">
        <f>HYPERLINK("http://141.218.60.56/~jnz1568/getInfo.php?workbook=20_05.xlsx&amp;sheet=U0&amp;row=4&amp;col=7&amp;number=0.028&amp;sourceID=14","0.028")</f>
        <v>0.028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HYPERLINK("http://141.218.60.56/~jnz1568/getInfo.php?workbook=20_05.xlsx&amp;sheet=U0&amp;row=5&amp;col=6&amp;number=3.1&amp;sourceID=14","3.1")</f>
        <v>3.1</v>
      </c>
      <c r="G5" s="4" t="str">
        <f>HYPERLINK("http://141.218.60.56/~jnz1568/getInfo.php?workbook=20_05.xlsx&amp;sheet=U0&amp;row=5&amp;col=7&amp;number=0.0288&amp;sourceID=14","0.0288")</f>
        <v>0.0288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HYPERLINK("http://141.218.60.56/~jnz1568/getInfo.php?workbook=20_05.xlsx&amp;sheet=U0&amp;row=6&amp;col=6&amp;number=3.2&amp;sourceID=14","3.2")</f>
        <v>3.2</v>
      </c>
      <c r="G6" s="4" t="str">
        <f>HYPERLINK("http://141.218.60.56/~jnz1568/getInfo.php?workbook=20_05.xlsx&amp;sheet=U0&amp;row=6&amp;col=7&amp;number=0.0299&amp;sourceID=14","0.0299")</f>
        <v>0.0299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HYPERLINK("http://141.218.60.56/~jnz1568/getInfo.php?workbook=20_05.xlsx&amp;sheet=U0&amp;row=7&amp;col=6&amp;number=3.3&amp;sourceID=14","3.3")</f>
        <v>3.3</v>
      </c>
      <c r="G7" s="4" t="str">
        <f>HYPERLINK("http://141.218.60.56/~jnz1568/getInfo.php?workbook=20_05.xlsx&amp;sheet=U0&amp;row=7&amp;col=7&amp;number=0.0313&amp;sourceID=14","0.0313")</f>
        <v>0.0313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HYPERLINK("http://141.218.60.56/~jnz1568/getInfo.php?workbook=20_05.xlsx&amp;sheet=U0&amp;row=8&amp;col=6&amp;number=3.4&amp;sourceID=14","3.4")</f>
        <v>3.4</v>
      </c>
      <c r="G8" s="4" t="str">
        <f>HYPERLINK("http://141.218.60.56/~jnz1568/getInfo.php?workbook=20_05.xlsx&amp;sheet=U0&amp;row=8&amp;col=7&amp;number=0.0331&amp;sourceID=14","0.0331")</f>
        <v>0.0331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HYPERLINK("http://141.218.60.56/~jnz1568/getInfo.php?workbook=20_05.xlsx&amp;sheet=U0&amp;row=9&amp;col=6&amp;number=3.5&amp;sourceID=14","3.5")</f>
        <v>3.5</v>
      </c>
      <c r="G9" s="4" t="str">
        <f>HYPERLINK("http://141.218.60.56/~jnz1568/getInfo.php?workbook=20_05.xlsx&amp;sheet=U0&amp;row=9&amp;col=7&amp;number=0.0353&amp;sourceID=14","0.0353")</f>
        <v>0.0353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HYPERLINK("http://141.218.60.56/~jnz1568/getInfo.php?workbook=20_05.xlsx&amp;sheet=U0&amp;row=10&amp;col=6&amp;number=3.6&amp;sourceID=14","3.6")</f>
        <v>3.6</v>
      </c>
      <c r="G10" s="4" t="str">
        <f>HYPERLINK("http://141.218.60.56/~jnz1568/getInfo.php?workbook=20_05.xlsx&amp;sheet=U0&amp;row=10&amp;col=7&amp;number=0.038&amp;sourceID=14","0.038")</f>
        <v>0.038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HYPERLINK("http://141.218.60.56/~jnz1568/getInfo.php?workbook=20_05.xlsx&amp;sheet=U0&amp;row=11&amp;col=6&amp;number=3.7&amp;sourceID=14","3.7")</f>
        <v>3.7</v>
      </c>
      <c r="G11" s="4" t="str">
        <f>HYPERLINK("http://141.218.60.56/~jnz1568/getInfo.php?workbook=20_05.xlsx&amp;sheet=U0&amp;row=11&amp;col=7&amp;number=0.0415&amp;sourceID=14","0.0415")</f>
        <v>0.0415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HYPERLINK("http://141.218.60.56/~jnz1568/getInfo.php?workbook=20_05.xlsx&amp;sheet=U0&amp;row=12&amp;col=6&amp;number=3.8&amp;sourceID=14","3.8")</f>
        <v>3.8</v>
      </c>
      <c r="G12" s="4" t="str">
        <f>HYPERLINK("http://141.218.60.56/~jnz1568/getInfo.php?workbook=20_05.xlsx&amp;sheet=U0&amp;row=12&amp;col=7&amp;number=0.0458&amp;sourceID=14","0.0458")</f>
        <v>0.0458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HYPERLINK("http://141.218.60.56/~jnz1568/getInfo.php?workbook=20_05.xlsx&amp;sheet=U0&amp;row=13&amp;col=6&amp;number=3.9&amp;sourceID=14","3.9")</f>
        <v>3.9</v>
      </c>
      <c r="G13" s="4" t="str">
        <f>HYPERLINK("http://141.218.60.56/~jnz1568/getInfo.php?workbook=20_05.xlsx&amp;sheet=U0&amp;row=13&amp;col=7&amp;number=0.0512&amp;sourceID=14","0.0512")</f>
        <v>0.0512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HYPERLINK("http://141.218.60.56/~jnz1568/getInfo.php?workbook=20_05.xlsx&amp;sheet=U0&amp;row=14&amp;col=6&amp;number=4&amp;sourceID=14","4")</f>
        <v>4</v>
      </c>
      <c r="G14" s="4" t="str">
        <f>HYPERLINK("http://141.218.60.56/~jnz1568/getInfo.php?workbook=20_05.xlsx&amp;sheet=U0&amp;row=14&amp;col=7&amp;number=0.058&amp;sourceID=14","0.058")</f>
        <v>0.058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HYPERLINK("http://141.218.60.56/~jnz1568/getInfo.php?workbook=20_05.xlsx&amp;sheet=U0&amp;row=15&amp;col=6&amp;number=4.1&amp;sourceID=14","4.1")</f>
        <v>4.1</v>
      </c>
      <c r="G15" s="4" t="str">
        <f>HYPERLINK("http://141.218.60.56/~jnz1568/getInfo.php?workbook=20_05.xlsx&amp;sheet=U0&amp;row=15&amp;col=7&amp;number=0.0664&amp;sourceID=14","0.0664")</f>
        <v>0.0664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HYPERLINK("http://141.218.60.56/~jnz1568/getInfo.php?workbook=20_05.xlsx&amp;sheet=U0&amp;row=16&amp;col=6&amp;number=4.2&amp;sourceID=14","4.2")</f>
        <v>4.2</v>
      </c>
      <c r="G16" s="4" t="str">
        <f>HYPERLINK("http://141.218.60.56/~jnz1568/getInfo.php?workbook=20_05.xlsx&amp;sheet=U0&amp;row=16&amp;col=7&amp;number=0.0768&amp;sourceID=14","0.0768")</f>
        <v>0.0768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HYPERLINK("http://141.218.60.56/~jnz1568/getInfo.php?workbook=20_05.xlsx&amp;sheet=U0&amp;row=17&amp;col=6&amp;number=4.3&amp;sourceID=14","4.3")</f>
        <v>4.3</v>
      </c>
      <c r="G17" s="4" t="str">
        <f>HYPERLINK("http://141.218.60.56/~jnz1568/getInfo.php?workbook=20_05.xlsx&amp;sheet=U0&amp;row=17&amp;col=7&amp;number=0.0897&amp;sourceID=14","0.0897")</f>
        <v>0.0897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HYPERLINK("http://141.218.60.56/~jnz1568/getInfo.php?workbook=20_05.xlsx&amp;sheet=U0&amp;row=18&amp;col=6&amp;number=4.4&amp;sourceID=14","4.4")</f>
        <v>4.4</v>
      </c>
      <c r="G18" s="4" t="str">
        <f>HYPERLINK("http://141.218.60.56/~jnz1568/getInfo.php?workbook=20_05.xlsx&amp;sheet=U0&amp;row=18&amp;col=7&amp;number=0.106&amp;sourceID=14","0.106")</f>
        <v>0.106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HYPERLINK("http://141.218.60.56/~jnz1568/getInfo.php?workbook=20_05.xlsx&amp;sheet=U0&amp;row=19&amp;col=6&amp;number=4.5&amp;sourceID=14","4.5")</f>
        <v>4.5</v>
      </c>
      <c r="G19" s="4" t="str">
        <f>HYPERLINK("http://141.218.60.56/~jnz1568/getInfo.php?workbook=20_05.xlsx&amp;sheet=U0&amp;row=19&amp;col=7&amp;number=0.125&amp;sourceID=14","0.125")</f>
        <v>0.125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HYPERLINK("http://141.218.60.56/~jnz1568/getInfo.php?workbook=20_05.xlsx&amp;sheet=U0&amp;row=20&amp;col=6&amp;number=4.6&amp;sourceID=14","4.6")</f>
        <v>4.6</v>
      </c>
      <c r="G20" s="4" t="str">
        <f>HYPERLINK("http://141.218.60.56/~jnz1568/getInfo.php?workbook=20_05.xlsx&amp;sheet=U0&amp;row=20&amp;col=7&amp;number=0.147&amp;sourceID=14","0.147")</f>
        <v>0.147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HYPERLINK("http://141.218.60.56/~jnz1568/getInfo.php?workbook=20_05.xlsx&amp;sheet=U0&amp;row=21&amp;col=6&amp;number=4.7&amp;sourceID=14","4.7")</f>
        <v>4.7</v>
      </c>
      <c r="G21" s="4" t="str">
        <f>HYPERLINK("http://141.218.60.56/~jnz1568/getInfo.php?workbook=20_05.xlsx&amp;sheet=U0&amp;row=21&amp;col=7&amp;number=0.174&amp;sourceID=14","0.174")</f>
        <v>0.174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HYPERLINK("http://141.218.60.56/~jnz1568/getInfo.php?workbook=20_05.xlsx&amp;sheet=U0&amp;row=22&amp;col=6&amp;number=4.8&amp;sourceID=14","4.8")</f>
        <v>4.8</v>
      </c>
      <c r="G22" s="4" t="str">
        <f>HYPERLINK("http://141.218.60.56/~jnz1568/getInfo.php?workbook=20_05.xlsx&amp;sheet=U0&amp;row=22&amp;col=7&amp;number=0.204&amp;sourceID=14","0.204")</f>
        <v>0.204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HYPERLINK("http://141.218.60.56/~jnz1568/getInfo.php?workbook=20_05.xlsx&amp;sheet=U0&amp;row=23&amp;col=6&amp;number=4.9&amp;sourceID=14","4.9")</f>
        <v>4.9</v>
      </c>
      <c r="G23" s="4" t="str">
        <f>HYPERLINK("http://141.218.60.56/~jnz1568/getInfo.php?workbook=20_05.xlsx&amp;sheet=U0&amp;row=23&amp;col=7&amp;number=0.235&amp;sourceID=14","0.235")</f>
        <v>0.235</v>
      </c>
    </row>
    <row r="24" spans="1:7">
      <c r="A24" s="3">
        <v>20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HYPERLINK("http://141.218.60.56/~jnz1568/getInfo.php?workbook=20_05.xlsx&amp;sheet=U0&amp;row=24&amp;col=6&amp;number=3&amp;sourceID=14","3")</f>
        <v>3</v>
      </c>
      <c r="G24" s="4" t="str">
        <f>HYPERLINK("http://141.218.60.56/~jnz1568/getInfo.php?workbook=20_05.xlsx&amp;sheet=U0&amp;row=24&amp;col=7&amp;number=0.00841&amp;sourceID=14","0.00841")</f>
        <v>0.00841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HYPERLINK("http://141.218.60.56/~jnz1568/getInfo.php?workbook=20_05.xlsx&amp;sheet=U0&amp;row=25&amp;col=6&amp;number=3.1&amp;sourceID=14","3.1")</f>
        <v>3.1</v>
      </c>
      <c r="G25" s="4" t="str">
        <f>HYPERLINK("http://141.218.60.56/~jnz1568/getInfo.php?workbook=20_05.xlsx&amp;sheet=U0&amp;row=25&amp;col=7&amp;number=0.00842&amp;sourceID=14","0.00842")</f>
        <v>0.00842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HYPERLINK("http://141.218.60.56/~jnz1568/getInfo.php?workbook=20_05.xlsx&amp;sheet=U0&amp;row=26&amp;col=6&amp;number=3.2&amp;sourceID=14","3.2")</f>
        <v>3.2</v>
      </c>
      <c r="G26" s="4" t="str">
        <f>HYPERLINK("http://141.218.60.56/~jnz1568/getInfo.php?workbook=20_05.xlsx&amp;sheet=U0&amp;row=26&amp;col=7&amp;number=0.00843&amp;sourceID=14","0.00843")</f>
        <v>0.00843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HYPERLINK("http://141.218.60.56/~jnz1568/getInfo.php?workbook=20_05.xlsx&amp;sheet=U0&amp;row=27&amp;col=6&amp;number=3.3&amp;sourceID=14","3.3")</f>
        <v>3.3</v>
      </c>
      <c r="G27" s="4" t="str">
        <f>HYPERLINK("http://141.218.60.56/~jnz1568/getInfo.php?workbook=20_05.xlsx&amp;sheet=U0&amp;row=27&amp;col=7&amp;number=0.00845&amp;sourceID=14","0.00845")</f>
        <v>0.00845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HYPERLINK("http://141.218.60.56/~jnz1568/getInfo.php?workbook=20_05.xlsx&amp;sheet=U0&amp;row=28&amp;col=6&amp;number=3.4&amp;sourceID=14","3.4")</f>
        <v>3.4</v>
      </c>
      <c r="G28" s="4" t="str">
        <f>HYPERLINK("http://141.218.60.56/~jnz1568/getInfo.php?workbook=20_05.xlsx&amp;sheet=U0&amp;row=28&amp;col=7&amp;number=0.00846&amp;sourceID=14","0.00846")</f>
        <v>0.00846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HYPERLINK("http://141.218.60.56/~jnz1568/getInfo.php?workbook=20_05.xlsx&amp;sheet=U0&amp;row=29&amp;col=6&amp;number=3.5&amp;sourceID=14","3.5")</f>
        <v>3.5</v>
      </c>
      <c r="G29" s="4" t="str">
        <f>HYPERLINK("http://141.218.60.56/~jnz1568/getInfo.php?workbook=20_05.xlsx&amp;sheet=U0&amp;row=29&amp;col=7&amp;number=0.00848&amp;sourceID=14","0.00848")</f>
        <v>0.00848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HYPERLINK("http://141.218.60.56/~jnz1568/getInfo.php?workbook=20_05.xlsx&amp;sheet=U0&amp;row=30&amp;col=6&amp;number=3.6&amp;sourceID=14","3.6")</f>
        <v>3.6</v>
      </c>
      <c r="G30" s="4" t="str">
        <f>HYPERLINK("http://141.218.60.56/~jnz1568/getInfo.php?workbook=20_05.xlsx&amp;sheet=U0&amp;row=30&amp;col=7&amp;number=0.00851&amp;sourceID=14","0.00851")</f>
        <v>0.00851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HYPERLINK("http://141.218.60.56/~jnz1568/getInfo.php?workbook=20_05.xlsx&amp;sheet=U0&amp;row=31&amp;col=6&amp;number=3.7&amp;sourceID=14","3.7")</f>
        <v>3.7</v>
      </c>
      <c r="G31" s="4" t="str">
        <f>HYPERLINK("http://141.218.60.56/~jnz1568/getInfo.php?workbook=20_05.xlsx&amp;sheet=U0&amp;row=31&amp;col=7&amp;number=0.00854&amp;sourceID=14","0.00854")</f>
        <v>0.00854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HYPERLINK("http://141.218.60.56/~jnz1568/getInfo.php?workbook=20_05.xlsx&amp;sheet=U0&amp;row=32&amp;col=6&amp;number=3.8&amp;sourceID=14","3.8")</f>
        <v>3.8</v>
      </c>
      <c r="G32" s="4" t="str">
        <f>HYPERLINK("http://141.218.60.56/~jnz1568/getInfo.php?workbook=20_05.xlsx&amp;sheet=U0&amp;row=32&amp;col=7&amp;number=0.00859&amp;sourceID=14","0.00859")</f>
        <v>0.00859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HYPERLINK("http://141.218.60.56/~jnz1568/getInfo.php?workbook=20_05.xlsx&amp;sheet=U0&amp;row=33&amp;col=6&amp;number=3.9&amp;sourceID=14","3.9")</f>
        <v>3.9</v>
      </c>
      <c r="G33" s="4" t="str">
        <f>HYPERLINK("http://141.218.60.56/~jnz1568/getInfo.php?workbook=20_05.xlsx&amp;sheet=U0&amp;row=33&amp;col=7&amp;number=0.00864&amp;sourceID=14","0.00864")</f>
        <v>0.00864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HYPERLINK("http://141.218.60.56/~jnz1568/getInfo.php?workbook=20_05.xlsx&amp;sheet=U0&amp;row=34&amp;col=6&amp;number=4&amp;sourceID=14","4")</f>
        <v>4</v>
      </c>
      <c r="G34" s="4" t="str">
        <f>HYPERLINK("http://141.218.60.56/~jnz1568/getInfo.php?workbook=20_05.xlsx&amp;sheet=U0&amp;row=34&amp;col=7&amp;number=0.00871&amp;sourceID=14","0.00871")</f>
        <v>0.00871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HYPERLINK("http://141.218.60.56/~jnz1568/getInfo.php?workbook=20_05.xlsx&amp;sheet=U0&amp;row=35&amp;col=6&amp;number=4.1&amp;sourceID=14","4.1")</f>
        <v>4.1</v>
      </c>
      <c r="G35" s="4" t="str">
        <f>HYPERLINK("http://141.218.60.56/~jnz1568/getInfo.php?workbook=20_05.xlsx&amp;sheet=U0&amp;row=35&amp;col=7&amp;number=0.00879&amp;sourceID=14","0.00879")</f>
        <v>0.00879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HYPERLINK("http://141.218.60.56/~jnz1568/getInfo.php?workbook=20_05.xlsx&amp;sheet=U0&amp;row=36&amp;col=6&amp;number=4.2&amp;sourceID=14","4.2")</f>
        <v>4.2</v>
      </c>
      <c r="G36" s="4" t="str">
        <f>HYPERLINK("http://141.218.60.56/~jnz1568/getInfo.php?workbook=20_05.xlsx&amp;sheet=U0&amp;row=36&amp;col=7&amp;number=0.00889&amp;sourceID=14","0.00889")</f>
        <v>0.00889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HYPERLINK("http://141.218.60.56/~jnz1568/getInfo.php?workbook=20_05.xlsx&amp;sheet=U0&amp;row=37&amp;col=6&amp;number=4.3&amp;sourceID=14","4.3")</f>
        <v>4.3</v>
      </c>
      <c r="G37" s="4" t="str">
        <f>HYPERLINK("http://141.218.60.56/~jnz1568/getInfo.php?workbook=20_05.xlsx&amp;sheet=U0&amp;row=37&amp;col=7&amp;number=0.00902&amp;sourceID=14","0.00902")</f>
        <v>0.00902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HYPERLINK("http://141.218.60.56/~jnz1568/getInfo.php?workbook=20_05.xlsx&amp;sheet=U0&amp;row=38&amp;col=6&amp;number=4.4&amp;sourceID=14","4.4")</f>
        <v>4.4</v>
      </c>
      <c r="G38" s="4" t="str">
        <f>HYPERLINK("http://141.218.60.56/~jnz1568/getInfo.php?workbook=20_05.xlsx&amp;sheet=U0&amp;row=38&amp;col=7&amp;number=0.00917&amp;sourceID=14","0.00917")</f>
        <v>0.00917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HYPERLINK("http://141.218.60.56/~jnz1568/getInfo.php?workbook=20_05.xlsx&amp;sheet=U0&amp;row=39&amp;col=6&amp;number=4.5&amp;sourceID=14","4.5")</f>
        <v>4.5</v>
      </c>
      <c r="G39" s="4" t="str">
        <f>HYPERLINK("http://141.218.60.56/~jnz1568/getInfo.php?workbook=20_05.xlsx&amp;sheet=U0&amp;row=39&amp;col=7&amp;number=0.00936&amp;sourceID=14","0.00936")</f>
        <v>0.00936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HYPERLINK("http://141.218.60.56/~jnz1568/getInfo.php?workbook=20_05.xlsx&amp;sheet=U0&amp;row=40&amp;col=6&amp;number=4.6&amp;sourceID=14","4.6")</f>
        <v>4.6</v>
      </c>
      <c r="G40" s="4" t="str">
        <f>HYPERLINK("http://141.218.60.56/~jnz1568/getInfo.php?workbook=20_05.xlsx&amp;sheet=U0&amp;row=40&amp;col=7&amp;number=0.00958&amp;sourceID=14","0.00958")</f>
        <v>0.00958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HYPERLINK("http://141.218.60.56/~jnz1568/getInfo.php?workbook=20_05.xlsx&amp;sheet=U0&amp;row=41&amp;col=6&amp;number=4.7&amp;sourceID=14","4.7")</f>
        <v>4.7</v>
      </c>
      <c r="G41" s="4" t="str">
        <f>HYPERLINK("http://141.218.60.56/~jnz1568/getInfo.php?workbook=20_05.xlsx&amp;sheet=U0&amp;row=41&amp;col=7&amp;number=0.00984&amp;sourceID=14","0.00984")</f>
        <v>0.00984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HYPERLINK("http://141.218.60.56/~jnz1568/getInfo.php?workbook=20_05.xlsx&amp;sheet=U0&amp;row=42&amp;col=6&amp;number=4.8&amp;sourceID=14","4.8")</f>
        <v>4.8</v>
      </c>
      <c r="G42" s="4" t="str">
        <f>HYPERLINK("http://141.218.60.56/~jnz1568/getInfo.php?workbook=20_05.xlsx&amp;sheet=U0&amp;row=42&amp;col=7&amp;number=0.0101&amp;sourceID=14","0.0101")</f>
        <v>0.0101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HYPERLINK("http://141.218.60.56/~jnz1568/getInfo.php?workbook=20_05.xlsx&amp;sheet=U0&amp;row=43&amp;col=6&amp;number=4.9&amp;sourceID=14","4.9")</f>
        <v>4.9</v>
      </c>
      <c r="G43" s="4" t="str">
        <f>HYPERLINK("http://141.218.60.56/~jnz1568/getInfo.php?workbook=20_05.xlsx&amp;sheet=U0&amp;row=43&amp;col=7&amp;number=0.0104&amp;sourceID=14","0.0104")</f>
        <v>0.0104</v>
      </c>
    </row>
    <row r="44" spans="1:7">
      <c r="A44" s="3">
        <v>20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HYPERLINK("http://141.218.60.56/~jnz1568/getInfo.php?workbook=20_05.xlsx&amp;sheet=U0&amp;row=44&amp;col=6&amp;number=3&amp;sourceID=14","3")</f>
        <v>3</v>
      </c>
      <c r="G44" s="4" t="str">
        <f>HYPERLINK("http://141.218.60.56/~jnz1568/getInfo.php?workbook=20_05.xlsx&amp;sheet=U0&amp;row=44&amp;col=7&amp;number=0.0121&amp;sourceID=14","0.0121")</f>
        <v>0.0121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HYPERLINK("http://141.218.60.56/~jnz1568/getInfo.php?workbook=20_05.xlsx&amp;sheet=U0&amp;row=45&amp;col=6&amp;number=3.1&amp;sourceID=14","3.1")</f>
        <v>3.1</v>
      </c>
      <c r="G45" s="4" t="str">
        <f>HYPERLINK("http://141.218.60.56/~jnz1568/getInfo.php?workbook=20_05.xlsx&amp;sheet=U0&amp;row=45&amp;col=7&amp;number=0.0122&amp;sourceID=14","0.0122")</f>
        <v>0.0122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HYPERLINK("http://141.218.60.56/~jnz1568/getInfo.php?workbook=20_05.xlsx&amp;sheet=U0&amp;row=46&amp;col=6&amp;number=3.2&amp;sourceID=14","3.2")</f>
        <v>3.2</v>
      </c>
      <c r="G46" s="4" t="str">
        <f>HYPERLINK("http://141.218.60.56/~jnz1568/getInfo.php?workbook=20_05.xlsx&amp;sheet=U0&amp;row=46&amp;col=7&amp;number=0.0122&amp;sourceID=14","0.0122")</f>
        <v>0.0122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HYPERLINK("http://141.218.60.56/~jnz1568/getInfo.php?workbook=20_05.xlsx&amp;sheet=U0&amp;row=47&amp;col=6&amp;number=3.3&amp;sourceID=14","3.3")</f>
        <v>3.3</v>
      </c>
      <c r="G47" s="4" t="str">
        <f>HYPERLINK("http://141.218.60.56/~jnz1568/getInfo.php?workbook=20_05.xlsx&amp;sheet=U0&amp;row=47&amp;col=7&amp;number=0.0122&amp;sourceID=14","0.0122")</f>
        <v>0.0122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HYPERLINK("http://141.218.60.56/~jnz1568/getInfo.php?workbook=20_05.xlsx&amp;sheet=U0&amp;row=48&amp;col=6&amp;number=3.4&amp;sourceID=14","3.4")</f>
        <v>3.4</v>
      </c>
      <c r="G48" s="4" t="str">
        <f>HYPERLINK("http://141.218.60.56/~jnz1568/getInfo.php?workbook=20_05.xlsx&amp;sheet=U0&amp;row=48&amp;col=7&amp;number=0.0122&amp;sourceID=14","0.0122")</f>
        <v>0.0122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HYPERLINK("http://141.218.60.56/~jnz1568/getInfo.php?workbook=20_05.xlsx&amp;sheet=U0&amp;row=49&amp;col=6&amp;number=3.5&amp;sourceID=14","3.5")</f>
        <v>3.5</v>
      </c>
      <c r="G49" s="4" t="str">
        <f>HYPERLINK("http://141.218.60.56/~jnz1568/getInfo.php?workbook=20_05.xlsx&amp;sheet=U0&amp;row=49&amp;col=7&amp;number=0.0123&amp;sourceID=14","0.0123")</f>
        <v>0.0123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HYPERLINK("http://141.218.60.56/~jnz1568/getInfo.php?workbook=20_05.xlsx&amp;sheet=U0&amp;row=50&amp;col=6&amp;number=3.6&amp;sourceID=14","3.6")</f>
        <v>3.6</v>
      </c>
      <c r="G50" s="4" t="str">
        <f>HYPERLINK("http://141.218.60.56/~jnz1568/getInfo.php?workbook=20_05.xlsx&amp;sheet=U0&amp;row=50&amp;col=7&amp;number=0.0123&amp;sourceID=14","0.0123")</f>
        <v>0.0123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HYPERLINK("http://141.218.60.56/~jnz1568/getInfo.php?workbook=20_05.xlsx&amp;sheet=U0&amp;row=51&amp;col=6&amp;number=3.7&amp;sourceID=14","3.7")</f>
        <v>3.7</v>
      </c>
      <c r="G51" s="4" t="str">
        <f>HYPERLINK("http://141.218.60.56/~jnz1568/getInfo.php?workbook=20_05.xlsx&amp;sheet=U0&amp;row=51&amp;col=7&amp;number=0.0124&amp;sourceID=14","0.0124")</f>
        <v>0.0124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HYPERLINK("http://141.218.60.56/~jnz1568/getInfo.php?workbook=20_05.xlsx&amp;sheet=U0&amp;row=52&amp;col=6&amp;number=3.8&amp;sourceID=14","3.8")</f>
        <v>3.8</v>
      </c>
      <c r="G52" s="4" t="str">
        <f>HYPERLINK("http://141.218.60.56/~jnz1568/getInfo.php?workbook=20_05.xlsx&amp;sheet=U0&amp;row=52&amp;col=7&amp;number=0.0125&amp;sourceID=14","0.0125")</f>
        <v>0.0125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HYPERLINK("http://141.218.60.56/~jnz1568/getInfo.php?workbook=20_05.xlsx&amp;sheet=U0&amp;row=53&amp;col=6&amp;number=3.9&amp;sourceID=14","3.9")</f>
        <v>3.9</v>
      </c>
      <c r="G53" s="4" t="str">
        <f>HYPERLINK("http://141.218.60.56/~jnz1568/getInfo.php?workbook=20_05.xlsx&amp;sheet=U0&amp;row=53&amp;col=7&amp;number=0.0126&amp;sourceID=14","0.0126")</f>
        <v>0.0126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HYPERLINK("http://141.218.60.56/~jnz1568/getInfo.php?workbook=20_05.xlsx&amp;sheet=U0&amp;row=54&amp;col=6&amp;number=4&amp;sourceID=14","4")</f>
        <v>4</v>
      </c>
      <c r="G54" s="4" t="str">
        <f>HYPERLINK("http://141.218.60.56/~jnz1568/getInfo.php?workbook=20_05.xlsx&amp;sheet=U0&amp;row=54&amp;col=7&amp;number=0.0128&amp;sourceID=14","0.0128")</f>
        <v>0.0128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HYPERLINK("http://141.218.60.56/~jnz1568/getInfo.php?workbook=20_05.xlsx&amp;sheet=U0&amp;row=55&amp;col=6&amp;number=4.1&amp;sourceID=14","4.1")</f>
        <v>4.1</v>
      </c>
      <c r="G55" s="4" t="str">
        <f>HYPERLINK("http://141.218.60.56/~jnz1568/getInfo.php?workbook=20_05.xlsx&amp;sheet=U0&amp;row=55&amp;col=7&amp;number=0.0129&amp;sourceID=14","0.0129")</f>
        <v>0.0129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HYPERLINK("http://141.218.60.56/~jnz1568/getInfo.php?workbook=20_05.xlsx&amp;sheet=U0&amp;row=56&amp;col=6&amp;number=4.2&amp;sourceID=14","4.2")</f>
        <v>4.2</v>
      </c>
      <c r="G56" s="4" t="str">
        <f>HYPERLINK("http://141.218.60.56/~jnz1568/getInfo.php?workbook=20_05.xlsx&amp;sheet=U0&amp;row=56&amp;col=7&amp;number=0.0132&amp;sourceID=14","0.0132")</f>
        <v>0.0132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HYPERLINK("http://141.218.60.56/~jnz1568/getInfo.php?workbook=20_05.xlsx&amp;sheet=U0&amp;row=57&amp;col=6&amp;number=4.3&amp;sourceID=14","4.3")</f>
        <v>4.3</v>
      </c>
      <c r="G57" s="4" t="str">
        <f>HYPERLINK("http://141.218.60.56/~jnz1568/getInfo.php?workbook=20_05.xlsx&amp;sheet=U0&amp;row=57&amp;col=7&amp;number=0.0134&amp;sourceID=14","0.0134")</f>
        <v>0.0134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HYPERLINK("http://141.218.60.56/~jnz1568/getInfo.php?workbook=20_05.xlsx&amp;sheet=U0&amp;row=58&amp;col=6&amp;number=4.4&amp;sourceID=14","4.4")</f>
        <v>4.4</v>
      </c>
      <c r="G58" s="4" t="str">
        <f>HYPERLINK("http://141.218.60.56/~jnz1568/getInfo.php?workbook=20_05.xlsx&amp;sheet=U0&amp;row=58&amp;col=7&amp;number=0.0137&amp;sourceID=14","0.0137")</f>
        <v>0.0137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HYPERLINK("http://141.218.60.56/~jnz1568/getInfo.php?workbook=20_05.xlsx&amp;sheet=U0&amp;row=59&amp;col=6&amp;number=4.5&amp;sourceID=14","4.5")</f>
        <v>4.5</v>
      </c>
      <c r="G59" s="4" t="str">
        <f>HYPERLINK("http://141.218.60.56/~jnz1568/getInfo.php?workbook=20_05.xlsx&amp;sheet=U0&amp;row=59&amp;col=7&amp;number=0.0141&amp;sourceID=14","0.0141")</f>
        <v>0.0141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HYPERLINK("http://141.218.60.56/~jnz1568/getInfo.php?workbook=20_05.xlsx&amp;sheet=U0&amp;row=60&amp;col=6&amp;number=4.6&amp;sourceID=14","4.6")</f>
        <v>4.6</v>
      </c>
      <c r="G60" s="4" t="str">
        <f>HYPERLINK("http://141.218.60.56/~jnz1568/getInfo.php?workbook=20_05.xlsx&amp;sheet=U0&amp;row=60&amp;col=7&amp;number=0.0146&amp;sourceID=14","0.0146")</f>
        <v>0.0146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HYPERLINK("http://141.218.60.56/~jnz1568/getInfo.php?workbook=20_05.xlsx&amp;sheet=U0&amp;row=61&amp;col=6&amp;number=4.7&amp;sourceID=14","4.7")</f>
        <v>4.7</v>
      </c>
      <c r="G61" s="4" t="str">
        <f>HYPERLINK("http://141.218.60.56/~jnz1568/getInfo.php?workbook=20_05.xlsx&amp;sheet=U0&amp;row=61&amp;col=7&amp;number=0.0151&amp;sourceID=14","0.0151")</f>
        <v>0.0151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HYPERLINK("http://141.218.60.56/~jnz1568/getInfo.php?workbook=20_05.xlsx&amp;sheet=U0&amp;row=62&amp;col=6&amp;number=4.8&amp;sourceID=14","4.8")</f>
        <v>4.8</v>
      </c>
      <c r="G62" s="4" t="str">
        <f>HYPERLINK("http://141.218.60.56/~jnz1568/getInfo.php?workbook=20_05.xlsx&amp;sheet=U0&amp;row=62&amp;col=7&amp;number=0.0156&amp;sourceID=14","0.0156")</f>
        <v>0.0156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HYPERLINK("http://141.218.60.56/~jnz1568/getInfo.php?workbook=20_05.xlsx&amp;sheet=U0&amp;row=63&amp;col=6&amp;number=4.9&amp;sourceID=14","4.9")</f>
        <v>4.9</v>
      </c>
      <c r="G63" s="4" t="str">
        <f>HYPERLINK("http://141.218.60.56/~jnz1568/getInfo.php?workbook=20_05.xlsx&amp;sheet=U0&amp;row=63&amp;col=7&amp;number=0.0162&amp;sourceID=14","0.0162")</f>
        <v>0.0162</v>
      </c>
    </row>
    <row r="64" spans="1:7">
      <c r="A64" s="3">
        <v>20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HYPERLINK("http://141.218.60.56/~jnz1568/getInfo.php?workbook=20_05.xlsx&amp;sheet=U0&amp;row=64&amp;col=6&amp;number=3&amp;sourceID=14","3")</f>
        <v>3</v>
      </c>
      <c r="G64" s="4" t="str">
        <f>HYPERLINK("http://141.218.60.56/~jnz1568/getInfo.php?workbook=20_05.xlsx&amp;sheet=U0&amp;row=64&amp;col=7&amp;number=0.00807&amp;sourceID=14","0.00807")</f>
        <v>0.00807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HYPERLINK("http://141.218.60.56/~jnz1568/getInfo.php?workbook=20_05.xlsx&amp;sheet=U0&amp;row=65&amp;col=6&amp;number=3.1&amp;sourceID=14","3.1")</f>
        <v>3.1</v>
      </c>
      <c r="G65" s="4" t="str">
        <f>HYPERLINK("http://141.218.60.56/~jnz1568/getInfo.php?workbook=20_05.xlsx&amp;sheet=U0&amp;row=65&amp;col=7&amp;number=0.00808&amp;sourceID=14","0.00808")</f>
        <v>0.00808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HYPERLINK("http://141.218.60.56/~jnz1568/getInfo.php?workbook=20_05.xlsx&amp;sheet=U0&amp;row=66&amp;col=6&amp;number=3.2&amp;sourceID=14","3.2")</f>
        <v>3.2</v>
      </c>
      <c r="G66" s="4" t="str">
        <f>HYPERLINK("http://141.218.60.56/~jnz1568/getInfo.php?workbook=20_05.xlsx&amp;sheet=U0&amp;row=66&amp;col=7&amp;number=0.0081&amp;sourceID=14","0.0081")</f>
        <v>0.0081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HYPERLINK("http://141.218.60.56/~jnz1568/getInfo.php?workbook=20_05.xlsx&amp;sheet=U0&amp;row=67&amp;col=6&amp;number=3.3&amp;sourceID=14","3.3")</f>
        <v>3.3</v>
      </c>
      <c r="G67" s="4" t="str">
        <f>HYPERLINK("http://141.218.60.56/~jnz1568/getInfo.php?workbook=20_05.xlsx&amp;sheet=U0&amp;row=67&amp;col=7&amp;number=0.00813&amp;sourceID=14","0.00813")</f>
        <v>0.00813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HYPERLINK("http://141.218.60.56/~jnz1568/getInfo.php?workbook=20_05.xlsx&amp;sheet=U0&amp;row=68&amp;col=6&amp;number=3.4&amp;sourceID=14","3.4")</f>
        <v>3.4</v>
      </c>
      <c r="G68" s="4" t="str">
        <f>HYPERLINK("http://141.218.60.56/~jnz1568/getInfo.php?workbook=20_05.xlsx&amp;sheet=U0&amp;row=68&amp;col=7&amp;number=0.00817&amp;sourceID=14","0.00817")</f>
        <v>0.00817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HYPERLINK("http://141.218.60.56/~jnz1568/getInfo.php?workbook=20_05.xlsx&amp;sheet=U0&amp;row=69&amp;col=6&amp;number=3.5&amp;sourceID=14","3.5")</f>
        <v>3.5</v>
      </c>
      <c r="G69" s="4" t="str">
        <f>HYPERLINK("http://141.218.60.56/~jnz1568/getInfo.php?workbook=20_05.xlsx&amp;sheet=U0&amp;row=69&amp;col=7&amp;number=0.00821&amp;sourceID=14","0.00821")</f>
        <v>0.00821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HYPERLINK("http://141.218.60.56/~jnz1568/getInfo.php?workbook=20_05.xlsx&amp;sheet=U0&amp;row=70&amp;col=6&amp;number=3.6&amp;sourceID=14","3.6")</f>
        <v>3.6</v>
      </c>
      <c r="G70" s="4" t="str">
        <f>HYPERLINK("http://141.218.60.56/~jnz1568/getInfo.php?workbook=20_05.xlsx&amp;sheet=U0&amp;row=70&amp;col=7&amp;number=0.00826&amp;sourceID=14","0.00826")</f>
        <v>0.00826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HYPERLINK("http://141.218.60.56/~jnz1568/getInfo.php?workbook=20_05.xlsx&amp;sheet=U0&amp;row=71&amp;col=6&amp;number=3.7&amp;sourceID=14","3.7")</f>
        <v>3.7</v>
      </c>
      <c r="G71" s="4" t="str">
        <f>HYPERLINK("http://141.218.60.56/~jnz1568/getInfo.php?workbook=20_05.xlsx&amp;sheet=U0&amp;row=71&amp;col=7&amp;number=0.00833&amp;sourceID=14","0.00833")</f>
        <v>0.00833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HYPERLINK("http://141.218.60.56/~jnz1568/getInfo.php?workbook=20_05.xlsx&amp;sheet=U0&amp;row=72&amp;col=6&amp;number=3.8&amp;sourceID=14","3.8")</f>
        <v>3.8</v>
      </c>
      <c r="G72" s="4" t="str">
        <f>HYPERLINK("http://141.218.60.56/~jnz1568/getInfo.php?workbook=20_05.xlsx&amp;sheet=U0&amp;row=72&amp;col=7&amp;number=0.00841&amp;sourceID=14","0.00841")</f>
        <v>0.00841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HYPERLINK("http://141.218.60.56/~jnz1568/getInfo.php?workbook=20_05.xlsx&amp;sheet=U0&amp;row=73&amp;col=6&amp;number=3.9&amp;sourceID=14","3.9")</f>
        <v>3.9</v>
      </c>
      <c r="G73" s="4" t="str">
        <f>HYPERLINK("http://141.218.60.56/~jnz1568/getInfo.php?workbook=20_05.xlsx&amp;sheet=U0&amp;row=73&amp;col=7&amp;number=0.00852&amp;sourceID=14","0.00852")</f>
        <v>0.00852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HYPERLINK("http://141.218.60.56/~jnz1568/getInfo.php?workbook=20_05.xlsx&amp;sheet=U0&amp;row=74&amp;col=6&amp;number=4&amp;sourceID=14","4")</f>
        <v>4</v>
      </c>
      <c r="G74" s="4" t="str">
        <f>HYPERLINK("http://141.218.60.56/~jnz1568/getInfo.php?workbook=20_05.xlsx&amp;sheet=U0&amp;row=74&amp;col=7&amp;number=0.00865&amp;sourceID=14","0.00865")</f>
        <v>0.00865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HYPERLINK("http://141.218.60.56/~jnz1568/getInfo.php?workbook=20_05.xlsx&amp;sheet=U0&amp;row=75&amp;col=6&amp;number=4.1&amp;sourceID=14","4.1")</f>
        <v>4.1</v>
      </c>
      <c r="G75" s="4" t="str">
        <f>HYPERLINK("http://141.218.60.56/~jnz1568/getInfo.php?workbook=20_05.xlsx&amp;sheet=U0&amp;row=75&amp;col=7&amp;number=0.00881&amp;sourceID=14","0.00881")</f>
        <v>0.00881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HYPERLINK("http://141.218.60.56/~jnz1568/getInfo.php?workbook=20_05.xlsx&amp;sheet=U0&amp;row=76&amp;col=6&amp;number=4.2&amp;sourceID=14","4.2")</f>
        <v>4.2</v>
      </c>
      <c r="G76" s="4" t="str">
        <f>HYPERLINK("http://141.218.60.56/~jnz1568/getInfo.php?workbook=20_05.xlsx&amp;sheet=U0&amp;row=76&amp;col=7&amp;number=0.00902&amp;sourceID=14","0.00902")</f>
        <v>0.00902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HYPERLINK("http://141.218.60.56/~jnz1568/getInfo.php?workbook=20_05.xlsx&amp;sheet=U0&amp;row=77&amp;col=6&amp;number=4.3&amp;sourceID=14","4.3")</f>
        <v>4.3</v>
      </c>
      <c r="G77" s="4" t="str">
        <f>HYPERLINK("http://141.218.60.56/~jnz1568/getInfo.php?workbook=20_05.xlsx&amp;sheet=U0&amp;row=77&amp;col=7&amp;number=0.00927&amp;sourceID=14","0.00927")</f>
        <v>0.00927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HYPERLINK("http://141.218.60.56/~jnz1568/getInfo.php?workbook=20_05.xlsx&amp;sheet=U0&amp;row=78&amp;col=6&amp;number=4.4&amp;sourceID=14","4.4")</f>
        <v>4.4</v>
      </c>
      <c r="G78" s="4" t="str">
        <f>HYPERLINK("http://141.218.60.56/~jnz1568/getInfo.php?workbook=20_05.xlsx&amp;sheet=U0&amp;row=78&amp;col=7&amp;number=0.00957&amp;sourceID=14","0.00957")</f>
        <v>0.00957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HYPERLINK("http://141.218.60.56/~jnz1568/getInfo.php?workbook=20_05.xlsx&amp;sheet=U0&amp;row=79&amp;col=6&amp;number=4.5&amp;sourceID=14","4.5")</f>
        <v>4.5</v>
      </c>
      <c r="G79" s="4" t="str">
        <f>HYPERLINK("http://141.218.60.56/~jnz1568/getInfo.php?workbook=20_05.xlsx&amp;sheet=U0&amp;row=79&amp;col=7&amp;number=0.00994&amp;sourceID=14","0.00994")</f>
        <v>0.00994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HYPERLINK("http://141.218.60.56/~jnz1568/getInfo.php?workbook=20_05.xlsx&amp;sheet=U0&amp;row=80&amp;col=6&amp;number=4.6&amp;sourceID=14","4.6")</f>
        <v>4.6</v>
      </c>
      <c r="G80" s="4" t="str">
        <f>HYPERLINK("http://141.218.60.56/~jnz1568/getInfo.php?workbook=20_05.xlsx&amp;sheet=U0&amp;row=80&amp;col=7&amp;number=0.0104&amp;sourceID=14","0.0104")</f>
        <v>0.0104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HYPERLINK("http://141.218.60.56/~jnz1568/getInfo.php?workbook=20_05.xlsx&amp;sheet=U0&amp;row=81&amp;col=6&amp;number=4.7&amp;sourceID=14","4.7")</f>
        <v>4.7</v>
      </c>
      <c r="G81" s="4" t="str">
        <f>HYPERLINK("http://141.218.60.56/~jnz1568/getInfo.php?workbook=20_05.xlsx&amp;sheet=U0&amp;row=81&amp;col=7&amp;number=0.0109&amp;sourceID=14","0.0109")</f>
        <v>0.0109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HYPERLINK("http://141.218.60.56/~jnz1568/getInfo.php?workbook=20_05.xlsx&amp;sheet=U0&amp;row=82&amp;col=6&amp;number=4.8&amp;sourceID=14","4.8")</f>
        <v>4.8</v>
      </c>
      <c r="G82" s="4" t="str">
        <f>HYPERLINK("http://141.218.60.56/~jnz1568/getInfo.php?workbook=20_05.xlsx&amp;sheet=U0&amp;row=82&amp;col=7&amp;number=0.0115&amp;sourceID=14","0.0115")</f>
        <v>0.0115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HYPERLINK("http://141.218.60.56/~jnz1568/getInfo.php?workbook=20_05.xlsx&amp;sheet=U0&amp;row=83&amp;col=6&amp;number=4.9&amp;sourceID=14","4.9")</f>
        <v>4.9</v>
      </c>
      <c r="G83" s="4" t="str">
        <f>HYPERLINK("http://141.218.60.56/~jnz1568/getInfo.php?workbook=20_05.xlsx&amp;sheet=U0&amp;row=83&amp;col=7&amp;number=0.012&amp;sourceID=14","0.012")</f>
        <v>0.012</v>
      </c>
    </row>
    <row r="84" spans="1:7">
      <c r="A84" s="3">
        <v>20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HYPERLINK("http://141.218.60.56/~jnz1568/getInfo.php?workbook=20_05.xlsx&amp;sheet=U0&amp;row=84&amp;col=6&amp;number=3&amp;sourceID=14","3")</f>
        <v>3</v>
      </c>
      <c r="G84" s="4" t="str">
        <f>HYPERLINK("http://141.218.60.56/~jnz1568/getInfo.php?workbook=20_05.xlsx&amp;sheet=U0&amp;row=84&amp;col=7&amp;number=0.303&amp;sourceID=14","0.303")</f>
        <v>0.303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HYPERLINK("http://141.218.60.56/~jnz1568/getInfo.php?workbook=20_05.xlsx&amp;sheet=U0&amp;row=85&amp;col=6&amp;number=3.1&amp;sourceID=14","3.1")</f>
        <v>3.1</v>
      </c>
      <c r="G85" s="4" t="str">
        <f>HYPERLINK("http://141.218.60.56/~jnz1568/getInfo.php?workbook=20_05.xlsx&amp;sheet=U0&amp;row=85&amp;col=7&amp;number=0.302&amp;sourceID=14","0.302")</f>
        <v>0.302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HYPERLINK("http://141.218.60.56/~jnz1568/getInfo.php?workbook=20_05.xlsx&amp;sheet=U0&amp;row=86&amp;col=6&amp;number=3.2&amp;sourceID=14","3.2")</f>
        <v>3.2</v>
      </c>
      <c r="G86" s="4" t="str">
        <f>HYPERLINK("http://141.218.60.56/~jnz1568/getInfo.php?workbook=20_05.xlsx&amp;sheet=U0&amp;row=86&amp;col=7&amp;number=0.302&amp;sourceID=14","0.302")</f>
        <v>0.302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HYPERLINK("http://141.218.60.56/~jnz1568/getInfo.php?workbook=20_05.xlsx&amp;sheet=U0&amp;row=87&amp;col=6&amp;number=3.3&amp;sourceID=14","3.3")</f>
        <v>3.3</v>
      </c>
      <c r="G87" s="4" t="str">
        <f>HYPERLINK("http://141.218.60.56/~jnz1568/getInfo.php?workbook=20_05.xlsx&amp;sheet=U0&amp;row=87&amp;col=7&amp;number=0.302&amp;sourceID=14","0.302")</f>
        <v>0.302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HYPERLINK("http://141.218.60.56/~jnz1568/getInfo.php?workbook=20_05.xlsx&amp;sheet=U0&amp;row=88&amp;col=6&amp;number=3.4&amp;sourceID=14","3.4")</f>
        <v>3.4</v>
      </c>
      <c r="G88" s="4" t="str">
        <f>HYPERLINK("http://141.218.60.56/~jnz1568/getInfo.php?workbook=20_05.xlsx&amp;sheet=U0&amp;row=88&amp;col=7&amp;number=0.301&amp;sourceID=14","0.301")</f>
        <v>0.301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HYPERLINK("http://141.218.60.56/~jnz1568/getInfo.php?workbook=20_05.xlsx&amp;sheet=U0&amp;row=89&amp;col=6&amp;number=3.5&amp;sourceID=14","3.5")</f>
        <v>3.5</v>
      </c>
      <c r="G89" s="4" t="str">
        <f>HYPERLINK("http://141.218.60.56/~jnz1568/getInfo.php?workbook=20_05.xlsx&amp;sheet=U0&amp;row=89&amp;col=7&amp;number=0.301&amp;sourceID=14","0.301")</f>
        <v>0.301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HYPERLINK("http://141.218.60.56/~jnz1568/getInfo.php?workbook=20_05.xlsx&amp;sheet=U0&amp;row=90&amp;col=6&amp;number=3.6&amp;sourceID=14","3.6")</f>
        <v>3.6</v>
      </c>
      <c r="G90" s="4" t="str">
        <f>HYPERLINK("http://141.218.60.56/~jnz1568/getInfo.php?workbook=20_05.xlsx&amp;sheet=U0&amp;row=90&amp;col=7&amp;number=0.3&amp;sourceID=14","0.3")</f>
        <v>0.3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HYPERLINK("http://141.218.60.56/~jnz1568/getInfo.php?workbook=20_05.xlsx&amp;sheet=U0&amp;row=91&amp;col=6&amp;number=3.7&amp;sourceID=14","3.7")</f>
        <v>3.7</v>
      </c>
      <c r="G91" s="4" t="str">
        <f>HYPERLINK("http://141.218.60.56/~jnz1568/getInfo.php?workbook=20_05.xlsx&amp;sheet=U0&amp;row=91&amp;col=7&amp;number=0.299&amp;sourceID=14","0.299")</f>
        <v>0.299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HYPERLINK("http://141.218.60.56/~jnz1568/getInfo.php?workbook=20_05.xlsx&amp;sheet=U0&amp;row=92&amp;col=6&amp;number=3.8&amp;sourceID=14","3.8")</f>
        <v>3.8</v>
      </c>
      <c r="G92" s="4" t="str">
        <f>HYPERLINK("http://141.218.60.56/~jnz1568/getInfo.php?workbook=20_05.xlsx&amp;sheet=U0&amp;row=92&amp;col=7&amp;number=0.298&amp;sourceID=14","0.298")</f>
        <v>0.298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HYPERLINK("http://141.218.60.56/~jnz1568/getInfo.php?workbook=20_05.xlsx&amp;sheet=U0&amp;row=93&amp;col=6&amp;number=3.9&amp;sourceID=14","3.9")</f>
        <v>3.9</v>
      </c>
      <c r="G93" s="4" t="str">
        <f>HYPERLINK("http://141.218.60.56/~jnz1568/getInfo.php?workbook=20_05.xlsx&amp;sheet=U0&amp;row=93&amp;col=7&amp;number=0.297&amp;sourceID=14","0.297")</f>
        <v>0.297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HYPERLINK("http://141.218.60.56/~jnz1568/getInfo.php?workbook=20_05.xlsx&amp;sheet=U0&amp;row=94&amp;col=6&amp;number=4&amp;sourceID=14","4")</f>
        <v>4</v>
      </c>
      <c r="G94" s="4" t="str">
        <f>HYPERLINK("http://141.218.60.56/~jnz1568/getInfo.php?workbook=20_05.xlsx&amp;sheet=U0&amp;row=94&amp;col=7&amp;number=0.295&amp;sourceID=14","0.295")</f>
        <v>0.295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HYPERLINK("http://141.218.60.56/~jnz1568/getInfo.php?workbook=20_05.xlsx&amp;sheet=U0&amp;row=95&amp;col=6&amp;number=4.1&amp;sourceID=14","4.1")</f>
        <v>4.1</v>
      </c>
      <c r="G95" s="4" t="str">
        <f>HYPERLINK("http://141.218.60.56/~jnz1568/getInfo.php?workbook=20_05.xlsx&amp;sheet=U0&amp;row=95&amp;col=7&amp;number=0.293&amp;sourceID=14","0.293")</f>
        <v>0.293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HYPERLINK("http://141.218.60.56/~jnz1568/getInfo.php?workbook=20_05.xlsx&amp;sheet=U0&amp;row=96&amp;col=6&amp;number=4.2&amp;sourceID=14","4.2")</f>
        <v>4.2</v>
      </c>
      <c r="G96" s="4" t="str">
        <f>HYPERLINK("http://141.218.60.56/~jnz1568/getInfo.php?workbook=20_05.xlsx&amp;sheet=U0&amp;row=96&amp;col=7&amp;number=0.291&amp;sourceID=14","0.291")</f>
        <v>0.291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HYPERLINK("http://141.218.60.56/~jnz1568/getInfo.php?workbook=20_05.xlsx&amp;sheet=U0&amp;row=97&amp;col=6&amp;number=4.3&amp;sourceID=14","4.3")</f>
        <v>4.3</v>
      </c>
      <c r="G97" s="4" t="str">
        <f>HYPERLINK("http://141.218.60.56/~jnz1568/getInfo.php?workbook=20_05.xlsx&amp;sheet=U0&amp;row=97&amp;col=7&amp;number=0.287&amp;sourceID=14","0.287")</f>
        <v>0.287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HYPERLINK("http://141.218.60.56/~jnz1568/getInfo.php?workbook=20_05.xlsx&amp;sheet=U0&amp;row=98&amp;col=6&amp;number=4.4&amp;sourceID=14","4.4")</f>
        <v>4.4</v>
      </c>
      <c r="G98" s="4" t="str">
        <f>HYPERLINK("http://141.218.60.56/~jnz1568/getInfo.php?workbook=20_05.xlsx&amp;sheet=U0&amp;row=98&amp;col=7&amp;number=0.284&amp;sourceID=14","0.284")</f>
        <v>0.284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HYPERLINK("http://141.218.60.56/~jnz1568/getInfo.php?workbook=20_05.xlsx&amp;sheet=U0&amp;row=99&amp;col=6&amp;number=4.5&amp;sourceID=14","4.5")</f>
        <v>4.5</v>
      </c>
      <c r="G99" s="4" t="str">
        <f>HYPERLINK("http://141.218.60.56/~jnz1568/getInfo.php?workbook=20_05.xlsx&amp;sheet=U0&amp;row=99&amp;col=7&amp;number=0.279&amp;sourceID=14","0.279")</f>
        <v>0.279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HYPERLINK("http://141.218.60.56/~jnz1568/getInfo.php?workbook=20_05.xlsx&amp;sheet=U0&amp;row=100&amp;col=6&amp;number=4.6&amp;sourceID=14","4.6")</f>
        <v>4.6</v>
      </c>
      <c r="G100" s="4" t="str">
        <f>HYPERLINK("http://141.218.60.56/~jnz1568/getInfo.php?workbook=20_05.xlsx&amp;sheet=U0&amp;row=100&amp;col=7&amp;number=0.274&amp;sourceID=14","0.274")</f>
        <v>0.274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HYPERLINK("http://141.218.60.56/~jnz1568/getInfo.php?workbook=20_05.xlsx&amp;sheet=U0&amp;row=101&amp;col=6&amp;number=4.7&amp;sourceID=14","4.7")</f>
        <v>4.7</v>
      </c>
      <c r="G101" s="4" t="str">
        <f>HYPERLINK("http://141.218.60.56/~jnz1568/getInfo.php?workbook=20_05.xlsx&amp;sheet=U0&amp;row=101&amp;col=7&amp;number=0.268&amp;sourceID=14","0.268")</f>
        <v>0.268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HYPERLINK("http://141.218.60.56/~jnz1568/getInfo.php?workbook=20_05.xlsx&amp;sheet=U0&amp;row=102&amp;col=6&amp;number=4.8&amp;sourceID=14","4.8")</f>
        <v>4.8</v>
      </c>
      <c r="G102" s="4" t="str">
        <f>HYPERLINK("http://141.218.60.56/~jnz1568/getInfo.php?workbook=20_05.xlsx&amp;sheet=U0&amp;row=102&amp;col=7&amp;number=0.262&amp;sourceID=14","0.262")</f>
        <v>0.262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HYPERLINK("http://141.218.60.56/~jnz1568/getInfo.php?workbook=20_05.xlsx&amp;sheet=U0&amp;row=103&amp;col=6&amp;number=4.9&amp;sourceID=14","4.9")</f>
        <v>4.9</v>
      </c>
      <c r="G103" s="4" t="str">
        <f>HYPERLINK("http://141.218.60.56/~jnz1568/getInfo.php?workbook=20_05.xlsx&amp;sheet=U0&amp;row=103&amp;col=7&amp;number=0.256&amp;sourceID=14","0.256")</f>
        <v>0.256</v>
      </c>
    </row>
    <row r="104" spans="1:7">
      <c r="A104" s="3">
        <v>20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HYPERLINK("http://141.218.60.56/~jnz1568/getInfo.php?workbook=20_05.xlsx&amp;sheet=U0&amp;row=104&amp;col=6&amp;number=3&amp;sourceID=14","3")</f>
        <v>3</v>
      </c>
      <c r="G104" s="4" t="str">
        <f>HYPERLINK("http://141.218.60.56/~jnz1568/getInfo.php?workbook=20_05.xlsx&amp;sheet=U0&amp;row=104&amp;col=7&amp;number=0.023&amp;sourceID=14","0.023")</f>
        <v>0.023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HYPERLINK("http://141.218.60.56/~jnz1568/getInfo.php?workbook=20_05.xlsx&amp;sheet=U0&amp;row=105&amp;col=6&amp;number=3.1&amp;sourceID=14","3.1")</f>
        <v>3.1</v>
      </c>
      <c r="G105" s="4" t="str">
        <f>HYPERLINK("http://141.218.60.56/~jnz1568/getInfo.php?workbook=20_05.xlsx&amp;sheet=U0&amp;row=105&amp;col=7&amp;number=0.023&amp;sourceID=14","0.023")</f>
        <v>0.023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HYPERLINK("http://141.218.60.56/~jnz1568/getInfo.php?workbook=20_05.xlsx&amp;sheet=U0&amp;row=106&amp;col=6&amp;number=3.2&amp;sourceID=14","3.2")</f>
        <v>3.2</v>
      </c>
      <c r="G106" s="4" t="str">
        <f>HYPERLINK("http://141.218.60.56/~jnz1568/getInfo.php?workbook=20_05.xlsx&amp;sheet=U0&amp;row=106&amp;col=7&amp;number=0.0231&amp;sourceID=14","0.0231")</f>
        <v>0.0231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HYPERLINK("http://141.218.60.56/~jnz1568/getInfo.php?workbook=20_05.xlsx&amp;sheet=U0&amp;row=107&amp;col=6&amp;number=3.3&amp;sourceID=14","3.3")</f>
        <v>3.3</v>
      </c>
      <c r="G107" s="4" t="str">
        <f>HYPERLINK("http://141.218.60.56/~jnz1568/getInfo.php?workbook=20_05.xlsx&amp;sheet=U0&amp;row=107&amp;col=7&amp;number=0.0232&amp;sourceID=14","0.0232")</f>
        <v>0.0232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HYPERLINK("http://141.218.60.56/~jnz1568/getInfo.php?workbook=20_05.xlsx&amp;sheet=U0&amp;row=108&amp;col=6&amp;number=3.4&amp;sourceID=14","3.4")</f>
        <v>3.4</v>
      </c>
      <c r="G108" s="4" t="str">
        <f>HYPERLINK("http://141.218.60.56/~jnz1568/getInfo.php?workbook=20_05.xlsx&amp;sheet=U0&amp;row=108&amp;col=7&amp;number=0.0233&amp;sourceID=14","0.0233")</f>
        <v>0.0233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HYPERLINK("http://141.218.60.56/~jnz1568/getInfo.php?workbook=20_05.xlsx&amp;sheet=U0&amp;row=109&amp;col=6&amp;number=3.5&amp;sourceID=14","3.5")</f>
        <v>3.5</v>
      </c>
      <c r="G109" s="4" t="str">
        <f>HYPERLINK("http://141.218.60.56/~jnz1568/getInfo.php?workbook=20_05.xlsx&amp;sheet=U0&amp;row=109&amp;col=7&amp;number=0.0234&amp;sourceID=14","0.0234")</f>
        <v>0.0234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HYPERLINK("http://141.218.60.56/~jnz1568/getInfo.php?workbook=20_05.xlsx&amp;sheet=U0&amp;row=110&amp;col=6&amp;number=3.6&amp;sourceID=14","3.6")</f>
        <v>3.6</v>
      </c>
      <c r="G110" s="4" t="str">
        <f>HYPERLINK("http://141.218.60.56/~jnz1568/getInfo.php?workbook=20_05.xlsx&amp;sheet=U0&amp;row=110&amp;col=7&amp;number=0.0236&amp;sourceID=14","0.0236")</f>
        <v>0.0236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HYPERLINK("http://141.218.60.56/~jnz1568/getInfo.php?workbook=20_05.xlsx&amp;sheet=U0&amp;row=111&amp;col=6&amp;number=3.7&amp;sourceID=14","3.7")</f>
        <v>3.7</v>
      </c>
      <c r="G111" s="4" t="str">
        <f>HYPERLINK("http://141.218.60.56/~jnz1568/getInfo.php?workbook=20_05.xlsx&amp;sheet=U0&amp;row=111&amp;col=7&amp;number=0.0238&amp;sourceID=14","0.0238")</f>
        <v>0.0238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HYPERLINK("http://141.218.60.56/~jnz1568/getInfo.php?workbook=20_05.xlsx&amp;sheet=U0&amp;row=112&amp;col=6&amp;number=3.8&amp;sourceID=14","3.8")</f>
        <v>3.8</v>
      </c>
      <c r="G112" s="4" t="str">
        <f>HYPERLINK("http://141.218.60.56/~jnz1568/getInfo.php?workbook=20_05.xlsx&amp;sheet=U0&amp;row=112&amp;col=7&amp;number=0.024&amp;sourceID=14","0.024")</f>
        <v>0.024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HYPERLINK("http://141.218.60.56/~jnz1568/getInfo.php?workbook=20_05.xlsx&amp;sheet=U0&amp;row=113&amp;col=6&amp;number=3.9&amp;sourceID=14","3.9")</f>
        <v>3.9</v>
      </c>
      <c r="G113" s="4" t="str">
        <f>HYPERLINK("http://141.218.60.56/~jnz1568/getInfo.php?workbook=20_05.xlsx&amp;sheet=U0&amp;row=113&amp;col=7&amp;number=0.0244&amp;sourceID=14","0.0244")</f>
        <v>0.0244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HYPERLINK("http://141.218.60.56/~jnz1568/getInfo.php?workbook=20_05.xlsx&amp;sheet=U0&amp;row=114&amp;col=6&amp;number=4&amp;sourceID=14","4")</f>
        <v>4</v>
      </c>
      <c r="G114" s="4" t="str">
        <f>HYPERLINK("http://141.218.60.56/~jnz1568/getInfo.php?workbook=20_05.xlsx&amp;sheet=U0&amp;row=114&amp;col=7&amp;number=0.0248&amp;sourceID=14","0.0248")</f>
        <v>0.0248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HYPERLINK("http://141.218.60.56/~jnz1568/getInfo.php?workbook=20_05.xlsx&amp;sheet=U0&amp;row=115&amp;col=6&amp;number=4.1&amp;sourceID=14","4.1")</f>
        <v>4.1</v>
      </c>
      <c r="G115" s="4" t="str">
        <f>HYPERLINK("http://141.218.60.56/~jnz1568/getInfo.php?workbook=20_05.xlsx&amp;sheet=U0&amp;row=115&amp;col=7&amp;number=0.0253&amp;sourceID=14","0.0253")</f>
        <v>0.0253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HYPERLINK("http://141.218.60.56/~jnz1568/getInfo.php?workbook=20_05.xlsx&amp;sheet=U0&amp;row=116&amp;col=6&amp;number=4.2&amp;sourceID=14","4.2")</f>
        <v>4.2</v>
      </c>
      <c r="G116" s="4" t="str">
        <f>HYPERLINK("http://141.218.60.56/~jnz1568/getInfo.php?workbook=20_05.xlsx&amp;sheet=U0&amp;row=116&amp;col=7&amp;number=0.0259&amp;sourceID=14","0.0259")</f>
        <v>0.0259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HYPERLINK("http://141.218.60.56/~jnz1568/getInfo.php?workbook=20_05.xlsx&amp;sheet=U0&amp;row=117&amp;col=6&amp;number=4.3&amp;sourceID=14","4.3")</f>
        <v>4.3</v>
      </c>
      <c r="G117" s="4" t="str">
        <f>HYPERLINK("http://141.218.60.56/~jnz1568/getInfo.php?workbook=20_05.xlsx&amp;sheet=U0&amp;row=117&amp;col=7&amp;number=0.0266&amp;sourceID=14","0.0266")</f>
        <v>0.0266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HYPERLINK("http://141.218.60.56/~jnz1568/getInfo.php?workbook=20_05.xlsx&amp;sheet=U0&amp;row=118&amp;col=6&amp;number=4.4&amp;sourceID=14","4.4")</f>
        <v>4.4</v>
      </c>
      <c r="G118" s="4" t="str">
        <f>HYPERLINK("http://141.218.60.56/~jnz1568/getInfo.php?workbook=20_05.xlsx&amp;sheet=U0&amp;row=118&amp;col=7&amp;number=0.0275&amp;sourceID=14","0.0275")</f>
        <v>0.0275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HYPERLINK("http://141.218.60.56/~jnz1568/getInfo.php?workbook=20_05.xlsx&amp;sheet=U0&amp;row=119&amp;col=6&amp;number=4.5&amp;sourceID=14","4.5")</f>
        <v>4.5</v>
      </c>
      <c r="G119" s="4" t="str">
        <f>HYPERLINK("http://141.218.60.56/~jnz1568/getInfo.php?workbook=20_05.xlsx&amp;sheet=U0&amp;row=119&amp;col=7&amp;number=0.0286&amp;sourceID=14","0.0286")</f>
        <v>0.0286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HYPERLINK("http://141.218.60.56/~jnz1568/getInfo.php?workbook=20_05.xlsx&amp;sheet=U0&amp;row=120&amp;col=6&amp;number=4.6&amp;sourceID=14","4.6")</f>
        <v>4.6</v>
      </c>
      <c r="G120" s="4" t="str">
        <f>HYPERLINK("http://141.218.60.56/~jnz1568/getInfo.php?workbook=20_05.xlsx&amp;sheet=U0&amp;row=120&amp;col=7&amp;number=0.0298&amp;sourceID=14","0.0298")</f>
        <v>0.0298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HYPERLINK("http://141.218.60.56/~jnz1568/getInfo.php?workbook=20_05.xlsx&amp;sheet=U0&amp;row=121&amp;col=6&amp;number=4.7&amp;sourceID=14","4.7")</f>
        <v>4.7</v>
      </c>
      <c r="G121" s="4" t="str">
        <f>HYPERLINK("http://141.218.60.56/~jnz1568/getInfo.php?workbook=20_05.xlsx&amp;sheet=U0&amp;row=121&amp;col=7&amp;number=0.0311&amp;sourceID=14","0.0311")</f>
        <v>0.0311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HYPERLINK("http://141.218.60.56/~jnz1568/getInfo.php?workbook=20_05.xlsx&amp;sheet=U0&amp;row=122&amp;col=6&amp;number=4.8&amp;sourceID=14","4.8")</f>
        <v>4.8</v>
      </c>
      <c r="G122" s="4" t="str">
        <f>HYPERLINK("http://141.218.60.56/~jnz1568/getInfo.php?workbook=20_05.xlsx&amp;sheet=U0&amp;row=122&amp;col=7&amp;number=0.0324&amp;sourceID=14","0.0324")</f>
        <v>0.0324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HYPERLINK("http://141.218.60.56/~jnz1568/getInfo.php?workbook=20_05.xlsx&amp;sheet=U0&amp;row=123&amp;col=6&amp;number=4.9&amp;sourceID=14","4.9")</f>
        <v>4.9</v>
      </c>
      <c r="G123" s="4" t="str">
        <f>HYPERLINK("http://141.218.60.56/~jnz1568/getInfo.php?workbook=20_05.xlsx&amp;sheet=U0&amp;row=123&amp;col=7&amp;number=0.0333&amp;sourceID=14","0.0333")</f>
        <v>0.0333</v>
      </c>
    </row>
    <row r="124" spans="1:7">
      <c r="A124" s="3">
        <v>20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HYPERLINK("http://141.218.60.56/~jnz1568/getInfo.php?workbook=20_05.xlsx&amp;sheet=U0&amp;row=124&amp;col=6&amp;number=3&amp;sourceID=14","3")</f>
        <v>3</v>
      </c>
      <c r="G124" s="4" t="str">
        <f>HYPERLINK("http://141.218.60.56/~jnz1568/getInfo.php?workbook=20_05.xlsx&amp;sheet=U0&amp;row=124&amp;col=7&amp;number=0.011&amp;sourceID=14","0.011")</f>
        <v>0.011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HYPERLINK("http://141.218.60.56/~jnz1568/getInfo.php?workbook=20_05.xlsx&amp;sheet=U0&amp;row=125&amp;col=6&amp;number=3.1&amp;sourceID=14","3.1")</f>
        <v>3.1</v>
      </c>
      <c r="G125" s="4" t="str">
        <f>HYPERLINK("http://141.218.60.56/~jnz1568/getInfo.php?workbook=20_05.xlsx&amp;sheet=U0&amp;row=125&amp;col=7&amp;number=0.0118&amp;sourceID=14","0.0118")</f>
        <v>0.0118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HYPERLINK("http://141.218.60.56/~jnz1568/getInfo.php?workbook=20_05.xlsx&amp;sheet=U0&amp;row=126&amp;col=6&amp;number=3.2&amp;sourceID=14","3.2")</f>
        <v>3.2</v>
      </c>
      <c r="G126" s="4" t="str">
        <f>HYPERLINK("http://141.218.60.56/~jnz1568/getInfo.php?workbook=20_05.xlsx&amp;sheet=U0&amp;row=126&amp;col=7&amp;number=0.0127&amp;sourceID=14","0.0127")</f>
        <v>0.0127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HYPERLINK("http://141.218.60.56/~jnz1568/getInfo.php?workbook=20_05.xlsx&amp;sheet=U0&amp;row=127&amp;col=6&amp;number=3.3&amp;sourceID=14","3.3")</f>
        <v>3.3</v>
      </c>
      <c r="G127" s="4" t="str">
        <f>HYPERLINK("http://141.218.60.56/~jnz1568/getInfo.php?workbook=20_05.xlsx&amp;sheet=U0&amp;row=127&amp;col=7&amp;number=0.0139&amp;sourceID=14","0.0139")</f>
        <v>0.0139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HYPERLINK("http://141.218.60.56/~jnz1568/getInfo.php?workbook=20_05.xlsx&amp;sheet=U0&amp;row=128&amp;col=6&amp;number=3.4&amp;sourceID=14","3.4")</f>
        <v>3.4</v>
      </c>
      <c r="G128" s="4" t="str">
        <f>HYPERLINK("http://141.218.60.56/~jnz1568/getInfo.php?workbook=20_05.xlsx&amp;sheet=U0&amp;row=128&amp;col=7&amp;number=0.0154&amp;sourceID=14","0.0154")</f>
        <v>0.0154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HYPERLINK("http://141.218.60.56/~jnz1568/getInfo.php?workbook=20_05.xlsx&amp;sheet=U0&amp;row=129&amp;col=6&amp;number=3.5&amp;sourceID=14","3.5")</f>
        <v>3.5</v>
      </c>
      <c r="G129" s="4" t="str">
        <f>HYPERLINK("http://141.218.60.56/~jnz1568/getInfo.php?workbook=20_05.xlsx&amp;sheet=U0&amp;row=129&amp;col=7&amp;number=0.0172&amp;sourceID=14","0.0172")</f>
        <v>0.0172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HYPERLINK("http://141.218.60.56/~jnz1568/getInfo.php?workbook=20_05.xlsx&amp;sheet=U0&amp;row=130&amp;col=6&amp;number=3.6&amp;sourceID=14","3.6")</f>
        <v>3.6</v>
      </c>
      <c r="G130" s="4" t="str">
        <f>HYPERLINK("http://141.218.60.56/~jnz1568/getInfo.php?workbook=20_05.xlsx&amp;sheet=U0&amp;row=130&amp;col=7&amp;number=0.0196&amp;sourceID=14","0.0196")</f>
        <v>0.0196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HYPERLINK("http://141.218.60.56/~jnz1568/getInfo.php?workbook=20_05.xlsx&amp;sheet=U0&amp;row=131&amp;col=6&amp;number=3.7&amp;sourceID=14","3.7")</f>
        <v>3.7</v>
      </c>
      <c r="G131" s="4" t="str">
        <f>HYPERLINK("http://141.218.60.56/~jnz1568/getInfo.php?workbook=20_05.xlsx&amp;sheet=U0&amp;row=131&amp;col=7&amp;number=0.0225&amp;sourceID=14","0.0225")</f>
        <v>0.0225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HYPERLINK("http://141.218.60.56/~jnz1568/getInfo.php?workbook=20_05.xlsx&amp;sheet=U0&amp;row=132&amp;col=6&amp;number=3.8&amp;sourceID=14","3.8")</f>
        <v>3.8</v>
      </c>
      <c r="G132" s="4" t="str">
        <f>HYPERLINK("http://141.218.60.56/~jnz1568/getInfo.php?workbook=20_05.xlsx&amp;sheet=U0&amp;row=132&amp;col=7&amp;number=0.0262&amp;sourceID=14","0.0262")</f>
        <v>0.0262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HYPERLINK("http://141.218.60.56/~jnz1568/getInfo.php?workbook=20_05.xlsx&amp;sheet=U0&amp;row=133&amp;col=6&amp;number=3.9&amp;sourceID=14","3.9")</f>
        <v>3.9</v>
      </c>
      <c r="G133" s="4" t="str">
        <f>HYPERLINK("http://141.218.60.56/~jnz1568/getInfo.php?workbook=20_05.xlsx&amp;sheet=U0&amp;row=133&amp;col=7&amp;number=0.0307&amp;sourceID=14","0.0307")</f>
        <v>0.0307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HYPERLINK("http://141.218.60.56/~jnz1568/getInfo.php?workbook=20_05.xlsx&amp;sheet=U0&amp;row=134&amp;col=6&amp;number=4&amp;sourceID=14","4")</f>
        <v>4</v>
      </c>
      <c r="G134" s="4" t="str">
        <f>HYPERLINK("http://141.218.60.56/~jnz1568/getInfo.php?workbook=20_05.xlsx&amp;sheet=U0&amp;row=134&amp;col=7&amp;number=0.0364&amp;sourceID=14","0.0364")</f>
        <v>0.0364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HYPERLINK("http://141.218.60.56/~jnz1568/getInfo.php?workbook=20_05.xlsx&amp;sheet=U0&amp;row=135&amp;col=6&amp;number=4.1&amp;sourceID=14","4.1")</f>
        <v>4.1</v>
      </c>
      <c r="G135" s="4" t="str">
        <f>HYPERLINK("http://141.218.60.56/~jnz1568/getInfo.php?workbook=20_05.xlsx&amp;sheet=U0&amp;row=135&amp;col=7&amp;number=0.0435&amp;sourceID=14","0.0435")</f>
        <v>0.0435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HYPERLINK("http://141.218.60.56/~jnz1568/getInfo.php?workbook=20_05.xlsx&amp;sheet=U0&amp;row=136&amp;col=6&amp;number=4.2&amp;sourceID=14","4.2")</f>
        <v>4.2</v>
      </c>
      <c r="G136" s="4" t="str">
        <f>HYPERLINK("http://141.218.60.56/~jnz1568/getInfo.php?workbook=20_05.xlsx&amp;sheet=U0&amp;row=136&amp;col=7&amp;number=0.0523&amp;sourceID=14","0.0523")</f>
        <v>0.0523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HYPERLINK("http://141.218.60.56/~jnz1568/getInfo.php?workbook=20_05.xlsx&amp;sheet=U0&amp;row=137&amp;col=6&amp;number=4.3&amp;sourceID=14","4.3")</f>
        <v>4.3</v>
      </c>
      <c r="G137" s="4" t="str">
        <f>HYPERLINK("http://141.218.60.56/~jnz1568/getInfo.php?workbook=20_05.xlsx&amp;sheet=U0&amp;row=137&amp;col=7&amp;number=0.0631&amp;sourceID=14","0.0631")</f>
        <v>0.0631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HYPERLINK("http://141.218.60.56/~jnz1568/getInfo.php?workbook=20_05.xlsx&amp;sheet=U0&amp;row=138&amp;col=6&amp;number=4.4&amp;sourceID=14","4.4")</f>
        <v>4.4</v>
      </c>
      <c r="G138" s="4" t="str">
        <f>HYPERLINK("http://141.218.60.56/~jnz1568/getInfo.php?workbook=20_05.xlsx&amp;sheet=U0&amp;row=138&amp;col=7&amp;number=0.0763&amp;sourceID=14","0.0763")</f>
        <v>0.0763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HYPERLINK("http://141.218.60.56/~jnz1568/getInfo.php?workbook=20_05.xlsx&amp;sheet=U0&amp;row=139&amp;col=6&amp;number=4.5&amp;sourceID=14","4.5")</f>
        <v>4.5</v>
      </c>
      <c r="G139" s="4" t="str">
        <f>HYPERLINK("http://141.218.60.56/~jnz1568/getInfo.php?workbook=20_05.xlsx&amp;sheet=U0&amp;row=139&amp;col=7&amp;number=0.0922&amp;sourceID=14","0.0922")</f>
        <v>0.0922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HYPERLINK("http://141.218.60.56/~jnz1568/getInfo.php?workbook=20_05.xlsx&amp;sheet=U0&amp;row=140&amp;col=6&amp;number=4.6&amp;sourceID=14","4.6")</f>
        <v>4.6</v>
      </c>
      <c r="G140" s="4" t="str">
        <f>HYPERLINK("http://141.218.60.56/~jnz1568/getInfo.php?workbook=20_05.xlsx&amp;sheet=U0&amp;row=140&amp;col=7&amp;number=0.111&amp;sourceID=14","0.111")</f>
        <v>0.111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HYPERLINK("http://141.218.60.56/~jnz1568/getInfo.php?workbook=20_05.xlsx&amp;sheet=U0&amp;row=141&amp;col=6&amp;number=4.7&amp;sourceID=14","4.7")</f>
        <v>4.7</v>
      </c>
      <c r="G141" s="4" t="str">
        <f>HYPERLINK("http://141.218.60.56/~jnz1568/getInfo.php?workbook=20_05.xlsx&amp;sheet=U0&amp;row=141&amp;col=7&amp;number=0.133&amp;sourceID=14","0.133")</f>
        <v>0.133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HYPERLINK("http://141.218.60.56/~jnz1568/getInfo.php?workbook=20_05.xlsx&amp;sheet=U0&amp;row=142&amp;col=6&amp;number=4.8&amp;sourceID=14","4.8")</f>
        <v>4.8</v>
      </c>
      <c r="G142" s="4" t="str">
        <f>HYPERLINK("http://141.218.60.56/~jnz1568/getInfo.php?workbook=20_05.xlsx&amp;sheet=U0&amp;row=142&amp;col=7&amp;number=0.156&amp;sourceID=14","0.156")</f>
        <v>0.156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HYPERLINK("http://141.218.60.56/~jnz1568/getInfo.php?workbook=20_05.xlsx&amp;sheet=U0&amp;row=143&amp;col=6&amp;number=4.9&amp;sourceID=14","4.9")</f>
        <v>4.9</v>
      </c>
      <c r="G143" s="4" t="str">
        <f>HYPERLINK("http://141.218.60.56/~jnz1568/getInfo.php?workbook=20_05.xlsx&amp;sheet=U0&amp;row=143&amp;col=7&amp;number=0.181&amp;sourceID=14","0.181")</f>
        <v>0.181</v>
      </c>
    </row>
    <row r="144" spans="1:7">
      <c r="A144" s="3">
        <v>20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HYPERLINK("http://141.218.60.56/~jnz1568/getInfo.php?workbook=20_05.xlsx&amp;sheet=U0&amp;row=144&amp;col=6&amp;number=3&amp;sourceID=14","3")</f>
        <v>3</v>
      </c>
      <c r="G144" s="4" t="str">
        <f>HYPERLINK("http://141.218.60.56/~jnz1568/getInfo.php?workbook=20_05.xlsx&amp;sheet=U0&amp;row=144&amp;col=7&amp;number=0.076&amp;sourceID=14","0.076")</f>
        <v>0.076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HYPERLINK("http://141.218.60.56/~jnz1568/getInfo.php?workbook=20_05.xlsx&amp;sheet=U0&amp;row=145&amp;col=6&amp;number=3.1&amp;sourceID=14","3.1")</f>
        <v>3.1</v>
      </c>
      <c r="G145" s="4" t="str">
        <f>HYPERLINK("http://141.218.60.56/~jnz1568/getInfo.php?workbook=20_05.xlsx&amp;sheet=U0&amp;row=145&amp;col=7&amp;number=0.076&amp;sourceID=14","0.076")</f>
        <v>0.076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HYPERLINK("http://141.218.60.56/~jnz1568/getInfo.php?workbook=20_05.xlsx&amp;sheet=U0&amp;row=146&amp;col=6&amp;number=3.2&amp;sourceID=14","3.2")</f>
        <v>3.2</v>
      </c>
      <c r="G146" s="4" t="str">
        <f>HYPERLINK("http://141.218.60.56/~jnz1568/getInfo.php?workbook=20_05.xlsx&amp;sheet=U0&amp;row=146&amp;col=7&amp;number=0.076&amp;sourceID=14","0.076")</f>
        <v>0.076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HYPERLINK("http://141.218.60.56/~jnz1568/getInfo.php?workbook=20_05.xlsx&amp;sheet=U0&amp;row=147&amp;col=6&amp;number=3.3&amp;sourceID=14","3.3")</f>
        <v>3.3</v>
      </c>
      <c r="G147" s="4" t="str">
        <f>HYPERLINK("http://141.218.60.56/~jnz1568/getInfo.php?workbook=20_05.xlsx&amp;sheet=U0&amp;row=147&amp;col=7&amp;number=0.076&amp;sourceID=14","0.076")</f>
        <v>0.076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HYPERLINK("http://141.218.60.56/~jnz1568/getInfo.php?workbook=20_05.xlsx&amp;sheet=U0&amp;row=148&amp;col=6&amp;number=3.4&amp;sourceID=14","3.4")</f>
        <v>3.4</v>
      </c>
      <c r="G148" s="4" t="str">
        <f>HYPERLINK("http://141.218.60.56/~jnz1568/getInfo.php?workbook=20_05.xlsx&amp;sheet=U0&amp;row=148&amp;col=7&amp;number=0.076&amp;sourceID=14","0.076")</f>
        <v>0.076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HYPERLINK("http://141.218.60.56/~jnz1568/getInfo.php?workbook=20_05.xlsx&amp;sheet=U0&amp;row=149&amp;col=6&amp;number=3.5&amp;sourceID=14","3.5")</f>
        <v>3.5</v>
      </c>
      <c r="G149" s="4" t="str">
        <f>HYPERLINK("http://141.218.60.56/~jnz1568/getInfo.php?workbook=20_05.xlsx&amp;sheet=U0&amp;row=149&amp;col=7&amp;number=0.076&amp;sourceID=14","0.076")</f>
        <v>0.076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HYPERLINK("http://141.218.60.56/~jnz1568/getInfo.php?workbook=20_05.xlsx&amp;sheet=U0&amp;row=150&amp;col=6&amp;number=3.6&amp;sourceID=14","3.6")</f>
        <v>3.6</v>
      </c>
      <c r="G150" s="4" t="str">
        <f>HYPERLINK("http://141.218.60.56/~jnz1568/getInfo.php?workbook=20_05.xlsx&amp;sheet=U0&amp;row=150&amp;col=7&amp;number=0.076&amp;sourceID=14","0.076")</f>
        <v>0.076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HYPERLINK("http://141.218.60.56/~jnz1568/getInfo.php?workbook=20_05.xlsx&amp;sheet=U0&amp;row=151&amp;col=6&amp;number=3.7&amp;sourceID=14","3.7")</f>
        <v>3.7</v>
      </c>
      <c r="G151" s="4" t="str">
        <f>HYPERLINK("http://141.218.60.56/~jnz1568/getInfo.php?workbook=20_05.xlsx&amp;sheet=U0&amp;row=151&amp;col=7&amp;number=0.076&amp;sourceID=14","0.076")</f>
        <v>0.076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HYPERLINK("http://141.218.60.56/~jnz1568/getInfo.php?workbook=20_05.xlsx&amp;sheet=U0&amp;row=152&amp;col=6&amp;number=3.8&amp;sourceID=14","3.8")</f>
        <v>3.8</v>
      </c>
      <c r="G152" s="4" t="str">
        <f>HYPERLINK("http://141.218.60.56/~jnz1568/getInfo.php?workbook=20_05.xlsx&amp;sheet=U0&amp;row=152&amp;col=7&amp;number=0.0759&amp;sourceID=14","0.0759")</f>
        <v>0.0759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HYPERLINK("http://141.218.60.56/~jnz1568/getInfo.php?workbook=20_05.xlsx&amp;sheet=U0&amp;row=153&amp;col=6&amp;number=3.9&amp;sourceID=14","3.9")</f>
        <v>3.9</v>
      </c>
      <c r="G153" s="4" t="str">
        <f>HYPERLINK("http://141.218.60.56/~jnz1568/getInfo.php?workbook=20_05.xlsx&amp;sheet=U0&amp;row=153&amp;col=7&amp;number=0.0759&amp;sourceID=14","0.0759")</f>
        <v>0.0759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HYPERLINK("http://141.218.60.56/~jnz1568/getInfo.php?workbook=20_05.xlsx&amp;sheet=U0&amp;row=154&amp;col=6&amp;number=4&amp;sourceID=14","4")</f>
        <v>4</v>
      </c>
      <c r="G154" s="4" t="str">
        <f>HYPERLINK("http://141.218.60.56/~jnz1568/getInfo.php?workbook=20_05.xlsx&amp;sheet=U0&amp;row=154&amp;col=7&amp;number=0.0759&amp;sourceID=14","0.0759")</f>
        <v>0.0759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HYPERLINK("http://141.218.60.56/~jnz1568/getInfo.php?workbook=20_05.xlsx&amp;sheet=U0&amp;row=155&amp;col=6&amp;number=4.1&amp;sourceID=14","4.1")</f>
        <v>4.1</v>
      </c>
      <c r="G155" s="4" t="str">
        <f>HYPERLINK("http://141.218.60.56/~jnz1568/getInfo.php?workbook=20_05.xlsx&amp;sheet=U0&amp;row=155&amp;col=7&amp;number=0.0758&amp;sourceID=14","0.0758")</f>
        <v>0.0758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HYPERLINK("http://141.218.60.56/~jnz1568/getInfo.php?workbook=20_05.xlsx&amp;sheet=U0&amp;row=156&amp;col=6&amp;number=4.2&amp;sourceID=14","4.2")</f>
        <v>4.2</v>
      </c>
      <c r="G156" s="4" t="str">
        <f>HYPERLINK("http://141.218.60.56/~jnz1568/getInfo.php?workbook=20_05.xlsx&amp;sheet=U0&amp;row=156&amp;col=7&amp;number=0.0758&amp;sourceID=14","0.0758")</f>
        <v>0.0758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HYPERLINK("http://141.218.60.56/~jnz1568/getInfo.php?workbook=20_05.xlsx&amp;sheet=U0&amp;row=157&amp;col=6&amp;number=4.3&amp;sourceID=14","4.3")</f>
        <v>4.3</v>
      </c>
      <c r="G157" s="4" t="str">
        <f>HYPERLINK("http://141.218.60.56/~jnz1568/getInfo.php?workbook=20_05.xlsx&amp;sheet=U0&amp;row=157&amp;col=7&amp;number=0.0757&amp;sourceID=14","0.0757")</f>
        <v>0.0757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HYPERLINK("http://141.218.60.56/~jnz1568/getInfo.php?workbook=20_05.xlsx&amp;sheet=U0&amp;row=158&amp;col=6&amp;number=4.4&amp;sourceID=14","4.4")</f>
        <v>4.4</v>
      </c>
      <c r="G158" s="4" t="str">
        <f>HYPERLINK("http://141.218.60.56/~jnz1568/getInfo.php?workbook=20_05.xlsx&amp;sheet=U0&amp;row=158&amp;col=7&amp;number=0.0756&amp;sourceID=14","0.0756")</f>
        <v>0.0756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HYPERLINK("http://141.218.60.56/~jnz1568/getInfo.php?workbook=20_05.xlsx&amp;sheet=U0&amp;row=159&amp;col=6&amp;number=4.5&amp;sourceID=14","4.5")</f>
        <v>4.5</v>
      </c>
      <c r="G159" s="4" t="str">
        <f>HYPERLINK("http://141.218.60.56/~jnz1568/getInfo.php?workbook=20_05.xlsx&amp;sheet=U0&amp;row=159&amp;col=7&amp;number=0.0754&amp;sourceID=14","0.0754")</f>
        <v>0.0754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HYPERLINK("http://141.218.60.56/~jnz1568/getInfo.php?workbook=20_05.xlsx&amp;sheet=U0&amp;row=160&amp;col=6&amp;number=4.6&amp;sourceID=14","4.6")</f>
        <v>4.6</v>
      </c>
      <c r="G160" s="4" t="str">
        <f>HYPERLINK("http://141.218.60.56/~jnz1568/getInfo.php?workbook=20_05.xlsx&amp;sheet=U0&amp;row=160&amp;col=7&amp;number=0.0752&amp;sourceID=14","0.0752")</f>
        <v>0.0752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HYPERLINK("http://141.218.60.56/~jnz1568/getInfo.php?workbook=20_05.xlsx&amp;sheet=U0&amp;row=161&amp;col=6&amp;number=4.7&amp;sourceID=14","4.7")</f>
        <v>4.7</v>
      </c>
      <c r="G161" s="4" t="str">
        <f>HYPERLINK("http://141.218.60.56/~jnz1568/getInfo.php?workbook=20_05.xlsx&amp;sheet=U0&amp;row=161&amp;col=7&amp;number=0.075&amp;sourceID=14","0.075")</f>
        <v>0.075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HYPERLINK("http://141.218.60.56/~jnz1568/getInfo.php?workbook=20_05.xlsx&amp;sheet=U0&amp;row=162&amp;col=6&amp;number=4.8&amp;sourceID=14","4.8")</f>
        <v>4.8</v>
      </c>
      <c r="G162" s="4" t="str">
        <f>HYPERLINK("http://141.218.60.56/~jnz1568/getInfo.php?workbook=20_05.xlsx&amp;sheet=U0&amp;row=162&amp;col=7&amp;number=0.0746&amp;sourceID=14","0.0746")</f>
        <v>0.0746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HYPERLINK("http://141.218.60.56/~jnz1568/getInfo.php?workbook=20_05.xlsx&amp;sheet=U0&amp;row=163&amp;col=6&amp;number=4.9&amp;sourceID=14","4.9")</f>
        <v>4.9</v>
      </c>
      <c r="G163" s="4" t="str">
        <f>HYPERLINK("http://141.218.60.56/~jnz1568/getInfo.php?workbook=20_05.xlsx&amp;sheet=U0&amp;row=163&amp;col=7&amp;number=0.0741&amp;sourceID=14","0.0741")</f>
        <v>0.0741</v>
      </c>
    </row>
    <row r="164" spans="1:7">
      <c r="A164" s="3">
        <v>20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HYPERLINK("http://141.218.60.56/~jnz1568/getInfo.php?workbook=20_05.xlsx&amp;sheet=U0&amp;row=164&amp;col=6&amp;number=3&amp;sourceID=14","3")</f>
        <v>3</v>
      </c>
      <c r="G164" s="4" t="str">
        <f>HYPERLINK("http://141.218.60.56/~jnz1568/getInfo.php?workbook=20_05.xlsx&amp;sheet=U0&amp;row=164&amp;col=7&amp;number=0.126&amp;sourceID=14","0.126")</f>
        <v>0.126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HYPERLINK("http://141.218.60.56/~jnz1568/getInfo.php?workbook=20_05.xlsx&amp;sheet=U0&amp;row=165&amp;col=6&amp;number=3.1&amp;sourceID=14","3.1")</f>
        <v>3.1</v>
      </c>
      <c r="G165" s="4" t="str">
        <f>HYPERLINK("http://141.218.60.56/~jnz1568/getInfo.php?workbook=20_05.xlsx&amp;sheet=U0&amp;row=165&amp;col=7&amp;number=0.126&amp;sourceID=14","0.126")</f>
        <v>0.126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HYPERLINK("http://141.218.60.56/~jnz1568/getInfo.php?workbook=20_05.xlsx&amp;sheet=U0&amp;row=166&amp;col=6&amp;number=3.2&amp;sourceID=14","3.2")</f>
        <v>3.2</v>
      </c>
      <c r="G166" s="4" t="str">
        <f>HYPERLINK("http://141.218.60.56/~jnz1568/getInfo.php?workbook=20_05.xlsx&amp;sheet=U0&amp;row=166&amp;col=7&amp;number=0.126&amp;sourceID=14","0.126")</f>
        <v>0.126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HYPERLINK("http://141.218.60.56/~jnz1568/getInfo.php?workbook=20_05.xlsx&amp;sheet=U0&amp;row=167&amp;col=6&amp;number=3.3&amp;sourceID=14","3.3")</f>
        <v>3.3</v>
      </c>
      <c r="G167" s="4" t="str">
        <f>HYPERLINK("http://141.218.60.56/~jnz1568/getInfo.php?workbook=20_05.xlsx&amp;sheet=U0&amp;row=167&amp;col=7&amp;number=0.126&amp;sourceID=14","0.126")</f>
        <v>0.126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HYPERLINK("http://141.218.60.56/~jnz1568/getInfo.php?workbook=20_05.xlsx&amp;sheet=U0&amp;row=168&amp;col=6&amp;number=3.4&amp;sourceID=14","3.4")</f>
        <v>3.4</v>
      </c>
      <c r="G168" s="4" t="str">
        <f>HYPERLINK("http://141.218.60.56/~jnz1568/getInfo.php?workbook=20_05.xlsx&amp;sheet=U0&amp;row=168&amp;col=7&amp;number=0.126&amp;sourceID=14","0.126")</f>
        <v>0.126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HYPERLINK("http://141.218.60.56/~jnz1568/getInfo.php?workbook=20_05.xlsx&amp;sheet=U0&amp;row=169&amp;col=6&amp;number=3.5&amp;sourceID=14","3.5")</f>
        <v>3.5</v>
      </c>
      <c r="G169" s="4" t="str">
        <f>HYPERLINK("http://141.218.60.56/~jnz1568/getInfo.php?workbook=20_05.xlsx&amp;sheet=U0&amp;row=169&amp;col=7&amp;number=0.126&amp;sourceID=14","0.126")</f>
        <v>0.126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HYPERLINK("http://141.218.60.56/~jnz1568/getInfo.php?workbook=20_05.xlsx&amp;sheet=U0&amp;row=170&amp;col=6&amp;number=3.6&amp;sourceID=14","3.6")</f>
        <v>3.6</v>
      </c>
      <c r="G170" s="4" t="str">
        <f>HYPERLINK("http://141.218.60.56/~jnz1568/getInfo.php?workbook=20_05.xlsx&amp;sheet=U0&amp;row=170&amp;col=7&amp;number=0.126&amp;sourceID=14","0.126")</f>
        <v>0.126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HYPERLINK("http://141.218.60.56/~jnz1568/getInfo.php?workbook=20_05.xlsx&amp;sheet=U0&amp;row=171&amp;col=6&amp;number=3.7&amp;sourceID=14","3.7")</f>
        <v>3.7</v>
      </c>
      <c r="G171" s="4" t="str">
        <f>HYPERLINK("http://141.218.60.56/~jnz1568/getInfo.php?workbook=20_05.xlsx&amp;sheet=U0&amp;row=171&amp;col=7&amp;number=0.126&amp;sourceID=14","0.126")</f>
        <v>0.126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HYPERLINK("http://141.218.60.56/~jnz1568/getInfo.php?workbook=20_05.xlsx&amp;sheet=U0&amp;row=172&amp;col=6&amp;number=3.8&amp;sourceID=14","3.8")</f>
        <v>3.8</v>
      </c>
      <c r="G172" s="4" t="str">
        <f>HYPERLINK("http://141.218.60.56/~jnz1568/getInfo.php?workbook=20_05.xlsx&amp;sheet=U0&amp;row=172&amp;col=7&amp;number=0.126&amp;sourceID=14","0.126")</f>
        <v>0.126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HYPERLINK("http://141.218.60.56/~jnz1568/getInfo.php?workbook=20_05.xlsx&amp;sheet=U0&amp;row=173&amp;col=6&amp;number=3.9&amp;sourceID=14","3.9")</f>
        <v>3.9</v>
      </c>
      <c r="G173" s="4" t="str">
        <f>HYPERLINK("http://141.218.60.56/~jnz1568/getInfo.php?workbook=20_05.xlsx&amp;sheet=U0&amp;row=173&amp;col=7&amp;number=0.126&amp;sourceID=14","0.126")</f>
        <v>0.126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HYPERLINK("http://141.218.60.56/~jnz1568/getInfo.php?workbook=20_05.xlsx&amp;sheet=U0&amp;row=174&amp;col=6&amp;number=4&amp;sourceID=14","4")</f>
        <v>4</v>
      </c>
      <c r="G174" s="4" t="str">
        <f>HYPERLINK("http://141.218.60.56/~jnz1568/getInfo.php?workbook=20_05.xlsx&amp;sheet=U0&amp;row=174&amp;col=7&amp;number=0.126&amp;sourceID=14","0.126")</f>
        <v>0.126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HYPERLINK("http://141.218.60.56/~jnz1568/getInfo.php?workbook=20_05.xlsx&amp;sheet=U0&amp;row=175&amp;col=6&amp;number=4.1&amp;sourceID=14","4.1")</f>
        <v>4.1</v>
      </c>
      <c r="G175" s="4" t="str">
        <f>HYPERLINK("http://141.218.60.56/~jnz1568/getInfo.php?workbook=20_05.xlsx&amp;sheet=U0&amp;row=175&amp;col=7&amp;number=0.126&amp;sourceID=14","0.126")</f>
        <v>0.126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HYPERLINK("http://141.218.60.56/~jnz1568/getInfo.php?workbook=20_05.xlsx&amp;sheet=U0&amp;row=176&amp;col=6&amp;number=4.2&amp;sourceID=14","4.2")</f>
        <v>4.2</v>
      </c>
      <c r="G176" s="4" t="str">
        <f>HYPERLINK("http://141.218.60.56/~jnz1568/getInfo.php?workbook=20_05.xlsx&amp;sheet=U0&amp;row=176&amp;col=7&amp;number=0.126&amp;sourceID=14","0.126")</f>
        <v>0.126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HYPERLINK("http://141.218.60.56/~jnz1568/getInfo.php?workbook=20_05.xlsx&amp;sheet=U0&amp;row=177&amp;col=6&amp;number=4.3&amp;sourceID=14","4.3")</f>
        <v>4.3</v>
      </c>
      <c r="G177" s="4" t="str">
        <f>HYPERLINK("http://141.218.60.56/~jnz1568/getInfo.php?workbook=20_05.xlsx&amp;sheet=U0&amp;row=177&amp;col=7&amp;number=0.126&amp;sourceID=14","0.126")</f>
        <v>0.126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HYPERLINK("http://141.218.60.56/~jnz1568/getInfo.php?workbook=20_05.xlsx&amp;sheet=U0&amp;row=178&amp;col=6&amp;number=4.4&amp;sourceID=14","4.4")</f>
        <v>4.4</v>
      </c>
      <c r="G178" s="4" t="str">
        <f>HYPERLINK("http://141.218.60.56/~jnz1568/getInfo.php?workbook=20_05.xlsx&amp;sheet=U0&amp;row=178&amp;col=7&amp;number=0.126&amp;sourceID=14","0.126")</f>
        <v>0.126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HYPERLINK("http://141.218.60.56/~jnz1568/getInfo.php?workbook=20_05.xlsx&amp;sheet=U0&amp;row=179&amp;col=6&amp;number=4.5&amp;sourceID=14","4.5")</f>
        <v>4.5</v>
      </c>
      <c r="G179" s="4" t="str">
        <f>HYPERLINK("http://141.218.60.56/~jnz1568/getInfo.php?workbook=20_05.xlsx&amp;sheet=U0&amp;row=179&amp;col=7&amp;number=0.126&amp;sourceID=14","0.126")</f>
        <v>0.126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HYPERLINK("http://141.218.60.56/~jnz1568/getInfo.php?workbook=20_05.xlsx&amp;sheet=U0&amp;row=180&amp;col=6&amp;number=4.6&amp;sourceID=14","4.6")</f>
        <v>4.6</v>
      </c>
      <c r="G180" s="4" t="str">
        <f>HYPERLINK("http://141.218.60.56/~jnz1568/getInfo.php?workbook=20_05.xlsx&amp;sheet=U0&amp;row=180&amp;col=7&amp;number=0.126&amp;sourceID=14","0.126")</f>
        <v>0.126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HYPERLINK("http://141.218.60.56/~jnz1568/getInfo.php?workbook=20_05.xlsx&amp;sheet=U0&amp;row=181&amp;col=6&amp;number=4.7&amp;sourceID=14","4.7")</f>
        <v>4.7</v>
      </c>
      <c r="G181" s="4" t="str">
        <f>HYPERLINK("http://141.218.60.56/~jnz1568/getInfo.php?workbook=20_05.xlsx&amp;sheet=U0&amp;row=181&amp;col=7&amp;number=0.126&amp;sourceID=14","0.126")</f>
        <v>0.126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HYPERLINK("http://141.218.60.56/~jnz1568/getInfo.php?workbook=20_05.xlsx&amp;sheet=U0&amp;row=182&amp;col=6&amp;number=4.8&amp;sourceID=14","4.8")</f>
        <v>4.8</v>
      </c>
      <c r="G182" s="4" t="str">
        <f>HYPERLINK("http://141.218.60.56/~jnz1568/getInfo.php?workbook=20_05.xlsx&amp;sheet=U0&amp;row=182&amp;col=7&amp;number=0.126&amp;sourceID=14","0.126")</f>
        <v>0.126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HYPERLINK("http://141.218.60.56/~jnz1568/getInfo.php?workbook=20_05.xlsx&amp;sheet=U0&amp;row=183&amp;col=6&amp;number=4.9&amp;sourceID=14","4.9")</f>
        <v>4.9</v>
      </c>
      <c r="G183" s="4" t="str">
        <f>HYPERLINK("http://141.218.60.56/~jnz1568/getInfo.php?workbook=20_05.xlsx&amp;sheet=U0&amp;row=183&amp;col=7&amp;number=0.126&amp;sourceID=14","0.126")</f>
        <v>0.126</v>
      </c>
    </row>
    <row r="184" spans="1:7">
      <c r="A184" s="3">
        <v>20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HYPERLINK("http://141.218.60.56/~jnz1568/getInfo.php?workbook=20_05.xlsx&amp;sheet=U0&amp;row=184&amp;col=6&amp;number=3&amp;sourceID=14","3")</f>
        <v>3</v>
      </c>
      <c r="G184" s="4" t="str">
        <f>HYPERLINK("http://141.218.60.56/~jnz1568/getInfo.php?workbook=20_05.xlsx&amp;sheet=U0&amp;row=184&amp;col=7&amp;number=0.000505&amp;sourceID=14","0.000505")</f>
        <v>0.000505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HYPERLINK("http://141.218.60.56/~jnz1568/getInfo.php?workbook=20_05.xlsx&amp;sheet=U0&amp;row=185&amp;col=6&amp;number=3.1&amp;sourceID=14","3.1")</f>
        <v>3.1</v>
      </c>
      <c r="G185" s="4" t="str">
        <f>HYPERLINK("http://141.218.60.56/~jnz1568/getInfo.php?workbook=20_05.xlsx&amp;sheet=U0&amp;row=185&amp;col=7&amp;number=0.000505&amp;sourceID=14","0.000505")</f>
        <v>0.000505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HYPERLINK("http://141.218.60.56/~jnz1568/getInfo.php?workbook=20_05.xlsx&amp;sheet=U0&amp;row=186&amp;col=6&amp;number=3.2&amp;sourceID=14","3.2")</f>
        <v>3.2</v>
      </c>
      <c r="G186" s="4" t="str">
        <f>HYPERLINK("http://141.218.60.56/~jnz1568/getInfo.php?workbook=20_05.xlsx&amp;sheet=U0&amp;row=186&amp;col=7&amp;number=0.000505&amp;sourceID=14","0.000505")</f>
        <v>0.000505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HYPERLINK("http://141.218.60.56/~jnz1568/getInfo.php?workbook=20_05.xlsx&amp;sheet=U0&amp;row=187&amp;col=6&amp;number=3.3&amp;sourceID=14","3.3")</f>
        <v>3.3</v>
      </c>
      <c r="G187" s="4" t="str">
        <f>HYPERLINK("http://141.218.60.56/~jnz1568/getInfo.php?workbook=20_05.xlsx&amp;sheet=U0&amp;row=187&amp;col=7&amp;number=0.000505&amp;sourceID=14","0.000505")</f>
        <v>0.000505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HYPERLINK("http://141.218.60.56/~jnz1568/getInfo.php?workbook=20_05.xlsx&amp;sheet=U0&amp;row=188&amp;col=6&amp;number=3.4&amp;sourceID=14","3.4")</f>
        <v>3.4</v>
      </c>
      <c r="G188" s="4" t="str">
        <f>HYPERLINK("http://141.218.60.56/~jnz1568/getInfo.php?workbook=20_05.xlsx&amp;sheet=U0&amp;row=188&amp;col=7&amp;number=0.000505&amp;sourceID=14","0.000505")</f>
        <v>0.000505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HYPERLINK("http://141.218.60.56/~jnz1568/getInfo.php?workbook=20_05.xlsx&amp;sheet=U0&amp;row=189&amp;col=6&amp;number=3.5&amp;sourceID=14","3.5")</f>
        <v>3.5</v>
      </c>
      <c r="G189" s="4" t="str">
        <f>HYPERLINK("http://141.218.60.56/~jnz1568/getInfo.php?workbook=20_05.xlsx&amp;sheet=U0&amp;row=189&amp;col=7&amp;number=0.000506&amp;sourceID=14","0.000506")</f>
        <v>0.000506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HYPERLINK("http://141.218.60.56/~jnz1568/getInfo.php?workbook=20_05.xlsx&amp;sheet=U0&amp;row=190&amp;col=6&amp;number=3.6&amp;sourceID=14","3.6")</f>
        <v>3.6</v>
      </c>
      <c r="G190" s="4" t="str">
        <f>HYPERLINK("http://141.218.60.56/~jnz1568/getInfo.php?workbook=20_05.xlsx&amp;sheet=U0&amp;row=190&amp;col=7&amp;number=0.000506&amp;sourceID=14","0.000506")</f>
        <v>0.000506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HYPERLINK("http://141.218.60.56/~jnz1568/getInfo.php?workbook=20_05.xlsx&amp;sheet=U0&amp;row=191&amp;col=6&amp;number=3.7&amp;sourceID=14","3.7")</f>
        <v>3.7</v>
      </c>
      <c r="G191" s="4" t="str">
        <f>HYPERLINK("http://141.218.60.56/~jnz1568/getInfo.php?workbook=20_05.xlsx&amp;sheet=U0&amp;row=191&amp;col=7&amp;number=0.000506&amp;sourceID=14","0.000506")</f>
        <v>0.000506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HYPERLINK("http://141.218.60.56/~jnz1568/getInfo.php?workbook=20_05.xlsx&amp;sheet=U0&amp;row=192&amp;col=6&amp;number=3.8&amp;sourceID=14","3.8")</f>
        <v>3.8</v>
      </c>
      <c r="G192" s="4" t="str">
        <f>HYPERLINK("http://141.218.60.56/~jnz1568/getInfo.php?workbook=20_05.xlsx&amp;sheet=U0&amp;row=192&amp;col=7&amp;number=0.000506&amp;sourceID=14","0.000506")</f>
        <v>0.000506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HYPERLINK("http://141.218.60.56/~jnz1568/getInfo.php?workbook=20_05.xlsx&amp;sheet=U0&amp;row=193&amp;col=6&amp;number=3.9&amp;sourceID=14","3.9")</f>
        <v>3.9</v>
      </c>
      <c r="G193" s="4" t="str">
        <f>HYPERLINK("http://141.218.60.56/~jnz1568/getInfo.php?workbook=20_05.xlsx&amp;sheet=U0&amp;row=193&amp;col=7&amp;number=0.000507&amp;sourceID=14","0.000507")</f>
        <v>0.000507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HYPERLINK("http://141.218.60.56/~jnz1568/getInfo.php?workbook=20_05.xlsx&amp;sheet=U0&amp;row=194&amp;col=6&amp;number=4&amp;sourceID=14","4")</f>
        <v>4</v>
      </c>
      <c r="G194" s="4" t="str">
        <f>HYPERLINK("http://141.218.60.56/~jnz1568/getInfo.php?workbook=20_05.xlsx&amp;sheet=U0&amp;row=194&amp;col=7&amp;number=0.000507&amp;sourceID=14","0.000507")</f>
        <v>0.000507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HYPERLINK("http://141.218.60.56/~jnz1568/getInfo.php?workbook=20_05.xlsx&amp;sheet=U0&amp;row=195&amp;col=6&amp;number=4.1&amp;sourceID=14","4.1")</f>
        <v>4.1</v>
      </c>
      <c r="G195" s="4" t="str">
        <f>HYPERLINK("http://141.218.60.56/~jnz1568/getInfo.php?workbook=20_05.xlsx&amp;sheet=U0&amp;row=195&amp;col=7&amp;number=0.000507&amp;sourceID=14","0.000507")</f>
        <v>0.000507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HYPERLINK("http://141.218.60.56/~jnz1568/getInfo.php?workbook=20_05.xlsx&amp;sheet=U0&amp;row=196&amp;col=6&amp;number=4.2&amp;sourceID=14","4.2")</f>
        <v>4.2</v>
      </c>
      <c r="G196" s="4" t="str">
        <f>HYPERLINK("http://141.218.60.56/~jnz1568/getInfo.php?workbook=20_05.xlsx&amp;sheet=U0&amp;row=196&amp;col=7&amp;number=0.000508&amp;sourceID=14","0.000508")</f>
        <v>0.000508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HYPERLINK("http://141.218.60.56/~jnz1568/getInfo.php?workbook=20_05.xlsx&amp;sheet=U0&amp;row=197&amp;col=6&amp;number=4.3&amp;sourceID=14","4.3")</f>
        <v>4.3</v>
      </c>
      <c r="G197" s="4" t="str">
        <f>HYPERLINK("http://141.218.60.56/~jnz1568/getInfo.php?workbook=20_05.xlsx&amp;sheet=U0&amp;row=197&amp;col=7&amp;number=0.000509&amp;sourceID=14","0.000509")</f>
        <v>0.000509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HYPERLINK("http://141.218.60.56/~jnz1568/getInfo.php?workbook=20_05.xlsx&amp;sheet=U0&amp;row=198&amp;col=6&amp;number=4.4&amp;sourceID=14","4.4")</f>
        <v>4.4</v>
      </c>
      <c r="G198" s="4" t="str">
        <f>HYPERLINK("http://141.218.60.56/~jnz1568/getInfo.php?workbook=20_05.xlsx&amp;sheet=U0&amp;row=198&amp;col=7&amp;number=0.000509&amp;sourceID=14","0.000509")</f>
        <v>0.000509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HYPERLINK("http://141.218.60.56/~jnz1568/getInfo.php?workbook=20_05.xlsx&amp;sheet=U0&amp;row=199&amp;col=6&amp;number=4.5&amp;sourceID=14","4.5")</f>
        <v>4.5</v>
      </c>
      <c r="G199" s="4" t="str">
        <f>HYPERLINK("http://141.218.60.56/~jnz1568/getInfo.php?workbook=20_05.xlsx&amp;sheet=U0&amp;row=199&amp;col=7&amp;number=0.00051&amp;sourceID=14","0.00051")</f>
        <v>0.00051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HYPERLINK("http://141.218.60.56/~jnz1568/getInfo.php?workbook=20_05.xlsx&amp;sheet=U0&amp;row=200&amp;col=6&amp;number=4.6&amp;sourceID=14","4.6")</f>
        <v>4.6</v>
      </c>
      <c r="G200" s="4" t="str">
        <f>HYPERLINK("http://141.218.60.56/~jnz1568/getInfo.php?workbook=20_05.xlsx&amp;sheet=U0&amp;row=200&amp;col=7&amp;number=0.000511&amp;sourceID=14","0.000511")</f>
        <v>0.000511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HYPERLINK("http://141.218.60.56/~jnz1568/getInfo.php?workbook=20_05.xlsx&amp;sheet=U0&amp;row=201&amp;col=6&amp;number=4.7&amp;sourceID=14","4.7")</f>
        <v>4.7</v>
      </c>
      <c r="G201" s="4" t="str">
        <f>HYPERLINK("http://141.218.60.56/~jnz1568/getInfo.php?workbook=20_05.xlsx&amp;sheet=U0&amp;row=201&amp;col=7&amp;number=0.000512&amp;sourceID=14","0.000512")</f>
        <v>0.000512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HYPERLINK("http://141.218.60.56/~jnz1568/getInfo.php?workbook=20_05.xlsx&amp;sheet=U0&amp;row=202&amp;col=6&amp;number=4.8&amp;sourceID=14","4.8")</f>
        <v>4.8</v>
      </c>
      <c r="G202" s="4" t="str">
        <f>HYPERLINK("http://141.218.60.56/~jnz1568/getInfo.php?workbook=20_05.xlsx&amp;sheet=U0&amp;row=202&amp;col=7&amp;number=0.000511&amp;sourceID=14","0.000511")</f>
        <v>0.000511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HYPERLINK("http://141.218.60.56/~jnz1568/getInfo.php?workbook=20_05.xlsx&amp;sheet=U0&amp;row=203&amp;col=6&amp;number=4.9&amp;sourceID=14","4.9")</f>
        <v>4.9</v>
      </c>
      <c r="G203" s="4" t="str">
        <f>HYPERLINK("http://141.218.60.56/~jnz1568/getInfo.php?workbook=20_05.xlsx&amp;sheet=U0&amp;row=203&amp;col=7&amp;number=0.00051&amp;sourceID=14","0.00051")</f>
        <v>0.00051</v>
      </c>
    </row>
    <row r="204" spans="1:7">
      <c r="A204" s="3">
        <v>20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HYPERLINK("http://141.218.60.56/~jnz1568/getInfo.php?workbook=20_05.xlsx&amp;sheet=U0&amp;row=204&amp;col=6&amp;number=3&amp;sourceID=14","3")</f>
        <v>3</v>
      </c>
      <c r="G204" s="4" t="str">
        <f>HYPERLINK("http://141.218.60.56/~jnz1568/getInfo.php?workbook=20_05.xlsx&amp;sheet=U0&amp;row=204&amp;col=7&amp;number=0.00178&amp;sourceID=14","0.00178")</f>
        <v>0.00178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HYPERLINK("http://141.218.60.56/~jnz1568/getInfo.php?workbook=20_05.xlsx&amp;sheet=U0&amp;row=205&amp;col=6&amp;number=3.1&amp;sourceID=14","3.1")</f>
        <v>3.1</v>
      </c>
      <c r="G205" s="4" t="str">
        <f>HYPERLINK("http://141.218.60.56/~jnz1568/getInfo.php?workbook=20_05.xlsx&amp;sheet=U0&amp;row=205&amp;col=7&amp;number=0.00178&amp;sourceID=14","0.00178")</f>
        <v>0.00178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HYPERLINK("http://141.218.60.56/~jnz1568/getInfo.php?workbook=20_05.xlsx&amp;sheet=U0&amp;row=206&amp;col=6&amp;number=3.2&amp;sourceID=14","3.2")</f>
        <v>3.2</v>
      </c>
      <c r="G206" s="4" t="str">
        <f>HYPERLINK("http://141.218.60.56/~jnz1568/getInfo.php?workbook=20_05.xlsx&amp;sheet=U0&amp;row=206&amp;col=7&amp;number=0.00178&amp;sourceID=14","0.00178")</f>
        <v>0.00178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HYPERLINK("http://141.218.60.56/~jnz1568/getInfo.php?workbook=20_05.xlsx&amp;sheet=U0&amp;row=207&amp;col=6&amp;number=3.3&amp;sourceID=14","3.3")</f>
        <v>3.3</v>
      </c>
      <c r="G207" s="4" t="str">
        <f>HYPERLINK("http://141.218.60.56/~jnz1568/getInfo.php?workbook=20_05.xlsx&amp;sheet=U0&amp;row=207&amp;col=7&amp;number=0.00179&amp;sourceID=14","0.00179")</f>
        <v>0.00179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HYPERLINK("http://141.218.60.56/~jnz1568/getInfo.php?workbook=20_05.xlsx&amp;sheet=U0&amp;row=208&amp;col=6&amp;number=3.4&amp;sourceID=14","3.4")</f>
        <v>3.4</v>
      </c>
      <c r="G208" s="4" t="str">
        <f>HYPERLINK("http://141.218.60.56/~jnz1568/getInfo.php?workbook=20_05.xlsx&amp;sheet=U0&amp;row=208&amp;col=7&amp;number=0.00179&amp;sourceID=14","0.00179")</f>
        <v>0.00179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HYPERLINK("http://141.218.60.56/~jnz1568/getInfo.php?workbook=20_05.xlsx&amp;sheet=U0&amp;row=209&amp;col=6&amp;number=3.5&amp;sourceID=14","3.5")</f>
        <v>3.5</v>
      </c>
      <c r="G209" s="4" t="str">
        <f>HYPERLINK("http://141.218.60.56/~jnz1568/getInfo.php?workbook=20_05.xlsx&amp;sheet=U0&amp;row=209&amp;col=7&amp;number=0.0018&amp;sourceID=14","0.0018")</f>
        <v>0.0018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HYPERLINK("http://141.218.60.56/~jnz1568/getInfo.php?workbook=20_05.xlsx&amp;sheet=U0&amp;row=210&amp;col=6&amp;number=3.6&amp;sourceID=14","3.6")</f>
        <v>3.6</v>
      </c>
      <c r="G210" s="4" t="str">
        <f>HYPERLINK("http://141.218.60.56/~jnz1568/getInfo.php?workbook=20_05.xlsx&amp;sheet=U0&amp;row=210&amp;col=7&amp;number=0.0018&amp;sourceID=14","0.0018")</f>
        <v>0.0018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HYPERLINK("http://141.218.60.56/~jnz1568/getInfo.php?workbook=20_05.xlsx&amp;sheet=U0&amp;row=211&amp;col=6&amp;number=3.7&amp;sourceID=14","3.7")</f>
        <v>3.7</v>
      </c>
      <c r="G211" s="4" t="str">
        <f>HYPERLINK("http://141.218.60.56/~jnz1568/getInfo.php?workbook=20_05.xlsx&amp;sheet=U0&amp;row=211&amp;col=7&amp;number=0.00181&amp;sourceID=14","0.00181")</f>
        <v>0.00181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HYPERLINK("http://141.218.60.56/~jnz1568/getInfo.php?workbook=20_05.xlsx&amp;sheet=U0&amp;row=212&amp;col=6&amp;number=3.8&amp;sourceID=14","3.8")</f>
        <v>3.8</v>
      </c>
      <c r="G212" s="4" t="str">
        <f>HYPERLINK("http://141.218.60.56/~jnz1568/getInfo.php?workbook=20_05.xlsx&amp;sheet=U0&amp;row=212&amp;col=7&amp;number=0.00182&amp;sourceID=14","0.00182")</f>
        <v>0.00182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HYPERLINK("http://141.218.60.56/~jnz1568/getInfo.php?workbook=20_05.xlsx&amp;sheet=U0&amp;row=213&amp;col=6&amp;number=3.9&amp;sourceID=14","3.9")</f>
        <v>3.9</v>
      </c>
      <c r="G213" s="4" t="str">
        <f>HYPERLINK("http://141.218.60.56/~jnz1568/getInfo.php?workbook=20_05.xlsx&amp;sheet=U0&amp;row=213&amp;col=7&amp;number=0.00183&amp;sourceID=14","0.00183")</f>
        <v>0.00183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HYPERLINK("http://141.218.60.56/~jnz1568/getInfo.php?workbook=20_05.xlsx&amp;sheet=U0&amp;row=214&amp;col=6&amp;number=4&amp;sourceID=14","4")</f>
        <v>4</v>
      </c>
      <c r="G214" s="4" t="str">
        <f>HYPERLINK("http://141.218.60.56/~jnz1568/getInfo.php?workbook=20_05.xlsx&amp;sheet=U0&amp;row=214&amp;col=7&amp;number=0.00185&amp;sourceID=14","0.00185")</f>
        <v>0.00185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HYPERLINK("http://141.218.60.56/~jnz1568/getInfo.php?workbook=20_05.xlsx&amp;sheet=U0&amp;row=215&amp;col=6&amp;number=4.1&amp;sourceID=14","4.1")</f>
        <v>4.1</v>
      </c>
      <c r="G215" s="4" t="str">
        <f>HYPERLINK("http://141.218.60.56/~jnz1568/getInfo.php?workbook=20_05.xlsx&amp;sheet=U0&amp;row=215&amp;col=7&amp;number=0.00186&amp;sourceID=14","0.00186")</f>
        <v>0.00186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HYPERLINK("http://141.218.60.56/~jnz1568/getInfo.php?workbook=20_05.xlsx&amp;sheet=U0&amp;row=216&amp;col=6&amp;number=4.2&amp;sourceID=14","4.2")</f>
        <v>4.2</v>
      </c>
      <c r="G216" s="4" t="str">
        <f>HYPERLINK("http://141.218.60.56/~jnz1568/getInfo.php?workbook=20_05.xlsx&amp;sheet=U0&amp;row=216&amp;col=7&amp;number=0.00189&amp;sourceID=14","0.00189")</f>
        <v>0.00189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HYPERLINK("http://141.218.60.56/~jnz1568/getInfo.php?workbook=20_05.xlsx&amp;sheet=U0&amp;row=217&amp;col=6&amp;number=4.3&amp;sourceID=14","4.3")</f>
        <v>4.3</v>
      </c>
      <c r="G217" s="4" t="str">
        <f>HYPERLINK("http://141.218.60.56/~jnz1568/getInfo.php?workbook=20_05.xlsx&amp;sheet=U0&amp;row=217&amp;col=7&amp;number=0.00192&amp;sourceID=14","0.00192")</f>
        <v>0.00192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HYPERLINK("http://141.218.60.56/~jnz1568/getInfo.php?workbook=20_05.xlsx&amp;sheet=U0&amp;row=218&amp;col=6&amp;number=4.4&amp;sourceID=14","4.4")</f>
        <v>4.4</v>
      </c>
      <c r="G218" s="4" t="str">
        <f>HYPERLINK("http://141.218.60.56/~jnz1568/getInfo.php?workbook=20_05.xlsx&amp;sheet=U0&amp;row=218&amp;col=7&amp;number=0.00195&amp;sourceID=14","0.00195")</f>
        <v>0.00195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HYPERLINK("http://141.218.60.56/~jnz1568/getInfo.php?workbook=20_05.xlsx&amp;sheet=U0&amp;row=219&amp;col=6&amp;number=4.5&amp;sourceID=14","4.5")</f>
        <v>4.5</v>
      </c>
      <c r="G219" s="4" t="str">
        <f>HYPERLINK("http://141.218.60.56/~jnz1568/getInfo.php?workbook=20_05.xlsx&amp;sheet=U0&amp;row=219&amp;col=7&amp;number=0.00199&amp;sourceID=14","0.00199")</f>
        <v>0.00199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HYPERLINK("http://141.218.60.56/~jnz1568/getInfo.php?workbook=20_05.xlsx&amp;sheet=U0&amp;row=220&amp;col=6&amp;number=4.6&amp;sourceID=14","4.6")</f>
        <v>4.6</v>
      </c>
      <c r="G220" s="4" t="str">
        <f>HYPERLINK("http://141.218.60.56/~jnz1568/getInfo.php?workbook=20_05.xlsx&amp;sheet=U0&amp;row=220&amp;col=7&amp;number=0.00204&amp;sourceID=14","0.00204")</f>
        <v>0.00204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HYPERLINK("http://141.218.60.56/~jnz1568/getInfo.php?workbook=20_05.xlsx&amp;sheet=U0&amp;row=221&amp;col=6&amp;number=4.7&amp;sourceID=14","4.7")</f>
        <v>4.7</v>
      </c>
      <c r="G221" s="4" t="str">
        <f>HYPERLINK("http://141.218.60.56/~jnz1568/getInfo.php?workbook=20_05.xlsx&amp;sheet=U0&amp;row=221&amp;col=7&amp;number=0.0021&amp;sourceID=14","0.0021")</f>
        <v>0.0021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HYPERLINK("http://141.218.60.56/~jnz1568/getInfo.php?workbook=20_05.xlsx&amp;sheet=U0&amp;row=222&amp;col=6&amp;number=4.8&amp;sourceID=14","4.8")</f>
        <v>4.8</v>
      </c>
      <c r="G222" s="4" t="str">
        <f>HYPERLINK("http://141.218.60.56/~jnz1568/getInfo.php?workbook=20_05.xlsx&amp;sheet=U0&amp;row=222&amp;col=7&amp;number=0.00217&amp;sourceID=14","0.00217")</f>
        <v>0.00217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HYPERLINK("http://141.218.60.56/~jnz1568/getInfo.php?workbook=20_05.xlsx&amp;sheet=U0&amp;row=223&amp;col=6&amp;number=4.9&amp;sourceID=14","4.9")</f>
        <v>4.9</v>
      </c>
      <c r="G223" s="4" t="str">
        <f>HYPERLINK("http://141.218.60.56/~jnz1568/getInfo.php?workbook=20_05.xlsx&amp;sheet=U0&amp;row=223&amp;col=7&amp;number=0.00224&amp;sourceID=14","0.00224")</f>
        <v>0.00224</v>
      </c>
    </row>
    <row r="224" spans="1:7">
      <c r="A224" s="3">
        <v>20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HYPERLINK("http://141.218.60.56/~jnz1568/getInfo.php?workbook=20_05.xlsx&amp;sheet=U0&amp;row=224&amp;col=6&amp;number=3&amp;sourceID=14","3")</f>
        <v>3</v>
      </c>
      <c r="G224" s="4" t="str">
        <f>HYPERLINK("http://141.218.60.56/~jnz1568/getInfo.php?workbook=20_05.xlsx&amp;sheet=U0&amp;row=224&amp;col=7&amp;number=0.00144&amp;sourceID=14","0.00144")</f>
        <v>0.00144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HYPERLINK("http://141.218.60.56/~jnz1568/getInfo.php?workbook=20_05.xlsx&amp;sheet=U0&amp;row=225&amp;col=6&amp;number=3.1&amp;sourceID=14","3.1")</f>
        <v>3.1</v>
      </c>
      <c r="G225" s="4" t="str">
        <f>HYPERLINK("http://141.218.60.56/~jnz1568/getInfo.php?workbook=20_05.xlsx&amp;sheet=U0&amp;row=225&amp;col=7&amp;number=0.00144&amp;sourceID=14","0.00144")</f>
        <v>0.00144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HYPERLINK("http://141.218.60.56/~jnz1568/getInfo.php?workbook=20_05.xlsx&amp;sheet=U0&amp;row=226&amp;col=6&amp;number=3.2&amp;sourceID=14","3.2")</f>
        <v>3.2</v>
      </c>
      <c r="G226" s="4" t="str">
        <f>HYPERLINK("http://141.218.60.56/~jnz1568/getInfo.php?workbook=20_05.xlsx&amp;sheet=U0&amp;row=226&amp;col=7&amp;number=0.00144&amp;sourceID=14","0.00144")</f>
        <v>0.00144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HYPERLINK("http://141.218.60.56/~jnz1568/getInfo.php?workbook=20_05.xlsx&amp;sheet=U0&amp;row=227&amp;col=6&amp;number=3.3&amp;sourceID=14","3.3")</f>
        <v>3.3</v>
      </c>
      <c r="G227" s="4" t="str">
        <f>HYPERLINK("http://141.218.60.56/~jnz1568/getInfo.php?workbook=20_05.xlsx&amp;sheet=U0&amp;row=227&amp;col=7&amp;number=0.00144&amp;sourceID=14","0.00144")</f>
        <v>0.00144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HYPERLINK("http://141.218.60.56/~jnz1568/getInfo.php?workbook=20_05.xlsx&amp;sheet=U0&amp;row=228&amp;col=6&amp;number=3.4&amp;sourceID=14","3.4")</f>
        <v>3.4</v>
      </c>
      <c r="G228" s="4" t="str">
        <f>HYPERLINK("http://141.218.60.56/~jnz1568/getInfo.php?workbook=20_05.xlsx&amp;sheet=U0&amp;row=228&amp;col=7&amp;number=0.00145&amp;sourceID=14","0.00145")</f>
        <v>0.00145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HYPERLINK("http://141.218.60.56/~jnz1568/getInfo.php?workbook=20_05.xlsx&amp;sheet=U0&amp;row=229&amp;col=6&amp;number=3.5&amp;sourceID=14","3.5")</f>
        <v>3.5</v>
      </c>
      <c r="G229" s="4" t="str">
        <f>HYPERLINK("http://141.218.60.56/~jnz1568/getInfo.php?workbook=20_05.xlsx&amp;sheet=U0&amp;row=229&amp;col=7&amp;number=0.00145&amp;sourceID=14","0.00145")</f>
        <v>0.00145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HYPERLINK("http://141.218.60.56/~jnz1568/getInfo.php?workbook=20_05.xlsx&amp;sheet=U0&amp;row=230&amp;col=6&amp;number=3.6&amp;sourceID=14","3.6")</f>
        <v>3.6</v>
      </c>
      <c r="G230" s="4" t="str">
        <f>HYPERLINK("http://141.218.60.56/~jnz1568/getInfo.php?workbook=20_05.xlsx&amp;sheet=U0&amp;row=230&amp;col=7&amp;number=0.00146&amp;sourceID=14","0.00146")</f>
        <v>0.00146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HYPERLINK("http://141.218.60.56/~jnz1568/getInfo.php?workbook=20_05.xlsx&amp;sheet=U0&amp;row=231&amp;col=6&amp;number=3.7&amp;sourceID=14","3.7")</f>
        <v>3.7</v>
      </c>
      <c r="G231" s="4" t="str">
        <f>HYPERLINK("http://141.218.60.56/~jnz1568/getInfo.php?workbook=20_05.xlsx&amp;sheet=U0&amp;row=231&amp;col=7&amp;number=0.00146&amp;sourceID=14","0.00146")</f>
        <v>0.00146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HYPERLINK("http://141.218.60.56/~jnz1568/getInfo.php?workbook=20_05.xlsx&amp;sheet=U0&amp;row=232&amp;col=6&amp;number=3.8&amp;sourceID=14","3.8")</f>
        <v>3.8</v>
      </c>
      <c r="G232" s="4" t="str">
        <f>HYPERLINK("http://141.218.60.56/~jnz1568/getInfo.php?workbook=20_05.xlsx&amp;sheet=U0&amp;row=232&amp;col=7&amp;number=0.00147&amp;sourceID=14","0.00147")</f>
        <v>0.00147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HYPERLINK("http://141.218.60.56/~jnz1568/getInfo.php?workbook=20_05.xlsx&amp;sheet=U0&amp;row=233&amp;col=6&amp;number=3.9&amp;sourceID=14","3.9")</f>
        <v>3.9</v>
      </c>
      <c r="G233" s="4" t="str">
        <f>HYPERLINK("http://141.218.60.56/~jnz1568/getInfo.php?workbook=20_05.xlsx&amp;sheet=U0&amp;row=233&amp;col=7&amp;number=0.00148&amp;sourceID=14","0.00148")</f>
        <v>0.00148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HYPERLINK("http://141.218.60.56/~jnz1568/getInfo.php?workbook=20_05.xlsx&amp;sheet=U0&amp;row=234&amp;col=6&amp;number=4&amp;sourceID=14","4")</f>
        <v>4</v>
      </c>
      <c r="G234" s="4" t="str">
        <f>HYPERLINK("http://141.218.60.56/~jnz1568/getInfo.php?workbook=20_05.xlsx&amp;sheet=U0&amp;row=234&amp;col=7&amp;number=0.0015&amp;sourceID=14","0.0015")</f>
        <v>0.0015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HYPERLINK("http://141.218.60.56/~jnz1568/getInfo.php?workbook=20_05.xlsx&amp;sheet=U0&amp;row=235&amp;col=6&amp;number=4.1&amp;sourceID=14","4.1")</f>
        <v>4.1</v>
      </c>
      <c r="G235" s="4" t="str">
        <f>HYPERLINK("http://141.218.60.56/~jnz1568/getInfo.php?workbook=20_05.xlsx&amp;sheet=U0&amp;row=235&amp;col=7&amp;number=0.00152&amp;sourceID=14","0.00152")</f>
        <v>0.00152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HYPERLINK("http://141.218.60.56/~jnz1568/getInfo.php?workbook=20_05.xlsx&amp;sheet=U0&amp;row=236&amp;col=6&amp;number=4.2&amp;sourceID=14","4.2")</f>
        <v>4.2</v>
      </c>
      <c r="G236" s="4" t="str">
        <f>HYPERLINK("http://141.218.60.56/~jnz1568/getInfo.php?workbook=20_05.xlsx&amp;sheet=U0&amp;row=236&amp;col=7&amp;number=0.00154&amp;sourceID=14","0.00154")</f>
        <v>0.00154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HYPERLINK("http://141.218.60.56/~jnz1568/getInfo.php?workbook=20_05.xlsx&amp;sheet=U0&amp;row=237&amp;col=6&amp;number=4.3&amp;sourceID=14","4.3")</f>
        <v>4.3</v>
      </c>
      <c r="G237" s="4" t="str">
        <f>HYPERLINK("http://141.218.60.56/~jnz1568/getInfo.php?workbook=20_05.xlsx&amp;sheet=U0&amp;row=237&amp;col=7&amp;number=0.00156&amp;sourceID=14","0.00156")</f>
        <v>0.00156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HYPERLINK("http://141.218.60.56/~jnz1568/getInfo.php?workbook=20_05.xlsx&amp;sheet=U0&amp;row=238&amp;col=6&amp;number=4.4&amp;sourceID=14","4.4")</f>
        <v>4.4</v>
      </c>
      <c r="G238" s="4" t="str">
        <f>HYPERLINK("http://141.218.60.56/~jnz1568/getInfo.php?workbook=20_05.xlsx&amp;sheet=U0&amp;row=238&amp;col=7&amp;number=0.0016&amp;sourceID=14","0.0016")</f>
        <v>0.0016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HYPERLINK("http://141.218.60.56/~jnz1568/getInfo.php?workbook=20_05.xlsx&amp;sheet=U0&amp;row=239&amp;col=6&amp;number=4.5&amp;sourceID=14","4.5")</f>
        <v>4.5</v>
      </c>
      <c r="G239" s="4" t="str">
        <f>HYPERLINK("http://141.218.60.56/~jnz1568/getInfo.php?workbook=20_05.xlsx&amp;sheet=U0&amp;row=239&amp;col=7&amp;number=0.00163&amp;sourceID=14","0.00163")</f>
        <v>0.00163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HYPERLINK("http://141.218.60.56/~jnz1568/getInfo.php?workbook=20_05.xlsx&amp;sheet=U0&amp;row=240&amp;col=6&amp;number=4.6&amp;sourceID=14","4.6")</f>
        <v>4.6</v>
      </c>
      <c r="G240" s="4" t="str">
        <f>HYPERLINK("http://141.218.60.56/~jnz1568/getInfo.php?workbook=20_05.xlsx&amp;sheet=U0&amp;row=240&amp;col=7&amp;number=0.00168&amp;sourceID=14","0.00168")</f>
        <v>0.00168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HYPERLINK("http://141.218.60.56/~jnz1568/getInfo.php?workbook=20_05.xlsx&amp;sheet=U0&amp;row=241&amp;col=6&amp;number=4.7&amp;sourceID=14","4.7")</f>
        <v>4.7</v>
      </c>
      <c r="G241" s="4" t="str">
        <f>HYPERLINK("http://141.218.60.56/~jnz1568/getInfo.php?workbook=20_05.xlsx&amp;sheet=U0&amp;row=241&amp;col=7&amp;number=0.00172&amp;sourceID=14","0.00172")</f>
        <v>0.00172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HYPERLINK("http://141.218.60.56/~jnz1568/getInfo.php?workbook=20_05.xlsx&amp;sheet=U0&amp;row=242&amp;col=6&amp;number=4.8&amp;sourceID=14","4.8")</f>
        <v>4.8</v>
      </c>
      <c r="G242" s="4" t="str">
        <f>HYPERLINK("http://141.218.60.56/~jnz1568/getInfo.php?workbook=20_05.xlsx&amp;sheet=U0&amp;row=242&amp;col=7&amp;number=0.00177&amp;sourceID=14","0.00177")</f>
        <v>0.00177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HYPERLINK("http://141.218.60.56/~jnz1568/getInfo.php?workbook=20_05.xlsx&amp;sheet=U0&amp;row=243&amp;col=6&amp;number=4.9&amp;sourceID=14","4.9")</f>
        <v>4.9</v>
      </c>
      <c r="G243" s="4" t="str">
        <f>HYPERLINK("http://141.218.60.56/~jnz1568/getInfo.php?workbook=20_05.xlsx&amp;sheet=U0&amp;row=243&amp;col=7&amp;number=0.00181&amp;sourceID=14","0.00181")</f>
        <v>0.00181</v>
      </c>
    </row>
    <row r="244" spans="1:7">
      <c r="A244" s="3">
        <v>20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HYPERLINK("http://141.218.60.56/~jnz1568/getInfo.php?workbook=20_05.xlsx&amp;sheet=U0&amp;row=244&amp;col=6&amp;number=3&amp;sourceID=14","3")</f>
        <v>3</v>
      </c>
      <c r="G244" s="4" t="str">
        <f>HYPERLINK("http://141.218.60.56/~jnz1568/getInfo.php?workbook=20_05.xlsx&amp;sheet=U0&amp;row=244&amp;col=7&amp;number=0.000486&amp;sourceID=14","0.000486")</f>
        <v>0.000486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HYPERLINK("http://141.218.60.56/~jnz1568/getInfo.php?workbook=20_05.xlsx&amp;sheet=U0&amp;row=245&amp;col=6&amp;number=3.1&amp;sourceID=14","3.1")</f>
        <v>3.1</v>
      </c>
      <c r="G245" s="4" t="str">
        <f>HYPERLINK("http://141.218.60.56/~jnz1568/getInfo.php?workbook=20_05.xlsx&amp;sheet=U0&amp;row=245&amp;col=7&amp;number=0.00049&amp;sourceID=14","0.00049")</f>
        <v>0.00049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HYPERLINK("http://141.218.60.56/~jnz1568/getInfo.php?workbook=20_05.xlsx&amp;sheet=U0&amp;row=246&amp;col=6&amp;number=3.2&amp;sourceID=14","3.2")</f>
        <v>3.2</v>
      </c>
      <c r="G246" s="4" t="str">
        <f>HYPERLINK("http://141.218.60.56/~jnz1568/getInfo.php?workbook=20_05.xlsx&amp;sheet=U0&amp;row=246&amp;col=7&amp;number=0.000495&amp;sourceID=14","0.000495")</f>
        <v>0.000495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HYPERLINK("http://141.218.60.56/~jnz1568/getInfo.php?workbook=20_05.xlsx&amp;sheet=U0&amp;row=247&amp;col=6&amp;number=3.3&amp;sourceID=14","3.3")</f>
        <v>3.3</v>
      </c>
      <c r="G247" s="4" t="str">
        <f>HYPERLINK("http://141.218.60.56/~jnz1568/getInfo.php?workbook=20_05.xlsx&amp;sheet=U0&amp;row=247&amp;col=7&amp;number=0.000501&amp;sourceID=14","0.000501")</f>
        <v>0.000501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HYPERLINK("http://141.218.60.56/~jnz1568/getInfo.php?workbook=20_05.xlsx&amp;sheet=U0&amp;row=248&amp;col=6&amp;number=3.4&amp;sourceID=14","3.4")</f>
        <v>3.4</v>
      </c>
      <c r="G248" s="4" t="str">
        <f>HYPERLINK("http://141.218.60.56/~jnz1568/getInfo.php?workbook=20_05.xlsx&amp;sheet=U0&amp;row=248&amp;col=7&amp;number=0.000509&amp;sourceID=14","0.000509")</f>
        <v>0.000509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HYPERLINK("http://141.218.60.56/~jnz1568/getInfo.php?workbook=20_05.xlsx&amp;sheet=U0&amp;row=249&amp;col=6&amp;number=3.5&amp;sourceID=14","3.5")</f>
        <v>3.5</v>
      </c>
      <c r="G249" s="4" t="str">
        <f>HYPERLINK("http://141.218.60.56/~jnz1568/getInfo.php?workbook=20_05.xlsx&amp;sheet=U0&amp;row=249&amp;col=7&amp;number=0.000519&amp;sourceID=14","0.000519")</f>
        <v>0.000519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HYPERLINK("http://141.218.60.56/~jnz1568/getInfo.php?workbook=20_05.xlsx&amp;sheet=U0&amp;row=250&amp;col=6&amp;number=3.6&amp;sourceID=14","3.6")</f>
        <v>3.6</v>
      </c>
      <c r="G250" s="4" t="str">
        <f>HYPERLINK("http://141.218.60.56/~jnz1568/getInfo.php?workbook=20_05.xlsx&amp;sheet=U0&amp;row=250&amp;col=7&amp;number=0.000531&amp;sourceID=14","0.000531")</f>
        <v>0.000531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HYPERLINK("http://141.218.60.56/~jnz1568/getInfo.php?workbook=20_05.xlsx&amp;sheet=U0&amp;row=251&amp;col=6&amp;number=3.7&amp;sourceID=14","3.7")</f>
        <v>3.7</v>
      </c>
      <c r="G251" s="4" t="str">
        <f>HYPERLINK("http://141.218.60.56/~jnz1568/getInfo.php?workbook=20_05.xlsx&amp;sheet=U0&amp;row=251&amp;col=7&amp;number=0.000547&amp;sourceID=14","0.000547")</f>
        <v>0.000547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HYPERLINK("http://141.218.60.56/~jnz1568/getInfo.php?workbook=20_05.xlsx&amp;sheet=U0&amp;row=252&amp;col=6&amp;number=3.8&amp;sourceID=14","3.8")</f>
        <v>3.8</v>
      </c>
      <c r="G252" s="4" t="str">
        <f>HYPERLINK("http://141.218.60.56/~jnz1568/getInfo.php?workbook=20_05.xlsx&amp;sheet=U0&amp;row=252&amp;col=7&amp;number=0.000566&amp;sourceID=14","0.000566")</f>
        <v>0.000566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HYPERLINK("http://141.218.60.56/~jnz1568/getInfo.php?workbook=20_05.xlsx&amp;sheet=U0&amp;row=253&amp;col=6&amp;number=3.9&amp;sourceID=14","3.9")</f>
        <v>3.9</v>
      </c>
      <c r="G253" s="4" t="str">
        <f>HYPERLINK("http://141.218.60.56/~jnz1568/getInfo.php?workbook=20_05.xlsx&amp;sheet=U0&amp;row=253&amp;col=7&amp;number=0.00059&amp;sourceID=14","0.00059")</f>
        <v>0.00059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HYPERLINK("http://141.218.60.56/~jnz1568/getInfo.php?workbook=20_05.xlsx&amp;sheet=U0&amp;row=254&amp;col=6&amp;number=4&amp;sourceID=14","4")</f>
        <v>4</v>
      </c>
      <c r="G254" s="4" t="str">
        <f>HYPERLINK("http://141.218.60.56/~jnz1568/getInfo.php?workbook=20_05.xlsx&amp;sheet=U0&amp;row=254&amp;col=7&amp;number=0.00062&amp;sourceID=14","0.00062")</f>
        <v>0.00062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HYPERLINK("http://141.218.60.56/~jnz1568/getInfo.php?workbook=20_05.xlsx&amp;sheet=U0&amp;row=255&amp;col=6&amp;number=4.1&amp;sourceID=14","4.1")</f>
        <v>4.1</v>
      </c>
      <c r="G255" s="4" t="str">
        <f>HYPERLINK("http://141.218.60.56/~jnz1568/getInfo.php?workbook=20_05.xlsx&amp;sheet=U0&amp;row=255&amp;col=7&amp;number=0.000658&amp;sourceID=14","0.000658")</f>
        <v>0.000658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HYPERLINK("http://141.218.60.56/~jnz1568/getInfo.php?workbook=20_05.xlsx&amp;sheet=U0&amp;row=256&amp;col=6&amp;number=4.2&amp;sourceID=14","4.2")</f>
        <v>4.2</v>
      </c>
      <c r="G256" s="4" t="str">
        <f>HYPERLINK("http://141.218.60.56/~jnz1568/getInfo.php?workbook=20_05.xlsx&amp;sheet=U0&amp;row=256&amp;col=7&amp;number=0.000705&amp;sourceID=14","0.000705")</f>
        <v>0.000705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HYPERLINK("http://141.218.60.56/~jnz1568/getInfo.php?workbook=20_05.xlsx&amp;sheet=U0&amp;row=257&amp;col=6&amp;number=4.3&amp;sourceID=14","4.3")</f>
        <v>4.3</v>
      </c>
      <c r="G257" s="4" t="str">
        <f>HYPERLINK("http://141.218.60.56/~jnz1568/getInfo.php?workbook=20_05.xlsx&amp;sheet=U0&amp;row=257&amp;col=7&amp;number=0.000762&amp;sourceID=14","0.000762")</f>
        <v>0.000762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HYPERLINK("http://141.218.60.56/~jnz1568/getInfo.php?workbook=20_05.xlsx&amp;sheet=U0&amp;row=258&amp;col=6&amp;number=4.4&amp;sourceID=14","4.4")</f>
        <v>4.4</v>
      </c>
      <c r="G258" s="4" t="str">
        <f>HYPERLINK("http://141.218.60.56/~jnz1568/getInfo.php?workbook=20_05.xlsx&amp;sheet=U0&amp;row=258&amp;col=7&amp;number=0.000833&amp;sourceID=14","0.000833")</f>
        <v>0.000833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HYPERLINK("http://141.218.60.56/~jnz1568/getInfo.php?workbook=20_05.xlsx&amp;sheet=U0&amp;row=259&amp;col=6&amp;number=4.5&amp;sourceID=14","4.5")</f>
        <v>4.5</v>
      </c>
      <c r="G259" s="4" t="str">
        <f>HYPERLINK("http://141.218.60.56/~jnz1568/getInfo.php?workbook=20_05.xlsx&amp;sheet=U0&amp;row=259&amp;col=7&amp;number=0.000917&amp;sourceID=14","0.000917")</f>
        <v>0.000917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HYPERLINK("http://141.218.60.56/~jnz1568/getInfo.php?workbook=20_05.xlsx&amp;sheet=U0&amp;row=260&amp;col=6&amp;number=4.6&amp;sourceID=14","4.6")</f>
        <v>4.6</v>
      </c>
      <c r="G260" s="4" t="str">
        <f>HYPERLINK("http://141.218.60.56/~jnz1568/getInfo.php?workbook=20_05.xlsx&amp;sheet=U0&amp;row=260&amp;col=7&amp;number=0.00102&amp;sourceID=14","0.00102")</f>
        <v>0.00102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HYPERLINK("http://141.218.60.56/~jnz1568/getInfo.php?workbook=20_05.xlsx&amp;sheet=U0&amp;row=261&amp;col=6&amp;number=4.7&amp;sourceID=14","4.7")</f>
        <v>4.7</v>
      </c>
      <c r="G261" s="4" t="str">
        <f>HYPERLINK("http://141.218.60.56/~jnz1568/getInfo.php?workbook=20_05.xlsx&amp;sheet=U0&amp;row=261&amp;col=7&amp;number=0.00113&amp;sourceID=14","0.00113")</f>
        <v>0.00113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HYPERLINK("http://141.218.60.56/~jnz1568/getInfo.php?workbook=20_05.xlsx&amp;sheet=U0&amp;row=262&amp;col=6&amp;number=4.8&amp;sourceID=14","4.8")</f>
        <v>4.8</v>
      </c>
      <c r="G262" s="4" t="str">
        <f>HYPERLINK("http://141.218.60.56/~jnz1568/getInfo.php?workbook=20_05.xlsx&amp;sheet=U0&amp;row=262&amp;col=7&amp;number=0.00126&amp;sourceID=14","0.00126")</f>
        <v>0.00126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HYPERLINK("http://141.218.60.56/~jnz1568/getInfo.php?workbook=20_05.xlsx&amp;sheet=U0&amp;row=263&amp;col=6&amp;number=4.9&amp;sourceID=14","4.9")</f>
        <v>4.9</v>
      </c>
      <c r="G263" s="4" t="str">
        <f>HYPERLINK("http://141.218.60.56/~jnz1568/getInfo.php?workbook=20_05.xlsx&amp;sheet=U0&amp;row=263&amp;col=7&amp;number=0.00139&amp;sourceID=14","0.00139")</f>
        <v>0.00139</v>
      </c>
    </row>
    <row r="264" spans="1:7">
      <c r="A264" s="3">
        <v>20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HYPERLINK("http://141.218.60.56/~jnz1568/getInfo.php?workbook=20_05.xlsx&amp;sheet=U0&amp;row=264&amp;col=6&amp;number=3&amp;sourceID=14","3")</f>
        <v>3</v>
      </c>
      <c r="G264" s="4" t="str">
        <f>HYPERLINK("http://141.218.60.56/~jnz1568/getInfo.php?workbook=20_05.xlsx&amp;sheet=U0&amp;row=264&amp;col=7&amp;number=0.000181&amp;sourceID=14","0.000181")</f>
        <v>0.000181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HYPERLINK("http://141.218.60.56/~jnz1568/getInfo.php?workbook=20_05.xlsx&amp;sheet=U0&amp;row=265&amp;col=6&amp;number=3.1&amp;sourceID=14","3.1")</f>
        <v>3.1</v>
      </c>
      <c r="G265" s="4" t="str">
        <f>HYPERLINK("http://141.218.60.56/~jnz1568/getInfo.php?workbook=20_05.xlsx&amp;sheet=U0&amp;row=265&amp;col=7&amp;number=0.000183&amp;sourceID=14","0.000183")</f>
        <v>0.000183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HYPERLINK("http://141.218.60.56/~jnz1568/getInfo.php?workbook=20_05.xlsx&amp;sheet=U0&amp;row=266&amp;col=6&amp;number=3.2&amp;sourceID=14","3.2")</f>
        <v>3.2</v>
      </c>
      <c r="G266" s="4" t="str">
        <f>HYPERLINK("http://141.218.60.56/~jnz1568/getInfo.php?workbook=20_05.xlsx&amp;sheet=U0&amp;row=266&amp;col=7&amp;number=0.000184&amp;sourceID=14","0.000184")</f>
        <v>0.000184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HYPERLINK("http://141.218.60.56/~jnz1568/getInfo.php?workbook=20_05.xlsx&amp;sheet=U0&amp;row=267&amp;col=6&amp;number=3.3&amp;sourceID=14","3.3")</f>
        <v>3.3</v>
      </c>
      <c r="G267" s="4" t="str">
        <f>HYPERLINK("http://141.218.60.56/~jnz1568/getInfo.php?workbook=20_05.xlsx&amp;sheet=U0&amp;row=267&amp;col=7&amp;number=0.000187&amp;sourceID=14","0.000187")</f>
        <v>0.000187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HYPERLINK("http://141.218.60.56/~jnz1568/getInfo.php?workbook=20_05.xlsx&amp;sheet=U0&amp;row=268&amp;col=6&amp;number=3.4&amp;sourceID=14","3.4")</f>
        <v>3.4</v>
      </c>
      <c r="G268" s="4" t="str">
        <f>HYPERLINK("http://141.218.60.56/~jnz1568/getInfo.php?workbook=20_05.xlsx&amp;sheet=U0&amp;row=268&amp;col=7&amp;number=0.000189&amp;sourceID=14","0.000189")</f>
        <v>0.000189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HYPERLINK("http://141.218.60.56/~jnz1568/getInfo.php?workbook=20_05.xlsx&amp;sheet=U0&amp;row=269&amp;col=6&amp;number=3.5&amp;sourceID=14","3.5")</f>
        <v>3.5</v>
      </c>
      <c r="G269" s="4" t="str">
        <f>HYPERLINK("http://141.218.60.56/~jnz1568/getInfo.php?workbook=20_05.xlsx&amp;sheet=U0&amp;row=269&amp;col=7&amp;number=0.000193&amp;sourceID=14","0.000193")</f>
        <v>0.000193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HYPERLINK("http://141.218.60.56/~jnz1568/getInfo.php?workbook=20_05.xlsx&amp;sheet=U0&amp;row=270&amp;col=6&amp;number=3.6&amp;sourceID=14","3.6")</f>
        <v>3.6</v>
      </c>
      <c r="G270" s="4" t="str">
        <f>HYPERLINK("http://141.218.60.56/~jnz1568/getInfo.php?workbook=20_05.xlsx&amp;sheet=U0&amp;row=270&amp;col=7&amp;number=0.000197&amp;sourceID=14","0.000197")</f>
        <v>0.000197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HYPERLINK("http://141.218.60.56/~jnz1568/getInfo.php?workbook=20_05.xlsx&amp;sheet=U0&amp;row=271&amp;col=6&amp;number=3.7&amp;sourceID=14","3.7")</f>
        <v>3.7</v>
      </c>
      <c r="G271" s="4" t="str">
        <f>HYPERLINK("http://141.218.60.56/~jnz1568/getInfo.php?workbook=20_05.xlsx&amp;sheet=U0&amp;row=271&amp;col=7&amp;number=0.000203&amp;sourceID=14","0.000203")</f>
        <v>0.000203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HYPERLINK("http://141.218.60.56/~jnz1568/getInfo.php?workbook=20_05.xlsx&amp;sheet=U0&amp;row=272&amp;col=6&amp;number=3.8&amp;sourceID=14","3.8")</f>
        <v>3.8</v>
      </c>
      <c r="G272" s="4" t="str">
        <f>HYPERLINK("http://141.218.60.56/~jnz1568/getInfo.php?workbook=20_05.xlsx&amp;sheet=U0&amp;row=272&amp;col=7&amp;number=0.00021&amp;sourceID=14","0.00021")</f>
        <v>0.00021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HYPERLINK("http://141.218.60.56/~jnz1568/getInfo.php?workbook=20_05.xlsx&amp;sheet=U0&amp;row=273&amp;col=6&amp;number=3.9&amp;sourceID=14","3.9")</f>
        <v>3.9</v>
      </c>
      <c r="G273" s="4" t="str">
        <f>HYPERLINK("http://141.218.60.56/~jnz1568/getInfo.php?workbook=20_05.xlsx&amp;sheet=U0&amp;row=273&amp;col=7&amp;number=0.000218&amp;sourceID=14","0.000218")</f>
        <v>0.000218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HYPERLINK("http://141.218.60.56/~jnz1568/getInfo.php?workbook=20_05.xlsx&amp;sheet=U0&amp;row=274&amp;col=6&amp;number=4&amp;sourceID=14","4")</f>
        <v>4</v>
      </c>
      <c r="G274" s="4" t="str">
        <f>HYPERLINK("http://141.218.60.56/~jnz1568/getInfo.php?workbook=20_05.xlsx&amp;sheet=U0&amp;row=274&amp;col=7&amp;number=0.000229&amp;sourceID=14","0.000229")</f>
        <v>0.000229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HYPERLINK("http://141.218.60.56/~jnz1568/getInfo.php?workbook=20_05.xlsx&amp;sheet=U0&amp;row=275&amp;col=6&amp;number=4.1&amp;sourceID=14","4.1")</f>
        <v>4.1</v>
      </c>
      <c r="G275" s="4" t="str">
        <f>HYPERLINK("http://141.218.60.56/~jnz1568/getInfo.php?workbook=20_05.xlsx&amp;sheet=U0&amp;row=275&amp;col=7&amp;number=0.000242&amp;sourceID=14","0.000242")</f>
        <v>0.000242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HYPERLINK("http://141.218.60.56/~jnz1568/getInfo.php?workbook=20_05.xlsx&amp;sheet=U0&amp;row=276&amp;col=6&amp;number=4.2&amp;sourceID=14","4.2")</f>
        <v>4.2</v>
      </c>
      <c r="G276" s="4" t="str">
        <f>HYPERLINK("http://141.218.60.56/~jnz1568/getInfo.php?workbook=20_05.xlsx&amp;sheet=U0&amp;row=276&amp;col=7&amp;number=0.000259&amp;sourceID=14","0.000259")</f>
        <v>0.000259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HYPERLINK("http://141.218.60.56/~jnz1568/getInfo.php?workbook=20_05.xlsx&amp;sheet=U0&amp;row=277&amp;col=6&amp;number=4.3&amp;sourceID=14","4.3")</f>
        <v>4.3</v>
      </c>
      <c r="G277" s="4" t="str">
        <f>HYPERLINK("http://141.218.60.56/~jnz1568/getInfo.php?workbook=20_05.xlsx&amp;sheet=U0&amp;row=277&amp;col=7&amp;number=0.000279&amp;sourceID=14","0.000279")</f>
        <v>0.000279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HYPERLINK("http://141.218.60.56/~jnz1568/getInfo.php?workbook=20_05.xlsx&amp;sheet=U0&amp;row=278&amp;col=6&amp;number=4.4&amp;sourceID=14","4.4")</f>
        <v>4.4</v>
      </c>
      <c r="G278" s="4" t="str">
        <f>HYPERLINK("http://141.218.60.56/~jnz1568/getInfo.php?workbook=20_05.xlsx&amp;sheet=U0&amp;row=278&amp;col=7&amp;number=0.000304&amp;sourceID=14","0.000304")</f>
        <v>0.000304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HYPERLINK("http://141.218.60.56/~jnz1568/getInfo.php?workbook=20_05.xlsx&amp;sheet=U0&amp;row=279&amp;col=6&amp;number=4.5&amp;sourceID=14","4.5")</f>
        <v>4.5</v>
      </c>
      <c r="G279" s="4" t="str">
        <f>HYPERLINK("http://141.218.60.56/~jnz1568/getInfo.php?workbook=20_05.xlsx&amp;sheet=U0&amp;row=279&amp;col=7&amp;number=0.000334&amp;sourceID=14","0.000334")</f>
        <v>0.000334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HYPERLINK("http://141.218.60.56/~jnz1568/getInfo.php?workbook=20_05.xlsx&amp;sheet=U0&amp;row=280&amp;col=6&amp;number=4.6&amp;sourceID=14","4.6")</f>
        <v>4.6</v>
      </c>
      <c r="G280" s="4" t="str">
        <f>HYPERLINK("http://141.218.60.56/~jnz1568/getInfo.php?workbook=20_05.xlsx&amp;sheet=U0&amp;row=280&amp;col=7&amp;number=0.00037&amp;sourceID=14","0.00037")</f>
        <v>0.00037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HYPERLINK("http://141.218.60.56/~jnz1568/getInfo.php?workbook=20_05.xlsx&amp;sheet=U0&amp;row=281&amp;col=6&amp;number=4.7&amp;sourceID=14","4.7")</f>
        <v>4.7</v>
      </c>
      <c r="G281" s="4" t="str">
        <f>HYPERLINK("http://141.218.60.56/~jnz1568/getInfo.php?workbook=20_05.xlsx&amp;sheet=U0&amp;row=281&amp;col=7&amp;number=0.000411&amp;sourceID=14","0.000411")</f>
        <v>0.000411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HYPERLINK("http://141.218.60.56/~jnz1568/getInfo.php?workbook=20_05.xlsx&amp;sheet=U0&amp;row=282&amp;col=6&amp;number=4.8&amp;sourceID=14","4.8")</f>
        <v>4.8</v>
      </c>
      <c r="G282" s="4" t="str">
        <f>HYPERLINK("http://141.218.60.56/~jnz1568/getInfo.php?workbook=20_05.xlsx&amp;sheet=U0&amp;row=282&amp;col=7&amp;number=0.000457&amp;sourceID=14","0.000457")</f>
        <v>0.000457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HYPERLINK("http://141.218.60.56/~jnz1568/getInfo.php?workbook=20_05.xlsx&amp;sheet=U0&amp;row=283&amp;col=6&amp;number=4.9&amp;sourceID=14","4.9")</f>
        <v>4.9</v>
      </c>
      <c r="G283" s="4" t="str">
        <f>HYPERLINK("http://141.218.60.56/~jnz1568/getInfo.php?workbook=20_05.xlsx&amp;sheet=U0&amp;row=283&amp;col=7&amp;number=0.000503&amp;sourceID=14","0.000503")</f>
        <v>0.000503</v>
      </c>
    </row>
    <row r="284" spans="1:7">
      <c r="A284" s="3">
        <v>20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HYPERLINK("http://141.218.60.56/~jnz1568/getInfo.php?workbook=20_05.xlsx&amp;sheet=U0&amp;row=284&amp;col=6&amp;number=3&amp;sourceID=14","3")</f>
        <v>3</v>
      </c>
      <c r="G284" s="4" t="str">
        <f>HYPERLINK("http://141.218.60.56/~jnz1568/getInfo.php?workbook=20_05.xlsx&amp;sheet=U0&amp;row=284&amp;col=7&amp;number=0.00582&amp;sourceID=14","0.00582")</f>
        <v>0.00582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HYPERLINK("http://141.218.60.56/~jnz1568/getInfo.php?workbook=20_05.xlsx&amp;sheet=U0&amp;row=285&amp;col=6&amp;number=3.1&amp;sourceID=14","3.1")</f>
        <v>3.1</v>
      </c>
      <c r="G285" s="4" t="str">
        <f>HYPERLINK("http://141.218.60.56/~jnz1568/getInfo.php?workbook=20_05.xlsx&amp;sheet=U0&amp;row=285&amp;col=7&amp;number=0.00584&amp;sourceID=14","0.00584")</f>
        <v>0.00584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HYPERLINK("http://141.218.60.56/~jnz1568/getInfo.php?workbook=20_05.xlsx&amp;sheet=U0&amp;row=286&amp;col=6&amp;number=3.2&amp;sourceID=14","3.2")</f>
        <v>3.2</v>
      </c>
      <c r="G286" s="4" t="str">
        <f>HYPERLINK("http://141.218.60.56/~jnz1568/getInfo.php?workbook=20_05.xlsx&amp;sheet=U0&amp;row=286&amp;col=7&amp;number=0.00585&amp;sourceID=14","0.00585")</f>
        <v>0.00585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HYPERLINK("http://141.218.60.56/~jnz1568/getInfo.php?workbook=20_05.xlsx&amp;sheet=U0&amp;row=287&amp;col=6&amp;number=3.3&amp;sourceID=14","3.3")</f>
        <v>3.3</v>
      </c>
      <c r="G287" s="4" t="str">
        <f>HYPERLINK("http://141.218.60.56/~jnz1568/getInfo.php?workbook=20_05.xlsx&amp;sheet=U0&amp;row=287&amp;col=7&amp;number=0.00587&amp;sourceID=14","0.00587")</f>
        <v>0.00587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HYPERLINK("http://141.218.60.56/~jnz1568/getInfo.php?workbook=20_05.xlsx&amp;sheet=U0&amp;row=288&amp;col=6&amp;number=3.4&amp;sourceID=14","3.4")</f>
        <v>3.4</v>
      </c>
      <c r="G288" s="4" t="str">
        <f>HYPERLINK("http://141.218.60.56/~jnz1568/getInfo.php?workbook=20_05.xlsx&amp;sheet=U0&amp;row=288&amp;col=7&amp;number=0.0059&amp;sourceID=14","0.0059")</f>
        <v>0.0059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HYPERLINK("http://141.218.60.56/~jnz1568/getInfo.php?workbook=20_05.xlsx&amp;sheet=U0&amp;row=289&amp;col=6&amp;number=3.5&amp;sourceID=14","3.5")</f>
        <v>3.5</v>
      </c>
      <c r="G289" s="4" t="str">
        <f>HYPERLINK("http://141.218.60.56/~jnz1568/getInfo.php?workbook=20_05.xlsx&amp;sheet=U0&amp;row=289&amp;col=7&amp;number=0.00594&amp;sourceID=14","0.00594")</f>
        <v>0.00594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HYPERLINK("http://141.218.60.56/~jnz1568/getInfo.php?workbook=20_05.xlsx&amp;sheet=U0&amp;row=290&amp;col=6&amp;number=3.6&amp;sourceID=14","3.6")</f>
        <v>3.6</v>
      </c>
      <c r="G290" s="4" t="str">
        <f>HYPERLINK("http://141.218.60.56/~jnz1568/getInfo.php?workbook=20_05.xlsx&amp;sheet=U0&amp;row=290&amp;col=7&amp;number=0.00598&amp;sourceID=14","0.00598")</f>
        <v>0.00598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HYPERLINK("http://141.218.60.56/~jnz1568/getInfo.php?workbook=20_05.xlsx&amp;sheet=U0&amp;row=291&amp;col=6&amp;number=3.7&amp;sourceID=14","3.7")</f>
        <v>3.7</v>
      </c>
      <c r="G291" s="4" t="str">
        <f>HYPERLINK("http://141.218.60.56/~jnz1568/getInfo.php?workbook=20_05.xlsx&amp;sheet=U0&amp;row=291&amp;col=7&amp;number=0.00603&amp;sourceID=14","0.00603")</f>
        <v>0.00603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HYPERLINK("http://141.218.60.56/~jnz1568/getInfo.php?workbook=20_05.xlsx&amp;sheet=U0&amp;row=292&amp;col=6&amp;number=3.8&amp;sourceID=14","3.8")</f>
        <v>3.8</v>
      </c>
      <c r="G292" s="4" t="str">
        <f>HYPERLINK("http://141.218.60.56/~jnz1568/getInfo.php?workbook=20_05.xlsx&amp;sheet=U0&amp;row=292&amp;col=7&amp;number=0.0061&amp;sourceID=14","0.0061")</f>
        <v>0.0061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HYPERLINK("http://141.218.60.56/~jnz1568/getInfo.php?workbook=20_05.xlsx&amp;sheet=U0&amp;row=293&amp;col=6&amp;number=3.9&amp;sourceID=14","3.9")</f>
        <v>3.9</v>
      </c>
      <c r="G293" s="4" t="str">
        <f>HYPERLINK("http://141.218.60.56/~jnz1568/getInfo.php?workbook=20_05.xlsx&amp;sheet=U0&amp;row=293&amp;col=7&amp;number=0.00618&amp;sourceID=14","0.00618")</f>
        <v>0.00618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HYPERLINK("http://141.218.60.56/~jnz1568/getInfo.php?workbook=20_05.xlsx&amp;sheet=U0&amp;row=294&amp;col=6&amp;number=4&amp;sourceID=14","4")</f>
        <v>4</v>
      </c>
      <c r="G294" s="4" t="str">
        <f>HYPERLINK("http://141.218.60.56/~jnz1568/getInfo.php?workbook=20_05.xlsx&amp;sheet=U0&amp;row=294&amp;col=7&amp;number=0.00629&amp;sourceID=14","0.00629")</f>
        <v>0.00629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HYPERLINK("http://141.218.60.56/~jnz1568/getInfo.php?workbook=20_05.xlsx&amp;sheet=U0&amp;row=295&amp;col=6&amp;number=4.1&amp;sourceID=14","4.1")</f>
        <v>4.1</v>
      </c>
      <c r="G295" s="4" t="str">
        <f>HYPERLINK("http://141.218.60.56/~jnz1568/getInfo.php?workbook=20_05.xlsx&amp;sheet=U0&amp;row=295&amp;col=7&amp;number=0.00642&amp;sourceID=14","0.00642")</f>
        <v>0.00642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HYPERLINK("http://141.218.60.56/~jnz1568/getInfo.php?workbook=20_05.xlsx&amp;sheet=U0&amp;row=296&amp;col=6&amp;number=4.2&amp;sourceID=14","4.2")</f>
        <v>4.2</v>
      </c>
      <c r="G296" s="4" t="str">
        <f>HYPERLINK("http://141.218.60.56/~jnz1568/getInfo.php?workbook=20_05.xlsx&amp;sheet=U0&amp;row=296&amp;col=7&amp;number=0.00658&amp;sourceID=14","0.00658")</f>
        <v>0.00658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HYPERLINK("http://141.218.60.56/~jnz1568/getInfo.php?workbook=20_05.xlsx&amp;sheet=U0&amp;row=297&amp;col=6&amp;number=4.3&amp;sourceID=14","4.3")</f>
        <v>4.3</v>
      </c>
      <c r="G297" s="4" t="str">
        <f>HYPERLINK("http://141.218.60.56/~jnz1568/getInfo.php?workbook=20_05.xlsx&amp;sheet=U0&amp;row=297&amp;col=7&amp;number=0.00678&amp;sourceID=14","0.00678")</f>
        <v>0.00678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HYPERLINK("http://141.218.60.56/~jnz1568/getInfo.php?workbook=20_05.xlsx&amp;sheet=U0&amp;row=298&amp;col=6&amp;number=4.4&amp;sourceID=14","4.4")</f>
        <v>4.4</v>
      </c>
      <c r="G298" s="4" t="str">
        <f>HYPERLINK("http://141.218.60.56/~jnz1568/getInfo.php?workbook=20_05.xlsx&amp;sheet=U0&amp;row=298&amp;col=7&amp;number=0.00702&amp;sourceID=14","0.00702")</f>
        <v>0.00702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HYPERLINK("http://141.218.60.56/~jnz1568/getInfo.php?workbook=20_05.xlsx&amp;sheet=U0&amp;row=299&amp;col=6&amp;number=4.5&amp;sourceID=14","4.5")</f>
        <v>4.5</v>
      </c>
      <c r="G299" s="4" t="str">
        <f>HYPERLINK("http://141.218.60.56/~jnz1568/getInfo.php?workbook=20_05.xlsx&amp;sheet=U0&amp;row=299&amp;col=7&amp;number=0.00731&amp;sourceID=14","0.00731")</f>
        <v>0.00731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HYPERLINK("http://141.218.60.56/~jnz1568/getInfo.php?workbook=20_05.xlsx&amp;sheet=U0&amp;row=300&amp;col=6&amp;number=4.6&amp;sourceID=14","4.6")</f>
        <v>4.6</v>
      </c>
      <c r="G300" s="4" t="str">
        <f>HYPERLINK("http://141.218.60.56/~jnz1568/getInfo.php?workbook=20_05.xlsx&amp;sheet=U0&amp;row=300&amp;col=7&amp;number=0.00765&amp;sourceID=14","0.00765")</f>
        <v>0.00765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HYPERLINK("http://141.218.60.56/~jnz1568/getInfo.php?workbook=20_05.xlsx&amp;sheet=U0&amp;row=301&amp;col=6&amp;number=4.7&amp;sourceID=14","4.7")</f>
        <v>4.7</v>
      </c>
      <c r="G301" s="4" t="str">
        <f>HYPERLINK("http://141.218.60.56/~jnz1568/getInfo.php?workbook=20_05.xlsx&amp;sheet=U0&amp;row=301&amp;col=7&amp;number=0.00803&amp;sourceID=14","0.00803")</f>
        <v>0.00803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HYPERLINK("http://141.218.60.56/~jnz1568/getInfo.php?workbook=20_05.xlsx&amp;sheet=U0&amp;row=302&amp;col=6&amp;number=4.8&amp;sourceID=14","4.8")</f>
        <v>4.8</v>
      </c>
      <c r="G302" s="4" t="str">
        <f>HYPERLINK("http://141.218.60.56/~jnz1568/getInfo.php?workbook=20_05.xlsx&amp;sheet=U0&amp;row=302&amp;col=7&amp;number=0.00844&amp;sourceID=14","0.00844")</f>
        <v>0.00844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HYPERLINK("http://141.218.60.56/~jnz1568/getInfo.php?workbook=20_05.xlsx&amp;sheet=U0&amp;row=303&amp;col=6&amp;number=4.9&amp;sourceID=14","4.9")</f>
        <v>4.9</v>
      </c>
      <c r="G303" s="4" t="str">
        <f>HYPERLINK("http://141.218.60.56/~jnz1568/getInfo.php?workbook=20_05.xlsx&amp;sheet=U0&amp;row=303&amp;col=7&amp;number=0.00884&amp;sourceID=14","0.00884")</f>
        <v>0.00884</v>
      </c>
    </row>
    <row r="304" spans="1:7">
      <c r="A304" s="3">
        <v>20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HYPERLINK("http://141.218.60.56/~jnz1568/getInfo.php?workbook=20_05.xlsx&amp;sheet=U0&amp;row=304&amp;col=6&amp;number=3&amp;sourceID=14","3")</f>
        <v>3</v>
      </c>
      <c r="G304" s="4" t="str">
        <f>HYPERLINK("http://141.218.60.56/~jnz1568/getInfo.php?workbook=20_05.xlsx&amp;sheet=U0&amp;row=304&amp;col=7&amp;number=0.0159&amp;sourceID=14","0.0159")</f>
        <v>0.0159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HYPERLINK("http://141.218.60.56/~jnz1568/getInfo.php?workbook=20_05.xlsx&amp;sheet=U0&amp;row=305&amp;col=6&amp;number=3.1&amp;sourceID=14","3.1")</f>
        <v>3.1</v>
      </c>
      <c r="G305" s="4" t="str">
        <f>HYPERLINK("http://141.218.60.56/~jnz1568/getInfo.php?workbook=20_05.xlsx&amp;sheet=U0&amp;row=305&amp;col=7&amp;number=0.016&amp;sourceID=14","0.016")</f>
        <v>0.016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HYPERLINK("http://141.218.60.56/~jnz1568/getInfo.php?workbook=20_05.xlsx&amp;sheet=U0&amp;row=306&amp;col=6&amp;number=3.2&amp;sourceID=14","3.2")</f>
        <v>3.2</v>
      </c>
      <c r="G306" s="4" t="str">
        <f>HYPERLINK("http://141.218.60.56/~jnz1568/getInfo.php?workbook=20_05.xlsx&amp;sheet=U0&amp;row=306&amp;col=7&amp;number=0.016&amp;sourceID=14","0.016")</f>
        <v>0.016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HYPERLINK("http://141.218.60.56/~jnz1568/getInfo.php?workbook=20_05.xlsx&amp;sheet=U0&amp;row=307&amp;col=6&amp;number=3.3&amp;sourceID=14","3.3")</f>
        <v>3.3</v>
      </c>
      <c r="G307" s="4" t="str">
        <f>HYPERLINK("http://141.218.60.56/~jnz1568/getInfo.php?workbook=20_05.xlsx&amp;sheet=U0&amp;row=307&amp;col=7&amp;number=0.016&amp;sourceID=14","0.016")</f>
        <v>0.016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HYPERLINK("http://141.218.60.56/~jnz1568/getInfo.php?workbook=20_05.xlsx&amp;sheet=U0&amp;row=308&amp;col=6&amp;number=3.4&amp;sourceID=14","3.4")</f>
        <v>3.4</v>
      </c>
      <c r="G308" s="4" t="str">
        <f>HYPERLINK("http://141.218.60.56/~jnz1568/getInfo.php?workbook=20_05.xlsx&amp;sheet=U0&amp;row=308&amp;col=7&amp;number=0.0161&amp;sourceID=14","0.0161")</f>
        <v>0.0161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HYPERLINK("http://141.218.60.56/~jnz1568/getInfo.php?workbook=20_05.xlsx&amp;sheet=U0&amp;row=309&amp;col=6&amp;number=3.5&amp;sourceID=14","3.5")</f>
        <v>3.5</v>
      </c>
      <c r="G309" s="4" t="str">
        <f>HYPERLINK("http://141.218.60.56/~jnz1568/getInfo.php?workbook=20_05.xlsx&amp;sheet=U0&amp;row=309&amp;col=7&amp;number=0.0162&amp;sourceID=14","0.0162")</f>
        <v>0.0162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HYPERLINK("http://141.218.60.56/~jnz1568/getInfo.php?workbook=20_05.xlsx&amp;sheet=U0&amp;row=310&amp;col=6&amp;number=3.6&amp;sourceID=14","3.6")</f>
        <v>3.6</v>
      </c>
      <c r="G310" s="4" t="str">
        <f>HYPERLINK("http://141.218.60.56/~jnz1568/getInfo.php?workbook=20_05.xlsx&amp;sheet=U0&amp;row=310&amp;col=7&amp;number=0.0163&amp;sourceID=14","0.0163")</f>
        <v>0.0163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HYPERLINK("http://141.218.60.56/~jnz1568/getInfo.php?workbook=20_05.xlsx&amp;sheet=U0&amp;row=311&amp;col=6&amp;number=3.7&amp;sourceID=14","3.7")</f>
        <v>3.7</v>
      </c>
      <c r="G311" s="4" t="str">
        <f>HYPERLINK("http://141.218.60.56/~jnz1568/getInfo.php?workbook=20_05.xlsx&amp;sheet=U0&amp;row=311&amp;col=7&amp;number=0.0164&amp;sourceID=14","0.0164")</f>
        <v>0.0164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HYPERLINK("http://141.218.60.56/~jnz1568/getInfo.php?workbook=20_05.xlsx&amp;sheet=U0&amp;row=312&amp;col=6&amp;number=3.8&amp;sourceID=14","3.8")</f>
        <v>3.8</v>
      </c>
      <c r="G312" s="4" t="str">
        <f>HYPERLINK("http://141.218.60.56/~jnz1568/getInfo.php?workbook=20_05.xlsx&amp;sheet=U0&amp;row=312&amp;col=7&amp;number=0.0165&amp;sourceID=14","0.0165")</f>
        <v>0.0165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HYPERLINK("http://141.218.60.56/~jnz1568/getInfo.php?workbook=20_05.xlsx&amp;sheet=U0&amp;row=313&amp;col=6&amp;number=3.9&amp;sourceID=14","3.9")</f>
        <v>3.9</v>
      </c>
      <c r="G313" s="4" t="str">
        <f>HYPERLINK("http://141.218.60.56/~jnz1568/getInfo.php?workbook=20_05.xlsx&amp;sheet=U0&amp;row=313&amp;col=7&amp;number=0.0167&amp;sourceID=14","0.0167")</f>
        <v>0.0167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HYPERLINK("http://141.218.60.56/~jnz1568/getInfo.php?workbook=20_05.xlsx&amp;sheet=U0&amp;row=314&amp;col=6&amp;number=4&amp;sourceID=14","4")</f>
        <v>4</v>
      </c>
      <c r="G314" s="4" t="str">
        <f>HYPERLINK("http://141.218.60.56/~jnz1568/getInfo.php?workbook=20_05.xlsx&amp;sheet=U0&amp;row=314&amp;col=7&amp;number=0.0169&amp;sourceID=14","0.0169")</f>
        <v>0.0169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HYPERLINK("http://141.218.60.56/~jnz1568/getInfo.php?workbook=20_05.xlsx&amp;sheet=U0&amp;row=315&amp;col=6&amp;number=4.1&amp;sourceID=14","4.1")</f>
        <v>4.1</v>
      </c>
      <c r="G315" s="4" t="str">
        <f>HYPERLINK("http://141.218.60.56/~jnz1568/getInfo.php?workbook=20_05.xlsx&amp;sheet=U0&amp;row=315&amp;col=7&amp;number=0.0172&amp;sourceID=14","0.0172")</f>
        <v>0.0172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HYPERLINK("http://141.218.60.56/~jnz1568/getInfo.php?workbook=20_05.xlsx&amp;sheet=U0&amp;row=316&amp;col=6&amp;number=4.2&amp;sourceID=14","4.2")</f>
        <v>4.2</v>
      </c>
      <c r="G316" s="4" t="str">
        <f>HYPERLINK("http://141.218.60.56/~jnz1568/getInfo.php?workbook=20_05.xlsx&amp;sheet=U0&amp;row=316&amp;col=7&amp;number=0.0176&amp;sourceID=14","0.0176")</f>
        <v>0.0176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HYPERLINK("http://141.218.60.56/~jnz1568/getInfo.php?workbook=20_05.xlsx&amp;sheet=U0&amp;row=317&amp;col=6&amp;number=4.3&amp;sourceID=14","4.3")</f>
        <v>4.3</v>
      </c>
      <c r="G317" s="4" t="str">
        <f>HYPERLINK("http://141.218.60.56/~jnz1568/getInfo.php?workbook=20_05.xlsx&amp;sheet=U0&amp;row=317&amp;col=7&amp;number=0.018&amp;sourceID=14","0.018")</f>
        <v>0.018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HYPERLINK("http://141.218.60.56/~jnz1568/getInfo.php?workbook=20_05.xlsx&amp;sheet=U0&amp;row=318&amp;col=6&amp;number=4.4&amp;sourceID=14","4.4")</f>
        <v>4.4</v>
      </c>
      <c r="G318" s="4" t="str">
        <f>HYPERLINK("http://141.218.60.56/~jnz1568/getInfo.php?workbook=20_05.xlsx&amp;sheet=U0&amp;row=318&amp;col=7&amp;number=0.0186&amp;sourceID=14","0.0186")</f>
        <v>0.0186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HYPERLINK("http://141.218.60.56/~jnz1568/getInfo.php?workbook=20_05.xlsx&amp;sheet=U0&amp;row=319&amp;col=6&amp;number=4.5&amp;sourceID=14","4.5")</f>
        <v>4.5</v>
      </c>
      <c r="G319" s="4" t="str">
        <f>HYPERLINK("http://141.218.60.56/~jnz1568/getInfo.php?workbook=20_05.xlsx&amp;sheet=U0&amp;row=319&amp;col=7&amp;number=0.0192&amp;sourceID=14","0.0192")</f>
        <v>0.0192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HYPERLINK("http://141.218.60.56/~jnz1568/getInfo.php?workbook=20_05.xlsx&amp;sheet=U0&amp;row=320&amp;col=6&amp;number=4.6&amp;sourceID=14","4.6")</f>
        <v>4.6</v>
      </c>
      <c r="G320" s="4" t="str">
        <f>HYPERLINK("http://141.218.60.56/~jnz1568/getInfo.php?workbook=20_05.xlsx&amp;sheet=U0&amp;row=320&amp;col=7&amp;number=0.0199&amp;sourceID=14","0.0199")</f>
        <v>0.0199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HYPERLINK("http://141.218.60.56/~jnz1568/getInfo.php?workbook=20_05.xlsx&amp;sheet=U0&amp;row=321&amp;col=6&amp;number=4.7&amp;sourceID=14","4.7")</f>
        <v>4.7</v>
      </c>
      <c r="G321" s="4" t="str">
        <f>HYPERLINK("http://141.218.60.56/~jnz1568/getInfo.php?workbook=20_05.xlsx&amp;sheet=U0&amp;row=321&amp;col=7&amp;number=0.0208&amp;sourceID=14","0.0208")</f>
        <v>0.0208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HYPERLINK("http://141.218.60.56/~jnz1568/getInfo.php?workbook=20_05.xlsx&amp;sheet=U0&amp;row=322&amp;col=6&amp;number=4.8&amp;sourceID=14","4.8")</f>
        <v>4.8</v>
      </c>
      <c r="G322" s="4" t="str">
        <f>HYPERLINK("http://141.218.60.56/~jnz1568/getInfo.php?workbook=20_05.xlsx&amp;sheet=U0&amp;row=322&amp;col=7&amp;number=0.0217&amp;sourceID=14","0.0217")</f>
        <v>0.0217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HYPERLINK("http://141.218.60.56/~jnz1568/getInfo.php?workbook=20_05.xlsx&amp;sheet=U0&amp;row=323&amp;col=6&amp;number=4.9&amp;sourceID=14","4.9")</f>
        <v>4.9</v>
      </c>
      <c r="G323" s="4" t="str">
        <f>HYPERLINK("http://141.218.60.56/~jnz1568/getInfo.php?workbook=20_05.xlsx&amp;sheet=U0&amp;row=323&amp;col=7&amp;number=0.0225&amp;sourceID=14","0.0225")</f>
        <v>0.0225</v>
      </c>
    </row>
    <row r="324" spans="1:7">
      <c r="A324" s="3">
        <v>20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HYPERLINK("http://141.218.60.56/~jnz1568/getInfo.php?workbook=20_05.xlsx&amp;sheet=U0&amp;row=324&amp;col=6&amp;number=3&amp;sourceID=14","3")</f>
        <v>3</v>
      </c>
      <c r="G324" s="4" t="str">
        <f>HYPERLINK("http://141.218.60.56/~jnz1568/getInfo.php?workbook=20_05.xlsx&amp;sheet=U0&amp;row=324&amp;col=7&amp;number=0.0343&amp;sourceID=14","0.0343")</f>
        <v>0.0343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HYPERLINK("http://141.218.60.56/~jnz1568/getInfo.php?workbook=20_05.xlsx&amp;sheet=U0&amp;row=325&amp;col=6&amp;number=3.1&amp;sourceID=14","3.1")</f>
        <v>3.1</v>
      </c>
      <c r="G325" s="4" t="str">
        <f>HYPERLINK("http://141.218.60.56/~jnz1568/getInfo.php?workbook=20_05.xlsx&amp;sheet=U0&amp;row=325&amp;col=7&amp;number=0.0344&amp;sourceID=14","0.0344")</f>
        <v>0.0344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HYPERLINK("http://141.218.60.56/~jnz1568/getInfo.php?workbook=20_05.xlsx&amp;sheet=U0&amp;row=326&amp;col=6&amp;number=3.2&amp;sourceID=14","3.2")</f>
        <v>3.2</v>
      </c>
      <c r="G326" s="4" t="str">
        <f>HYPERLINK("http://141.218.60.56/~jnz1568/getInfo.php?workbook=20_05.xlsx&amp;sheet=U0&amp;row=326&amp;col=7&amp;number=0.0344&amp;sourceID=14","0.0344")</f>
        <v>0.0344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HYPERLINK("http://141.218.60.56/~jnz1568/getInfo.php?workbook=20_05.xlsx&amp;sheet=U0&amp;row=327&amp;col=6&amp;number=3.3&amp;sourceID=14","3.3")</f>
        <v>3.3</v>
      </c>
      <c r="G327" s="4" t="str">
        <f>HYPERLINK("http://141.218.60.56/~jnz1568/getInfo.php?workbook=20_05.xlsx&amp;sheet=U0&amp;row=327&amp;col=7&amp;number=0.0345&amp;sourceID=14","0.0345")</f>
        <v>0.0345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HYPERLINK("http://141.218.60.56/~jnz1568/getInfo.php?workbook=20_05.xlsx&amp;sheet=U0&amp;row=328&amp;col=6&amp;number=3.4&amp;sourceID=14","3.4")</f>
        <v>3.4</v>
      </c>
      <c r="G328" s="4" t="str">
        <f>HYPERLINK("http://141.218.60.56/~jnz1568/getInfo.php?workbook=20_05.xlsx&amp;sheet=U0&amp;row=328&amp;col=7&amp;number=0.0346&amp;sourceID=14","0.0346")</f>
        <v>0.0346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HYPERLINK("http://141.218.60.56/~jnz1568/getInfo.php?workbook=20_05.xlsx&amp;sheet=U0&amp;row=329&amp;col=6&amp;number=3.5&amp;sourceID=14","3.5")</f>
        <v>3.5</v>
      </c>
      <c r="G329" s="4" t="str">
        <f>HYPERLINK("http://141.218.60.56/~jnz1568/getInfo.php?workbook=20_05.xlsx&amp;sheet=U0&amp;row=329&amp;col=7&amp;number=0.0347&amp;sourceID=14","0.0347")</f>
        <v>0.0347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HYPERLINK("http://141.218.60.56/~jnz1568/getInfo.php?workbook=20_05.xlsx&amp;sheet=U0&amp;row=330&amp;col=6&amp;number=3.6&amp;sourceID=14","3.6")</f>
        <v>3.6</v>
      </c>
      <c r="G330" s="4" t="str">
        <f>HYPERLINK("http://141.218.60.56/~jnz1568/getInfo.php?workbook=20_05.xlsx&amp;sheet=U0&amp;row=330&amp;col=7&amp;number=0.0349&amp;sourceID=14","0.0349")</f>
        <v>0.0349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HYPERLINK("http://141.218.60.56/~jnz1568/getInfo.php?workbook=20_05.xlsx&amp;sheet=U0&amp;row=331&amp;col=6&amp;number=3.7&amp;sourceID=14","3.7")</f>
        <v>3.7</v>
      </c>
      <c r="G331" s="4" t="str">
        <f>HYPERLINK("http://141.218.60.56/~jnz1568/getInfo.php?workbook=20_05.xlsx&amp;sheet=U0&amp;row=331&amp;col=7&amp;number=0.0351&amp;sourceID=14","0.0351")</f>
        <v>0.0351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HYPERLINK("http://141.218.60.56/~jnz1568/getInfo.php?workbook=20_05.xlsx&amp;sheet=U0&amp;row=332&amp;col=6&amp;number=3.8&amp;sourceID=14","3.8")</f>
        <v>3.8</v>
      </c>
      <c r="G332" s="4" t="str">
        <f>HYPERLINK("http://141.218.60.56/~jnz1568/getInfo.php?workbook=20_05.xlsx&amp;sheet=U0&amp;row=332&amp;col=7&amp;number=0.0354&amp;sourceID=14","0.0354")</f>
        <v>0.0354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HYPERLINK("http://141.218.60.56/~jnz1568/getInfo.php?workbook=20_05.xlsx&amp;sheet=U0&amp;row=333&amp;col=6&amp;number=3.9&amp;sourceID=14","3.9")</f>
        <v>3.9</v>
      </c>
      <c r="G333" s="4" t="str">
        <f>HYPERLINK("http://141.218.60.56/~jnz1568/getInfo.php?workbook=20_05.xlsx&amp;sheet=U0&amp;row=333&amp;col=7&amp;number=0.0357&amp;sourceID=14","0.0357")</f>
        <v>0.0357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HYPERLINK("http://141.218.60.56/~jnz1568/getInfo.php?workbook=20_05.xlsx&amp;sheet=U0&amp;row=334&amp;col=6&amp;number=4&amp;sourceID=14","4")</f>
        <v>4</v>
      </c>
      <c r="G334" s="4" t="str">
        <f>HYPERLINK("http://141.218.60.56/~jnz1568/getInfo.php?workbook=20_05.xlsx&amp;sheet=U0&amp;row=334&amp;col=7&amp;number=0.0361&amp;sourceID=14","0.0361")</f>
        <v>0.0361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HYPERLINK("http://141.218.60.56/~jnz1568/getInfo.php?workbook=20_05.xlsx&amp;sheet=U0&amp;row=335&amp;col=6&amp;number=4.1&amp;sourceID=14","4.1")</f>
        <v>4.1</v>
      </c>
      <c r="G335" s="4" t="str">
        <f>HYPERLINK("http://141.218.60.56/~jnz1568/getInfo.php?workbook=20_05.xlsx&amp;sheet=U0&amp;row=335&amp;col=7&amp;number=0.0367&amp;sourceID=14","0.0367")</f>
        <v>0.0367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HYPERLINK("http://141.218.60.56/~jnz1568/getInfo.php?workbook=20_05.xlsx&amp;sheet=U0&amp;row=336&amp;col=6&amp;number=4.2&amp;sourceID=14","4.2")</f>
        <v>4.2</v>
      </c>
      <c r="G336" s="4" t="str">
        <f>HYPERLINK("http://141.218.60.56/~jnz1568/getInfo.php?workbook=20_05.xlsx&amp;sheet=U0&amp;row=336&amp;col=7&amp;number=0.0373&amp;sourceID=14","0.0373")</f>
        <v>0.0373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HYPERLINK("http://141.218.60.56/~jnz1568/getInfo.php?workbook=20_05.xlsx&amp;sheet=U0&amp;row=337&amp;col=6&amp;number=4.3&amp;sourceID=14","4.3")</f>
        <v>4.3</v>
      </c>
      <c r="G337" s="4" t="str">
        <f>HYPERLINK("http://141.218.60.56/~jnz1568/getInfo.php?workbook=20_05.xlsx&amp;sheet=U0&amp;row=337&amp;col=7&amp;number=0.0381&amp;sourceID=14","0.0381")</f>
        <v>0.0381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HYPERLINK("http://141.218.60.56/~jnz1568/getInfo.php?workbook=20_05.xlsx&amp;sheet=U0&amp;row=338&amp;col=6&amp;number=4.4&amp;sourceID=14","4.4")</f>
        <v>4.4</v>
      </c>
      <c r="G338" s="4" t="str">
        <f>HYPERLINK("http://141.218.60.56/~jnz1568/getInfo.php?workbook=20_05.xlsx&amp;sheet=U0&amp;row=338&amp;col=7&amp;number=0.039&amp;sourceID=14","0.039")</f>
        <v>0.039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HYPERLINK("http://141.218.60.56/~jnz1568/getInfo.php?workbook=20_05.xlsx&amp;sheet=U0&amp;row=339&amp;col=6&amp;number=4.5&amp;sourceID=14","4.5")</f>
        <v>4.5</v>
      </c>
      <c r="G339" s="4" t="str">
        <f>HYPERLINK("http://141.218.60.56/~jnz1568/getInfo.php?workbook=20_05.xlsx&amp;sheet=U0&amp;row=339&amp;col=7&amp;number=0.0402&amp;sourceID=14","0.0402")</f>
        <v>0.0402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HYPERLINK("http://141.218.60.56/~jnz1568/getInfo.php?workbook=20_05.xlsx&amp;sheet=U0&amp;row=340&amp;col=6&amp;number=4.6&amp;sourceID=14","4.6")</f>
        <v>4.6</v>
      </c>
      <c r="G340" s="4" t="str">
        <f>HYPERLINK("http://141.218.60.56/~jnz1568/getInfo.php?workbook=20_05.xlsx&amp;sheet=U0&amp;row=340&amp;col=7&amp;number=0.0415&amp;sourceID=14","0.0415")</f>
        <v>0.0415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HYPERLINK("http://141.218.60.56/~jnz1568/getInfo.php?workbook=20_05.xlsx&amp;sheet=U0&amp;row=341&amp;col=6&amp;number=4.7&amp;sourceID=14","4.7")</f>
        <v>4.7</v>
      </c>
      <c r="G341" s="4" t="str">
        <f>HYPERLINK("http://141.218.60.56/~jnz1568/getInfo.php?workbook=20_05.xlsx&amp;sheet=U0&amp;row=341&amp;col=7&amp;number=0.0431&amp;sourceID=14","0.0431")</f>
        <v>0.0431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HYPERLINK("http://141.218.60.56/~jnz1568/getInfo.php?workbook=20_05.xlsx&amp;sheet=U0&amp;row=342&amp;col=6&amp;number=4.8&amp;sourceID=14","4.8")</f>
        <v>4.8</v>
      </c>
      <c r="G342" s="4" t="str">
        <f>HYPERLINK("http://141.218.60.56/~jnz1568/getInfo.php?workbook=20_05.xlsx&amp;sheet=U0&amp;row=342&amp;col=7&amp;number=0.0447&amp;sourceID=14","0.0447")</f>
        <v>0.0447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HYPERLINK("http://141.218.60.56/~jnz1568/getInfo.php?workbook=20_05.xlsx&amp;sheet=U0&amp;row=343&amp;col=6&amp;number=4.9&amp;sourceID=14","4.9")</f>
        <v>4.9</v>
      </c>
      <c r="G343" s="4" t="str">
        <f>HYPERLINK("http://141.218.60.56/~jnz1568/getInfo.php?workbook=20_05.xlsx&amp;sheet=U0&amp;row=343&amp;col=7&amp;number=0.0462&amp;sourceID=14","0.0462")</f>
        <v>0.0462</v>
      </c>
    </row>
    <row r="344" spans="1:7">
      <c r="A344" s="3">
        <v>20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HYPERLINK("http://141.218.60.56/~jnz1568/getInfo.php?workbook=20_05.xlsx&amp;sheet=U0&amp;row=344&amp;col=6&amp;number=3&amp;sourceID=14","3")</f>
        <v>3</v>
      </c>
      <c r="G344" s="4" t="str">
        <f>HYPERLINK("http://141.218.60.56/~jnz1568/getInfo.php?workbook=20_05.xlsx&amp;sheet=U0&amp;row=344&amp;col=7&amp;number=0.0849&amp;sourceID=14","0.0849")</f>
        <v>0.0849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HYPERLINK("http://141.218.60.56/~jnz1568/getInfo.php?workbook=20_05.xlsx&amp;sheet=U0&amp;row=345&amp;col=6&amp;number=3.1&amp;sourceID=14","3.1")</f>
        <v>3.1</v>
      </c>
      <c r="G345" s="4" t="str">
        <f>HYPERLINK("http://141.218.60.56/~jnz1568/getInfo.php?workbook=20_05.xlsx&amp;sheet=U0&amp;row=345&amp;col=7&amp;number=0.085&amp;sourceID=14","0.085")</f>
        <v>0.085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HYPERLINK("http://141.218.60.56/~jnz1568/getInfo.php?workbook=20_05.xlsx&amp;sheet=U0&amp;row=346&amp;col=6&amp;number=3.2&amp;sourceID=14","3.2")</f>
        <v>3.2</v>
      </c>
      <c r="G346" s="4" t="str">
        <f>HYPERLINK("http://141.218.60.56/~jnz1568/getInfo.php?workbook=20_05.xlsx&amp;sheet=U0&amp;row=346&amp;col=7&amp;number=0.0852&amp;sourceID=14","0.0852")</f>
        <v>0.0852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HYPERLINK("http://141.218.60.56/~jnz1568/getInfo.php?workbook=20_05.xlsx&amp;sheet=U0&amp;row=347&amp;col=6&amp;number=3.3&amp;sourceID=14","3.3")</f>
        <v>3.3</v>
      </c>
      <c r="G347" s="4" t="str">
        <f>HYPERLINK("http://141.218.60.56/~jnz1568/getInfo.php?workbook=20_05.xlsx&amp;sheet=U0&amp;row=347&amp;col=7&amp;number=0.0854&amp;sourceID=14","0.0854")</f>
        <v>0.0854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HYPERLINK("http://141.218.60.56/~jnz1568/getInfo.php?workbook=20_05.xlsx&amp;sheet=U0&amp;row=348&amp;col=6&amp;number=3.4&amp;sourceID=14","3.4")</f>
        <v>3.4</v>
      </c>
      <c r="G348" s="4" t="str">
        <f>HYPERLINK("http://141.218.60.56/~jnz1568/getInfo.php?workbook=20_05.xlsx&amp;sheet=U0&amp;row=348&amp;col=7&amp;number=0.0856&amp;sourceID=14","0.0856")</f>
        <v>0.0856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HYPERLINK("http://141.218.60.56/~jnz1568/getInfo.php?workbook=20_05.xlsx&amp;sheet=U0&amp;row=349&amp;col=6&amp;number=3.5&amp;sourceID=14","3.5")</f>
        <v>3.5</v>
      </c>
      <c r="G349" s="4" t="str">
        <f>HYPERLINK("http://141.218.60.56/~jnz1568/getInfo.php?workbook=20_05.xlsx&amp;sheet=U0&amp;row=349&amp;col=7&amp;number=0.0859&amp;sourceID=14","0.0859")</f>
        <v>0.0859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HYPERLINK("http://141.218.60.56/~jnz1568/getInfo.php?workbook=20_05.xlsx&amp;sheet=U0&amp;row=350&amp;col=6&amp;number=3.6&amp;sourceID=14","3.6")</f>
        <v>3.6</v>
      </c>
      <c r="G350" s="4" t="str">
        <f>HYPERLINK("http://141.218.60.56/~jnz1568/getInfo.php?workbook=20_05.xlsx&amp;sheet=U0&amp;row=350&amp;col=7&amp;number=0.0863&amp;sourceID=14","0.0863")</f>
        <v>0.0863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HYPERLINK("http://141.218.60.56/~jnz1568/getInfo.php?workbook=20_05.xlsx&amp;sheet=U0&amp;row=351&amp;col=6&amp;number=3.7&amp;sourceID=14","3.7")</f>
        <v>3.7</v>
      </c>
      <c r="G351" s="4" t="str">
        <f>HYPERLINK("http://141.218.60.56/~jnz1568/getInfo.php?workbook=20_05.xlsx&amp;sheet=U0&amp;row=351&amp;col=7&amp;number=0.0868&amp;sourceID=14","0.0868")</f>
        <v>0.0868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HYPERLINK("http://141.218.60.56/~jnz1568/getInfo.php?workbook=20_05.xlsx&amp;sheet=U0&amp;row=352&amp;col=6&amp;number=3.8&amp;sourceID=14","3.8")</f>
        <v>3.8</v>
      </c>
      <c r="G352" s="4" t="str">
        <f>HYPERLINK("http://141.218.60.56/~jnz1568/getInfo.php?workbook=20_05.xlsx&amp;sheet=U0&amp;row=352&amp;col=7&amp;number=0.0874&amp;sourceID=14","0.0874")</f>
        <v>0.0874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HYPERLINK("http://141.218.60.56/~jnz1568/getInfo.php?workbook=20_05.xlsx&amp;sheet=U0&amp;row=353&amp;col=6&amp;number=3.9&amp;sourceID=14","3.9")</f>
        <v>3.9</v>
      </c>
      <c r="G353" s="4" t="str">
        <f>HYPERLINK("http://141.218.60.56/~jnz1568/getInfo.php?workbook=20_05.xlsx&amp;sheet=U0&amp;row=353&amp;col=7&amp;number=0.0881&amp;sourceID=14","0.0881")</f>
        <v>0.0881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HYPERLINK("http://141.218.60.56/~jnz1568/getInfo.php?workbook=20_05.xlsx&amp;sheet=U0&amp;row=354&amp;col=6&amp;number=4&amp;sourceID=14","4")</f>
        <v>4</v>
      </c>
      <c r="G354" s="4" t="str">
        <f>HYPERLINK("http://141.218.60.56/~jnz1568/getInfo.php?workbook=20_05.xlsx&amp;sheet=U0&amp;row=354&amp;col=7&amp;number=0.089&amp;sourceID=14","0.089")</f>
        <v>0.089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HYPERLINK("http://141.218.60.56/~jnz1568/getInfo.php?workbook=20_05.xlsx&amp;sheet=U0&amp;row=355&amp;col=6&amp;number=4.1&amp;sourceID=14","4.1")</f>
        <v>4.1</v>
      </c>
      <c r="G355" s="4" t="str">
        <f>HYPERLINK("http://141.218.60.56/~jnz1568/getInfo.php?workbook=20_05.xlsx&amp;sheet=U0&amp;row=355&amp;col=7&amp;number=0.0901&amp;sourceID=14","0.0901")</f>
        <v>0.0901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HYPERLINK("http://141.218.60.56/~jnz1568/getInfo.php?workbook=20_05.xlsx&amp;sheet=U0&amp;row=356&amp;col=6&amp;number=4.2&amp;sourceID=14","4.2")</f>
        <v>4.2</v>
      </c>
      <c r="G356" s="4" t="str">
        <f>HYPERLINK("http://141.218.60.56/~jnz1568/getInfo.php?workbook=20_05.xlsx&amp;sheet=U0&amp;row=356&amp;col=7&amp;number=0.0915&amp;sourceID=14","0.0915")</f>
        <v>0.0915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HYPERLINK("http://141.218.60.56/~jnz1568/getInfo.php?workbook=20_05.xlsx&amp;sheet=U0&amp;row=357&amp;col=6&amp;number=4.3&amp;sourceID=14","4.3")</f>
        <v>4.3</v>
      </c>
      <c r="G357" s="4" t="str">
        <f>HYPERLINK("http://141.218.60.56/~jnz1568/getInfo.php?workbook=20_05.xlsx&amp;sheet=U0&amp;row=357&amp;col=7&amp;number=0.093&amp;sourceID=14","0.093")</f>
        <v>0.093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HYPERLINK("http://141.218.60.56/~jnz1568/getInfo.php?workbook=20_05.xlsx&amp;sheet=U0&amp;row=358&amp;col=6&amp;number=4.4&amp;sourceID=14","4.4")</f>
        <v>4.4</v>
      </c>
      <c r="G358" s="4" t="str">
        <f>HYPERLINK("http://141.218.60.56/~jnz1568/getInfo.php?workbook=20_05.xlsx&amp;sheet=U0&amp;row=358&amp;col=7&amp;number=0.0946&amp;sourceID=14","0.0946")</f>
        <v>0.0946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HYPERLINK("http://141.218.60.56/~jnz1568/getInfo.php?workbook=20_05.xlsx&amp;sheet=U0&amp;row=359&amp;col=6&amp;number=4.5&amp;sourceID=14","4.5")</f>
        <v>4.5</v>
      </c>
      <c r="G359" s="4" t="str">
        <f>HYPERLINK("http://141.218.60.56/~jnz1568/getInfo.php?workbook=20_05.xlsx&amp;sheet=U0&amp;row=359&amp;col=7&amp;number=0.0963&amp;sourceID=14","0.0963")</f>
        <v>0.0963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HYPERLINK("http://141.218.60.56/~jnz1568/getInfo.php?workbook=20_05.xlsx&amp;sheet=U0&amp;row=360&amp;col=6&amp;number=4.6&amp;sourceID=14","4.6")</f>
        <v>4.6</v>
      </c>
      <c r="G360" s="4" t="str">
        <f>HYPERLINK("http://141.218.60.56/~jnz1568/getInfo.php?workbook=20_05.xlsx&amp;sheet=U0&amp;row=360&amp;col=7&amp;number=0.0978&amp;sourceID=14","0.0978")</f>
        <v>0.0978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HYPERLINK("http://141.218.60.56/~jnz1568/getInfo.php?workbook=20_05.xlsx&amp;sheet=U0&amp;row=361&amp;col=6&amp;number=4.7&amp;sourceID=14","4.7")</f>
        <v>4.7</v>
      </c>
      <c r="G361" s="4" t="str">
        <f>HYPERLINK("http://141.218.60.56/~jnz1568/getInfo.php?workbook=20_05.xlsx&amp;sheet=U0&amp;row=361&amp;col=7&amp;number=0.0985&amp;sourceID=14","0.0985")</f>
        <v>0.0985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HYPERLINK("http://141.218.60.56/~jnz1568/getInfo.php?workbook=20_05.xlsx&amp;sheet=U0&amp;row=362&amp;col=6&amp;number=4.8&amp;sourceID=14","4.8")</f>
        <v>4.8</v>
      </c>
      <c r="G362" s="4" t="str">
        <f>HYPERLINK("http://141.218.60.56/~jnz1568/getInfo.php?workbook=20_05.xlsx&amp;sheet=U0&amp;row=362&amp;col=7&amp;number=0.098&amp;sourceID=14","0.098")</f>
        <v>0.098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HYPERLINK("http://141.218.60.56/~jnz1568/getInfo.php?workbook=20_05.xlsx&amp;sheet=U0&amp;row=363&amp;col=6&amp;number=4.9&amp;sourceID=14","4.9")</f>
        <v>4.9</v>
      </c>
      <c r="G363" s="4" t="str">
        <f>HYPERLINK("http://141.218.60.56/~jnz1568/getInfo.php?workbook=20_05.xlsx&amp;sheet=U0&amp;row=363&amp;col=7&amp;number=0.096&amp;sourceID=14","0.096")</f>
        <v>0.096</v>
      </c>
    </row>
    <row r="364" spans="1:7">
      <c r="A364" s="3">
        <v>20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HYPERLINK("http://141.218.60.56/~jnz1568/getInfo.php?workbook=20_05.xlsx&amp;sheet=U0&amp;row=364&amp;col=6&amp;number=3&amp;sourceID=14","3")</f>
        <v>3</v>
      </c>
      <c r="G364" s="4" t="str">
        <f>HYPERLINK("http://141.218.60.56/~jnz1568/getInfo.php?workbook=20_05.xlsx&amp;sheet=U0&amp;row=364&amp;col=7&amp;number=0.535&amp;sourceID=14","0.535")</f>
        <v>0.535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HYPERLINK("http://141.218.60.56/~jnz1568/getInfo.php?workbook=20_05.xlsx&amp;sheet=U0&amp;row=365&amp;col=6&amp;number=3.1&amp;sourceID=14","3.1")</f>
        <v>3.1</v>
      </c>
      <c r="G365" s="4" t="str">
        <f>HYPERLINK("http://141.218.60.56/~jnz1568/getInfo.php?workbook=20_05.xlsx&amp;sheet=U0&amp;row=365&amp;col=7&amp;number=0.535&amp;sourceID=14","0.535")</f>
        <v>0.535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HYPERLINK("http://141.218.60.56/~jnz1568/getInfo.php?workbook=20_05.xlsx&amp;sheet=U0&amp;row=366&amp;col=6&amp;number=3.2&amp;sourceID=14","3.2")</f>
        <v>3.2</v>
      </c>
      <c r="G366" s="4" t="str">
        <f>HYPERLINK("http://141.218.60.56/~jnz1568/getInfo.php?workbook=20_05.xlsx&amp;sheet=U0&amp;row=366&amp;col=7&amp;number=0.535&amp;sourceID=14","0.535")</f>
        <v>0.535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HYPERLINK("http://141.218.60.56/~jnz1568/getInfo.php?workbook=20_05.xlsx&amp;sheet=U0&amp;row=367&amp;col=6&amp;number=3.3&amp;sourceID=14","3.3")</f>
        <v>3.3</v>
      </c>
      <c r="G367" s="4" t="str">
        <f>HYPERLINK("http://141.218.60.56/~jnz1568/getInfo.php?workbook=20_05.xlsx&amp;sheet=U0&amp;row=367&amp;col=7&amp;number=0.534&amp;sourceID=14","0.534")</f>
        <v>0.534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HYPERLINK("http://141.218.60.56/~jnz1568/getInfo.php?workbook=20_05.xlsx&amp;sheet=U0&amp;row=368&amp;col=6&amp;number=3.4&amp;sourceID=14","3.4")</f>
        <v>3.4</v>
      </c>
      <c r="G368" s="4" t="str">
        <f>HYPERLINK("http://141.218.60.56/~jnz1568/getInfo.php?workbook=20_05.xlsx&amp;sheet=U0&amp;row=368&amp;col=7&amp;number=0.534&amp;sourceID=14","0.534")</f>
        <v>0.534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HYPERLINK("http://141.218.60.56/~jnz1568/getInfo.php?workbook=20_05.xlsx&amp;sheet=U0&amp;row=369&amp;col=6&amp;number=3.5&amp;sourceID=14","3.5")</f>
        <v>3.5</v>
      </c>
      <c r="G369" s="4" t="str">
        <f>HYPERLINK("http://141.218.60.56/~jnz1568/getInfo.php?workbook=20_05.xlsx&amp;sheet=U0&amp;row=369&amp;col=7&amp;number=0.533&amp;sourceID=14","0.533")</f>
        <v>0.533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HYPERLINK("http://141.218.60.56/~jnz1568/getInfo.php?workbook=20_05.xlsx&amp;sheet=U0&amp;row=370&amp;col=6&amp;number=3.6&amp;sourceID=14","3.6")</f>
        <v>3.6</v>
      </c>
      <c r="G370" s="4" t="str">
        <f>HYPERLINK("http://141.218.60.56/~jnz1568/getInfo.php?workbook=20_05.xlsx&amp;sheet=U0&amp;row=370&amp;col=7&amp;number=0.533&amp;sourceID=14","0.533")</f>
        <v>0.533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HYPERLINK("http://141.218.60.56/~jnz1568/getInfo.php?workbook=20_05.xlsx&amp;sheet=U0&amp;row=371&amp;col=6&amp;number=3.7&amp;sourceID=14","3.7")</f>
        <v>3.7</v>
      </c>
      <c r="G371" s="4" t="str">
        <f>HYPERLINK("http://141.218.60.56/~jnz1568/getInfo.php?workbook=20_05.xlsx&amp;sheet=U0&amp;row=371&amp;col=7&amp;number=0.532&amp;sourceID=14","0.532")</f>
        <v>0.532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HYPERLINK("http://141.218.60.56/~jnz1568/getInfo.php?workbook=20_05.xlsx&amp;sheet=U0&amp;row=372&amp;col=6&amp;number=3.8&amp;sourceID=14","3.8")</f>
        <v>3.8</v>
      </c>
      <c r="G372" s="4" t="str">
        <f>HYPERLINK("http://141.218.60.56/~jnz1568/getInfo.php?workbook=20_05.xlsx&amp;sheet=U0&amp;row=372&amp;col=7&amp;number=0.531&amp;sourceID=14","0.531")</f>
        <v>0.531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HYPERLINK("http://141.218.60.56/~jnz1568/getInfo.php?workbook=20_05.xlsx&amp;sheet=U0&amp;row=373&amp;col=6&amp;number=3.9&amp;sourceID=14","3.9")</f>
        <v>3.9</v>
      </c>
      <c r="G373" s="4" t="str">
        <f>HYPERLINK("http://141.218.60.56/~jnz1568/getInfo.php?workbook=20_05.xlsx&amp;sheet=U0&amp;row=373&amp;col=7&amp;number=0.53&amp;sourceID=14","0.53")</f>
        <v>0.53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HYPERLINK("http://141.218.60.56/~jnz1568/getInfo.php?workbook=20_05.xlsx&amp;sheet=U0&amp;row=374&amp;col=6&amp;number=4&amp;sourceID=14","4")</f>
        <v>4</v>
      </c>
      <c r="G374" s="4" t="str">
        <f>HYPERLINK("http://141.218.60.56/~jnz1568/getInfo.php?workbook=20_05.xlsx&amp;sheet=U0&amp;row=374&amp;col=7&amp;number=0.528&amp;sourceID=14","0.528")</f>
        <v>0.528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HYPERLINK("http://141.218.60.56/~jnz1568/getInfo.php?workbook=20_05.xlsx&amp;sheet=U0&amp;row=375&amp;col=6&amp;number=4.1&amp;sourceID=14","4.1")</f>
        <v>4.1</v>
      </c>
      <c r="G375" s="4" t="str">
        <f>HYPERLINK("http://141.218.60.56/~jnz1568/getInfo.php?workbook=20_05.xlsx&amp;sheet=U0&amp;row=375&amp;col=7&amp;number=0.526&amp;sourceID=14","0.526")</f>
        <v>0.526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HYPERLINK("http://141.218.60.56/~jnz1568/getInfo.php?workbook=20_05.xlsx&amp;sheet=U0&amp;row=376&amp;col=6&amp;number=4.2&amp;sourceID=14","4.2")</f>
        <v>4.2</v>
      </c>
      <c r="G376" s="4" t="str">
        <f>HYPERLINK("http://141.218.60.56/~jnz1568/getInfo.php?workbook=20_05.xlsx&amp;sheet=U0&amp;row=376&amp;col=7&amp;number=0.524&amp;sourceID=14","0.524")</f>
        <v>0.524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HYPERLINK("http://141.218.60.56/~jnz1568/getInfo.php?workbook=20_05.xlsx&amp;sheet=U0&amp;row=377&amp;col=6&amp;number=4.3&amp;sourceID=14","4.3")</f>
        <v>4.3</v>
      </c>
      <c r="G377" s="4" t="str">
        <f>HYPERLINK("http://141.218.60.56/~jnz1568/getInfo.php?workbook=20_05.xlsx&amp;sheet=U0&amp;row=377&amp;col=7&amp;number=0.521&amp;sourceID=14","0.521")</f>
        <v>0.521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HYPERLINK("http://141.218.60.56/~jnz1568/getInfo.php?workbook=20_05.xlsx&amp;sheet=U0&amp;row=378&amp;col=6&amp;number=4.4&amp;sourceID=14","4.4")</f>
        <v>4.4</v>
      </c>
      <c r="G378" s="4" t="str">
        <f>HYPERLINK("http://141.218.60.56/~jnz1568/getInfo.php?workbook=20_05.xlsx&amp;sheet=U0&amp;row=378&amp;col=7&amp;number=0.517&amp;sourceID=14","0.517")</f>
        <v>0.517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HYPERLINK("http://141.218.60.56/~jnz1568/getInfo.php?workbook=20_05.xlsx&amp;sheet=U0&amp;row=379&amp;col=6&amp;number=4.5&amp;sourceID=14","4.5")</f>
        <v>4.5</v>
      </c>
      <c r="G379" s="4" t="str">
        <f>HYPERLINK("http://141.218.60.56/~jnz1568/getInfo.php?workbook=20_05.xlsx&amp;sheet=U0&amp;row=379&amp;col=7&amp;number=0.513&amp;sourceID=14","0.513")</f>
        <v>0.513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HYPERLINK("http://141.218.60.56/~jnz1568/getInfo.php?workbook=20_05.xlsx&amp;sheet=U0&amp;row=380&amp;col=6&amp;number=4.6&amp;sourceID=14","4.6")</f>
        <v>4.6</v>
      </c>
      <c r="G380" s="4" t="str">
        <f>HYPERLINK("http://141.218.60.56/~jnz1568/getInfo.php?workbook=20_05.xlsx&amp;sheet=U0&amp;row=380&amp;col=7&amp;number=0.507&amp;sourceID=14","0.507")</f>
        <v>0.507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HYPERLINK("http://141.218.60.56/~jnz1568/getInfo.php?workbook=20_05.xlsx&amp;sheet=U0&amp;row=381&amp;col=6&amp;number=4.7&amp;sourceID=14","4.7")</f>
        <v>4.7</v>
      </c>
      <c r="G381" s="4" t="str">
        <f>HYPERLINK("http://141.218.60.56/~jnz1568/getInfo.php?workbook=20_05.xlsx&amp;sheet=U0&amp;row=381&amp;col=7&amp;number=0.499&amp;sourceID=14","0.499")</f>
        <v>0.499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HYPERLINK("http://141.218.60.56/~jnz1568/getInfo.php?workbook=20_05.xlsx&amp;sheet=U0&amp;row=382&amp;col=6&amp;number=4.8&amp;sourceID=14","4.8")</f>
        <v>4.8</v>
      </c>
      <c r="G382" s="4" t="str">
        <f>HYPERLINK("http://141.218.60.56/~jnz1568/getInfo.php?workbook=20_05.xlsx&amp;sheet=U0&amp;row=382&amp;col=7&amp;number=0.489&amp;sourceID=14","0.489")</f>
        <v>0.489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HYPERLINK("http://141.218.60.56/~jnz1568/getInfo.php?workbook=20_05.xlsx&amp;sheet=U0&amp;row=383&amp;col=6&amp;number=4.9&amp;sourceID=14","4.9")</f>
        <v>4.9</v>
      </c>
      <c r="G383" s="4" t="str">
        <f>HYPERLINK("http://141.218.60.56/~jnz1568/getInfo.php?workbook=20_05.xlsx&amp;sheet=U0&amp;row=383&amp;col=7&amp;number=0.478&amp;sourceID=14","0.478")</f>
        <v>0.478</v>
      </c>
    </row>
    <row r="384" spans="1:7">
      <c r="A384" s="3">
        <v>20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HYPERLINK("http://141.218.60.56/~jnz1568/getInfo.php?workbook=20_05.xlsx&amp;sheet=U0&amp;row=384&amp;col=6&amp;number=3&amp;sourceID=14","3")</f>
        <v>3</v>
      </c>
      <c r="G384" s="4" t="str">
        <f>HYPERLINK("http://141.218.60.56/~jnz1568/getInfo.php?workbook=20_05.xlsx&amp;sheet=U0&amp;row=384&amp;col=7&amp;number=0.136&amp;sourceID=14","0.136")</f>
        <v>0.136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HYPERLINK("http://141.218.60.56/~jnz1568/getInfo.php?workbook=20_05.xlsx&amp;sheet=U0&amp;row=385&amp;col=6&amp;number=3.1&amp;sourceID=14","3.1")</f>
        <v>3.1</v>
      </c>
      <c r="G385" s="4" t="str">
        <f>HYPERLINK("http://141.218.60.56/~jnz1568/getInfo.php?workbook=20_05.xlsx&amp;sheet=U0&amp;row=385&amp;col=7&amp;number=0.136&amp;sourceID=14","0.136")</f>
        <v>0.136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HYPERLINK("http://141.218.60.56/~jnz1568/getInfo.php?workbook=20_05.xlsx&amp;sheet=U0&amp;row=386&amp;col=6&amp;number=3.2&amp;sourceID=14","3.2")</f>
        <v>3.2</v>
      </c>
      <c r="G386" s="4" t="str">
        <f>HYPERLINK("http://141.218.60.56/~jnz1568/getInfo.php?workbook=20_05.xlsx&amp;sheet=U0&amp;row=386&amp;col=7&amp;number=0.136&amp;sourceID=14","0.136")</f>
        <v>0.136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HYPERLINK("http://141.218.60.56/~jnz1568/getInfo.php?workbook=20_05.xlsx&amp;sheet=U0&amp;row=387&amp;col=6&amp;number=3.3&amp;sourceID=14","3.3")</f>
        <v>3.3</v>
      </c>
      <c r="G387" s="4" t="str">
        <f>HYPERLINK("http://141.218.60.56/~jnz1568/getInfo.php?workbook=20_05.xlsx&amp;sheet=U0&amp;row=387&amp;col=7&amp;number=0.135&amp;sourceID=14","0.135")</f>
        <v>0.135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HYPERLINK("http://141.218.60.56/~jnz1568/getInfo.php?workbook=20_05.xlsx&amp;sheet=U0&amp;row=388&amp;col=6&amp;number=3.4&amp;sourceID=14","3.4")</f>
        <v>3.4</v>
      </c>
      <c r="G388" s="4" t="str">
        <f>HYPERLINK("http://141.218.60.56/~jnz1568/getInfo.php?workbook=20_05.xlsx&amp;sheet=U0&amp;row=388&amp;col=7&amp;number=0.135&amp;sourceID=14","0.135")</f>
        <v>0.135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HYPERLINK("http://141.218.60.56/~jnz1568/getInfo.php?workbook=20_05.xlsx&amp;sheet=U0&amp;row=389&amp;col=6&amp;number=3.5&amp;sourceID=14","3.5")</f>
        <v>3.5</v>
      </c>
      <c r="G389" s="4" t="str">
        <f>HYPERLINK("http://141.218.60.56/~jnz1568/getInfo.php?workbook=20_05.xlsx&amp;sheet=U0&amp;row=389&amp;col=7&amp;number=0.134&amp;sourceID=14","0.134")</f>
        <v>0.134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HYPERLINK("http://141.218.60.56/~jnz1568/getInfo.php?workbook=20_05.xlsx&amp;sheet=U0&amp;row=390&amp;col=6&amp;number=3.6&amp;sourceID=14","3.6")</f>
        <v>3.6</v>
      </c>
      <c r="G390" s="4" t="str">
        <f>HYPERLINK("http://141.218.60.56/~jnz1568/getInfo.php?workbook=20_05.xlsx&amp;sheet=U0&amp;row=390&amp;col=7&amp;number=0.133&amp;sourceID=14","0.133")</f>
        <v>0.133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HYPERLINK("http://141.218.60.56/~jnz1568/getInfo.php?workbook=20_05.xlsx&amp;sheet=U0&amp;row=391&amp;col=6&amp;number=3.7&amp;sourceID=14","3.7")</f>
        <v>3.7</v>
      </c>
      <c r="G391" s="4" t="str">
        <f>HYPERLINK("http://141.218.60.56/~jnz1568/getInfo.php?workbook=20_05.xlsx&amp;sheet=U0&amp;row=391&amp;col=7&amp;number=0.133&amp;sourceID=14","0.133")</f>
        <v>0.133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HYPERLINK("http://141.218.60.56/~jnz1568/getInfo.php?workbook=20_05.xlsx&amp;sheet=U0&amp;row=392&amp;col=6&amp;number=3.8&amp;sourceID=14","3.8")</f>
        <v>3.8</v>
      </c>
      <c r="G392" s="4" t="str">
        <f>HYPERLINK("http://141.218.60.56/~jnz1568/getInfo.php?workbook=20_05.xlsx&amp;sheet=U0&amp;row=392&amp;col=7&amp;number=0.131&amp;sourceID=14","0.131")</f>
        <v>0.131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HYPERLINK("http://141.218.60.56/~jnz1568/getInfo.php?workbook=20_05.xlsx&amp;sheet=U0&amp;row=393&amp;col=6&amp;number=3.9&amp;sourceID=14","3.9")</f>
        <v>3.9</v>
      </c>
      <c r="G393" s="4" t="str">
        <f>HYPERLINK("http://141.218.60.56/~jnz1568/getInfo.php?workbook=20_05.xlsx&amp;sheet=U0&amp;row=393&amp;col=7&amp;number=0.13&amp;sourceID=14","0.13")</f>
        <v>0.13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HYPERLINK("http://141.218.60.56/~jnz1568/getInfo.php?workbook=20_05.xlsx&amp;sheet=U0&amp;row=394&amp;col=6&amp;number=4&amp;sourceID=14","4")</f>
        <v>4</v>
      </c>
      <c r="G394" s="4" t="str">
        <f>HYPERLINK("http://141.218.60.56/~jnz1568/getInfo.php?workbook=20_05.xlsx&amp;sheet=U0&amp;row=394&amp;col=7&amp;number=0.128&amp;sourceID=14","0.128")</f>
        <v>0.128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HYPERLINK("http://141.218.60.56/~jnz1568/getInfo.php?workbook=20_05.xlsx&amp;sheet=U0&amp;row=395&amp;col=6&amp;number=4.1&amp;sourceID=14","4.1")</f>
        <v>4.1</v>
      </c>
      <c r="G395" s="4" t="str">
        <f>HYPERLINK("http://141.218.60.56/~jnz1568/getInfo.php?workbook=20_05.xlsx&amp;sheet=U0&amp;row=395&amp;col=7&amp;number=0.126&amp;sourceID=14","0.126")</f>
        <v>0.126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HYPERLINK("http://141.218.60.56/~jnz1568/getInfo.php?workbook=20_05.xlsx&amp;sheet=U0&amp;row=396&amp;col=6&amp;number=4.2&amp;sourceID=14","4.2")</f>
        <v>4.2</v>
      </c>
      <c r="G396" s="4" t="str">
        <f>HYPERLINK("http://141.218.60.56/~jnz1568/getInfo.php?workbook=20_05.xlsx&amp;sheet=U0&amp;row=396&amp;col=7&amp;number=0.123&amp;sourceID=14","0.123")</f>
        <v>0.123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HYPERLINK("http://141.218.60.56/~jnz1568/getInfo.php?workbook=20_05.xlsx&amp;sheet=U0&amp;row=397&amp;col=6&amp;number=4.3&amp;sourceID=14","4.3")</f>
        <v>4.3</v>
      </c>
      <c r="G397" s="4" t="str">
        <f>HYPERLINK("http://141.218.60.56/~jnz1568/getInfo.php?workbook=20_05.xlsx&amp;sheet=U0&amp;row=397&amp;col=7&amp;number=0.12&amp;sourceID=14","0.12")</f>
        <v>0.12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HYPERLINK("http://141.218.60.56/~jnz1568/getInfo.php?workbook=20_05.xlsx&amp;sheet=U0&amp;row=398&amp;col=6&amp;number=4.4&amp;sourceID=14","4.4")</f>
        <v>4.4</v>
      </c>
      <c r="G398" s="4" t="str">
        <f>HYPERLINK("http://141.218.60.56/~jnz1568/getInfo.php?workbook=20_05.xlsx&amp;sheet=U0&amp;row=398&amp;col=7&amp;number=0.116&amp;sourceID=14","0.116")</f>
        <v>0.116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HYPERLINK("http://141.218.60.56/~jnz1568/getInfo.php?workbook=20_05.xlsx&amp;sheet=U0&amp;row=399&amp;col=6&amp;number=4.5&amp;sourceID=14","4.5")</f>
        <v>4.5</v>
      </c>
      <c r="G399" s="4" t="str">
        <f>HYPERLINK("http://141.218.60.56/~jnz1568/getInfo.php?workbook=20_05.xlsx&amp;sheet=U0&amp;row=399&amp;col=7&amp;number=0.111&amp;sourceID=14","0.111")</f>
        <v>0.111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HYPERLINK("http://141.218.60.56/~jnz1568/getInfo.php?workbook=20_05.xlsx&amp;sheet=U0&amp;row=400&amp;col=6&amp;number=4.6&amp;sourceID=14","4.6")</f>
        <v>4.6</v>
      </c>
      <c r="G400" s="4" t="str">
        <f>HYPERLINK("http://141.218.60.56/~jnz1568/getInfo.php?workbook=20_05.xlsx&amp;sheet=U0&amp;row=400&amp;col=7&amp;number=0.105&amp;sourceID=14","0.105")</f>
        <v>0.105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HYPERLINK("http://141.218.60.56/~jnz1568/getInfo.php?workbook=20_05.xlsx&amp;sheet=U0&amp;row=401&amp;col=6&amp;number=4.7&amp;sourceID=14","4.7")</f>
        <v>4.7</v>
      </c>
      <c r="G401" s="4" t="str">
        <f>HYPERLINK("http://141.218.60.56/~jnz1568/getInfo.php?workbook=20_05.xlsx&amp;sheet=U0&amp;row=401&amp;col=7&amp;number=0.0979&amp;sourceID=14","0.0979")</f>
        <v>0.0979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HYPERLINK("http://141.218.60.56/~jnz1568/getInfo.php?workbook=20_05.xlsx&amp;sheet=U0&amp;row=402&amp;col=6&amp;number=4.8&amp;sourceID=14","4.8")</f>
        <v>4.8</v>
      </c>
      <c r="G402" s="4" t="str">
        <f>HYPERLINK("http://141.218.60.56/~jnz1568/getInfo.php?workbook=20_05.xlsx&amp;sheet=U0&amp;row=402&amp;col=7&amp;number=0.09&amp;sourceID=14","0.09")</f>
        <v>0.09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HYPERLINK("http://141.218.60.56/~jnz1568/getInfo.php?workbook=20_05.xlsx&amp;sheet=U0&amp;row=403&amp;col=6&amp;number=4.9&amp;sourceID=14","4.9")</f>
        <v>4.9</v>
      </c>
      <c r="G403" s="4" t="str">
        <f>HYPERLINK("http://141.218.60.56/~jnz1568/getInfo.php?workbook=20_05.xlsx&amp;sheet=U0&amp;row=403&amp;col=7&amp;number=0.0815&amp;sourceID=14","0.0815")</f>
        <v>0.0815</v>
      </c>
    </row>
    <row r="404" spans="1:7">
      <c r="A404" s="3">
        <v>20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HYPERLINK("http://141.218.60.56/~jnz1568/getInfo.php?workbook=20_05.xlsx&amp;sheet=U0&amp;row=404&amp;col=6&amp;number=3&amp;sourceID=14","3")</f>
        <v>3</v>
      </c>
      <c r="G404" s="4" t="str">
        <f>HYPERLINK("http://141.218.60.56/~jnz1568/getInfo.php?workbook=20_05.xlsx&amp;sheet=U0&amp;row=404&amp;col=7&amp;number=0.367&amp;sourceID=14","0.367")</f>
        <v>0.367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HYPERLINK("http://141.218.60.56/~jnz1568/getInfo.php?workbook=20_05.xlsx&amp;sheet=U0&amp;row=405&amp;col=6&amp;number=3.1&amp;sourceID=14","3.1")</f>
        <v>3.1</v>
      </c>
      <c r="G405" s="4" t="str">
        <f>HYPERLINK("http://141.218.60.56/~jnz1568/getInfo.php?workbook=20_05.xlsx&amp;sheet=U0&amp;row=405&amp;col=7&amp;number=0.367&amp;sourceID=14","0.367")</f>
        <v>0.367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HYPERLINK("http://141.218.60.56/~jnz1568/getInfo.php?workbook=20_05.xlsx&amp;sheet=U0&amp;row=406&amp;col=6&amp;number=3.2&amp;sourceID=14","3.2")</f>
        <v>3.2</v>
      </c>
      <c r="G406" s="4" t="str">
        <f>HYPERLINK("http://141.218.60.56/~jnz1568/getInfo.php?workbook=20_05.xlsx&amp;sheet=U0&amp;row=406&amp;col=7&amp;number=0.367&amp;sourceID=14","0.367")</f>
        <v>0.367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HYPERLINK("http://141.218.60.56/~jnz1568/getInfo.php?workbook=20_05.xlsx&amp;sheet=U0&amp;row=407&amp;col=6&amp;number=3.3&amp;sourceID=14","3.3")</f>
        <v>3.3</v>
      </c>
      <c r="G407" s="4" t="str">
        <f>HYPERLINK("http://141.218.60.56/~jnz1568/getInfo.php?workbook=20_05.xlsx&amp;sheet=U0&amp;row=407&amp;col=7&amp;number=0.367&amp;sourceID=14","0.367")</f>
        <v>0.367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HYPERLINK("http://141.218.60.56/~jnz1568/getInfo.php?workbook=20_05.xlsx&amp;sheet=U0&amp;row=408&amp;col=6&amp;number=3.4&amp;sourceID=14","3.4")</f>
        <v>3.4</v>
      </c>
      <c r="G408" s="4" t="str">
        <f>HYPERLINK("http://141.218.60.56/~jnz1568/getInfo.php?workbook=20_05.xlsx&amp;sheet=U0&amp;row=408&amp;col=7&amp;number=0.367&amp;sourceID=14","0.367")</f>
        <v>0.367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HYPERLINK("http://141.218.60.56/~jnz1568/getInfo.php?workbook=20_05.xlsx&amp;sheet=U0&amp;row=409&amp;col=6&amp;number=3.5&amp;sourceID=14","3.5")</f>
        <v>3.5</v>
      </c>
      <c r="G409" s="4" t="str">
        <f>HYPERLINK("http://141.218.60.56/~jnz1568/getInfo.php?workbook=20_05.xlsx&amp;sheet=U0&amp;row=409&amp;col=7&amp;number=0.367&amp;sourceID=14","0.367")</f>
        <v>0.367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HYPERLINK("http://141.218.60.56/~jnz1568/getInfo.php?workbook=20_05.xlsx&amp;sheet=U0&amp;row=410&amp;col=6&amp;number=3.6&amp;sourceID=14","3.6")</f>
        <v>3.6</v>
      </c>
      <c r="G410" s="4" t="str">
        <f>HYPERLINK("http://141.218.60.56/~jnz1568/getInfo.php?workbook=20_05.xlsx&amp;sheet=U0&amp;row=410&amp;col=7&amp;number=0.367&amp;sourceID=14","0.367")</f>
        <v>0.367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HYPERLINK("http://141.218.60.56/~jnz1568/getInfo.php?workbook=20_05.xlsx&amp;sheet=U0&amp;row=411&amp;col=6&amp;number=3.7&amp;sourceID=14","3.7")</f>
        <v>3.7</v>
      </c>
      <c r="G411" s="4" t="str">
        <f>HYPERLINK("http://141.218.60.56/~jnz1568/getInfo.php?workbook=20_05.xlsx&amp;sheet=U0&amp;row=411&amp;col=7&amp;number=0.367&amp;sourceID=14","0.367")</f>
        <v>0.367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HYPERLINK("http://141.218.60.56/~jnz1568/getInfo.php?workbook=20_05.xlsx&amp;sheet=U0&amp;row=412&amp;col=6&amp;number=3.8&amp;sourceID=14","3.8")</f>
        <v>3.8</v>
      </c>
      <c r="G412" s="4" t="str">
        <f>HYPERLINK("http://141.218.60.56/~jnz1568/getInfo.php?workbook=20_05.xlsx&amp;sheet=U0&amp;row=412&amp;col=7&amp;number=0.367&amp;sourceID=14","0.367")</f>
        <v>0.367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HYPERLINK("http://141.218.60.56/~jnz1568/getInfo.php?workbook=20_05.xlsx&amp;sheet=U0&amp;row=413&amp;col=6&amp;number=3.9&amp;sourceID=14","3.9")</f>
        <v>3.9</v>
      </c>
      <c r="G413" s="4" t="str">
        <f>HYPERLINK("http://141.218.60.56/~jnz1568/getInfo.php?workbook=20_05.xlsx&amp;sheet=U0&amp;row=413&amp;col=7&amp;number=0.367&amp;sourceID=14","0.367")</f>
        <v>0.367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HYPERLINK("http://141.218.60.56/~jnz1568/getInfo.php?workbook=20_05.xlsx&amp;sheet=U0&amp;row=414&amp;col=6&amp;number=4&amp;sourceID=14","4")</f>
        <v>4</v>
      </c>
      <c r="G414" s="4" t="str">
        <f>HYPERLINK("http://141.218.60.56/~jnz1568/getInfo.php?workbook=20_05.xlsx&amp;sheet=U0&amp;row=414&amp;col=7&amp;number=0.367&amp;sourceID=14","0.367")</f>
        <v>0.367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HYPERLINK("http://141.218.60.56/~jnz1568/getInfo.php?workbook=20_05.xlsx&amp;sheet=U0&amp;row=415&amp;col=6&amp;number=4.1&amp;sourceID=14","4.1")</f>
        <v>4.1</v>
      </c>
      <c r="G415" s="4" t="str">
        <f>HYPERLINK("http://141.218.60.56/~jnz1568/getInfo.php?workbook=20_05.xlsx&amp;sheet=U0&amp;row=415&amp;col=7&amp;number=0.367&amp;sourceID=14","0.367")</f>
        <v>0.367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HYPERLINK("http://141.218.60.56/~jnz1568/getInfo.php?workbook=20_05.xlsx&amp;sheet=U0&amp;row=416&amp;col=6&amp;number=4.2&amp;sourceID=14","4.2")</f>
        <v>4.2</v>
      </c>
      <c r="G416" s="4" t="str">
        <f>HYPERLINK("http://141.218.60.56/~jnz1568/getInfo.php?workbook=20_05.xlsx&amp;sheet=U0&amp;row=416&amp;col=7&amp;number=0.367&amp;sourceID=14","0.367")</f>
        <v>0.367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HYPERLINK("http://141.218.60.56/~jnz1568/getInfo.php?workbook=20_05.xlsx&amp;sheet=U0&amp;row=417&amp;col=6&amp;number=4.3&amp;sourceID=14","4.3")</f>
        <v>4.3</v>
      </c>
      <c r="G417" s="4" t="str">
        <f>HYPERLINK("http://141.218.60.56/~jnz1568/getInfo.php?workbook=20_05.xlsx&amp;sheet=U0&amp;row=417&amp;col=7&amp;number=0.367&amp;sourceID=14","0.367")</f>
        <v>0.367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HYPERLINK("http://141.218.60.56/~jnz1568/getInfo.php?workbook=20_05.xlsx&amp;sheet=U0&amp;row=418&amp;col=6&amp;number=4.4&amp;sourceID=14","4.4")</f>
        <v>4.4</v>
      </c>
      <c r="G418" s="4" t="str">
        <f>HYPERLINK("http://141.218.60.56/~jnz1568/getInfo.php?workbook=20_05.xlsx&amp;sheet=U0&amp;row=418&amp;col=7&amp;number=0.366&amp;sourceID=14","0.366")</f>
        <v>0.366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HYPERLINK("http://141.218.60.56/~jnz1568/getInfo.php?workbook=20_05.xlsx&amp;sheet=U0&amp;row=419&amp;col=6&amp;number=4.5&amp;sourceID=14","4.5")</f>
        <v>4.5</v>
      </c>
      <c r="G419" s="4" t="str">
        <f>HYPERLINK("http://141.218.60.56/~jnz1568/getInfo.php?workbook=20_05.xlsx&amp;sheet=U0&amp;row=419&amp;col=7&amp;number=0.366&amp;sourceID=14","0.366")</f>
        <v>0.366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HYPERLINK("http://141.218.60.56/~jnz1568/getInfo.php?workbook=20_05.xlsx&amp;sheet=U0&amp;row=420&amp;col=6&amp;number=4.6&amp;sourceID=14","4.6")</f>
        <v>4.6</v>
      </c>
      <c r="G420" s="4" t="str">
        <f>HYPERLINK("http://141.218.60.56/~jnz1568/getInfo.php?workbook=20_05.xlsx&amp;sheet=U0&amp;row=420&amp;col=7&amp;number=0.366&amp;sourceID=14","0.366")</f>
        <v>0.366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HYPERLINK("http://141.218.60.56/~jnz1568/getInfo.php?workbook=20_05.xlsx&amp;sheet=U0&amp;row=421&amp;col=6&amp;number=4.7&amp;sourceID=14","4.7")</f>
        <v>4.7</v>
      </c>
      <c r="G421" s="4" t="str">
        <f>HYPERLINK("http://141.218.60.56/~jnz1568/getInfo.php?workbook=20_05.xlsx&amp;sheet=U0&amp;row=421&amp;col=7&amp;number=0.365&amp;sourceID=14","0.365")</f>
        <v>0.365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HYPERLINK("http://141.218.60.56/~jnz1568/getInfo.php?workbook=20_05.xlsx&amp;sheet=U0&amp;row=422&amp;col=6&amp;number=4.8&amp;sourceID=14","4.8")</f>
        <v>4.8</v>
      </c>
      <c r="G422" s="4" t="str">
        <f>HYPERLINK("http://141.218.60.56/~jnz1568/getInfo.php?workbook=20_05.xlsx&amp;sheet=U0&amp;row=422&amp;col=7&amp;number=0.364&amp;sourceID=14","0.364")</f>
        <v>0.364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HYPERLINK("http://141.218.60.56/~jnz1568/getInfo.php?workbook=20_05.xlsx&amp;sheet=U0&amp;row=423&amp;col=6&amp;number=4.9&amp;sourceID=14","4.9")</f>
        <v>4.9</v>
      </c>
      <c r="G423" s="4" t="str">
        <f>HYPERLINK("http://141.218.60.56/~jnz1568/getInfo.php?workbook=20_05.xlsx&amp;sheet=U0&amp;row=423&amp;col=7&amp;number=0.362&amp;sourceID=14","0.362")</f>
        <v>0.362</v>
      </c>
    </row>
    <row r="424" spans="1:7">
      <c r="A424" s="3">
        <v>20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HYPERLINK("http://141.218.60.56/~jnz1568/getInfo.php?workbook=20_05.xlsx&amp;sheet=U0&amp;row=424&amp;col=6&amp;number=3&amp;sourceID=14","3")</f>
        <v>3</v>
      </c>
      <c r="G424" s="4" t="str">
        <f>HYPERLINK("http://141.218.60.56/~jnz1568/getInfo.php?workbook=20_05.xlsx&amp;sheet=U0&amp;row=424&amp;col=7&amp;number=0.861&amp;sourceID=14","0.861")</f>
        <v>0.861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HYPERLINK("http://141.218.60.56/~jnz1568/getInfo.php?workbook=20_05.xlsx&amp;sheet=U0&amp;row=425&amp;col=6&amp;number=3.1&amp;sourceID=14","3.1")</f>
        <v>3.1</v>
      </c>
      <c r="G425" s="4" t="str">
        <f>HYPERLINK("http://141.218.60.56/~jnz1568/getInfo.php?workbook=20_05.xlsx&amp;sheet=U0&amp;row=425&amp;col=7&amp;number=0.861&amp;sourceID=14","0.861")</f>
        <v>0.861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HYPERLINK("http://141.218.60.56/~jnz1568/getInfo.php?workbook=20_05.xlsx&amp;sheet=U0&amp;row=426&amp;col=6&amp;number=3.2&amp;sourceID=14","3.2")</f>
        <v>3.2</v>
      </c>
      <c r="G426" s="4" t="str">
        <f>HYPERLINK("http://141.218.60.56/~jnz1568/getInfo.php?workbook=20_05.xlsx&amp;sheet=U0&amp;row=426&amp;col=7&amp;number=0.861&amp;sourceID=14","0.861")</f>
        <v>0.861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HYPERLINK("http://141.218.60.56/~jnz1568/getInfo.php?workbook=20_05.xlsx&amp;sheet=U0&amp;row=427&amp;col=6&amp;number=3.3&amp;sourceID=14","3.3")</f>
        <v>3.3</v>
      </c>
      <c r="G427" s="4" t="str">
        <f>HYPERLINK("http://141.218.60.56/~jnz1568/getInfo.php?workbook=20_05.xlsx&amp;sheet=U0&amp;row=427&amp;col=7&amp;number=0.861&amp;sourceID=14","0.861")</f>
        <v>0.861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HYPERLINK("http://141.218.60.56/~jnz1568/getInfo.php?workbook=20_05.xlsx&amp;sheet=U0&amp;row=428&amp;col=6&amp;number=3.4&amp;sourceID=14","3.4")</f>
        <v>3.4</v>
      </c>
      <c r="G428" s="4" t="str">
        <f>HYPERLINK("http://141.218.60.56/~jnz1568/getInfo.php?workbook=20_05.xlsx&amp;sheet=U0&amp;row=428&amp;col=7&amp;number=0.861&amp;sourceID=14","0.861")</f>
        <v>0.861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HYPERLINK("http://141.218.60.56/~jnz1568/getInfo.php?workbook=20_05.xlsx&amp;sheet=U0&amp;row=429&amp;col=6&amp;number=3.5&amp;sourceID=14","3.5")</f>
        <v>3.5</v>
      </c>
      <c r="G429" s="4" t="str">
        <f>HYPERLINK("http://141.218.60.56/~jnz1568/getInfo.php?workbook=20_05.xlsx&amp;sheet=U0&amp;row=429&amp;col=7&amp;number=0.861&amp;sourceID=14","0.861")</f>
        <v>0.861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HYPERLINK("http://141.218.60.56/~jnz1568/getInfo.php?workbook=20_05.xlsx&amp;sheet=U0&amp;row=430&amp;col=6&amp;number=3.6&amp;sourceID=14","3.6")</f>
        <v>3.6</v>
      </c>
      <c r="G430" s="4" t="str">
        <f>HYPERLINK("http://141.218.60.56/~jnz1568/getInfo.php?workbook=20_05.xlsx&amp;sheet=U0&amp;row=430&amp;col=7&amp;number=0.861&amp;sourceID=14","0.861")</f>
        <v>0.861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HYPERLINK("http://141.218.60.56/~jnz1568/getInfo.php?workbook=20_05.xlsx&amp;sheet=U0&amp;row=431&amp;col=6&amp;number=3.7&amp;sourceID=14","3.7")</f>
        <v>3.7</v>
      </c>
      <c r="G431" s="4" t="str">
        <f>HYPERLINK("http://141.218.60.56/~jnz1568/getInfo.php?workbook=20_05.xlsx&amp;sheet=U0&amp;row=431&amp;col=7&amp;number=0.861&amp;sourceID=14","0.861")</f>
        <v>0.861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HYPERLINK("http://141.218.60.56/~jnz1568/getInfo.php?workbook=20_05.xlsx&amp;sheet=U0&amp;row=432&amp;col=6&amp;number=3.8&amp;sourceID=14","3.8")</f>
        <v>3.8</v>
      </c>
      <c r="G432" s="4" t="str">
        <f>HYPERLINK("http://141.218.60.56/~jnz1568/getInfo.php?workbook=20_05.xlsx&amp;sheet=U0&amp;row=432&amp;col=7&amp;number=0.86&amp;sourceID=14","0.86")</f>
        <v>0.86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HYPERLINK("http://141.218.60.56/~jnz1568/getInfo.php?workbook=20_05.xlsx&amp;sheet=U0&amp;row=433&amp;col=6&amp;number=3.9&amp;sourceID=14","3.9")</f>
        <v>3.9</v>
      </c>
      <c r="G433" s="4" t="str">
        <f>HYPERLINK("http://141.218.60.56/~jnz1568/getInfo.php?workbook=20_05.xlsx&amp;sheet=U0&amp;row=433&amp;col=7&amp;number=0.86&amp;sourceID=14","0.86")</f>
        <v>0.86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HYPERLINK("http://141.218.60.56/~jnz1568/getInfo.php?workbook=20_05.xlsx&amp;sheet=U0&amp;row=434&amp;col=6&amp;number=4&amp;sourceID=14","4")</f>
        <v>4</v>
      </c>
      <c r="G434" s="4" t="str">
        <f>HYPERLINK("http://141.218.60.56/~jnz1568/getInfo.php?workbook=20_05.xlsx&amp;sheet=U0&amp;row=434&amp;col=7&amp;number=0.86&amp;sourceID=14","0.86")</f>
        <v>0.86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HYPERLINK("http://141.218.60.56/~jnz1568/getInfo.php?workbook=20_05.xlsx&amp;sheet=U0&amp;row=435&amp;col=6&amp;number=4.1&amp;sourceID=14","4.1")</f>
        <v>4.1</v>
      </c>
      <c r="G435" s="4" t="str">
        <f>HYPERLINK("http://141.218.60.56/~jnz1568/getInfo.php?workbook=20_05.xlsx&amp;sheet=U0&amp;row=435&amp;col=7&amp;number=0.86&amp;sourceID=14","0.86")</f>
        <v>0.86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HYPERLINK("http://141.218.60.56/~jnz1568/getInfo.php?workbook=20_05.xlsx&amp;sheet=U0&amp;row=436&amp;col=6&amp;number=4.2&amp;sourceID=14","4.2")</f>
        <v>4.2</v>
      </c>
      <c r="G436" s="4" t="str">
        <f>HYPERLINK("http://141.218.60.56/~jnz1568/getInfo.php?workbook=20_05.xlsx&amp;sheet=U0&amp;row=436&amp;col=7&amp;number=0.859&amp;sourceID=14","0.859")</f>
        <v>0.859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HYPERLINK("http://141.218.60.56/~jnz1568/getInfo.php?workbook=20_05.xlsx&amp;sheet=U0&amp;row=437&amp;col=6&amp;number=4.3&amp;sourceID=14","4.3")</f>
        <v>4.3</v>
      </c>
      <c r="G437" s="4" t="str">
        <f>HYPERLINK("http://141.218.60.56/~jnz1568/getInfo.php?workbook=20_05.xlsx&amp;sheet=U0&amp;row=437&amp;col=7&amp;number=0.859&amp;sourceID=14","0.859")</f>
        <v>0.859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HYPERLINK("http://141.218.60.56/~jnz1568/getInfo.php?workbook=20_05.xlsx&amp;sheet=U0&amp;row=438&amp;col=6&amp;number=4.4&amp;sourceID=14","4.4")</f>
        <v>4.4</v>
      </c>
      <c r="G438" s="4" t="str">
        <f>HYPERLINK("http://141.218.60.56/~jnz1568/getInfo.php?workbook=20_05.xlsx&amp;sheet=U0&amp;row=438&amp;col=7&amp;number=0.858&amp;sourceID=14","0.858")</f>
        <v>0.858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HYPERLINK("http://141.218.60.56/~jnz1568/getInfo.php?workbook=20_05.xlsx&amp;sheet=U0&amp;row=439&amp;col=6&amp;number=4.5&amp;sourceID=14","4.5")</f>
        <v>4.5</v>
      </c>
      <c r="G439" s="4" t="str">
        <f>HYPERLINK("http://141.218.60.56/~jnz1568/getInfo.php?workbook=20_05.xlsx&amp;sheet=U0&amp;row=439&amp;col=7&amp;number=0.857&amp;sourceID=14","0.857")</f>
        <v>0.857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HYPERLINK("http://141.218.60.56/~jnz1568/getInfo.php?workbook=20_05.xlsx&amp;sheet=U0&amp;row=440&amp;col=6&amp;number=4.6&amp;sourceID=14","4.6")</f>
        <v>4.6</v>
      </c>
      <c r="G440" s="4" t="str">
        <f>HYPERLINK("http://141.218.60.56/~jnz1568/getInfo.php?workbook=20_05.xlsx&amp;sheet=U0&amp;row=440&amp;col=7&amp;number=0.855&amp;sourceID=14","0.855")</f>
        <v>0.855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HYPERLINK("http://141.218.60.56/~jnz1568/getInfo.php?workbook=20_05.xlsx&amp;sheet=U0&amp;row=441&amp;col=6&amp;number=4.7&amp;sourceID=14","4.7")</f>
        <v>4.7</v>
      </c>
      <c r="G441" s="4" t="str">
        <f>HYPERLINK("http://141.218.60.56/~jnz1568/getInfo.php?workbook=20_05.xlsx&amp;sheet=U0&amp;row=441&amp;col=7&amp;number=0.853&amp;sourceID=14","0.853")</f>
        <v>0.853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HYPERLINK("http://141.218.60.56/~jnz1568/getInfo.php?workbook=20_05.xlsx&amp;sheet=U0&amp;row=442&amp;col=6&amp;number=4.8&amp;sourceID=14","4.8")</f>
        <v>4.8</v>
      </c>
      <c r="G442" s="4" t="str">
        <f>HYPERLINK("http://141.218.60.56/~jnz1568/getInfo.php?workbook=20_05.xlsx&amp;sheet=U0&amp;row=442&amp;col=7&amp;number=0.85&amp;sourceID=14","0.85")</f>
        <v>0.85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HYPERLINK("http://141.218.60.56/~jnz1568/getInfo.php?workbook=20_05.xlsx&amp;sheet=U0&amp;row=443&amp;col=6&amp;number=4.9&amp;sourceID=14","4.9")</f>
        <v>4.9</v>
      </c>
      <c r="G443" s="4" t="str">
        <f>HYPERLINK("http://141.218.60.56/~jnz1568/getInfo.php?workbook=20_05.xlsx&amp;sheet=U0&amp;row=443&amp;col=7&amp;number=0.845&amp;sourceID=14","0.845")</f>
        <v>0.845</v>
      </c>
    </row>
    <row r="444" spans="1:7">
      <c r="A444" s="3">
        <v>20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HYPERLINK("http://141.218.60.56/~jnz1568/getInfo.php?workbook=20_05.xlsx&amp;sheet=U0&amp;row=444&amp;col=6&amp;number=3&amp;sourceID=14","3")</f>
        <v>3</v>
      </c>
      <c r="G444" s="4" t="str">
        <f>HYPERLINK("http://141.218.60.56/~jnz1568/getInfo.php?workbook=20_05.xlsx&amp;sheet=U0&amp;row=444&amp;col=7&amp;number=0.00101&amp;sourceID=14","0.00101")</f>
        <v>0.00101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HYPERLINK("http://141.218.60.56/~jnz1568/getInfo.php?workbook=20_05.xlsx&amp;sheet=U0&amp;row=445&amp;col=6&amp;number=3.1&amp;sourceID=14","3.1")</f>
        <v>3.1</v>
      </c>
      <c r="G445" s="4" t="str">
        <f>HYPERLINK("http://141.218.60.56/~jnz1568/getInfo.php?workbook=20_05.xlsx&amp;sheet=U0&amp;row=445&amp;col=7&amp;number=0.00101&amp;sourceID=14","0.00101")</f>
        <v>0.00101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HYPERLINK("http://141.218.60.56/~jnz1568/getInfo.php?workbook=20_05.xlsx&amp;sheet=U0&amp;row=446&amp;col=6&amp;number=3.2&amp;sourceID=14","3.2")</f>
        <v>3.2</v>
      </c>
      <c r="G446" s="4" t="str">
        <f>HYPERLINK("http://141.218.60.56/~jnz1568/getInfo.php?workbook=20_05.xlsx&amp;sheet=U0&amp;row=446&amp;col=7&amp;number=0.00101&amp;sourceID=14","0.00101")</f>
        <v>0.00101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HYPERLINK("http://141.218.60.56/~jnz1568/getInfo.php?workbook=20_05.xlsx&amp;sheet=U0&amp;row=447&amp;col=6&amp;number=3.3&amp;sourceID=14","3.3")</f>
        <v>3.3</v>
      </c>
      <c r="G447" s="4" t="str">
        <f>HYPERLINK("http://141.218.60.56/~jnz1568/getInfo.php?workbook=20_05.xlsx&amp;sheet=U0&amp;row=447&amp;col=7&amp;number=0.00101&amp;sourceID=14","0.00101")</f>
        <v>0.00101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HYPERLINK("http://141.218.60.56/~jnz1568/getInfo.php?workbook=20_05.xlsx&amp;sheet=U0&amp;row=448&amp;col=6&amp;number=3.4&amp;sourceID=14","3.4")</f>
        <v>3.4</v>
      </c>
      <c r="G448" s="4" t="str">
        <f>HYPERLINK("http://141.218.60.56/~jnz1568/getInfo.php?workbook=20_05.xlsx&amp;sheet=U0&amp;row=448&amp;col=7&amp;number=0.00101&amp;sourceID=14","0.00101")</f>
        <v>0.00101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HYPERLINK("http://141.218.60.56/~jnz1568/getInfo.php?workbook=20_05.xlsx&amp;sheet=U0&amp;row=449&amp;col=6&amp;number=3.5&amp;sourceID=14","3.5")</f>
        <v>3.5</v>
      </c>
      <c r="G449" s="4" t="str">
        <f>HYPERLINK("http://141.218.60.56/~jnz1568/getInfo.php?workbook=20_05.xlsx&amp;sheet=U0&amp;row=449&amp;col=7&amp;number=0.00101&amp;sourceID=14","0.00101")</f>
        <v>0.00101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HYPERLINK("http://141.218.60.56/~jnz1568/getInfo.php?workbook=20_05.xlsx&amp;sheet=U0&amp;row=450&amp;col=6&amp;number=3.6&amp;sourceID=14","3.6")</f>
        <v>3.6</v>
      </c>
      <c r="G450" s="4" t="str">
        <f>HYPERLINK("http://141.218.60.56/~jnz1568/getInfo.php?workbook=20_05.xlsx&amp;sheet=U0&amp;row=450&amp;col=7&amp;number=0.00101&amp;sourceID=14","0.00101")</f>
        <v>0.00101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HYPERLINK("http://141.218.60.56/~jnz1568/getInfo.php?workbook=20_05.xlsx&amp;sheet=U0&amp;row=451&amp;col=6&amp;number=3.7&amp;sourceID=14","3.7")</f>
        <v>3.7</v>
      </c>
      <c r="G451" s="4" t="str">
        <f>HYPERLINK("http://141.218.60.56/~jnz1568/getInfo.php?workbook=20_05.xlsx&amp;sheet=U0&amp;row=451&amp;col=7&amp;number=0.00101&amp;sourceID=14","0.00101")</f>
        <v>0.00101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HYPERLINK("http://141.218.60.56/~jnz1568/getInfo.php?workbook=20_05.xlsx&amp;sheet=U0&amp;row=452&amp;col=6&amp;number=3.8&amp;sourceID=14","3.8")</f>
        <v>3.8</v>
      </c>
      <c r="G452" s="4" t="str">
        <f>HYPERLINK("http://141.218.60.56/~jnz1568/getInfo.php?workbook=20_05.xlsx&amp;sheet=U0&amp;row=452&amp;col=7&amp;number=0.00101&amp;sourceID=14","0.00101")</f>
        <v>0.00101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HYPERLINK("http://141.218.60.56/~jnz1568/getInfo.php?workbook=20_05.xlsx&amp;sheet=U0&amp;row=453&amp;col=6&amp;number=3.9&amp;sourceID=14","3.9")</f>
        <v>3.9</v>
      </c>
      <c r="G453" s="4" t="str">
        <f>HYPERLINK("http://141.218.60.56/~jnz1568/getInfo.php?workbook=20_05.xlsx&amp;sheet=U0&amp;row=453&amp;col=7&amp;number=0.00101&amp;sourceID=14","0.00101")</f>
        <v>0.00101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HYPERLINK("http://141.218.60.56/~jnz1568/getInfo.php?workbook=20_05.xlsx&amp;sheet=U0&amp;row=454&amp;col=6&amp;number=4&amp;sourceID=14","4")</f>
        <v>4</v>
      </c>
      <c r="G454" s="4" t="str">
        <f>HYPERLINK("http://141.218.60.56/~jnz1568/getInfo.php?workbook=20_05.xlsx&amp;sheet=U0&amp;row=454&amp;col=7&amp;number=0.00101&amp;sourceID=14","0.00101")</f>
        <v>0.00101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HYPERLINK("http://141.218.60.56/~jnz1568/getInfo.php?workbook=20_05.xlsx&amp;sheet=U0&amp;row=455&amp;col=6&amp;number=4.1&amp;sourceID=14","4.1")</f>
        <v>4.1</v>
      </c>
      <c r="G455" s="4" t="str">
        <f>HYPERLINK("http://141.218.60.56/~jnz1568/getInfo.php?workbook=20_05.xlsx&amp;sheet=U0&amp;row=455&amp;col=7&amp;number=0.00101&amp;sourceID=14","0.00101")</f>
        <v>0.00101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HYPERLINK("http://141.218.60.56/~jnz1568/getInfo.php?workbook=20_05.xlsx&amp;sheet=U0&amp;row=456&amp;col=6&amp;number=4.2&amp;sourceID=14","4.2")</f>
        <v>4.2</v>
      </c>
      <c r="G456" s="4" t="str">
        <f>HYPERLINK("http://141.218.60.56/~jnz1568/getInfo.php?workbook=20_05.xlsx&amp;sheet=U0&amp;row=456&amp;col=7&amp;number=0.00101&amp;sourceID=14","0.00101")</f>
        <v>0.00101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HYPERLINK("http://141.218.60.56/~jnz1568/getInfo.php?workbook=20_05.xlsx&amp;sheet=U0&amp;row=457&amp;col=6&amp;number=4.3&amp;sourceID=14","4.3")</f>
        <v>4.3</v>
      </c>
      <c r="G457" s="4" t="str">
        <f>HYPERLINK("http://141.218.60.56/~jnz1568/getInfo.php?workbook=20_05.xlsx&amp;sheet=U0&amp;row=457&amp;col=7&amp;number=0.00101&amp;sourceID=14","0.00101")</f>
        <v>0.00101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HYPERLINK("http://141.218.60.56/~jnz1568/getInfo.php?workbook=20_05.xlsx&amp;sheet=U0&amp;row=458&amp;col=6&amp;number=4.4&amp;sourceID=14","4.4")</f>
        <v>4.4</v>
      </c>
      <c r="G458" s="4" t="str">
        <f>HYPERLINK("http://141.218.60.56/~jnz1568/getInfo.php?workbook=20_05.xlsx&amp;sheet=U0&amp;row=458&amp;col=7&amp;number=0.001&amp;sourceID=14","0.001")</f>
        <v>0.001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HYPERLINK("http://141.218.60.56/~jnz1568/getInfo.php?workbook=20_05.xlsx&amp;sheet=U0&amp;row=459&amp;col=6&amp;number=4.5&amp;sourceID=14","4.5")</f>
        <v>4.5</v>
      </c>
      <c r="G459" s="4" t="str">
        <f>HYPERLINK("http://141.218.60.56/~jnz1568/getInfo.php?workbook=20_05.xlsx&amp;sheet=U0&amp;row=459&amp;col=7&amp;number=0.001&amp;sourceID=14","0.001")</f>
        <v>0.001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HYPERLINK("http://141.218.60.56/~jnz1568/getInfo.php?workbook=20_05.xlsx&amp;sheet=U0&amp;row=460&amp;col=6&amp;number=4.6&amp;sourceID=14","4.6")</f>
        <v>4.6</v>
      </c>
      <c r="G460" s="4" t="str">
        <f>HYPERLINK("http://141.218.60.56/~jnz1568/getInfo.php?workbook=20_05.xlsx&amp;sheet=U0&amp;row=460&amp;col=7&amp;number=0.000996&amp;sourceID=14","0.000996")</f>
        <v>0.000996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HYPERLINK("http://141.218.60.56/~jnz1568/getInfo.php?workbook=20_05.xlsx&amp;sheet=U0&amp;row=461&amp;col=6&amp;number=4.7&amp;sourceID=14","4.7")</f>
        <v>4.7</v>
      </c>
      <c r="G461" s="4" t="str">
        <f>HYPERLINK("http://141.218.60.56/~jnz1568/getInfo.php?workbook=20_05.xlsx&amp;sheet=U0&amp;row=461&amp;col=7&amp;number=0.000991&amp;sourceID=14","0.000991")</f>
        <v>0.000991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HYPERLINK("http://141.218.60.56/~jnz1568/getInfo.php?workbook=20_05.xlsx&amp;sheet=U0&amp;row=462&amp;col=6&amp;number=4.8&amp;sourceID=14","4.8")</f>
        <v>4.8</v>
      </c>
      <c r="G462" s="4" t="str">
        <f>HYPERLINK("http://141.218.60.56/~jnz1568/getInfo.php?workbook=20_05.xlsx&amp;sheet=U0&amp;row=462&amp;col=7&amp;number=0.000985&amp;sourceID=14","0.000985")</f>
        <v>0.000985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HYPERLINK("http://141.218.60.56/~jnz1568/getInfo.php?workbook=20_05.xlsx&amp;sheet=U0&amp;row=463&amp;col=6&amp;number=4.9&amp;sourceID=14","4.9")</f>
        <v>4.9</v>
      </c>
      <c r="G463" s="4" t="str">
        <f>HYPERLINK("http://141.218.60.56/~jnz1568/getInfo.php?workbook=20_05.xlsx&amp;sheet=U0&amp;row=463&amp;col=7&amp;number=0.000976&amp;sourceID=14","0.000976")</f>
        <v>0.000976</v>
      </c>
    </row>
    <row r="464" spans="1:7">
      <c r="A464" s="3">
        <v>20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HYPERLINK("http://141.218.60.56/~jnz1568/getInfo.php?workbook=20_05.xlsx&amp;sheet=U0&amp;row=464&amp;col=6&amp;number=3&amp;sourceID=14","3")</f>
        <v>3</v>
      </c>
      <c r="G464" s="4" t="str">
        <f>HYPERLINK("http://141.218.60.56/~jnz1568/getInfo.php?workbook=20_05.xlsx&amp;sheet=U0&amp;row=464&amp;col=7&amp;number=0.00204&amp;sourceID=14","0.00204")</f>
        <v>0.00204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HYPERLINK("http://141.218.60.56/~jnz1568/getInfo.php?workbook=20_05.xlsx&amp;sheet=U0&amp;row=465&amp;col=6&amp;number=3.1&amp;sourceID=14","3.1")</f>
        <v>3.1</v>
      </c>
      <c r="G465" s="4" t="str">
        <f>HYPERLINK("http://141.218.60.56/~jnz1568/getInfo.php?workbook=20_05.xlsx&amp;sheet=U0&amp;row=465&amp;col=7&amp;number=0.00204&amp;sourceID=14","0.00204")</f>
        <v>0.00204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HYPERLINK("http://141.218.60.56/~jnz1568/getInfo.php?workbook=20_05.xlsx&amp;sheet=U0&amp;row=466&amp;col=6&amp;number=3.2&amp;sourceID=14","3.2")</f>
        <v>3.2</v>
      </c>
      <c r="G466" s="4" t="str">
        <f>HYPERLINK("http://141.218.60.56/~jnz1568/getInfo.php?workbook=20_05.xlsx&amp;sheet=U0&amp;row=466&amp;col=7&amp;number=0.00205&amp;sourceID=14","0.00205")</f>
        <v>0.00205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HYPERLINK("http://141.218.60.56/~jnz1568/getInfo.php?workbook=20_05.xlsx&amp;sheet=U0&amp;row=467&amp;col=6&amp;number=3.3&amp;sourceID=14","3.3")</f>
        <v>3.3</v>
      </c>
      <c r="G467" s="4" t="str">
        <f>HYPERLINK("http://141.218.60.56/~jnz1568/getInfo.php?workbook=20_05.xlsx&amp;sheet=U0&amp;row=467&amp;col=7&amp;number=0.00205&amp;sourceID=14","0.00205")</f>
        <v>0.00205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HYPERLINK("http://141.218.60.56/~jnz1568/getInfo.php?workbook=20_05.xlsx&amp;sheet=U0&amp;row=468&amp;col=6&amp;number=3.4&amp;sourceID=14","3.4")</f>
        <v>3.4</v>
      </c>
      <c r="G468" s="4" t="str">
        <f>HYPERLINK("http://141.218.60.56/~jnz1568/getInfo.php?workbook=20_05.xlsx&amp;sheet=U0&amp;row=468&amp;col=7&amp;number=0.00205&amp;sourceID=14","0.00205")</f>
        <v>0.00205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HYPERLINK("http://141.218.60.56/~jnz1568/getInfo.php?workbook=20_05.xlsx&amp;sheet=U0&amp;row=469&amp;col=6&amp;number=3.5&amp;sourceID=14","3.5")</f>
        <v>3.5</v>
      </c>
      <c r="G469" s="4" t="str">
        <f>HYPERLINK("http://141.218.60.56/~jnz1568/getInfo.php?workbook=20_05.xlsx&amp;sheet=U0&amp;row=469&amp;col=7&amp;number=0.00206&amp;sourceID=14","0.00206")</f>
        <v>0.00206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HYPERLINK("http://141.218.60.56/~jnz1568/getInfo.php?workbook=20_05.xlsx&amp;sheet=U0&amp;row=470&amp;col=6&amp;number=3.6&amp;sourceID=14","3.6")</f>
        <v>3.6</v>
      </c>
      <c r="G470" s="4" t="str">
        <f>HYPERLINK("http://141.218.60.56/~jnz1568/getInfo.php?workbook=20_05.xlsx&amp;sheet=U0&amp;row=470&amp;col=7&amp;number=0.00207&amp;sourceID=14","0.00207")</f>
        <v>0.00207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HYPERLINK("http://141.218.60.56/~jnz1568/getInfo.php?workbook=20_05.xlsx&amp;sheet=U0&amp;row=471&amp;col=6&amp;number=3.7&amp;sourceID=14","3.7")</f>
        <v>3.7</v>
      </c>
      <c r="G471" s="4" t="str">
        <f>HYPERLINK("http://141.218.60.56/~jnz1568/getInfo.php?workbook=20_05.xlsx&amp;sheet=U0&amp;row=471&amp;col=7&amp;number=0.00208&amp;sourceID=14","0.00208")</f>
        <v>0.00208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HYPERLINK("http://141.218.60.56/~jnz1568/getInfo.php?workbook=20_05.xlsx&amp;sheet=U0&amp;row=472&amp;col=6&amp;number=3.8&amp;sourceID=14","3.8")</f>
        <v>3.8</v>
      </c>
      <c r="G472" s="4" t="str">
        <f>HYPERLINK("http://141.218.60.56/~jnz1568/getInfo.php?workbook=20_05.xlsx&amp;sheet=U0&amp;row=472&amp;col=7&amp;number=0.00209&amp;sourceID=14","0.00209")</f>
        <v>0.00209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HYPERLINK("http://141.218.60.56/~jnz1568/getInfo.php?workbook=20_05.xlsx&amp;sheet=U0&amp;row=473&amp;col=6&amp;number=3.9&amp;sourceID=14","3.9")</f>
        <v>3.9</v>
      </c>
      <c r="G473" s="4" t="str">
        <f>HYPERLINK("http://141.218.60.56/~jnz1568/getInfo.php?workbook=20_05.xlsx&amp;sheet=U0&amp;row=473&amp;col=7&amp;number=0.00211&amp;sourceID=14","0.00211")</f>
        <v>0.00211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HYPERLINK("http://141.218.60.56/~jnz1568/getInfo.php?workbook=20_05.xlsx&amp;sheet=U0&amp;row=474&amp;col=6&amp;number=4&amp;sourceID=14","4")</f>
        <v>4</v>
      </c>
      <c r="G474" s="4" t="str">
        <f>HYPERLINK("http://141.218.60.56/~jnz1568/getInfo.php?workbook=20_05.xlsx&amp;sheet=U0&amp;row=474&amp;col=7&amp;number=0.00213&amp;sourceID=14","0.00213")</f>
        <v>0.00213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HYPERLINK("http://141.218.60.56/~jnz1568/getInfo.php?workbook=20_05.xlsx&amp;sheet=U0&amp;row=475&amp;col=6&amp;number=4.1&amp;sourceID=14","4.1")</f>
        <v>4.1</v>
      </c>
      <c r="G475" s="4" t="str">
        <f>HYPERLINK("http://141.218.60.56/~jnz1568/getInfo.php?workbook=20_05.xlsx&amp;sheet=U0&amp;row=475&amp;col=7&amp;number=0.00215&amp;sourceID=14","0.00215")</f>
        <v>0.00215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HYPERLINK("http://141.218.60.56/~jnz1568/getInfo.php?workbook=20_05.xlsx&amp;sheet=U0&amp;row=476&amp;col=6&amp;number=4.2&amp;sourceID=14","4.2")</f>
        <v>4.2</v>
      </c>
      <c r="G476" s="4" t="str">
        <f>HYPERLINK("http://141.218.60.56/~jnz1568/getInfo.php?workbook=20_05.xlsx&amp;sheet=U0&amp;row=476&amp;col=7&amp;number=0.00218&amp;sourceID=14","0.00218")</f>
        <v>0.00218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HYPERLINK("http://141.218.60.56/~jnz1568/getInfo.php?workbook=20_05.xlsx&amp;sheet=U0&amp;row=477&amp;col=6&amp;number=4.3&amp;sourceID=14","4.3")</f>
        <v>4.3</v>
      </c>
      <c r="G477" s="4" t="str">
        <f>HYPERLINK("http://141.218.60.56/~jnz1568/getInfo.php?workbook=20_05.xlsx&amp;sheet=U0&amp;row=477&amp;col=7&amp;number=0.00222&amp;sourceID=14","0.00222")</f>
        <v>0.00222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HYPERLINK("http://141.218.60.56/~jnz1568/getInfo.php?workbook=20_05.xlsx&amp;sheet=U0&amp;row=478&amp;col=6&amp;number=4.4&amp;sourceID=14","4.4")</f>
        <v>4.4</v>
      </c>
      <c r="G478" s="4" t="str">
        <f>HYPERLINK("http://141.218.60.56/~jnz1568/getInfo.php?workbook=20_05.xlsx&amp;sheet=U0&amp;row=478&amp;col=7&amp;number=0.00226&amp;sourceID=14","0.00226")</f>
        <v>0.00226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HYPERLINK("http://141.218.60.56/~jnz1568/getInfo.php?workbook=20_05.xlsx&amp;sheet=U0&amp;row=479&amp;col=6&amp;number=4.5&amp;sourceID=14","4.5")</f>
        <v>4.5</v>
      </c>
      <c r="G479" s="4" t="str">
        <f>HYPERLINK("http://141.218.60.56/~jnz1568/getInfo.php?workbook=20_05.xlsx&amp;sheet=U0&amp;row=479&amp;col=7&amp;number=0.00232&amp;sourceID=14","0.00232")</f>
        <v>0.00232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HYPERLINK("http://141.218.60.56/~jnz1568/getInfo.php?workbook=20_05.xlsx&amp;sheet=U0&amp;row=480&amp;col=6&amp;number=4.6&amp;sourceID=14","4.6")</f>
        <v>4.6</v>
      </c>
      <c r="G480" s="4" t="str">
        <f>HYPERLINK("http://141.218.60.56/~jnz1568/getInfo.php?workbook=20_05.xlsx&amp;sheet=U0&amp;row=480&amp;col=7&amp;number=0.00238&amp;sourceID=14","0.00238")</f>
        <v>0.00238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HYPERLINK("http://141.218.60.56/~jnz1568/getInfo.php?workbook=20_05.xlsx&amp;sheet=U0&amp;row=481&amp;col=6&amp;number=4.7&amp;sourceID=14","4.7")</f>
        <v>4.7</v>
      </c>
      <c r="G481" s="4" t="str">
        <f>HYPERLINK("http://141.218.60.56/~jnz1568/getInfo.php?workbook=20_05.xlsx&amp;sheet=U0&amp;row=481&amp;col=7&amp;number=0.00244&amp;sourceID=14","0.00244")</f>
        <v>0.00244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HYPERLINK("http://141.218.60.56/~jnz1568/getInfo.php?workbook=20_05.xlsx&amp;sheet=U0&amp;row=482&amp;col=6&amp;number=4.8&amp;sourceID=14","4.8")</f>
        <v>4.8</v>
      </c>
      <c r="G482" s="4" t="str">
        <f>HYPERLINK("http://141.218.60.56/~jnz1568/getInfo.php?workbook=20_05.xlsx&amp;sheet=U0&amp;row=482&amp;col=7&amp;number=0.0025&amp;sourceID=14","0.0025")</f>
        <v>0.0025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HYPERLINK("http://141.218.60.56/~jnz1568/getInfo.php?workbook=20_05.xlsx&amp;sheet=U0&amp;row=483&amp;col=6&amp;number=4.9&amp;sourceID=14","4.9")</f>
        <v>4.9</v>
      </c>
      <c r="G483" s="4" t="str">
        <f>HYPERLINK("http://141.218.60.56/~jnz1568/getInfo.php?workbook=20_05.xlsx&amp;sheet=U0&amp;row=483&amp;col=7&amp;number=0.00254&amp;sourceID=14","0.00254")</f>
        <v>0.00254</v>
      </c>
    </row>
    <row r="484" spans="1:7">
      <c r="A484" s="3">
        <v>20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HYPERLINK("http://141.218.60.56/~jnz1568/getInfo.php?workbook=20_05.xlsx&amp;sheet=U0&amp;row=484&amp;col=6&amp;number=3&amp;sourceID=14","3")</f>
        <v>3</v>
      </c>
      <c r="G484" s="4" t="str">
        <f>HYPERLINK("http://141.218.60.56/~jnz1568/getInfo.php?workbook=20_05.xlsx&amp;sheet=U0&amp;row=484&amp;col=7&amp;number=0.00425&amp;sourceID=14","0.00425")</f>
        <v>0.00425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HYPERLINK("http://141.218.60.56/~jnz1568/getInfo.php?workbook=20_05.xlsx&amp;sheet=U0&amp;row=485&amp;col=6&amp;number=3.1&amp;sourceID=14","3.1")</f>
        <v>3.1</v>
      </c>
      <c r="G485" s="4" t="str">
        <f>HYPERLINK("http://141.218.60.56/~jnz1568/getInfo.php?workbook=20_05.xlsx&amp;sheet=U0&amp;row=485&amp;col=7&amp;number=0.00426&amp;sourceID=14","0.00426")</f>
        <v>0.00426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HYPERLINK("http://141.218.60.56/~jnz1568/getInfo.php?workbook=20_05.xlsx&amp;sheet=U0&amp;row=486&amp;col=6&amp;number=3.2&amp;sourceID=14","3.2")</f>
        <v>3.2</v>
      </c>
      <c r="G486" s="4" t="str">
        <f>HYPERLINK("http://141.218.60.56/~jnz1568/getInfo.php?workbook=20_05.xlsx&amp;sheet=U0&amp;row=486&amp;col=7&amp;number=0.00426&amp;sourceID=14","0.00426")</f>
        <v>0.00426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HYPERLINK("http://141.218.60.56/~jnz1568/getInfo.php?workbook=20_05.xlsx&amp;sheet=U0&amp;row=487&amp;col=6&amp;number=3.3&amp;sourceID=14","3.3")</f>
        <v>3.3</v>
      </c>
      <c r="G487" s="4" t="str">
        <f>HYPERLINK("http://141.218.60.56/~jnz1568/getInfo.php?workbook=20_05.xlsx&amp;sheet=U0&amp;row=487&amp;col=7&amp;number=0.00427&amp;sourceID=14","0.00427")</f>
        <v>0.00427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HYPERLINK("http://141.218.60.56/~jnz1568/getInfo.php?workbook=20_05.xlsx&amp;sheet=U0&amp;row=488&amp;col=6&amp;number=3.4&amp;sourceID=14","3.4")</f>
        <v>3.4</v>
      </c>
      <c r="G488" s="4" t="str">
        <f>HYPERLINK("http://141.218.60.56/~jnz1568/getInfo.php?workbook=20_05.xlsx&amp;sheet=U0&amp;row=488&amp;col=7&amp;number=0.00428&amp;sourceID=14","0.00428")</f>
        <v>0.00428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HYPERLINK("http://141.218.60.56/~jnz1568/getInfo.php?workbook=20_05.xlsx&amp;sheet=U0&amp;row=489&amp;col=6&amp;number=3.5&amp;sourceID=14","3.5")</f>
        <v>3.5</v>
      </c>
      <c r="G489" s="4" t="str">
        <f>HYPERLINK("http://141.218.60.56/~jnz1568/getInfo.php?workbook=20_05.xlsx&amp;sheet=U0&amp;row=489&amp;col=7&amp;number=0.00429&amp;sourceID=14","0.00429")</f>
        <v>0.00429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HYPERLINK("http://141.218.60.56/~jnz1568/getInfo.php?workbook=20_05.xlsx&amp;sheet=U0&amp;row=490&amp;col=6&amp;number=3.6&amp;sourceID=14","3.6")</f>
        <v>3.6</v>
      </c>
      <c r="G490" s="4" t="str">
        <f>HYPERLINK("http://141.218.60.56/~jnz1568/getInfo.php?workbook=20_05.xlsx&amp;sheet=U0&amp;row=490&amp;col=7&amp;number=0.00431&amp;sourceID=14","0.00431")</f>
        <v>0.00431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HYPERLINK("http://141.218.60.56/~jnz1568/getInfo.php?workbook=20_05.xlsx&amp;sheet=U0&amp;row=491&amp;col=6&amp;number=3.7&amp;sourceID=14","3.7")</f>
        <v>3.7</v>
      </c>
      <c r="G491" s="4" t="str">
        <f>HYPERLINK("http://141.218.60.56/~jnz1568/getInfo.php?workbook=20_05.xlsx&amp;sheet=U0&amp;row=491&amp;col=7&amp;number=0.00433&amp;sourceID=14","0.00433")</f>
        <v>0.00433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HYPERLINK("http://141.218.60.56/~jnz1568/getInfo.php?workbook=20_05.xlsx&amp;sheet=U0&amp;row=492&amp;col=6&amp;number=3.8&amp;sourceID=14","3.8")</f>
        <v>3.8</v>
      </c>
      <c r="G492" s="4" t="str">
        <f>HYPERLINK("http://141.218.60.56/~jnz1568/getInfo.php?workbook=20_05.xlsx&amp;sheet=U0&amp;row=492&amp;col=7&amp;number=0.00436&amp;sourceID=14","0.00436")</f>
        <v>0.00436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HYPERLINK("http://141.218.60.56/~jnz1568/getInfo.php?workbook=20_05.xlsx&amp;sheet=U0&amp;row=493&amp;col=6&amp;number=3.9&amp;sourceID=14","3.9")</f>
        <v>3.9</v>
      </c>
      <c r="G493" s="4" t="str">
        <f>HYPERLINK("http://141.218.60.56/~jnz1568/getInfo.php?workbook=20_05.xlsx&amp;sheet=U0&amp;row=493&amp;col=7&amp;number=0.00439&amp;sourceID=14","0.00439")</f>
        <v>0.00439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HYPERLINK("http://141.218.60.56/~jnz1568/getInfo.php?workbook=20_05.xlsx&amp;sheet=U0&amp;row=494&amp;col=6&amp;number=4&amp;sourceID=14","4")</f>
        <v>4</v>
      </c>
      <c r="G494" s="4" t="str">
        <f>HYPERLINK("http://141.218.60.56/~jnz1568/getInfo.php?workbook=20_05.xlsx&amp;sheet=U0&amp;row=494&amp;col=7&amp;number=0.00443&amp;sourceID=14","0.00443")</f>
        <v>0.00443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HYPERLINK("http://141.218.60.56/~jnz1568/getInfo.php?workbook=20_05.xlsx&amp;sheet=U0&amp;row=495&amp;col=6&amp;number=4.1&amp;sourceID=14","4.1")</f>
        <v>4.1</v>
      </c>
      <c r="G495" s="4" t="str">
        <f>HYPERLINK("http://141.218.60.56/~jnz1568/getInfo.php?workbook=20_05.xlsx&amp;sheet=U0&amp;row=495&amp;col=7&amp;number=0.00448&amp;sourceID=14","0.00448")</f>
        <v>0.00448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HYPERLINK("http://141.218.60.56/~jnz1568/getInfo.php?workbook=20_05.xlsx&amp;sheet=U0&amp;row=496&amp;col=6&amp;number=4.2&amp;sourceID=14","4.2")</f>
        <v>4.2</v>
      </c>
      <c r="G496" s="4" t="str">
        <f>HYPERLINK("http://141.218.60.56/~jnz1568/getInfo.php?workbook=20_05.xlsx&amp;sheet=U0&amp;row=496&amp;col=7&amp;number=0.00454&amp;sourceID=14","0.00454")</f>
        <v>0.00454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HYPERLINK("http://141.218.60.56/~jnz1568/getInfo.php?workbook=20_05.xlsx&amp;sheet=U0&amp;row=497&amp;col=6&amp;number=4.3&amp;sourceID=14","4.3")</f>
        <v>4.3</v>
      </c>
      <c r="G497" s="4" t="str">
        <f>HYPERLINK("http://141.218.60.56/~jnz1568/getInfo.php?workbook=20_05.xlsx&amp;sheet=U0&amp;row=497&amp;col=7&amp;number=0.00461&amp;sourceID=14","0.00461")</f>
        <v>0.00461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HYPERLINK("http://141.218.60.56/~jnz1568/getInfo.php?workbook=20_05.xlsx&amp;sheet=U0&amp;row=498&amp;col=6&amp;number=4.4&amp;sourceID=14","4.4")</f>
        <v>4.4</v>
      </c>
      <c r="G498" s="4" t="str">
        <f>HYPERLINK("http://141.218.60.56/~jnz1568/getInfo.php?workbook=20_05.xlsx&amp;sheet=U0&amp;row=498&amp;col=7&amp;number=0.0047&amp;sourceID=14","0.0047")</f>
        <v>0.0047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HYPERLINK("http://141.218.60.56/~jnz1568/getInfo.php?workbook=20_05.xlsx&amp;sheet=U0&amp;row=499&amp;col=6&amp;number=4.5&amp;sourceID=14","4.5")</f>
        <v>4.5</v>
      </c>
      <c r="G499" s="4" t="str">
        <f>HYPERLINK("http://141.218.60.56/~jnz1568/getInfo.php?workbook=20_05.xlsx&amp;sheet=U0&amp;row=499&amp;col=7&amp;number=0.00481&amp;sourceID=14","0.00481")</f>
        <v>0.00481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HYPERLINK("http://141.218.60.56/~jnz1568/getInfo.php?workbook=20_05.xlsx&amp;sheet=U0&amp;row=500&amp;col=6&amp;number=4.6&amp;sourceID=14","4.6")</f>
        <v>4.6</v>
      </c>
      <c r="G500" s="4" t="str">
        <f>HYPERLINK("http://141.218.60.56/~jnz1568/getInfo.php?workbook=20_05.xlsx&amp;sheet=U0&amp;row=500&amp;col=7&amp;number=0.00493&amp;sourceID=14","0.00493")</f>
        <v>0.00493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HYPERLINK("http://141.218.60.56/~jnz1568/getInfo.php?workbook=20_05.xlsx&amp;sheet=U0&amp;row=501&amp;col=6&amp;number=4.7&amp;sourceID=14","4.7")</f>
        <v>4.7</v>
      </c>
      <c r="G501" s="4" t="str">
        <f>HYPERLINK("http://141.218.60.56/~jnz1568/getInfo.php?workbook=20_05.xlsx&amp;sheet=U0&amp;row=501&amp;col=7&amp;number=0.00507&amp;sourceID=14","0.00507")</f>
        <v>0.00507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HYPERLINK("http://141.218.60.56/~jnz1568/getInfo.php?workbook=20_05.xlsx&amp;sheet=U0&amp;row=502&amp;col=6&amp;number=4.8&amp;sourceID=14","4.8")</f>
        <v>4.8</v>
      </c>
      <c r="G502" s="4" t="str">
        <f>HYPERLINK("http://141.218.60.56/~jnz1568/getInfo.php?workbook=20_05.xlsx&amp;sheet=U0&amp;row=502&amp;col=7&amp;number=0.00521&amp;sourceID=14","0.00521")</f>
        <v>0.00521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HYPERLINK("http://141.218.60.56/~jnz1568/getInfo.php?workbook=20_05.xlsx&amp;sheet=U0&amp;row=503&amp;col=6&amp;number=4.9&amp;sourceID=14","4.9")</f>
        <v>4.9</v>
      </c>
      <c r="G503" s="4" t="str">
        <f>HYPERLINK("http://141.218.60.56/~jnz1568/getInfo.php?workbook=20_05.xlsx&amp;sheet=U0&amp;row=503&amp;col=7&amp;number=0.00533&amp;sourceID=14","0.00533")</f>
        <v>0.00533</v>
      </c>
    </row>
    <row r="504" spans="1:7">
      <c r="A504" s="3">
        <v>20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HYPERLINK("http://141.218.60.56/~jnz1568/getInfo.php?workbook=20_05.xlsx&amp;sheet=U0&amp;row=504&amp;col=6&amp;number=3&amp;sourceID=14","3")</f>
        <v>3</v>
      </c>
      <c r="G504" s="4" t="str">
        <f>HYPERLINK("http://141.218.60.56/~jnz1568/getInfo.php?workbook=20_05.xlsx&amp;sheet=U0&amp;row=504&amp;col=7&amp;number=0.000332&amp;sourceID=14","0.000332")</f>
        <v>0.000332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HYPERLINK("http://141.218.60.56/~jnz1568/getInfo.php?workbook=20_05.xlsx&amp;sheet=U0&amp;row=505&amp;col=6&amp;number=3.1&amp;sourceID=14","3.1")</f>
        <v>3.1</v>
      </c>
      <c r="G505" s="4" t="str">
        <f>HYPERLINK("http://141.218.60.56/~jnz1568/getInfo.php?workbook=20_05.xlsx&amp;sheet=U0&amp;row=505&amp;col=7&amp;number=0.000335&amp;sourceID=14","0.000335")</f>
        <v>0.000335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HYPERLINK("http://141.218.60.56/~jnz1568/getInfo.php?workbook=20_05.xlsx&amp;sheet=U0&amp;row=506&amp;col=6&amp;number=3.2&amp;sourceID=14","3.2")</f>
        <v>3.2</v>
      </c>
      <c r="G506" s="4" t="str">
        <f>HYPERLINK("http://141.218.60.56/~jnz1568/getInfo.php?workbook=20_05.xlsx&amp;sheet=U0&amp;row=506&amp;col=7&amp;number=0.000338&amp;sourceID=14","0.000338")</f>
        <v>0.000338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HYPERLINK("http://141.218.60.56/~jnz1568/getInfo.php?workbook=20_05.xlsx&amp;sheet=U0&amp;row=507&amp;col=6&amp;number=3.3&amp;sourceID=14","3.3")</f>
        <v>3.3</v>
      </c>
      <c r="G507" s="4" t="str">
        <f>HYPERLINK("http://141.218.60.56/~jnz1568/getInfo.php?workbook=20_05.xlsx&amp;sheet=U0&amp;row=507&amp;col=7&amp;number=0.000343&amp;sourceID=14","0.000343")</f>
        <v>0.000343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HYPERLINK("http://141.218.60.56/~jnz1568/getInfo.php?workbook=20_05.xlsx&amp;sheet=U0&amp;row=508&amp;col=6&amp;number=3.4&amp;sourceID=14","3.4")</f>
        <v>3.4</v>
      </c>
      <c r="G508" s="4" t="str">
        <f>HYPERLINK("http://141.218.60.56/~jnz1568/getInfo.php?workbook=20_05.xlsx&amp;sheet=U0&amp;row=508&amp;col=7&amp;number=0.000349&amp;sourceID=14","0.000349")</f>
        <v>0.000349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HYPERLINK("http://141.218.60.56/~jnz1568/getInfo.php?workbook=20_05.xlsx&amp;sheet=U0&amp;row=509&amp;col=6&amp;number=3.5&amp;sourceID=14","3.5")</f>
        <v>3.5</v>
      </c>
      <c r="G509" s="4" t="str">
        <f>HYPERLINK("http://141.218.60.56/~jnz1568/getInfo.php?workbook=20_05.xlsx&amp;sheet=U0&amp;row=509&amp;col=7&amp;number=0.000356&amp;sourceID=14","0.000356")</f>
        <v>0.000356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HYPERLINK("http://141.218.60.56/~jnz1568/getInfo.php?workbook=20_05.xlsx&amp;sheet=U0&amp;row=510&amp;col=6&amp;number=3.6&amp;sourceID=14","3.6")</f>
        <v>3.6</v>
      </c>
      <c r="G510" s="4" t="str">
        <f>HYPERLINK("http://141.218.60.56/~jnz1568/getInfo.php?workbook=20_05.xlsx&amp;sheet=U0&amp;row=510&amp;col=7&amp;number=0.000365&amp;sourceID=14","0.000365")</f>
        <v>0.000365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HYPERLINK("http://141.218.60.56/~jnz1568/getInfo.php?workbook=20_05.xlsx&amp;sheet=U0&amp;row=511&amp;col=6&amp;number=3.7&amp;sourceID=14","3.7")</f>
        <v>3.7</v>
      </c>
      <c r="G511" s="4" t="str">
        <f>HYPERLINK("http://141.218.60.56/~jnz1568/getInfo.php?workbook=20_05.xlsx&amp;sheet=U0&amp;row=511&amp;col=7&amp;number=0.000376&amp;sourceID=14","0.000376")</f>
        <v>0.000376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HYPERLINK("http://141.218.60.56/~jnz1568/getInfo.php?workbook=20_05.xlsx&amp;sheet=U0&amp;row=512&amp;col=6&amp;number=3.8&amp;sourceID=14","3.8")</f>
        <v>3.8</v>
      </c>
      <c r="G512" s="4" t="str">
        <f>HYPERLINK("http://141.218.60.56/~jnz1568/getInfo.php?workbook=20_05.xlsx&amp;sheet=U0&amp;row=512&amp;col=7&amp;number=0.00039&amp;sourceID=14","0.00039")</f>
        <v>0.00039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HYPERLINK("http://141.218.60.56/~jnz1568/getInfo.php?workbook=20_05.xlsx&amp;sheet=U0&amp;row=513&amp;col=6&amp;number=3.9&amp;sourceID=14","3.9")</f>
        <v>3.9</v>
      </c>
      <c r="G513" s="4" t="str">
        <f>HYPERLINK("http://141.218.60.56/~jnz1568/getInfo.php?workbook=20_05.xlsx&amp;sheet=U0&amp;row=513&amp;col=7&amp;number=0.000407&amp;sourceID=14","0.000407")</f>
        <v>0.000407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HYPERLINK("http://141.218.60.56/~jnz1568/getInfo.php?workbook=20_05.xlsx&amp;sheet=U0&amp;row=514&amp;col=6&amp;number=4&amp;sourceID=14","4")</f>
        <v>4</v>
      </c>
      <c r="G514" s="4" t="str">
        <f>HYPERLINK("http://141.218.60.56/~jnz1568/getInfo.php?workbook=20_05.xlsx&amp;sheet=U0&amp;row=514&amp;col=7&amp;number=0.000429&amp;sourceID=14","0.000429")</f>
        <v>0.000429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HYPERLINK("http://141.218.60.56/~jnz1568/getInfo.php?workbook=20_05.xlsx&amp;sheet=U0&amp;row=515&amp;col=6&amp;number=4.1&amp;sourceID=14","4.1")</f>
        <v>4.1</v>
      </c>
      <c r="G515" s="4" t="str">
        <f>HYPERLINK("http://141.218.60.56/~jnz1568/getInfo.php?workbook=20_05.xlsx&amp;sheet=U0&amp;row=515&amp;col=7&amp;number=0.000456&amp;sourceID=14","0.000456")</f>
        <v>0.000456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HYPERLINK("http://141.218.60.56/~jnz1568/getInfo.php?workbook=20_05.xlsx&amp;sheet=U0&amp;row=516&amp;col=6&amp;number=4.2&amp;sourceID=14","4.2")</f>
        <v>4.2</v>
      </c>
      <c r="G516" s="4" t="str">
        <f>HYPERLINK("http://141.218.60.56/~jnz1568/getInfo.php?workbook=20_05.xlsx&amp;sheet=U0&amp;row=516&amp;col=7&amp;number=0.000489&amp;sourceID=14","0.000489")</f>
        <v>0.000489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HYPERLINK("http://141.218.60.56/~jnz1568/getInfo.php?workbook=20_05.xlsx&amp;sheet=U0&amp;row=517&amp;col=6&amp;number=4.3&amp;sourceID=14","4.3")</f>
        <v>4.3</v>
      </c>
      <c r="G517" s="4" t="str">
        <f>HYPERLINK("http://141.218.60.56/~jnz1568/getInfo.php?workbook=20_05.xlsx&amp;sheet=U0&amp;row=517&amp;col=7&amp;number=0.000531&amp;sourceID=14","0.000531")</f>
        <v>0.000531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HYPERLINK("http://141.218.60.56/~jnz1568/getInfo.php?workbook=20_05.xlsx&amp;sheet=U0&amp;row=518&amp;col=6&amp;number=4.4&amp;sourceID=14","4.4")</f>
        <v>4.4</v>
      </c>
      <c r="G518" s="4" t="str">
        <f>HYPERLINK("http://141.218.60.56/~jnz1568/getInfo.php?workbook=20_05.xlsx&amp;sheet=U0&amp;row=518&amp;col=7&amp;number=0.000581&amp;sourceID=14","0.000581")</f>
        <v>0.000581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HYPERLINK("http://141.218.60.56/~jnz1568/getInfo.php?workbook=20_05.xlsx&amp;sheet=U0&amp;row=519&amp;col=6&amp;number=4.5&amp;sourceID=14","4.5")</f>
        <v>4.5</v>
      </c>
      <c r="G519" s="4" t="str">
        <f>HYPERLINK("http://141.218.60.56/~jnz1568/getInfo.php?workbook=20_05.xlsx&amp;sheet=U0&amp;row=519&amp;col=7&amp;number=0.000642&amp;sourceID=14","0.000642")</f>
        <v>0.000642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HYPERLINK("http://141.218.60.56/~jnz1568/getInfo.php?workbook=20_05.xlsx&amp;sheet=U0&amp;row=520&amp;col=6&amp;number=4.6&amp;sourceID=14","4.6")</f>
        <v>4.6</v>
      </c>
      <c r="G520" s="4" t="str">
        <f>HYPERLINK("http://141.218.60.56/~jnz1568/getInfo.php?workbook=20_05.xlsx&amp;sheet=U0&amp;row=520&amp;col=7&amp;number=0.000714&amp;sourceID=14","0.000714")</f>
        <v>0.000714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HYPERLINK("http://141.218.60.56/~jnz1568/getInfo.php?workbook=20_05.xlsx&amp;sheet=U0&amp;row=521&amp;col=6&amp;number=4.7&amp;sourceID=14","4.7")</f>
        <v>4.7</v>
      </c>
      <c r="G521" s="4" t="str">
        <f>HYPERLINK("http://141.218.60.56/~jnz1568/getInfo.php?workbook=20_05.xlsx&amp;sheet=U0&amp;row=521&amp;col=7&amp;number=0.000796&amp;sourceID=14","0.000796")</f>
        <v>0.000796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HYPERLINK("http://141.218.60.56/~jnz1568/getInfo.php?workbook=20_05.xlsx&amp;sheet=U0&amp;row=522&amp;col=6&amp;number=4.8&amp;sourceID=14","4.8")</f>
        <v>4.8</v>
      </c>
      <c r="G522" s="4" t="str">
        <f>HYPERLINK("http://141.218.60.56/~jnz1568/getInfo.php?workbook=20_05.xlsx&amp;sheet=U0&amp;row=522&amp;col=7&amp;number=0.000886&amp;sourceID=14","0.000886")</f>
        <v>0.000886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HYPERLINK("http://141.218.60.56/~jnz1568/getInfo.php?workbook=20_05.xlsx&amp;sheet=U0&amp;row=523&amp;col=6&amp;number=4.9&amp;sourceID=14","4.9")</f>
        <v>4.9</v>
      </c>
      <c r="G523" s="4" t="str">
        <f>HYPERLINK("http://141.218.60.56/~jnz1568/getInfo.php?workbook=20_05.xlsx&amp;sheet=U0&amp;row=523&amp;col=7&amp;number=0.000977&amp;sourceID=14","0.000977")</f>
        <v>0.000977</v>
      </c>
    </row>
    <row r="524" spans="1:7">
      <c r="A524" s="3">
        <v>20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HYPERLINK("http://141.218.60.56/~jnz1568/getInfo.php?workbook=20_05.xlsx&amp;sheet=U0&amp;row=524&amp;col=6&amp;number=3&amp;sourceID=14","3")</f>
        <v>3</v>
      </c>
      <c r="G524" s="4" t="str">
        <f>HYPERLINK("http://141.218.60.56/~jnz1568/getInfo.php?workbook=20_05.xlsx&amp;sheet=U0&amp;row=524&amp;col=7&amp;number=0.00137&amp;sourceID=14","0.00137")</f>
        <v>0.00137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HYPERLINK("http://141.218.60.56/~jnz1568/getInfo.php?workbook=20_05.xlsx&amp;sheet=U0&amp;row=525&amp;col=6&amp;number=3.1&amp;sourceID=14","3.1")</f>
        <v>3.1</v>
      </c>
      <c r="G525" s="4" t="str">
        <f>HYPERLINK("http://141.218.60.56/~jnz1568/getInfo.php?workbook=20_05.xlsx&amp;sheet=U0&amp;row=525&amp;col=7&amp;number=0.00138&amp;sourceID=14","0.00138")</f>
        <v>0.00138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HYPERLINK("http://141.218.60.56/~jnz1568/getInfo.php?workbook=20_05.xlsx&amp;sheet=U0&amp;row=526&amp;col=6&amp;number=3.2&amp;sourceID=14","3.2")</f>
        <v>3.2</v>
      </c>
      <c r="G526" s="4" t="str">
        <f>HYPERLINK("http://141.218.60.56/~jnz1568/getInfo.php?workbook=20_05.xlsx&amp;sheet=U0&amp;row=526&amp;col=7&amp;number=0.00139&amp;sourceID=14","0.00139")</f>
        <v>0.00139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HYPERLINK("http://141.218.60.56/~jnz1568/getInfo.php?workbook=20_05.xlsx&amp;sheet=U0&amp;row=527&amp;col=6&amp;number=3.3&amp;sourceID=14","3.3")</f>
        <v>3.3</v>
      </c>
      <c r="G527" s="4" t="str">
        <f>HYPERLINK("http://141.218.60.56/~jnz1568/getInfo.php?workbook=20_05.xlsx&amp;sheet=U0&amp;row=527&amp;col=7&amp;number=0.00141&amp;sourceID=14","0.00141")</f>
        <v>0.00141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HYPERLINK("http://141.218.60.56/~jnz1568/getInfo.php?workbook=20_05.xlsx&amp;sheet=U0&amp;row=528&amp;col=6&amp;number=3.4&amp;sourceID=14","3.4")</f>
        <v>3.4</v>
      </c>
      <c r="G528" s="4" t="str">
        <f>HYPERLINK("http://141.218.60.56/~jnz1568/getInfo.php?workbook=20_05.xlsx&amp;sheet=U0&amp;row=528&amp;col=7&amp;number=0.00144&amp;sourceID=14","0.00144")</f>
        <v>0.00144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HYPERLINK("http://141.218.60.56/~jnz1568/getInfo.php?workbook=20_05.xlsx&amp;sheet=U0&amp;row=529&amp;col=6&amp;number=3.5&amp;sourceID=14","3.5")</f>
        <v>3.5</v>
      </c>
      <c r="G529" s="4" t="str">
        <f>HYPERLINK("http://141.218.60.56/~jnz1568/getInfo.php?workbook=20_05.xlsx&amp;sheet=U0&amp;row=529&amp;col=7&amp;number=0.00146&amp;sourceID=14","0.00146")</f>
        <v>0.00146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HYPERLINK("http://141.218.60.56/~jnz1568/getInfo.php?workbook=20_05.xlsx&amp;sheet=U0&amp;row=530&amp;col=6&amp;number=3.6&amp;sourceID=14","3.6")</f>
        <v>3.6</v>
      </c>
      <c r="G530" s="4" t="str">
        <f>HYPERLINK("http://141.218.60.56/~jnz1568/getInfo.php?workbook=20_05.xlsx&amp;sheet=U0&amp;row=530&amp;col=7&amp;number=0.0015&amp;sourceID=14","0.0015")</f>
        <v>0.0015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HYPERLINK("http://141.218.60.56/~jnz1568/getInfo.php?workbook=20_05.xlsx&amp;sheet=U0&amp;row=531&amp;col=6&amp;number=3.7&amp;sourceID=14","3.7")</f>
        <v>3.7</v>
      </c>
      <c r="G531" s="4" t="str">
        <f>HYPERLINK("http://141.218.60.56/~jnz1568/getInfo.php?workbook=20_05.xlsx&amp;sheet=U0&amp;row=531&amp;col=7&amp;number=0.00154&amp;sourceID=14","0.00154")</f>
        <v>0.00154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HYPERLINK("http://141.218.60.56/~jnz1568/getInfo.php?workbook=20_05.xlsx&amp;sheet=U0&amp;row=532&amp;col=6&amp;number=3.8&amp;sourceID=14","3.8")</f>
        <v>3.8</v>
      </c>
      <c r="G532" s="4" t="str">
        <f>HYPERLINK("http://141.218.60.56/~jnz1568/getInfo.php?workbook=20_05.xlsx&amp;sheet=U0&amp;row=532&amp;col=7&amp;number=0.0016&amp;sourceID=14","0.0016")</f>
        <v>0.0016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HYPERLINK("http://141.218.60.56/~jnz1568/getInfo.php?workbook=20_05.xlsx&amp;sheet=U0&amp;row=533&amp;col=6&amp;number=3.9&amp;sourceID=14","3.9")</f>
        <v>3.9</v>
      </c>
      <c r="G533" s="4" t="str">
        <f>HYPERLINK("http://141.218.60.56/~jnz1568/getInfo.php?workbook=20_05.xlsx&amp;sheet=U0&amp;row=533&amp;col=7&amp;number=0.00167&amp;sourceID=14","0.00167")</f>
        <v>0.00167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HYPERLINK("http://141.218.60.56/~jnz1568/getInfo.php?workbook=20_05.xlsx&amp;sheet=U0&amp;row=534&amp;col=6&amp;number=4&amp;sourceID=14","4")</f>
        <v>4</v>
      </c>
      <c r="G534" s="4" t="str">
        <f>HYPERLINK("http://141.218.60.56/~jnz1568/getInfo.php?workbook=20_05.xlsx&amp;sheet=U0&amp;row=534&amp;col=7&amp;number=0.00176&amp;sourceID=14","0.00176")</f>
        <v>0.00176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HYPERLINK("http://141.218.60.56/~jnz1568/getInfo.php?workbook=20_05.xlsx&amp;sheet=U0&amp;row=535&amp;col=6&amp;number=4.1&amp;sourceID=14","4.1")</f>
        <v>4.1</v>
      </c>
      <c r="G535" s="4" t="str">
        <f>HYPERLINK("http://141.218.60.56/~jnz1568/getInfo.php?workbook=20_05.xlsx&amp;sheet=U0&amp;row=535&amp;col=7&amp;number=0.00187&amp;sourceID=14","0.00187")</f>
        <v>0.00187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HYPERLINK("http://141.218.60.56/~jnz1568/getInfo.php?workbook=20_05.xlsx&amp;sheet=U0&amp;row=536&amp;col=6&amp;number=4.2&amp;sourceID=14","4.2")</f>
        <v>4.2</v>
      </c>
      <c r="G536" s="4" t="str">
        <f>HYPERLINK("http://141.218.60.56/~jnz1568/getInfo.php?workbook=20_05.xlsx&amp;sheet=U0&amp;row=536&amp;col=7&amp;number=0.002&amp;sourceID=14","0.002")</f>
        <v>0.002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HYPERLINK("http://141.218.60.56/~jnz1568/getInfo.php?workbook=20_05.xlsx&amp;sheet=U0&amp;row=537&amp;col=6&amp;number=4.3&amp;sourceID=14","4.3")</f>
        <v>4.3</v>
      </c>
      <c r="G537" s="4" t="str">
        <f>HYPERLINK("http://141.218.60.56/~jnz1568/getInfo.php?workbook=20_05.xlsx&amp;sheet=U0&amp;row=537&amp;col=7&amp;number=0.00217&amp;sourceID=14","0.00217")</f>
        <v>0.00217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HYPERLINK("http://141.218.60.56/~jnz1568/getInfo.php?workbook=20_05.xlsx&amp;sheet=U0&amp;row=538&amp;col=6&amp;number=4.4&amp;sourceID=14","4.4")</f>
        <v>4.4</v>
      </c>
      <c r="G538" s="4" t="str">
        <f>HYPERLINK("http://141.218.60.56/~jnz1568/getInfo.php?workbook=20_05.xlsx&amp;sheet=U0&amp;row=538&amp;col=7&amp;number=0.00237&amp;sourceID=14","0.00237")</f>
        <v>0.00237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HYPERLINK("http://141.218.60.56/~jnz1568/getInfo.php?workbook=20_05.xlsx&amp;sheet=U0&amp;row=539&amp;col=6&amp;number=4.5&amp;sourceID=14","4.5")</f>
        <v>4.5</v>
      </c>
      <c r="G539" s="4" t="str">
        <f>HYPERLINK("http://141.218.60.56/~jnz1568/getInfo.php?workbook=20_05.xlsx&amp;sheet=U0&amp;row=539&amp;col=7&amp;number=0.00261&amp;sourceID=14","0.00261")</f>
        <v>0.00261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HYPERLINK("http://141.218.60.56/~jnz1568/getInfo.php?workbook=20_05.xlsx&amp;sheet=U0&amp;row=540&amp;col=6&amp;number=4.6&amp;sourceID=14","4.6")</f>
        <v>4.6</v>
      </c>
      <c r="G540" s="4" t="str">
        <f>HYPERLINK("http://141.218.60.56/~jnz1568/getInfo.php?workbook=20_05.xlsx&amp;sheet=U0&amp;row=540&amp;col=7&amp;number=0.0029&amp;sourceID=14","0.0029")</f>
        <v>0.0029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HYPERLINK("http://141.218.60.56/~jnz1568/getInfo.php?workbook=20_05.xlsx&amp;sheet=U0&amp;row=541&amp;col=6&amp;number=4.7&amp;sourceID=14","4.7")</f>
        <v>4.7</v>
      </c>
      <c r="G541" s="4" t="str">
        <f>HYPERLINK("http://141.218.60.56/~jnz1568/getInfo.php?workbook=20_05.xlsx&amp;sheet=U0&amp;row=541&amp;col=7&amp;number=0.00323&amp;sourceID=14","0.00323")</f>
        <v>0.00323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HYPERLINK("http://141.218.60.56/~jnz1568/getInfo.php?workbook=20_05.xlsx&amp;sheet=U0&amp;row=542&amp;col=6&amp;number=4.8&amp;sourceID=14","4.8")</f>
        <v>4.8</v>
      </c>
      <c r="G542" s="4" t="str">
        <f>HYPERLINK("http://141.218.60.56/~jnz1568/getInfo.php?workbook=20_05.xlsx&amp;sheet=U0&amp;row=542&amp;col=7&amp;number=0.0036&amp;sourceID=14","0.0036")</f>
        <v>0.0036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HYPERLINK("http://141.218.60.56/~jnz1568/getInfo.php?workbook=20_05.xlsx&amp;sheet=U0&amp;row=543&amp;col=6&amp;number=4.9&amp;sourceID=14","4.9")</f>
        <v>4.9</v>
      </c>
      <c r="G543" s="4" t="str">
        <f>HYPERLINK("http://141.218.60.56/~jnz1568/getInfo.php?workbook=20_05.xlsx&amp;sheet=U0&amp;row=543&amp;col=7&amp;number=0.00396&amp;sourceID=14","0.00396")</f>
        <v>0.00396</v>
      </c>
    </row>
    <row r="544" spans="1:7">
      <c r="A544" s="3">
        <v>20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HYPERLINK("http://141.218.60.56/~jnz1568/getInfo.php?workbook=20_05.xlsx&amp;sheet=U0&amp;row=544&amp;col=6&amp;number=3&amp;sourceID=14","3")</f>
        <v>3</v>
      </c>
      <c r="G544" s="4" t="str">
        <f>HYPERLINK("http://141.218.60.56/~jnz1568/getInfo.php?workbook=20_05.xlsx&amp;sheet=U0&amp;row=544&amp;col=7&amp;number=0.161&amp;sourceID=14","0.161")</f>
        <v>0.161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HYPERLINK("http://141.218.60.56/~jnz1568/getInfo.php?workbook=20_05.xlsx&amp;sheet=U0&amp;row=545&amp;col=6&amp;number=3.1&amp;sourceID=14","3.1")</f>
        <v>3.1</v>
      </c>
      <c r="G545" s="4" t="str">
        <f>HYPERLINK("http://141.218.60.56/~jnz1568/getInfo.php?workbook=20_05.xlsx&amp;sheet=U0&amp;row=545&amp;col=7&amp;number=0.161&amp;sourceID=14","0.161")</f>
        <v>0.161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HYPERLINK("http://141.218.60.56/~jnz1568/getInfo.php?workbook=20_05.xlsx&amp;sheet=U0&amp;row=546&amp;col=6&amp;number=3.2&amp;sourceID=14","3.2")</f>
        <v>3.2</v>
      </c>
      <c r="G546" s="4" t="str">
        <f>HYPERLINK("http://141.218.60.56/~jnz1568/getInfo.php?workbook=20_05.xlsx&amp;sheet=U0&amp;row=546&amp;col=7&amp;number=0.161&amp;sourceID=14","0.161")</f>
        <v>0.161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HYPERLINK("http://141.218.60.56/~jnz1568/getInfo.php?workbook=20_05.xlsx&amp;sheet=U0&amp;row=547&amp;col=6&amp;number=3.3&amp;sourceID=14","3.3")</f>
        <v>3.3</v>
      </c>
      <c r="G547" s="4" t="str">
        <f>HYPERLINK("http://141.218.60.56/~jnz1568/getInfo.php?workbook=20_05.xlsx&amp;sheet=U0&amp;row=547&amp;col=7&amp;number=0.161&amp;sourceID=14","0.161")</f>
        <v>0.161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HYPERLINK("http://141.218.60.56/~jnz1568/getInfo.php?workbook=20_05.xlsx&amp;sheet=U0&amp;row=548&amp;col=6&amp;number=3.4&amp;sourceID=14","3.4")</f>
        <v>3.4</v>
      </c>
      <c r="G548" s="4" t="str">
        <f>HYPERLINK("http://141.218.60.56/~jnz1568/getInfo.php?workbook=20_05.xlsx&amp;sheet=U0&amp;row=548&amp;col=7&amp;number=0.161&amp;sourceID=14","0.161")</f>
        <v>0.161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HYPERLINK("http://141.218.60.56/~jnz1568/getInfo.php?workbook=20_05.xlsx&amp;sheet=U0&amp;row=549&amp;col=6&amp;number=3.5&amp;sourceID=14","3.5")</f>
        <v>3.5</v>
      </c>
      <c r="G549" s="4" t="str">
        <f>HYPERLINK("http://141.218.60.56/~jnz1568/getInfo.php?workbook=20_05.xlsx&amp;sheet=U0&amp;row=549&amp;col=7&amp;number=0.161&amp;sourceID=14","0.161")</f>
        <v>0.161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HYPERLINK("http://141.218.60.56/~jnz1568/getInfo.php?workbook=20_05.xlsx&amp;sheet=U0&amp;row=550&amp;col=6&amp;number=3.6&amp;sourceID=14","3.6")</f>
        <v>3.6</v>
      </c>
      <c r="G550" s="4" t="str">
        <f>HYPERLINK("http://141.218.60.56/~jnz1568/getInfo.php?workbook=20_05.xlsx&amp;sheet=U0&amp;row=550&amp;col=7&amp;number=0.162&amp;sourceID=14","0.162")</f>
        <v>0.162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HYPERLINK("http://141.218.60.56/~jnz1568/getInfo.php?workbook=20_05.xlsx&amp;sheet=U0&amp;row=551&amp;col=6&amp;number=3.7&amp;sourceID=14","3.7")</f>
        <v>3.7</v>
      </c>
      <c r="G551" s="4" t="str">
        <f>HYPERLINK("http://141.218.60.56/~jnz1568/getInfo.php?workbook=20_05.xlsx&amp;sheet=U0&amp;row=551&amp;col=7&amp;number=0.162&amp;sourceID=14","0.162")</f>
        <v>0.162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HYPERLINK("http://141.218.60.56/~jnz1568/getInfo.php?workbook=20_05.xlsx&amp;sheet=U0&amp;row=552&amp;col=6&amp;number=3.8&amp;sourceID=14","3.8")</f>
        <v>3.8</v>
      </c>
      <c r="G552" s="4" t="str">
        <f>HYPERLINK("http://141.218.60.56/~jnz1568/getInfo.php?workbook=20_05.xlsx&amp;sheet=U0&amp;row=552&amp;col=7&amp;number=0.163&amp;sourceID=14","0.163")</f>
        <v>0.163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HYPERLINK("http://141.218.60.56/~jnz1568/getInfo.php?workbook=20_05.xlsx&amp;sheet=U0&amp;row=553&amp;col=6&amp;number=3.9&amp;sourceID=14","3.9")</f>
        <v>3.9</v>
      </c>
      <c r="G553" s="4" t="str">
        <f>HYPERLINK("http://141.218.60.56/~jnz1568/getInfo.php?workbook=20_05.xlsx&amp;sheet=U0&amp;row=553&amp;col=7&amp;number=0.163&amp;sourceID=14","0.163")</f>
        <v>0.163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HYPERLINK("http://141.218.60.56/~jnz1568/getInfo.php?workbook=20_05.xlsx&amp;sheet=U0&amp;row=554&amp;col=6&amp;number=4&amp;sourceID=14","4")</f>
        <v>4</v>
      </c>
      <c r="G554" s="4" t="str">
        <f>HYPERLINK("http://141.218.60.56/~jnz1568/getInfo.php?workbook=20_05.xlsx&amp;sheet=U0&amp;row=554&amp;col=7&amp;number=0.164&amp;sourceID=14","0.164")</f>
        <v>0.164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HYPERLINK("http://141.218.60.56/~jnz1568/getInfo.php?workbook=20_05.xlsx&amp;sheet=U0&amp;row=555&amp;col=6&amp;number=4.1&amp;sourceID=14","4.1")</f>
        <v>4.1</v>
      </c>
      <c r="G555" s="4" t="str">
        <f>HYPERLINK("http://141.218.60.56/~jnz1568/getInfo.php?workbook=20_05.xlsx&amp;sheet=U0&amp;row=555&amp;col=7&amp;number=0.165&amp;sourceID=14","0.165")</f>
        <v>0.165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HYPERLINK("http://141.218.60.56/~jnz1568/getInfo.php?workbook=20_05.xlsx&amp;sheet=U0&amp;row=556&amp;col=6&amp;number=4.2&amp;sourceID=14","4.2")</f>
        <v>4.2</v>
      </c>
      <c r="G556" s="4" t="str">
        <f>HYPERLINK("http://141.218.60.56/~jnz1568/getInfo.php?workbook=20_05.xlsx&amp;sheet=U0&amp;row=556&amp;col=7&amp;number=0.166&amp;sourceID=14","0.166")</f>
        <v>0.166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HYPERLINK("http://141.218.60.56/~jnz1568/getInfo.php?workbook=20_05.xlsx&amp;sheet=U0&amp;row=557&amp;col=6&amp;number=4.3&amp;sourceID=14","4.3")</f>
        <v>4.3</v>
      </c>
      <c r="G557" s="4" t="str">
        <f>HYPERLINK("http://141.218.60.56/~jnz1568/getInfo.php?workbook=20_05.xlsx&amp;sheet=U0&amp;row=557&amp;col=7&amp;number=0.167&amp;sourceID=14","0.167")</f>
        <v>0.167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HYPERLINK("http://141.218.60.56/~jnz1568/getInfo.php?workbook=20_05.xlsx&amp;sheet=U0&amp;row=558&amp;col=6&amp;number=4.4&amp;sourceID=14","4.4")</f>
        <v>4.4</v>
      </c>
      <c r="G558" s="4" t="str">
        <f>HYPERLINK("http://141.218.60.56/~jnz1568/getInfo.php?workbook=20_05.xlsx&amp;sheet=U0&amp;row=558&amp;col=7&amp;number=0.169&amp;sourceID=14","0.169")</f>
        <v>0.169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HYPERLINK("http://141.218.60.56/~jnz1568/getInfo.php?workbook=20_05.xlsx&amp;sheet=U0&amp;row=559&amp;col=6&amp;number=4.5&amp;sourceID=14","4.5")</f>
        <v>4.5</v>
      </c>
      <c r="G559" s="4" t="str">
        <f>HYPERLINK("http://141.218.60.56/~jnz1568/getInfo.php?workbook=20_05.xlsx&amp;sheet=U0&amp;row=559&amp;col=7&amp;number=0.171&amp;sourceID=14","0.171")</f>
        <v>0.171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HYPERLINK("http://141.218.60.56/~jnz1568/getInfo.php?workbook=20_05.xlsx&amp;sheet=U0&amp;row=560&amp;col=6&amp;number=4.6&amp;sourceID=14","4.6")</f>
        <v>4.6</v>
      </c>
      <c r="G560" s="4" t="str">
        <f>HYPERLINK("http://141.218.60.56/~jnz1568/getInfo.php?workbook=20_05.xlsx&amp;sheet=U0&amp;row=560&amp;col=7&amp;number=0.173&amp;sourceID=14","0.173")</f>
        <v>0.173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HYPERLINK("http://141.218.60.56/~jnz1568/getInfo.php?workbook=20_05.xlsx&amp;sheet=U0&amp;row=561&amp;col=6&amp;number=4.7&amp;sourceID=14","4.7")</f>
        <v>4.7</v>
      </c>
      <c r="G561" s="4" t="str">
        <f>HYPERLINK("http://141.218.60.56/~jnz1568/getInfo.php?workbook=20_05.xlsx&amp;sheet=U0&amp;row=561&amp;col=7&amp;number=0.175&amp;sourceID=14","0.175")</f>
        <v>0.175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HYPERLINK("http://141.218.60.56/~jnz1568/getInfo.php?workbook=20_05.xlsx&amp;sheet=U0&amp;row=562&amp;col=6&amp;number=4.8&amp;sourceID=14","4.8")</f>
        <v>4.8</v>
      </c>
      <c r="G562" s="4" t="str">
        <f>HYPERLINK("http://141.218.60.56/~jnz1568/getInfo.php?workbook=20_05.xlsx&amp;sheet=U0&amp;row=562&amp;col=7&amp;number=0.176&amp;sourceID=14","0.176")</f>
        <v>0.176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HYPERLINK("http://141.218.60.56/~jnz1568/getInfo.php?workbook=20_05.xlsx&amp;sheet=U0&amp;row=563&amp;col=6&amp;number=4.9&amp;sourceID=14","4.9")</f>
        <v>4.9</v>
      </c>
      <c r="G563" s="4" t="str">
        <f>HYPERLINK("http://141.218.60.56/~jnz1568/getInfo.php?workbook=20_05.xlsx&amp;sheet=U0&amp;row=563&amp;col=7&amp;number=0.175&amp;sourceID=14","0.175")</f>
        <v>0.175</v>
      </c>
    </row>
    <row r="564" spans="1:7">
      <c r="A564" s="3">
        <v>20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HYPERLINK("http://141.218.60.56/~jnz1568/getInfo.php?workbook=20_05.xlsx&amp;sheet=U0&amp;row=564&amp;col=6&amp;number=3&amp;sourceID=14","3")</f>
        <v>3</v>
      </c>
      <c r="G564" s="4" t="str">
        <f>HYPERLINK("http://141.218.60.56/~jnz1568/getInfo.php?workbook=20_05.xlsx&amp;sheet=U0&amp;row=564&amp;col=7&amp;number=0.121&amp;sourceID=14","0.121")</f>
        <v>0.121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HYPERLINK("http://141.218.60.56/~jnz1568/getInfo.php?workbook=20_05.xlsx&amp;sheet=U0&amp;row=565&amp;col=6&amp;number=3.1&amp;sourceID=14","3.1")</f>
        <v>3.1</v>
      </c>
      <c r="G565" s="4" t="str">
        <f>HYPERLINK("http://141.218.60.56/~jnz1568/getInfo.php?workbook=20_05.xlsx&amp;sheet=U0&amp;row=565&amp;col=7&amp;number=0.121&amp;sourceID=14","0.121")</f>
        <v>0.121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HYPERLINK("http://141.218.60.56/~jnz1568/getInfo.php?workbook=20_05.xlsx&amp;sheet=U0&amp;row=566&amp;col=6&amp;number=3.2&amp;sourceID=14","3.2")</f>
        <v>3.2</v>
      </c>
      <c r="G566" s="4" t="str">
        <f>HYPERLINK("http://141.218.60.56/~jnz1568/getInfo.php?workbook=20_05.xlsx&amp;sheet=U0&amp;row=566&amp;col=7&amp;number=0.121&amp;sourceID=14","0.121")</f>
        <v>0.121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HYPERLINK("http://141.218.60.56/~jnz1568/getInfo.php?workbook=20_05.xlsx&amp;sheet=U0&amp;row=567&amp;col=6&amp;number=3.3&amp;sourceID=14","3.3")</f>
        <v>3.3</v>
      </c>
      <c r="G567" s="4" t="str">
        <f>HYPERLINK("http://141.218.60.56/~jnz1568/getInfo.php?workbook=20_05.xlsx&amp;sheet=U0&amp;row=567&amp;col=7&amp;number=0.121&amp;sourceID=14","0.121")</f>
        <v>0.121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HYPERLINK("http://141.218.60.56/~jnz1568/getInfo.php?workbook=20_05.xlsx&amp;sheet=U0&amp;row=568&amp;col=6&amp;number=3.4&amp;sourceID=14","3.4")</f>
        <v>3.4</v>
      </c>
      <c r="G568" s="4" t="str">
        <f>HYPERLINK("http://141.218.60.56/~jnz1568/getInfo.php?workbook=20_05.xlsx&amp;sheet=U0&amp;row=568&amp;col=7&amp;number=0.121&amp;sourceID=14","0.121")</f>
        <v>0.121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HYPERLINK("http://141.218.60.56/~jnz1568/getInfo.php?workbook=20_05.xlsx&amp;sheet=U0&amp;row=569&amp;col=6&amp;number=3.5&amp;sourceID=14","3.5")</f>
        <v>3.5</v>
      </c>
      <c r="G569" s="4" t="str">
        <f>HYPERLINK("http://141.218.60.56/~jnz1568/getInfo.php?workbook=20_05.xlsx&amp;sheet=U0&amp;row=569&amp;col=7&amp;number=0.121&amp;sourceID=14","0.121")</f>
        <v>0.121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HYPERLINK("http://141.218.60.56/~jnz1568/getInfo.php?workbook=20_05.xlsx&amp;sheet=U0&amp;row=570&amp;col=6&amp;number=3.6&amp;sourceID=14","3.6")</f>
        <v>3.6</v>
      </c>
      <c r="G570" s="4" t="str">
        <f>HYPERLINK("http://141.218.60.56/~jnz1568/getInfo.php?workbook=20_05.xlsx&amp;sheet=U0&amp;row=570&amp;col=7&amp;number=0.121&amp;sourceID=14","0.121")</f>
        <v>0.121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HYPERLINK("http://141.218.60.56/~jnz1568/getInfo.php?workbook=20_05.xlsx&amp;sheet=U0&amp;row=571&amp;col=6&amp;number=3.7&amp;sourceID=14","3.7")</f>
        <v>3.7</v>
      </c>
      <c r="G571" s="4" t="str">
        <f>HYPERLINK("http://141.218.60.56/~jnz1568/getInfo.php?workbook=20_05.xlsx&amp;sheet=U0&amp;row=571&amp;col=7&amp;number=0.121&amp;sourceID=14","0.121")</f>
        <v>0.121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HYPERLINK("http://141.218.60.56/~jnz1568/getInfo.php?workbook=20_05.xlsx&amp;sheet=U0&amp;row=572&amp;col=6&amp;number=3.8&amp;sourceID=14","3.8")</f>
        <v>3.8</v>
      </c>
      <c r="G572" s="4" t="str">
        <f>HYPERLINK("http://141.218.60.56/~jnz1568/getInfo.php?workbook=20_05.xlsx&amp;sheet=U0&amp;row=572&amp;col=7&amp;number=0.121&amp;sourceID=14","0.121")</f>
        <v>0.121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HYPERLINK("http://141.218.60.56/~jnz1568/getInfo.php?workbook=20_05.xlsx&amp;sheet=U0&amp;row=573&amp;col=6&amp;number=3.9&amp;sourceID=14","3.9")</f>
        <v>3.9</v>
      </c>
      <c r="G573" s="4" t="str">
        <f>HYPERLINK("http://141.218.60.56/~jnz1568/getInfo.php?workbook=20_05.xlsx&amp;sheet=U0&amp;row=573&amp;col=7&amp;number=0.121&amp;sourceID=14","0.121")</f>
        <v>0.121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HYPERLINK("http://141.218.60.56/~jnz1568/getInfo.php?workbook=20_05.xlsx&amp;sheet=U0&amp;row=574&amp;col=6&amp;number=4&amp;sourceID=14","4")</f>
        <v>4</v>
      </c>
      <c r="G574" s="4" t="str">
        <f>HYPERLINK("http://141.218.60.56/~jnz1568/getInfo.php?workbook=20_05.xlsx&amp;sheet=U0&amp;row=574&amp;col=7&amp;number=0.121&amp;sourceID=14","0.121")</f>
        <v>0.121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HYPERLINK("http://141.218.60.56/~jnz1568/getInfo.php?workbook=20_05.xlsx&amp;sheet=U0&amp;row=575&amp;col=6&amp;number=4.1&amp;sourceID=14","4.1")</f>
        <v>4.1</v>
      </c>
      <c r="G575" s="4" t="str">
        <f>HYPERLINK("http://141.218.60.56/~jnz1568/getInfo.php?workbook=20_05.xlsx&amp;sheet=U0&amp;row=575&amp;col=7&amp;number=0.122&amp;sourceID=14","0.122")</f>
        <v>0.122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HYPERLINK("http://141.218.60.56/~jnz1568/getInfo.php?workbook=20_05.xlsx&amp;sheet=U0&amp;row=576&amp;col=6&amp;number=4.2&amp;sourceID=14","4.2")</f>
        <v>4.2</v>
      </c>
      <c r="G576" s="4" t="str">
        <f>HYPERLINK("http://141.218.60.56/~jnz1568/getInfo.php?workbook=20_05.xlsx&amp;sheet=U0&amp;row=576&amp;col=7&amp;number=0.122&amp;sourceID=14","0.122")</f>
        <v>0.122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HYPERLINK("http://141.218.60.56/~jnz1568/getInfo.php?workbook=20_05.xlsx&amp;sheet=U0&amp;row=577&amp;col=6&amp;number=4.3&amp;sourceID=14","4.3")</f>
        <v>4.3</v>
      </c>
      <c r="G577" s="4" t="str">
        <f>HYPERLINK("http://141.218.60.56/~jnz1568/getInfo.php?workbook=20_05.xlsx&amp;sheet=U0&amp;row=577&amp;col=7&amp;number=0.122&amp;sourceID=14","0.122")</f>
        <v>0.122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HYPERLINK("http://141.218.60.56/~jnz1568/getInfo.php?workbook=20_05.xlsx&amp;sheet=U0&amp;row=578&amp;col=6&amp;number=4.4&amp;sourceID=14","4.4")</f>
        <v>4.4</v>
      </c>
      <c r="G578" s="4" t="str">
        <f>HYPERLINK("http://141.218.60.56/~jnz1568/getInfo.php?workbook=20_05.xlsx&amp;sheet=U0&amp;row=578&amp;col=7&amp;number=0.122&amp;sourceID=14","0.122")</f>
        <v>0.122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HYPERLINK("http://141.218.60.56/~jnz1568/getInfo.php?workbook=20_05.xlsx&amp;sheet=U0&amp;row=579&amp;col=6&amp;number=4.5&amp;sourceID=14","4.5")</f>
        <v>4.5</v>
      </c>
      <c r="G579" s="4" t="str">
        <f>HYPERLINK("http://141.218.60.56/~jnz1568/getInfo.php?workbook=20_05.xlsx&amp;sheet=U0&amp;row=579&amp;col=7&amp;number=0.122&amp;sourceID=14","0.122")</f>
        <v>0.122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HYPERLINK("http://141.218.60.56/~jnz1568/getInfo.php?workbook=20_05.xlsx&amp;sheet=U0&amp;row=580&amp;col=6&amp;number=4.6&amp;sourceID=14","4.6")</f>
        <v>4.6</v>
      </c>
      <c r="G580" s="4" t="str">
        <f>HYPERLINK("http://141.218.60.56/~jnz1568/getInfo.php?workbook=20_05.xlsx&amp;sheet=U0&amp;row=580&amp;col=7&amp;number=0.123&amp;sourceID=14","0.123")</f>
        <v>0.123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HYPERLINK("http://141.218.60.56/~jnz1568/getInfo.php?workbook=20_05.xlsx&amp;sheet=U0&amp;row=581&amp;col=6&amp;number=4.7&amp;sourceID=14","4.7")</f>
        <v>4.7</v>
      </c>
      <c r="G581" s="4" t="str">
        <f>HYPERLINK("http://141.218.60.56/~jnz1568/getInfo.php?workbook=20_05.xlsx&amp;sheet=U0&amp;row=581&amp;col=7&amp;number=0.123&amp;sourceID=14","0.123")</f>
        <v>0.123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HYPERLINK("http://141.218.60.56/~jnz1568/getInfo.php?workbook=20_05.xlsx&amp;sheet=U0&amp;row=582&amp;col=6&amp;number=4.8&amp;sourceID=14","4.8")</f>
        <v>4.8</v>
      </c>
      <c r="G582" s="4" t="str">
        <f>HYPERLINK("http://141.218.60.56/~jnz1568/getInfo.php?workbook=20_05.xlsx&amp;sheet=U0&amp;row=582&amp;col=7&amp;number=0.123&amp;sourceID=14","0.123")</f>
        <v>0.123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HYPERLINK("http://141.218.60.56/~jnz1568/getInfo.php?workbook=20_05.xlsx&amp;sheet=U0&amp;row=583&amp;col=6&amp;number=4.9&amp;sourceID=14","4.9")</f>
        <v>4.9</v>
      </c>
      <c r="G583" s="4" t="str">
        <f>HYPERLINK("http://141.218.60.56/~jnz1568/getInfo.php?workbook=20_05.xlsx&amp;sheet=U0&amp;row=583&amp;col=7&amp;number=0.122&amp;sourceID=14","0.122")</f>
        <v>0.122</v>
      </c>
    </row>
    <row r="584" spans="1:7">
      <c r="A584" s="3">
        <v>20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HYPERLINK("http://141.218.60.56/~jnz1568/getInfo.php?workbook=20_05.xlsx&amp;sheet=U0&amp;row=584&amp;col=6&amp;number=3&amp;sourceID=14","3")</f>
        <v>3</v>
      </c>
      <c r="G584" s="4" t="str">
        <f>HYPERLINK("http://141.218.60.56/~jnz1568/getInfo.php?workbook=20_05.xlsx&amp;sheet=U0&amp;row=584&amp;col=7&amp;number=0.0234&amp;sourceID=14","0.0234")</f>
        <v>0.0234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HYPERLINK("http://141.218.60.56/~jnz1568/getInfo.php?workbook=20_05.xlsx&amp;sheet=U0&amp;row=585&amp;col=6&amp;number=3.1&amp;sourceID=14","3.1")</f>
        <v>3.1</v>
      </c>
      <c r="G585" s="4" t="str">
        <f>HYPERLINK("http://141.218.60.56/~jnz1568/getInfo.php?workbook=20_05.xlsx&amp;sheet=U0&amp;row=585&amp;col=7&amp;number=0.0234&amp;sourceID=14","0.0234")</f>
        <v>0.0234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HYPERLINK("http://141.218.60.56/~jnz1568/getInfo.php?workbook=20_05.xlsx&amp;sheet=U0&amp;row=586&amp;col=6&amp;number=3.2&amp;sourceID=14","3.2")</f>
        <v>3.2</v>
      </c>
      <c r="G586" s="4" t="str">
        <f>HYPERLINK("http://141.218.60.56/~jnz1568/getInfo.php?workbook=20_05.xlsx&amp;sheet=U0&amp;row=586&amp;col=7&amp;number=0.0234&amp;sourceID=14","0.0234")</f>
        <v>0.0234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HYPERLINK("http://141.218.60.56/~jnz1568/getInfo.php?workbook=20_05.xlsx&amp;sheet=U0&amp;row=587&amp;col=6&amp;number=3.3&amp;sourceID=14","3.3")</f>
        <v>3.3</v>
      </c>
      <c r="G587" s="4" t="str">
        <f>HYPERLINK("http://141.218.60.56/~jnz1568/getInfo.php?workbook=20_05.xlsx&amp;sheet=U0&amp;row=587&amp;col=7&amp;number=0.0235&amp;sourceID=14","0.0235")</f>
        <v>0.0235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HYPERLINK("http://141.218.60.56/~jnz1568/getInfo.php?workbook=20_05.xlsx&amp;sheet=U0&amp;row=588&amp;col=6&amp;number=3.4&amp;sourceID=14","3.4")</f>
        <v>3.4</v>
      </c>
      <c r="G588" s="4" t="str">
        <f>HYPERLINK("http://141.218.60.56/~jnz1568/getInfo.php?workbook=20_05.xlsx&amp;sheet=U0&amp;row=588&amp;col=7&amp;number=0.0235&amp;sourceID=14","0.0235")</f>
        <v>0.0235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HYPERLINK("http://141.218.60.56/~jnz1568/getInfo.php?workbook=20_05.xlsx&amp;sheet=U0&amp;row=589&amp;col=6&amp;number=3.5&amp;sourceID=14","3.5")</f>
        <v>3.5</v>
      </c>
      <c r="G589" s="4" t="str">
        <f>HYPERLINK("http://141.218.60.56/~jnz1568/getInfo.php?workbook=20_05.xlsx&amp;sheet=U0&amp;row=589&amp;col=7&amp;number=0.0235&amp;sourceID=14","0.0235")</f>
        <v>0.0235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HYPERLINK("http://141.218.60.56/~jnz1568/getInfo.php?workbook=20_05.xlsx&amp;sheet=U0&amp;row=590&amp;col=6&amp;number=3.6&amp;sourceID=14","3.6")</f>
        <v>3.6</v>
      </c>
      <c r="G590" s="4" t="str">
        <f>HYPERLINK("http://141.218.60.56/~jnz1568/getInfo.php?workbook=20_05.xlsx&amp;sheet=U0&amp;row=590&amp;col=7&amp;number=0.0235&amp;sourceID=14","0.0235")</f>
        <v>0.0235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HYPERLINK("http://141.218.60.56/~jnz1568/getInfo.php?workbook=20_05.xlsx&amp;sheet=U0&amp;row=591&amp;col=6&amp;number=3.7&amp;sourceID=14","3.7")</f>
        <v>3.7</v>
      </c>
      <c r="G591" s="4" t="str">
        <f>HYPERLINK("http://141.218.60.56/~jnz1568/getInfo.php?workbook=20_05.xlsx&amp;sheet=U0&amp;row=591&amp;col=7&amp;number=0.0235&amp;sourceID=14","0.0235")</f>
        <v>0.0235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HYPERLINK("http://141.218.60.56/~jnz1568/getInfo.php?workbook=20_05.xlsx&amp;sheet=U0&amp;row=592&amp;col=6&amp;number=3.8&amp;sourceID=14","3.8")</f>
        <v>3.8</v>
      </c>
      <c r="G592" s="4" t="str">
        <f>HYPERLINK("http://141.218.60.56/~jnz1568/getInfo.php?workbook=20_05.xlsx&amp;sheet=U0&amp;row=592&amp;col=7&amp;number=0.0236&amp;sourceID=14","0.0236")</f>
        <v>0.0236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HYPERLINK("http://141.218.60.56/~jnz1568/getInfo.php?workbook=20_05.xlsx&amp;sheet=U0&amp;row=593&amp;col=6&amp;number=3.9&amp;sourceID=14","3.9")</f>
        <v>3.9</v>
      </c>
      <c r="G593" s="4" t="str">
        <f>HYPERLINK("http://141.218.60.56/~jnz1568/getInfo.php?workbook=20_05.xlsx&amp;sheet=U0&amp;row=593&amp;col=7&amp;number=0.0236&amp;sourceID=14","0.0236")</f>
        <v>0.0236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HYPERLINK("http://141.218.60.56/~jnz1568/getInfo.php?workbook=20_05.xlsx&amp;sheet=U0&amp;row=594&amp;col=6&amp;number=4&amp;sourceID=14","4")</f>
        <v>4</v>
      </c>
      <c r="G594" s="4" t="str">
        <f>HYPERLINK("http://141.218.60.56/~jnz1568/getInfo.php?workbook=20_05.xlsx&amp;sheet=U0&amp;row=594&amp;col=7&amp;number=0.0237&amp;sourceID=14","0.0237")</f>
        <v>0.0237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HYPERLINK("http://141.218.60.56/~jnz1568/getInfo.php?workbook=20_05.xlsx&amp;sheet=U0&amp;row=595&amp;col=6&amp;number=4.1&amp;sourceID=14","4.1")</f>
        <v>4.1</v>
      </c>
      <c r="G595" s="4" t="str">
        <f>HYPERLINK("http://141.218.60.56/~jnz1568/getInfo.php?workbook=20_05.xlsx&amp;sheet=U0&amp;row=595&amp;col=7&amp;number=0.0237&amp;sourceID=14","0.0237")</f>
        <v>0.0237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HYPERLINK("http://141.218.60.56/~jnz1568/getInfo.php?workbook=20_05.xlsx&amp;sheet=U0&amp;row=596&amp;col=6&amp;number=4.2&amp;sourceID=14","4.2")</f>
        <v>4.2</v>
      </c>
      <c r="G596" s="4" t="str">
        <f>HYPERLINK("http://141.218.60.56/~jnz1568/getInfo.php?workbook=20_05.xlsx&amp;sheet=U0&amp;row=596&amp;col=7&amp;number=0.0238&amp;sourceID=14","0.0238")</f>
        <v>0.0238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HYPERLINK("http://141.218.60.56/~jnz1568/getInfo.php?workbook=20_05.xlsx&amp;sheet=U0&amp;row=597&amp;col=6&amp;number=4.3&amp;sourceID=14","4.3")</f>
        <v>4.3</v>
      </c>
      <c r="G597" s="4" t="str">
        <f>HYPERLINK("http://141.218.60.56/~jnz1568/getInfo.php?workbook=20_05.xlsx&amp;sheet=U0&amp;row=597&amp;col=7&amp;number=0.0239&amp;sourceID=14","0.0239")</f>
        <v>0.0239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HYPERLINK("http://141.218.60.56/~jnz1568/getInfo.php?workbook=20_05.xlsx&amp;sheet=U0&amp;row=598&amp;col=6&amp;number=4.4&amp;sourceID=14","4.4")</f>
        <v>4.4</v>
      </c>
      <c r="G598" s="4" t="str">
        <f>HYPERLINK("http://141.218.60.56/~jnz1568/getInfo.php?workbook=20_05.xlsx&amp;sheet=U0&amp;row=598&amp;col=7&amp;number=0.024&amp;sourceID=14","0.024")</f>
        <v>0.024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HYPERLINK("http://141.218.60.56/~jnz1568/getInfo.php?workbook=20_05.xlsx&amp;sheet=U0&amp;row=599&amp;col=6&amp;number=4.5&amp;sourceID=14","4.5")</f>
        <v>4.5</v>
      </c>
      <c r="G599" s="4" t="str">
        <f>HYPERLINK("http://141.218.60.56/~jnz1568/getInfo.php?workbook=20_05.xlsx&amp;sheet=U0&amp;row=599&amp;col=7&amp;number=0.0242&amp;sourceID=14","0.0242")</f>
        <v>0.0242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HYPERLINK("http://141.218.60.56/~jnz1568/getInfo.php?workbook=20_05.xlsx&amp;sheet=U0&amp;row=600&amp;col=6&amp;number=4.6&amp;sourceID=14","4.6")</f>
        <v>4.6</v>
      </c>
      <c r="G600" s="4" t="str">
        <f>HYPERLINK("http://141.218.60.56/~jnz1568/getInfo.php?workbook=20_05.xlsx&amp;sheet=U0&amp;row=600&amp;col=7&amp;number=0.0244&amp;sourceID=14","0.0244")</f>
        <v>0.0244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HYPERLINK("http://141.218.60.56/~jnz1568/getInfo.php?workbook=20_05.xlsx&amp;sheet=U0&amp;row=601&amp;col=6&amp;number=4.7&amp;sourceID=14","4.7")</f>
        <v>4.7</v>
      </c>
      <c r="G601" s="4" t="str">
        <f>HYPERLINK("http://141.218.60.56/~jnz1568/getInfo.php?workbook=20_05.xlsx&amp;sheet=U0&amp;row=601&amp;col=7&amp;number=0.0245&amp;sourceID=14","0.0245")</f>
        <v>0.0245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HYPERLINK("http://141.218.60.56/~jnz1568/getInfo.php?workbook=20_05.xlsx&amp;sheet=U0&amp;row=602&amp;col=6&amp;number=4.8&amp;sourceID=14","4.8")</f>
        <v>4.8</v>
      </c>
      <c r="G602" s="4" t="str">
        <f>HYPERLINK("http://141.218.60.56/~jnz1568/getInfo.php?workbook=20_05.xlsx&amp;sheet=U0&amp;row=602&amp;col=7&amp;number=0.0247&amp;sourceID=14","0.0247")</f>
        <v>0.0247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HYPERLINK("http://141.218.60.56/~jnz1568/getInfo.php?workbook=20_05.xlsx&amp;sheet=U0&amp;row=603&amp;col=6&amp;number=4.9&amp;sourceID=14","4.9")</f>
        <v>4.9</v>
      </c>
      <c r="G603" s="4" t="str">
        <f>HYPERLINK("http://141.218.60.56/~jnz1568/getInfo.php?workbook=20_05.xlsx&amp;sheet=U0&amp;row=603&amp;col=7&amp;number=0.0249&amp;sourceID=14","0.0249")</f>
        <v>0.0249</v>
      </c>
    </row>
    <row r="604" spans="1:7">
      <c r="A604" s="3">
        <v>20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HYPERLINK("http://141.218.60.56/~jnz1568/getInfo.php?workbook=20_05.xlsx&amp;sheet=U0&amp;row=604&amp;col=6&amp;number=3&amp;sourceID=14","3")</f>
        <v>3</v>
      </c>
      <c r="G604" s="4" t="str">
        <f>HYPERLINK("http://141.218.60.56/~jnz1568/getInfo.php?workbook=20_05.xlsx&amp;sheet=U0&amp;row=604&amp;col=7&amp;number=0.0134&amp;sourceID=14","0.0134")</f>
        <v>0.0134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HYPERLINK("http://141.218.60.56/~jnz1568/getInfo.php?workbook=20_05.xlsx&amp;sheet=U0&amp;row=605&amp;col=6&amp;number=3.1&amp;sourceID=14","3.1")</f>
        <v>3.1</v>
      </c>
      <c r="G605" s="4" t="str">
        <f>HYPERLINK("http://141.218.60.56/~jnz1568/getInfo.php?workbook=20_05.xlsx&amp;sheet=U0&amp;row=605&amp;col=7&amp;number=0.0134&amp;sourceID=14","0.0134")</f>
        <v>0.0134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HYPERLINK("http://141.218.60.56/~jnz1568/getInfo.php?workbook=20_05.xlsx&amp;sheet=U0&amp;row=606&amp;col=6&amp;number=3.2&amp;sourceID=14","3.2")</f>
        <v>3.2</v>
      </c>
      <c r="G606" s="4" t="str">
        <f>HYPERLINK("http://141.218.60.56/~jnz1568/getInfo.php?workbook=20_05.xlsx&amp;sheet=U0&amp;row=606&amp;col=7&amp;number=0.0134&amp;sourceID=14","0.0134")</f>
        <v>0.0134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HYPERLINK("http://141.218.60.56/~jnz1568/getInfo.php?workbook=20_05.xlsx&amp;sheet=U0&amp;row=607&amp;col=6&amp;number=3.3&amp;sourceID=14","3.3")</f>
        <v>3.3</v>
      </c>
      <c r="G607" s="4" t="str">
        <f>HYPERLINK("http://141.218.60.56/~jnz1568/getInfo.php?workbook=20_05.xlsx&amp;sheet=U0&amp;row=607&amp;col=7&amp;number=0.0134&amp;sourceID=14","0.0134")</f>
        <v>0.0134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HYPERLINK("http://141.218.60.56/~jnz1568/getInfo.php?workbook=20_05.xlsx&amp;sheet=U0&amp;row=608&amp;col=6&amp;number=3.4&amp;sourceID=14","3.4")</f>
        <v>3.4</v>
      </c>
      <c r="G608" s="4" t="str">
        <f>HYPERLINK("http://141.218.60.56/~jnz1568/getInfo.php?workbook=20_05.xlsx&amp;sheet=U0&amp;row=608&amp;col=7&amp;number=0.0134&amp;sourceID=14","0.0134")</f>
        <v>0.0134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HYPERLINK("http://141.218.60.56/~jnz1568/getInfo.php?workbook=20_05.xlsx&amp;sheet=U0&amp;row=609&amp;col=6&amp;number=3.5&amp;sourceID=14","3.5")</f>
        <v>3.5</v>
      </c>
      <c r="G609" s="4" t="str">
        <f>HYPERLINK("http://141.218.60.56/~jnz1568/getInfo.php?workbook=20_05.xlsx&amp;sheet=U0&amp;row=609&amp;col=7&amp;number=0.0134&amp;sourceID=14","0.0134")</f>
        <v>0.0134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HYPERLINK("http://141.218.60.56/~jnz1568/getInfo.php?workbook=20_05.xlsx&amp;sheet=U0&amp;row=610&amp;col=6&amp;number=3.6&amp;sourceID=14","3.6")</f>
        <v>3.6</v>
      </c>
      <c r="G610" s="4" t="str">
        <f>HYPERLINK("http://141.218.60.56/~jnz1568/getInfo.php?workbook=20_05.xlsx&amp;sheet=U0&amp;row=610&amp;col=7&amp;number=0.0134&amp;sourceID=14","0.0134")</f>
        <v>0.0134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HYPERLINK("http://141.218.60.56/~jnz1568/getInfo.php?workbook=20_05.xlsx&amp;sheet=U0&amp;row=611&amp;col=6&amp;number=3.7&amp;sourceID=14","3.7")</f>
        <v>3.7</v>
      </c>
      <c r="G611" s="4" t="str">
        <f>HYPERLINK("http://141.218.60.56/~jnz1568/getInfo.php?workbook=20_05.xlsx&amp;sheet=U0&amp;row=611&amp;col=7&amp;number=0.0134&amp;sourceID=14","0.0134")</f>
        <v>0.0134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HYPERLINK("http://141.218.60.56/~jnz1568/getInfo.php?workbook=20_05.xlsx&amp;sheet=U0&amp;row=612&amp;col=6&amp;number=3.8&amp;sourceID=14","3.8")</f>
        <v>3.8</v>
      </c>
      <c r="G612" s="4" t="str">
        <f>HYPERLINK("http://141.218.60.56/~jnz1568/getInfo.php?workbook=20_05.xlsx&amp;sheet=U0&amp;row=612&amp;col=7&amp;number=0.0134&amp;sourceID=14","0.0134")</f>
        <v>0.0134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HYPERLINK("http://141.218.60.56/~jnz1568/getInfo.php?workbook=20_05.xlsx&amp;sheet=U0&amp;row=613&amp;col=6&amp;number=3.9&amp;sourceID=14","3.9")</f>
        <v>3.9</v>
      </c>
      <c r="G613" s="4" t="str">
        <f>HYPERLINK("http://141.218.60.56/~jnz1568/getInfo.php?workbook=20_05.xlsx&amp;sheet=U0&amp;row=613&amp;col=7&amp;number=0.0135&amp;sourceID=14","0.0135")</f>
        <v>0.0135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HYPERLINK("http://141.218.60.56/~jnz1568/getInfo.php?workbook=20_05.xlsx&amp;sheet=U0&amp;row=614&amp;col=6&amp;number=4&amp;sourceID=14","4")</f>
        <v>4</v>
      </c>
      <c r="G614" s="4" t="str">
        <f>HYPERLINK("http://141.218.60.56/~jnz1568/getInfo.php?workbook=20_05.xlsx&amp;sheet=U0&amp;row=614&amp;col=7&amp;number=0.0135&amp;sourceID=14","0.0135")</f>
        <v>0.0135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HYPERLINK("http://141.218.60.56/~jnz1568/getInfo.php?workbook=20_05.xlsx&amp;sheet=U0&amp;row=615&amp;col=6&amp;number=4.1&amp;sourceID=14","4.1")</f>
        <v>4.1</v>
      </c>
      <c r="G615" s="4" t="str">
        <f>HYPERLINK("http://141.218.60.56/~jnz1568/getInfo.php?workbook=20_05.xlsx&amp;sheet=U0&amp;row=615&amp;col=7&amp;number=0.0135&amp;sourceID=14","0.0135")</f>
        <v>0.0135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HYPERLINK("http://141.218.60.56/~jnz1568/getInfo.php?workbook=20_05.xlsx&amp;sheet=U0&amp;row=616&amp;col=6&amp;number=4.2&amp;sourceID=14","4.2")</f>
        <v>4.2</v>
      </c>
      <c r="G616" s="4" t="str">
        <f>HYPERLINK("http://141.218.60.56/~jnz1568/getInfo.php?workbook=20_05.xlsx&amp;sheet=U0&amp;row=616&amp;col=7&amp;number=0.0136&amp;sourceID=14","0.0136")</f>
        <v>0.0136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HYPERLINK("http://141.218.60.56/~jnz1568/getInfo.php?workbook=20_05.xlsx&amp;sheet=U0&amp;row=617&amp;col=6&amp;number=4.3&amp;sourceID=14","4.3")</f>
        <v>4.3</v>
      </c>
      <c r="G617" s="4" t="str">
        <f>HYPERLINK("http://141.218.60.56/~jnz1568/getInfo.php?workbook=20_05.xlsx&amp;sheet=U0&amp;row=617&amp;col=7&amp;number=0.0136&amp;sourceID=14","0.0136")</f>
        <v>0.0136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HYPERLINK("http://141.218.60.56/~jnz1568/getInfo.php?workbook=20_05.xlsx&amp;sheet=U0&amp;row=618&amp;col=6&amp;number=4.4&amp;sourceID=14","4.4")</f>
        <v>4.4</v>
      </c>
      <c r="G618" s="4" t="str">
        <f>HYPERLINK("http://141.218.60.56/~jnz1568/getInfo.php?workbook=20_05.xlsx&amp;sheet=U0&amp;row=618&amp;col=7&amp;number=0.0137&amp;sourceID=14","0.0137")</f>
        <v>0.0137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HYPERLINK("http://141.218.60.56/~jnz1568/getInfo.php?workbook=20_05.xlsx&amp;sheet=U0&amp;row=619&amp;col=6&amp;number=4.5&amp;sourceID=14","4.5")</f>
        <v>4.5</v>
      </c>
      <c r="G619" s="4" t="str">
        <f>HYPERLINK("http://141.218.60.56/~jnz1568/getInfo.php?workbook=20_05.xlsx&amp;sheet=U0&amp;row=619&amp;col=7&amp;number=0.0138&amp;sourceID=14","0.0138")</f>
        <v>0.0138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HYPERLINK("http://141.218.60.56/~jnz1568/getInfo.php?workbook=20_05.xlsx&amp;sheet=U0&amp;row=620&amp;col=6&amp;number=4.6&amp;sourceID=14","4.6")</f>
        <v>4.6</v>
      </c>
      <c r="G620" s="4" t="str">
        <f>HYPERLINK("http://141.218.60.56/~jnz1568/getInfo.php?workbook=20_05.xlsx&amp;sheet=U0&amp;row=620&amp;col=7&amp;number=0.0138&amp;sourceID=14","0.0138")</f>
        <v>0.0138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HYPERLINK("http://141.218.60.56/~jnz1568/getInfo.php?workbook=20_05.xlsx&amp;sheet=U0&amp;row=621&amp;col=6&amp;number=4.7&amp;sourceID=14","4.7")</f>
        <v>4.7</v>
      </c>
      <c r="G621" s="4" t="str">
        <f>HYPERLINK("http://141.218.60.56/~jnz1568/getInfo.php?workbook=20_05.xlsx&amp;sheet=U0&amp;row=621&amp;col=7&amp;number=0.0139&amp;sourceID=14","0.0139")</f>
        <v>0.0139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HYPERLINK("http://141.218.60.56/~jnz1568/getInfo.php?workbook=20_05.xlsx&amp;sheet=U0&amp;row=622&amp;col=6&amp;number=4.8&amp;sourceID=14","4.8")</f>
        <v>4.8</v>
      </c>
      <c r="G622" s="4" t="str">
        <f>HYPERLINK("http://141.218.60.56/~jnz1568/getInfo.php?workbook=20_05.xlsx&amp;sheet=U0&amp;row=622&amp;col=7&amp;number=0.014&amp;sourceID=14","0.014")</f>
        <v>0.014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HYPERLINK("http://141.218.60.56/~jnz1568/getInfo.php?workbook=20_05.xlsx&amp;sheet=U0&amp;row=623&amp;col=6&amp;number=4.9&amp;sourceID=14","4.9")</f>
        <v>4.9</v>
      </c>
      <c r="G623" s="4" t="str">
        <f>HYPERLINK("http://141.218.60.56/~jnz1568/getInfo.php?workbook=20_05.xlsx&amp;sheet=U0&amp;row=623&amp;col=7&amp;number=0.0142&amp;sourceID=14","0.0142")</f>
        <v>0.0142</v>
      </c>
    </row>
    <row r="624" spans="1:7">
      <c r="A624" s="3">
        <v>20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HYPERLINK("http://141.218.60.56/~jnz1568/getInfo.php?workbook=20_05.xlsx&amp;sheet=U0&amp;row=624&amp;col=6&amp;number=3&amp;sourceID=14","3")</f>
        <v>3</v>
      </c>
      <c r="G624" s="4" t="str">
        <f>HYPERLINK("http://141.218.60.56/~jnz1568/getInfo.php?workbook=20_05.xlsx&amp;sheet=U0&amp;row=624&amp;col=7&amp;number=0.00501&amp;sourceID=14","0.00501")</f>
        <v>0.00501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HYPERLINK("http://141.218.60.56/~jnz1568/getInfo.php?workbook=20_05.xlsx&amp;sheet=U0&amp;row=625&amp;col=6&amp;number=3.1&amp;sourceID=14","3.1")</f>
        <v>3.1</v>
      </c>
      <c r="G625" s="4" t="str">
        <f>HYPERLINK("http://141.218.60.56/~jnz1568/getInfo.php?workbook=20_05.xlsx&amp;sheet=U0&amp;row=625&amp;col=7&amp;number=0.00501&amp;sourceID=14","0.00501")</f>
        <v>0.00501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HYPERLINK("http://141.218.60.56/~jnz1568/getInfo.php?workbook=20_05.xlsx&amp;sheet=U0&amp;row=626&amp;col=6&amp;number=3.2&amp;sourceID=14","3.2")</f>
        <v>3.2</v>
      </c>
      <c r="G626" s="4" t="str">
        <f>HYPERLINK("http://141.218.60.56/~jnz1568/getInfo.php?workbook=20_05.xlsx&amp;sheet=U0&amp;row=626&amp;col=7&amp;number=0.00502&amp;sourceID=14","0.00502")</f>
        <v>0.00502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HYPERLINK("http://141.218.60.56/~jnz1568/getInfo.php?workbook=20_05.xlsx&amp;sheet=U0&amp;row=627&amp;col=6&amp;number=3.3&amp;sourceID=14","3.3")</f>
        <v>3.3</v>
      </c>
      <c r="G627" s="4" t="str">
        <f>HYPERLINK("http://141.218.60.56/~jnz1568/getInfo.php?workbook=20_05.xlsx&amp;sheet=U0&amp;row=627&amp;col=7&amp;number=0.00503&amp;sourceID=14","0.00503")</f>
        <v>0.00503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HYPERLINK("http://141.218.60.56/~jnz1568/getInfo.php?workbook=20_05.xlsx&amp;sheet=U0&amp;row=628&amp;col=6&amp;number=3.4&amp;sourceID=14","3.4")</f>
        <v>3.4</v>
      </c>
      <c r="G628" s="4" t="str">
        <f>HYPERLINK("http://141.218.60.56/~jnz1568/getInfo.php?workbook=20_05.xlsx&amp;sheet=U0&amp;row=628&amp;col=7&amp;number=0.00505&amp;sourceID=14","0.00505")</f>
        <v>0.00505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HYPERLINK("http://141.218.60.56/~jnz1568/getInfo.php?workbook=20_05.xlsx&amp;sheet=U0&amp;row=629&amp;col=6&amp;number=3.5&amp;sourceID=14","3.5")</f>
        <v>3.5</v>
      </c>
      <c r="G629" s="4" t="str">
        <f>HYPERLINK("http://141.218.60.56/~jnz1568/getInfo.php?workbook=20_05.xlsx&amp;sheet=U0&amp;row=629&amp;col=7&amp;number=0.00506&amp;sourceID=14","0.00506")</f>
        <v>0.00506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HYPERLINK("http://141.218.60.56/~jnz1568/getInfo.php?workbook=20_05.xlsx&amp;sheet=U0&amp;row=630&amp;col=6&amp;number=3.6&amp;sourceID=14","3.6")</f>
        <v>3.6</v>
      </c>
      <c r="G630" s="4" t="str">
        <f>HYPERLINK("http://141.218.60.56/~jnz1568/getInfo.php?workbook=20_05.xlsx&amp;sheet=U0&amp;row=630&amp;col=7&amp;number=0.00508&amp;sourceID=14","0.00508")</f>
        <v>0.00508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HYPERLINK("http://141.218.60.56/~jnz1568/getInfo.php?workbook=20_05.xlsx&amp;sheet=U0&amp;row=631&amp;col=6&amp;number=3.7&amp;sourceID=14","3.7")</f>
        <v>3.7</v>
      </c>
      <c r="G631" s="4" t="str">
        <f>HYPERLINK("http://141.218.60.56/~jnz1568/getInfo.php?workbook=20_05.xlsx&amp;sheet=U0&amp;row=631&amp;col=7&amp;number=0.00511&amp;sourceID=14","0.00511")</f>
        <v>0.00511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HYPERLINK("http://141.218.60.56/~jnz1568/getInfo.php?workbook=20_05.xlsx&amp;sheet=U0&amp;row=632&amp;col=6&amp;number=3.8&amp;sourceID=14","3.8")</f>
        <v>3.8</v>
      </c>
      <c r="G632" s="4" t="str">
        <f>HYPERLINK("http://141.218.60.56/~jnz1568/getInfo.php?workbook=20_05.xlsx&amp;sheet=U0&amp;row=632&amp;col=7&amp;number=0.00515&amp;sourceID=14","0.00515")</f>
        <v>0.00515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HYPERLINK("http://141.218.60.56/~jnz1568/getInfo.php?workbook=20_05.xlsx&amp;sheet=U0&amp;row=633&amp;col=6&amp;number=3.9&amp;sourceID=14","3.9")</f>
        <v>3.9</v>
      </c>
      <c r="G633" s="4" t="str">
        <f>HYPERLINK("http://141.218.60.56/~jnz1568/getInfo.php?workbook=20_05.xlsx&amp;sheet=U0&amp;row=633&amp;col=7&amp;number=0.00519&amp;sourceID=14","0.00519")</f>
        <v>0.00519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HYPERLINK("http://141.218.60.56/~jnz1568/getInfo.php?workbook=20_05.xlsx&amp;sheet=U0&amp;row=634&amp;col=6&amp;number=4&amp;sourceID=14","4")</f>
        <v>4</v>
      </c>
      <c r="G634" s="4" t="str">
        <f>HYPERLINK("http://141.218.60.56/~jnz1568/getInfo.php?workbook=20_05.xlsx&amp;sheet=U0&amp;row=634&amp;col=7&amp;number=0.00524&amp;sourceID=14","0.00524")</f>
        <v>0.00524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HYPERLINK("http://141.218.60.56/~jnz1568/getInfo.php?workbook=20_05.xlsx&amp;sheet=U0&amp;row=635&amp;col=6&amp;number=4.1&amp;sourceID=14","4.1")</f>
        <v>4.1</v>
      </c>
      <c r="G635" s="4" t="str">
        <f>HYPERLINK("http://141.218.60.56/~jnz1568/getInfo.php?workbook=20_05.xlsx&amp;sheet=U0&amp;row=635&amp;col=7&amp;number=0.00531&amp;sourceID=14","0.00531")</f>
        <v>0.00531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HYPERLINK("http://141.218.60.56/~jnz1568/getInfo.php?workbook=20_05.xlsx&amp;sheet=U0&amp;row=636&amp;col=6&amp;number=4.2&amp;sourceID=14","4.2")</f>
        <v>4.2</v>
      </c>
      <c r="G636" s="4" t="str">
        <f>HYPERLINK("http://141.218.60.56/~jnz1568/getInfo.php?workbook=20_05.xlsx&amp;sheet=U0&amp;row=636&amp;col=7&amp;number=0.00539&amp;sourceID=14","0.00539")</f>
        <v>0.00539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HYPERLINK("http://141.218.60.56/~jnz1568/getInfo.php?workbook=20_05.xlsx&amp;sheet=U0&amp;row=637&amp;col=6&amp;number=4.3&amp;sourceID=14","4.3")</f>
        <v>4.3</v>
      </c>
      <c r="G637" s="4" t="str">
        <f>HYPERLINK("http://141.218.60.56/~jnz1568/getInfo.php?workbook=20_05.xlsx&amp;sheet=U0&amp;row=637&amp;col=7&amp;number=0.00549&amp;sourceID=14","0.00549")</f>
        <v>0.00549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HYPERLINK("http://141.218.60.56/~jnz1568/getInfo.php?workbook=20_05.xlsx&amp;sheet=U0&amp;row=638&amp;col=6&amp;number=4.4&amp;sourceID=14","4.4")</f>
        <v>4.4</v>
      </c>
      <c r="G638" s="4" t="str">
        <f>HYPERLINK("http://141.218.60.56/~jnz1568/getInfo.php?workbook=20_05.xlsx&amp;sheet=U0&amp;row=638&amp;col=7&amp;number=0.00561&amp;sourceID=14","0.00561")</f>
        <v>0.00561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HYPERLINK("http://141.218.60.56/~jnz1568/getInfo.php?workbook=20_05.xlsx&amp;sheet=U0&amp;row=639&amp;col=6&amp;number=4.5&amp;sourceID=14","4.5")</f>
        <v>4.5</v>
      </c>
      <c r="G639" s="4" t="str">
        <f>HYPERLINK("http://141.218.60.56/~jnz1568/getInfo.php?workbook=20_05.xlsx&amp;sheet=U0&amp;row=639&amp;col=7&amp;number=0.00576&amp;sourceID=14","0.00576")</f>
        <v>0.00576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HYPERLINK("http://141.218.60.56/~jnz1568/getInfo.php?workbook=20_05.xlsx&amp;sheet=U0&amp;row=640&amp;col=6&amp;number=4.6&amp;sourceID=14","4.6")</f>
        <v>4.6</v>
      </c>
      <c r="G640" s="4" t="str">
        <f>HYPERLINK("http://141.218.60.56/~jnz1568/getInfo.php?workbook=20_05.xlsx&amp;sheet=U0&amp;row=640&amp;col=7&amp;number=0.00594&amp;sourceID=14","0.00594")</f>
        <v>0.00594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HYPERLINK("http://141.218.60.56/~jnz1568/getInfo.php?workbook=20_05.xlsx&amp;sheet=U0&amp;row=641&amp;col=6&amp;number=4.7&amp;sourceID=14","4.7")</f>
        <v>4.7</v>
      </c>
      <c r="G641" s="4" t="str">
        <f>HYPERLINK("http://141.218.60.56/~jnz1568/getInfo.php?workbook=20_05.xlsx&amp;sheet=U0&amp;row=641&amp;col=7&amp;number=0.00614&amp;sourceID=14","0.00614")</f>
        <v>0.00614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HYPERLINK("http://141.218.60.56/~jnz1568/getInfo.php?workbook=20_05.xlsx&amp;sheet=U0&amp;row=642&amp;col=6&amp;number=4.8&amp;sourceID=14","4.8")</f>
        <v>4.8</v>
      </c>
      <c r="G642" s="4" t="str">
        <f>HYPERLINK("http://141.218.60.56/~jnz1568/getInfo.php?workbook=20_05.xlsx&amp;sheet=U0&amp;row=642&amp;col=7&amp;number=0.00637&amp;sourceID=14","0.00637")</f>
        <v>0.00637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HYPERLINK("http://141.218.60.56/~jnz1568/getInfo.php?workbook=20_05.xlsx&amp;sheet=U0&amp;row=643&amp;col=6&amp;number=4.9&amp;sourceID=14","4.9")</f>
        <v>4.9</v>
      </c>
      <c r="G643" s="4" t="str">
        <f>HYPERLINK("http://141.218.60.56/~jnz1568/getInfo.php?workbook=20_05.xlsx&amp;sheet=U0&amp;row=643&amp;col=7&amp;number=0.0066&amp;sourceID=14","0.0066")</f>
        <v>0.0066</v>
      </c>
    </row>
    <row r="644" spans="1:7">
      <c r="A644" s="3">
        <v>20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HYPERLINK("http://141.218.60.56/~jnz1568/getInfo.php?workbook=20_05.xlsx&amp;sheet=U0&amp;row=644&amp;col=6&amp;number=3&amp;sourceID=14","3")</f>
        <v>3</v>
      </c>
      <c r="G644" s="4" t="str">
        <f>HYPERLINK("http://141.218.60.56/~jnz1568/getInfo.php?workbook=20_05.xlsx&amp;sheet=U0&amp;row=644&amp;col=7&amp;number=0.00309&amp;sourceID=14","0.00309")</f>
        <v>0.00309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HYPERLINK("http://141.218.60.56/~jnz1568/getInfo.php?workbook=20_05.xlsx&amp;sheet=U0&amp;row=645&amp;col=6&amp;number=3.1&amp;sourceID=14","3.1")</f>
        <v>3.1</v>
      </c>
      <c r="G645" s="4" t="str">
        <f>HYPERLINK("http://141.218.60.56/~jnz1568/getInfo.php?workbook=20_05.xlsx&amp;sheet=U0&amp;row=645&amp;col=7&amp;number=0.00309&amp;sourceID=14","0.00309")</f>
        <v>0.00309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HYPERLINK("http://141.218.60.56/~jnz1568/getInfo.php?workbook=20_05.xlsx&amp;sheet=U0&amp;row=646&amp;col=6&amp;number=3.2&amp;sourceID=14","3.2")</f>
        <v>3.2</v>
      </c>
      <c r="G646" s="4" t="str">
        <f>HYPERLINK("http://141.218.60.56/~jnz1568/getInfo.php?workbook=20_05.xlsx&amp;sheet=U0&amp;row=646&amp;col=7&amp;number=0.00309&amp;sourceID=14","0.00309")</f>
        <v>0.00309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HYPERLINK("http://141.218.60.56/~jnz1568/getInfo.php?workbook=20_05.xlsx&amp;sheet=U0&amp;row=647&amp;col=6&amp;number=3.3&amp;sourceID=14","3.3")</f>
        <v>3.3</v>
      </c>
      <c r="G647" s="4" t="str">
        <f>HYPERLINK("http://141.218.60.56/~jnz1568/getInfo.php?workbook=20_05.xlsx&amp;sheet=U0&amp;row=647&amp;col=7&amp;number=0.00309&amp;sourceID=14","0.00309")</f>
        <v>0.00309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HYPERLINK("http://141.218.60.56/~jnz1568/getInfo.php?workbook=20_05.xlsx&amp;sheet=U0&amp;row=648&amp;col=6&amp;number=3.4&amp;sourceID=14","3.4")</f>
        <v>3.4</v>
      </c>
      <c r="G648" s="4" t="str">
        <f>HYPERLINK("http://141.218.60.56/~jnz1568/getInfo.php?workbook=20_05.xlsx&amp;sheet=U0&amp;row=648&amp;col=7&amp;number=0.0031&amp;sourceID=14","0.0031")</f>
        <v>0.0031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HYPERLINK("http://141.218.60.56/~jnz1568/getInfo.php?workbook=20_05.xlsx&amp;sheet=U0&amp;row=649&amp;col=6&amp;number=3.5&amp;sourceID=14","3.5")</f>
        <v>3.5</v>
      </c>
      <c r="G649" s="4" t="str">
        <f>HYPERLINK("http://141.218.60.56/~jnz1568/getInfo.php?workbook=20_05.xlsx&amp;sheet=U0&amp;row=649&amp;col=7&amp;number=0.0031&amp;sourceID=14","0.0031")</f>
        <v>0.0031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HYPERLINK("http://141.218.60.56/~jnz1568/getInfo.php?workbook=20_05.xlsx&amp;sheet=U0&amp;row=650&amp;col=6&amp;number=3.6&amp;sourceID=14","3.6")</f>
        <v>3.6</v>
      </c>
      <c r="G650" s="4" t="str">
        <f>HYPERLINK("http://141.218.60.56/~jnz1568/getInfo.php?workbook=20_05.xlsx&amp;sheet=U0&amp;row=650&amp;col=7&amp;number=0.00311&amp;sourceID=14","0.00311")</f>
        <v>0.00311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HYPERLINK("http://141.218.60.56/~jnz1568/getInfo.php?workbook=20_05.xlsx&amp;sheet=U0&amp;row=651&amp;col=6&amp;number=3.7&amp;sourceID=14","3.7")</f>
        <v>3.7</v>
      </c>
      <c r="G651" s="4" t="str">
        <f>HYPERLINK("http://141.218.60.56/~jnz1568/getInfo.php?workbook=20_05.xlsx&amp;sheet=U0&amp;row=651&amp;col=7&amp;number=0.00312&amp;sourceID=14","0.00312")</f>
        <v>0.00312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HYPERLINK("http://141.218.60.56/~jnz1568/getInfo.php?workbook=20_05.xlsx&amp;sheet=U0&amp;row=652&amp;col=6&amp;number=3.8&amp;sourceID=14","3.8")</f>
        <v>3.8</v>
      </c>
      <c r="G652" s="4" t="str">
        <f>HYPERLINK("http://141.218.60.56/~jnz1568/getInfo.php?workbook=20_05.xlsx&amp;sheet=U0&amp;row=652&amp;col=7&amp;number=0.00312&amp;sourceID=14","0.00312")</f>
        <v>0.00312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HYPERLINK("http://141.218.60.56/~jnz1568/getInfo.php?workbook=20_05.xlsx&amp;sheet=U0&amp;row=653&amp;col=6&amp;number=3.9&amp;sourceID=14","3.9")</f>
        <v>3.9</v>
      </c>
      <c r="G653" s="4" t="str">
        <f>HYPERLINK("http://141.218.60.56/~jnz1568/getInfo.php?workbook=20_05.xlsx&amp;sheet=U0&amp;row=653&amp;col=7&amp;number=0.00314&amp;sourceID=14","0.00314")</f>
        <v>0.00314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HYPERLINK("http://141.218.60.56/~jnz1568/getInfo.php?workbook=20_05.xlsx&amp;sheet=U0&amp;row=654&amp;col=6&amp;number=4&amp;sourceID=14","4")</f>
        <v>4</v>
      </c>
      <c r="G654" s="4" t="str">
        <f>HYPERLINK("http://141.218.60.56/~jnz1568/getInfo.php?workbook=20_05.xlsx&amp;sheet=U0&amp;row=654&amp;col=7&amp;number=0.00315&amp;sourceID=14","0.00315")</f>
        <v>0.00315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HYPERLINK("http://141.218.60.56/~jnz1568/getInfo.php?workbook=20_05.xlsx&amp;sheet=U0&amp;row=655&amp;col=6&amp;number=4.1&amp;sourceID=14","4.1")</f>
        <v>4.1</v>
      </c>
      <c r="G655" s="4" t="str">
        <f>HYPERLINK("http://141.218.60.56/~jnz1568/getInfo.php?workbook=20_05.xlsx&amp;sheet=U0&amp;row=655&amp;col=7&amp;number=0.00317&amp;sourceID=14","0.00317")</f>
        <v>0.00317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HYPERLINK("http://141.218.60.56/~jnz1568/getInfo.php?workbook=20_05.xlsx&amp;sheet=U0&amp;row=656&amp;col=6&amp;number=4.2&amp;sourceID=14","4.2")</f>
        <v>4.2</v>
      </c>
      <c r="G656" s="4" t="str">
        <f>HYPERLINK("http://141.218.60.56/~jnz1568/getInfo.php?workbook=20_05.xlsx&amp;sheet=U0&amp;row=656&amp;col=7&amp;number=0.00319&amp;sourceID=14","0.00319")</f>
        <v>0.00319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HYPERLINK("http://141.218.60.56/~jnz1568/getInfo.php?workbook=20_05.xlsx&amp;sheet=U0&amp;row=657&amp;col=6&amp;number=4.3&amp;sourceID=14","4.3")</f>
        <v>4.3</v>
      </c>
      <c r="G657" s="4" t="str">
        <f>HYPERLINK("http://141.218.60.56/~jnz1568/getInfo.php?workbook=20_05.xlsx&amp;sheet=U0&amp;row=657&amp;col=7&amp;number=0.00321&amp;sourceID=14","0.00321")</f>
        <v>0.00321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HYPERLINK("http://141.218.60.56/~jnz1568/getInfo.php?workbook=20_05.xlsx&amp;sheet=U0&amp;row=658&amp;col=6&amp;number=4.4&amp;sourceID=14","4.4")</f>
        <v>4.4</v>
      </c>
      <c r="G658" s="4" t="str">
        <f>HYPERLINK("http://141.218.60.56/~jnz1568/getInfo.php?workbook=20_05.xlsx&amp;sheet=U0&amp;row=658&amp;col=7&amp;number=0.00325&amp;sourceID=14","0.00325")</f>
        <v>0.00325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HYPERLINK("http://141.218.60.56/~jnz1568/getInfo.php?workbook=20_05.xlsx&amp;sheet=U0&amp;row=659&amp;col=6&amp;number=4.5&amp;sourceID=14","4.5")</f>
        <v>4.5</v>
      </c>
      <c r="G659" s="4" t="str">
        <f>HYPERLINK("http://141.218.60.56/~jnz1568/getInfo.php?workbook=20_05.xlsx&amp;sheet=U0&amp;row=659&amp;col=7&amp;number=0.00328&amp;sourceID=14","0.00328")</f>
        <v>0.00328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HYPERLINK("http://141.218.60.56/~jnz1568/getInfo.php?workbook=20_05.xlsx&amp;sheet=U0&amp;row=660&amp;col=6&amp;number=4.6&amp;sourceID=14","4.6")</f>
        <v>4.6</v>
      </c>
      <c r="G660" s="4" t="str">
        <f>HYPERLINK("http://141.218.60.56/~jnz1568/getInfo.php?workbook=20_05.xlsx&amp;sheet=U0&amp;row=660&amp;col=7&amp;number=0.00332&amp;sourceID=14","0.00332")</f>
        <v>0.00332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HYPERLINK("http://141.218.60.56/~jnz1568/getInfo.php?workbook=20_05.xlsx&amp;sheet=U0&amp;row=661&amp;col=6&amp;number=4.7&amp;sourceID=14","4.7")</f>
        <v>4.7</v>
      </c>
      <c r="G661" s="4" t="str">
        <f>HYPERLINK("http://141.218.60.56/~jnz1568/getInfo.php?workbook=20_05.xlsx&amp;sheet=U0&amp;row=661&amp;col=7&amp;number=0.00337&amp;sourceID=14","0.00337")</f>
        <v>0.00337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HYPERLINK("http://141.218.60.56/~jnz1568/getInfo.php?workbook=20_05.xlsx&amp;sheet=U0&amp;row=662&amp;col=6&amp;number=4.8&amp;sourceID=14","4.8")</f>
        <v>4.8</v>
      </c>
      <c r="G662" s="4" t="str">
        <f>HYPERLINK("http://141.218.60.56/~jnz1568/getInfo.php?workbook=20_05.xlsx&amp;sheet=U0&amp;row=662&amp;col=7&amp;number=0.00341&amp;sourceID=14","0.00341")</f>
        <v>0.00341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HYPERLINK("http://141.218.60.56/~jnz1568/getInfo.php?workbook=20_05.xlsx&amp;sheet=U0&amp;row=663&amp;col=6&amp;number=4.9&amp;sourceID=14","4.9")</f>
        <v>4.9</v>
      </c>
      <c r="G663" s="4" t="str">
        <f>HYPERLINK("http://141.218.60.56/~jnz1568/getInfo.php?workbook=20_05.xlsx&amp;sheet=U0&amp;row=663&amp;col=7&amp;number=0.00344&amp;sourceID=14","0.00344")</f>
        <v>0.00344</v>
      </c>
    </row>
    <row r="664" spans="1:7">
      <c r="A664" s="3">
        <v>20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HYPERLINK("http://141.218.60.56/~jnz1568/getInfo.php?workbook=20_05.xlsx&amp;sheet=U0&amp;row=664&amp;col=6&amp;number=3&amp;sourceID=14","3")</f>
        <v>3</v>
      </c>
      <c r="G664" s="4" t="str">
        <f>HYPERLINK("http://141.218.60.56/~jnz1568/getInfo.php?workbook=20_05.xlsx&amp;sheet=U0&amp;row=664&amp;col=7&amp;number=0.00598&amp;sourceID=14","0.00598")</f>
        <v>0.00598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HYPERLINK("http://141.218.60.56/~jnz1568/getInfo.php?workbook=20_05.xlsx&amp;sheet=U0&amp;row=665&amp;col=6&amp;number=3.1&amp;sourceID=14","3.1")</f>
        <v>3.1</v>
      </c>
      <c r="G665" s="4" t="str">
        <f>HYPERLINK("http://141.218.60.56/~jnz1568/getInfo.php?workbook=20_05.xlsx&amp;sheet=U0&amp;row=665&amp;col=7&amp;number=0.00598&amp;sourceID=14","0.00598")</f>
        <v>0.00598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HYPERLINK("http://141.218.60.56/~jnz1568/getInfo.php?workbook=20_05.xlsx&amp;sheet=U0&amp;row=666&amp;col=6&amp;number=3.2&amp;sourceID=14","3.2")</f>
        <v>3.2</v>
      </c>
      <c r="G666" s="4" t="str">
        <f>HYPERLINK("http://141.218.60.56/~jnz1568/getInfo.php?workbook=20_05.xlsx&amp;sheet=U0&amp;row=666&amp;col=7&amp;number=0.00598&amp;sourceID=14","0.00598")</f>
        <v>0.00598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HYPERLINK("http://141.218.60.56/~jnz1568/getInfo.php?workbook=20_05.xlsx&amp;sheet=U0&amp;row=667&amp;col=6&amp;number=3.3&amp;sourceID=14","3.3")</f>
        <v>3.3</v>
      </c>
      <c r="G667" s="4" t="str">
        <f>HYPERLINK("http://141.218.60.56/~jnz1568/getInfo.php?workbook=20_05.xlsx&amp;sheet=U0&amp;row=667&amp;col=7&amp;number=0.00599&amp;sourceID=14","0.00599")</f>
        <v>0.00599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HYPERLINK("http://141.218.60.56/~jnz1568/getInfo.php?workbook=20_05.xlsx&amp;sheet=U0&amp;row=668&amp;col=6&amp;number=3.4&amp;sourceID=14","3.4")</f>
        <v>3.4</v>
      </c>
      <c r="G668" s="4" t="str">
        <f>HYPERLINK("http://141.218.60.56/~jnz1568/getInfo.php?workbook=20_05.xlsx&amp;sheet=U0&amp;row=668&amp;col=7&amp;number=0.00599&amp;sourceID=14","0.00599")</f>
        <v>0.00599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HYPERLINK("http://141.218.60.56/~jnz1568/getInfo.php?workbook=20_05.xlsx&amp;sheet=U0&amp;row=669&amp;col=6&amp;number=3.5&amp;sourceID=14","3.5")</f>
        <v>3.5</v>
      </c>
      <c r="G669" s="4" t="str">
        <f>HYPERLINK("http://141.218.60.56/~jnz1568/getInfo.php?workbook=20_05.xlsx&amp;sheet=U0&amp;row=669&amp;col=7&amp;number=0.006&amp;sourceID=14","0.006")</f>
        <v>0.006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HYPERLINK("http://141.218.60.56/~jnz1568/getInfo.php?workbook=20_05.xlsx&amp;sheet=U0&amp;row=670&amp;col=6&amp;number=3.6&amp;sourceID=14","3.6")</f>
        <v>3.6</v>
      </c>
      <c r="G670" s="4" t="str">
        <f>HYPERLINK("http://141.218.60.56/~jnz1568/getInfo.php?workbook=20_05.xlsx&amp;sheet=U0&amp;row=670&amp;col=7&amp;number=0.00601&amp;sourceID=14","0.00601")</f>
        <v>0.00601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HYPERLINK("http://141.218.60.56/~jnz1568/getInfo.php?workbook=20_05.xlsx&amp;sheet=U0&amp;row=671&amp;col=6&amp;number=3.7&amp;sourceID=14","3.7")</f>
        <v>3.7</v>
      </c>
      <c r="G671" s="4" t="str">
        <f>HYPERLINK("http://141.218.60.56/~jnz1568/getInfo.php?workbook=20_05.xlsx&amp;sheet=U0&amp;row=671&amp;col=7&amp;number=0.00602&amp;sourceID=14","0.00602")</f>
        <v>0.00602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HYPERLINK("http://141.218.60.56/~jnz1568/getInfo.php?workbook=20_05.xlsx&amp;sheet=U0&amp;row=672&amp;col=6&amp;number=3.8&amp;sourceID=14","3.8")</f>
        <v>3.8</v>
      </c>
      <c r="G672" s="4" t="str">
        <f>HYPERLINK("http://141.218.60.56/~jnz1568/getInfo.php?workbook=20_05.xlsx&amp;sheet=U0&amp;row=672&amp;col=7&amp;number=0.00603&amp;sourceID=14","0.00603")</f>
        <v>0.00603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HYPERLINK("http://141.218.60.56/~jnz1568/getInfo.php?workbook=20_05.xlsx&amp;sheet=U0&amp;row=673&amp;col=6&amp;number=3.9&amp;sourceID=14","3.9")</f>
        <v>3.9</v>
      </c>
      <c r="G673" s="4" t="str">
        <f>HYPERLINK("http://141.218.60.56/~jnz1568/getInfo.php?workbook=20_05.xlsx&amp;sheet=U0&amp;row=673&amp;col=7&amp;number=0.00604&amp;sourceID=14","0.00604")</f>
        <v>0.00604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HYPERLINK("http://141.218.60.56/~jnz1568/getInfo.php?workbook=20_05.xlsx&amp;sheet=U0&amp;row=674&amp;col=6&amp;number=4&amp;sourceID=14","4")</f>
        <v>4</v>
      </c>
      <c r="G674" s="4" t="str">
        <f>HYPERLINK("http://141.218.60.56/~jnz1568/getInfo.php?workbook=20_05.xlsx&amp;sheet=U0&amp;row=674&amp;col=7&amp;number=0.00606&amp;sourceID=14","0.00606")</f>
        <v>0.00606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HYPERLINK("http://141.218.60.56/~jnz1568/getInfo.php?workbook=20_05.xlsx&amp;sheet=U0&amp;row=675&amp;col=6&amp;number=4.1&amp;sourceID=14","4.1")</f>
        <v>4.1</v>
      </c>
      <c r="G675" s="4" t="str">
        <f>HYPERLINK("http://141.218.60.56/~jnz1568/getInfo.php?workbook=20_05.xlsx&amp;sheet=U0&amp;row=675&amp;col=7&amp;number=0.00609&amp;sourceID=14","0.00609")</f>
        <v>0.00609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HYPERLINK("http://141.218.60.56/~jnz1568/getInfo.php?workbook=20_05.xlsx&amp;sheet=U0&amp;row=676&amp;col=6&amp;number=4.2&amp;sourceID=14","4.2")</f>
        <v>4.2</v>
      </c>
      <c r="G676" s="4" t="str">
        <f>HYPERLINK("http://141.218.60.56/~jnz1568/getInfo.php?workbook=20_05.xlsx&amp;sheet=U0&amp;row=676&amp;col=7&amp;number=0.00612&amp;sourceID=14","0.00612")</f>
        <v>0.00612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HYPERLINK("http://141.218.60.56/~jnz1568/getInfo.php?workbook=20_05.xlsx&amp;sheet=U0&amp;row=677&amp;col=6&amp;number=4.3&amp;sourceID=14","4.3")</f>
        <v>4.3</v>
      </c>
      <c r="G677" s="4" t="str">
        <f>HYPERLINK("http://141.218.60.56/~jnz1568/getInfo.php?workbook=20_05.xlsx&amp;sheet=U0&amp;row=677&amp;col=7&amp;number=0.00615&amp;sourceID=14","0.00615")</f>
        <v>0.00615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HYPERLINK("http://141.218.60.56/~jnz1568/getInfo.php?workbook=20_05.xlsx&amp;sheet=U0&amp;row=678&amp;col=6&amp;number=4.4&amp;sourceID=14","4.4")</f>
        <v>4.4</v>
      </c>
      <c r="G678" s="4" t="str">
        <f>HYPERLINK("http://141.218.60.56/~jnz1568/getInfo.php?workbook=20_05.xlsx&amp;sheet=U0&amp;row=678&amp;col=7&amp;number=0.0062&amp;sourceID=14","0.0062")</f>
        <v>0.0062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HYPERLINK("http://141.218.60.56/~jnz1568/getInfo.php?workbook=20_05.xlsx&amp;sheet=U0&amp;row=679&amp;col=6&amp;number=4.5&amp;sourceID=14","4.5")</f>
        <v>4.5</v>
      </c>
      <c r="G679" s="4" t="str">
        <f>HYPERLINK("http://141.218.60.56/~jnz1568/getInfo.php?workbook=20_05.xlsx&amp;sheet=U0&amp;row=679&amp;col=7&amp;number=0.00625&amp;sourceID=14","0.00625")</f>
        <v>0.00625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HYPERLINK("http://141.218.60.56/~jnz1568/getInfo.php?workbook=20_05.xlsx&amp;sheet=U0&amp;row=680&amp;col=6&amp;number=4.6&amp;sourceID=14","4.6")</f>
        <v>4.6</v>
      </c>
      <c r="G680" s="4" t="str">
        <f>HYPERLINK("http://141.218.60.56/~jnz1568/getInfo.php?workbook=20_05.xlsx&amp;sheet=U0&amp;row=680&amp;col=7&amp;number=0.00631&amp;sourceID=14","0.00631")</f>
        <v>0.00631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HYPERLINK("http://141.218.60.56/~jnz1568/getInfo.php?workbook=20_05.xlsx&amp;sheet=U0&amp;row=681&amp;col=6&amp;number=4.7&amp;sourceID=14","4.7")</f>
        <v>4.7</v>
      </c>
      <c r="G681" s="4" t="str">
        <f>HYPERLINK("http://141.218.60.56/~jnz1568/getInfo.php?workbook=20_05.xlsx&amp;sheet=U0&amp;row=681&amp;col=7&amp;number=0.00637&amp;sourceID=14","0.00637")</f>
        <v>0.00637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HYPERLINK("http://141.218.60.56/~jnz1568/getInfo.php?workbook=20_05.xlsx&amp;sheet=U0&amp;row=682&amp;col=6&amp;number=4.8&amp;sourceID=14","4.8")</f>
        <v>4.8</v>
      </c>
      <c r="G682" s="4" t="str">
        <f>HYPERLINK("http://141.218.60.56/~jnz1568/getInfo.php?workbook=20_05.xlsx&amp;sheet=U0&amp;row=682&amp;col=7&amp;number=0.00643&amp;sourceID=14","0.00643")</f>
        <v>0.00643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HYPERLINK("http://141.218.60.56/~jnz1568/getInfo.php?workbook=20_05.xlsx&amp;sheet=U0&amp;row=683&amp;col=6&amp;number=4.9&amp;sourceID=14","4.9")</f>
        <v>4.9</v>
      </c>
      <c r="G683" s="4" t="str">
        <f>HYPERLINK("http://141.218.60.56/~jnz1568/getInfo.php?workbook=20_05.xlsx&amp;sheet=U0&amp;row=683&amp;col=7&amp;number=0.00648&amp;sourceID=14","0.00648")</f>
        <v>0.00648</v>
      </c>
    </row>
    <row r="684" spans="1:7">
      <c r="A684" s="3">
        <v>20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HYPERLINK("http://141.218.60.56/~jnz1568/getInfo.php?workbook=20_05.xlsx&amp;sheet=U0&amp;row=684&amp;col=6&amp;number=3&amp;sourceID=14","3")</f>
        <v>3</v>
      </c>
      <c r="G684" s="4" t="str">
        <f>HYPERLINK("http://141.218.60.56/~jnz1568/getInfo.php?workbook=20_05.xlsx&amp;sheet=U0&amp;row=684&amp;col=7&amp;number=0.217&amp;sourceID=14","0.217")</f>
        <v>0.217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HYPERLINK("http://141.218.60.56/~jnz1568/getInfo.php?workbook=20_05.xlsx&amp;sheet=U0&amp;row=685&amp;col=6&amp;number=3.1&amp;sourceID=14","3.1")</f>
        <v>3.1</v>
      </c>
      <c r="G685" s="4" t="str">
        <f>HYPERLINK("http://141.218.60.56/~jnz1568/getInfo.php?workbook=20_05.xlsx&amp;sheet=U0&amp;row=685&amp;col=7&amp;number=0.217&amp;sourceID=14","0.217")</f>
        <v>0.217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HYPERLINK("http://141.218.60.56/~jnz1568/getInfo.php?workbook=20_05.xlsx&amp;sheet=U0&amp;row=686&amp;col=6&amp;number=3.2&amp;sourceID=14","3.2")</f>
        <v>3.2</v>
      </c>
      <c r="G686" s="4" t="str">
        <f>HYPERLINK("http://141.218.60.56/~jnz1568/getInfo.php?workbook=20_05.xlsx&amp;sheet=U0&amp;row=686&amp;col=7&amp;number=0.217&amp;sourceID=14","0.217")</f>
        <v>0.217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HYPERLINK("http://141.218.60.56/~jnz1568/getInfo.php?workbook=20_05.xlsx&amp;sheet=U0&amp;row=687&amp;col=6&amp;number=3.3&amp;sourceID=14","3.3")</f>
        <v>3.3</v>
      </c>
      <c r="G687" s="4" t="str">
        <f>HYPERLINK("http://141.218.60.56/~jnz1568/getInfo.php?workbook=20_05.xlsx&amp;sheet=U0&amp;row=687&amp;col=7&amp;number=0.217&amp;sourceID=14","0.217")</f>
        <v>0.217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HYPERLINK("http://141.218.60.56/~jnz1568/getInfo.php?workbook=20_05.xlsx&amp;sheet=U0&amp;row=688&amp;col=6&amp;number=3.4&amp;sourceID=14","3.4")</f>
        <v>3.4</v>
      </c>
      <c r="G688" s="4" t="str">
        <f>HYPERLINK("http://141.218.60.56/~jnz1568/getInfo.php?workbook=20_05.xlsx&amp;sheet=U0&amp;row=688&amp;col=7&amp;number=0.217&amp;sourceID=14","0.217")</f>
        <v>0.217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HYPERLINK("http://141.218.60.56/~jnz1568/getInfo.php?workbook=20_05.xlsx&amp;sheet=U0&amp;row=689&amp;col=6&amp;number=3.5&amp;sourceID=14","3.5")</f>
        <v>3.5</v>
      </c>
      <c r="G689" s="4" t="str">
        <f>HYPERLINK("http://141.218.60.56/~jnz1568/getInfo.php?workbook=20_05.xlsx&amp;sheet=U0&amp;row=689&amp;col=7&amp;number=0.216&amp;sourceID=14","0.216")</f>
        <v>0.216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HYPERLINK("http://141.218.60.56/~jnz1568/getInfo.php?workbook=20_05.xlsx&amp;sheet=U0&amp;row=690&amp;col=6&amp;number=3.6&amp;sourceID=14","3.6")</f>
        <v>3.6</v>
      </c>
      <c r="G690" s="4" t="str">
        <f>HYPERLINK("http://141.218.60.56/~jnz1568/getInfo.php?workbook=20_05.xlsx&amp;sheet=U0&amp;row=690&amp;col=7&amp;number=0.216&amp;sourceID=14","0.216")</f>
        <v>0.216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HYPERLINK("http://141.218.60.56/~jnz1568/getInfo.php?workbook=20_05.xlsx&amp;sheet=U0&amp;row=691&amp;col=6&amp;number=3.7&amp;sourceID=14","3.7")</f>
        <v>3.7</v>
      </c>
      <c r="G691" s="4" t="str">
        <f>HYPERLINK("http://141.218.60.56/~jnz1568/getInfo.php?workbook=20_05.xlsx&amp;sheet=U0&amp;row=691&amp;col=7&amp;number=0.216&amp;sourceID=14","0.216")</f>
        <v>0.216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HYPERLINK("http://141.218.60.56/~jnz1568/getInfo.php?workbook=20_05.xlsx&amp;sheet=U0&amp;row=692&amp;col=6&amp;number=3.8&amp;sourceID=14","3.8")</f>
        <v>3.8</v>
      </c>
      <c r="G692" s="4" t="str">
        <f>HYPERLINK("http://141.218.60.56/~jnz1568/getInfo.php?workbook=20_05.xlsx&amp;sheet=U0&amp;row=692&amp;col=7&amp;number=0.215&amp;sourceID=14","0.215")</f>
        <v>0.215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HYPERLINK("http://141.218.60.56/~jnz1568/getInfo.php?workbook=20_05.xlsx&amp;sheet=U0&amp;row=693&amp;col=6&amp;number=3.9&amp;sourceID=14","3.9")</f>
        <v>3.9</v>
      </c>
      <c r="G693" s="4" t="str">
        <f>HYPERLINK("http://141.218.60.56/~jnz1568/getInfo.php?workbook=20_05.xlsx&amp;sheet=U0&amp;row=693&amp;col=7&amp;number=0.215&amp;sourceID=14","0.215")</f>
        <v>0.215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HYPERLINK("http://141.218.60.56/~jnz1568/getInfo.php?workbook=20_05.xlsx&amp;sheet=U0&amp;row=694&amp;col=6&amp;number=4&amp;sourceID=14","4")</f>
        <v>4</v>
      </c>
      <c r="G694" s="4" t="str">
        <f>HYPERLINK("http://141.218.60.56/~jnz1568/getInfo.php?workbook=20_05.xlsx&amp;sheet=U0&amp;row=694&amp;col=7&amp;number=0.214&amp;sourceID=14","0.214")</f>
        <v>0.214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HYPERLINK("http://141.218.60.56/~jnz1568/getInfo.php?workbook=20_05.xlsx&amp;sheet=U0&amp;row=695&amp;col=6&amp;number=4.1&amp;sourceID=14","4.1")</f>
        <v>4.1</v>
      </c>
      <c r="G695" s="4" t="str">
        <f>HYPERLINK("http://141.218.60.56/~jnz1568/getInfo.php?workbook=20_05.xlsx&amp;sheet=U0&amp;row=695&amp;col=7&amp;number=0.213&amp;sourceID=14","0.213")</f>
        <v>0.213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HYPERLINK("http://141.218.60.56/~jnz1568/getInfo.php?workbook=20_05.xlsx&amp;sheet=U0&amp;row=696&amp;col=6&amp;number=4.2&amp;sourceID=14","4.2")</f>
        <v>4.2</v>
      </c>
      <c r="G696" s="4" t="str">
        <f>HYPERLINK("http://141.218.60.56/~jnz1568/getInfo.php?workbook=20_05.xlsx&amp;sheet=U0&amp;row=696&amp;col=7&amp;number=0.212&amp;sourceID=14","0.212")</f>
        <v>0.212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HYPERLINK("http://141.218.60.56/~jnz1568/getInfo.php?workbook=20_05.xlsx&amp;sheet=U0&amp;row=697&amp;col=6&amp;number=4.3&amp;sourceID=14","4.3")</f>
        <v>4.3</v>
      </c>
      <c r="G697" s="4" t="str">
        <f>HYPERLINK("http://141.218.60.56/~jnz1568/getInfo.php?workbook=20_05.xlsx&amp;sheet=U0&amp;row=697&amp;col=7&amp;number=0.211&amp;sourceID=14","0.211")</f>
        <v>0.211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HYPERLINK("http://141.218.60.56/~jnz1568/getInfo.php?workbook=20_05.xlsx&amp;sheet=U0&amp;row=698&amp;col=6&amp;number=4.4&amp;sourceID=14","4.4")</f>
        <v>4.4</v>
      </c>
      <c r="G698" s="4" t="str">
        <f>HYPERLINK("http://141.218.60.56/~jnz1568/getInfo.php?workbook=20_05.xlsx&amp;sheet=U0&amp;row=698&amp;col=7&amp;number=0.209&amp;sourceID=14","0.209")</f>
        <v>0.209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HYPERLINK("http://141.218.60.56/~jnz1568/getInfo.php?workbook=20_05.xlsx&amp;sheet=U0&amp;row=699&amp;col=6&amp;number=4.5&amp;sourceID=14","4.5")</f>
        <v>4.5</v>
      </c>
      <c r="G699" s="4" t="str">
        <f>HYPERLINK("http://141.218.60.56/~jnz1568/getInfo.php?workbook=20_05.xlsx&amp;sheet=U0&amp;row=699&amp;col=7&amp;number=0.208&amp;sourceID=14","0.208")</f>
        <v>0.208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HYPERLINK("http://141.218.60.56/~jnz1568/getInfo.php?workbook=20_05.xlsx&amp;sheet=U0&amp;row=700&amp;col=6&amp;number=4.6&amp;sourceID=14","4.6")</f>
        <v>4.6</v>
      </c>
      <c r="G700" s="4" t="str">
        <f>HYPERLINK("http://141.218.60.56/~jnz1568/getInfo.php?workbook=20_05.xlsx&amp;sheet=U0&amp;row=700&amp;col=7&amp;number=0.206&amp;sourceID=14","0.206")</f>
        <v>0.206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HYPERLINK("http://141.218.60.56/~jnz1568/getInfo.php?workbook=20_05.xlsx&amp;sheet=U0&amp;row=701&amp;col=6&amp;number=4.7&amp;sourceID=14","4.7")</f>
        <v>4.7</v>
      </c>
      <c r="G701" s="4" t="str">
        <f>HYPERLINK("http://141.218.60.56/~jnz1568/getInfo.php?workbook=20_05.xlsx&amp;sheet=U0&amp;row=701&amp;col=7&amp;number=0.204&amp;sourceID=14","0.204")</f>
        <v>0.204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HYPERLINK("http://141.218.60.56/~jnz1568/getInfo.php?workbook=20_05.xlsx&amp;sheet=U0&amp;row=702&amp;col=6&amp;number=4.8&amp;sourceID=14","4.8")</f>
        <v>4.8</v>
      </c>
      <c r="G702" s="4" t="str">
        <f>HYPERLINK("http://141.218.60.56/~jnz1568/getInfo.php?workbook=20_05.xlsx&amp;sheet=U0&amp;row=702&amp;col=7&amp;number=0.202&amp;sourceID=14","0.202")</f>
        <v>0.202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HYPERLINK("http://141.218.60.56/~jnz1568/getInfo.php?workbook=20_05.xlsx&amp;sheet=U0&amp;row=703&amp;col=6&amp;number=4.9&amp;sourceID=14","4.9")</f>
        <v>4.9</v>
      </c>
      <c r="G703" s="4" t="str">
        <f>HYPERLINK("http://141.218.60.56/~jnz1568/getInfo.php?workbook=20_05.xlsx&amp;sheet=U0&amp;row=703&amp;col=7&amp;number=0.2&amp;sourceID=14","0.2")</f>
        <v>0.2</v>
      </c>
    </row>
    <row r="704" spans="1:7">
      <c r="A704" s="3">
        <v>20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HYPERLINK("http://141.218.60.56/~jnz1568/getInfo.php?workbook=20_05.xlsx&amp;sheet=U0&amp;row=704&amp;col=6&amp;number=3&amp;sourceID=14","3")</f>
        <v>3</v>
      </c>
      <c r="G704" s="4" t="str">
        <f>HYPERLINK("http://141.218.60.56/~jnz1568/getInfo.php?workbook=20_05.xlsx&amp;sheet=U0&amp;row=704&amp;col=7&amp;number=0.00642&amp;sourceID=14","0.00642")</f>
        <v>0.00642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HYPERLINK("http://141.218.60.56/~jnz1568/getInfo.php?workbook=20_05.xlsx&amp;sheet=U0&amp;row=705&amp;col=6&amp;number=3.1&amp;sourceID=14","3.1")</f>
        <v>3.1</v>
      </c>
      <c r="G705" s="4" t="str">
        <f>HYPERLINK("http://141.218.60.56/~jnz1568/getInfo.php?workbook=20_05.xlsx&amp;sheet=U0&amp;row=705&amp;col=7&amp;number=0.00642&amp;sourceID=14","0.00642")</f>
        <v>0.00642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HYPERLINK("http://141.218.60.56/~jnz1568/getInfo.php?workbook=20_05.xlsx&amp;sheet=U0&amp;row=706&amp;col=6&amp;number=3.2&amp;sourceID=14","3.2")</f>
        <v>3.2</v>
      </c>
      <c r="G706" s="4" t="str">
        <f>HYPERLINK("http://141.218.60.56/~jnz1568/getInfo.php?workbook=20_05.xlsx&amp;sheet=U0&amp;row=706&amp;col=7&amp;number=0.00642&amp;sourceID=14","0.00642")</f>
        <v>0.00642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HYPERLINK("http://141.218.60.56/~jnz1568/getInfo.php?workbook=20_05.xlsx&amp;sheet=U0&amp;row=707&amp;col=6&amp;number=3.3&amp;sourceID=14","3.3")</f>
        <v>3.3</v>
      </c>
      <c r="G707" s="4" t="str">
        <f>HYPERLINK("http://141.218.60.56/~jnz1568/getInfo.php?workbook=20_05.xlsx&amp;sheet=U0&amp;row=707&amp;col=7&amp;number=0.00642&amp;sourceID=14","0.00642")</f>
        <v>0.00642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HYPERLINK("http://141.218.60.56/~jnz1568/getInfo.php?workbook=20_05.xlsx&amp;sheet=U0&amp;row=708&amp;col=6&amp;number=3.4&amp;sourceID=14","3.4")</f>
        <v>3.4</v>
      </c>
      <c r="G708" s="4" t="str">
        <f>HYPERLINK("http://141.218.60.56/~jnz1568/getInfo.php?workbook=20_05.xlsx&amp;sheet=U0&amp;row=708&amp;col=7&amp;number=0.00642&amp;sourceID=14","0.00642")</f>
        <v>0.00642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HYPERLINK("http://141.218.60.56/~jnz1568/getInfo.php?workbook=20_05.xlsx&amp;sheet=U0&amp;row=709&amp;col=6&amp;number=3.5&amp;sourceID=14","3.5")</f>
        <v>3.5</v>
      </c>
      <c r="G709" s="4" t="str">
        <f>HYPERLINK("http://141.218.60.56/~jnz1568/getInfo.php?workbook=20_05.xlsx&amp;sheet=U0&amp;row=709&amp;col=7&amp;number=0.00643&amp;sourceID=14","0.00643")</f>
        <v>0.00643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HYPERLINK("http://141.218.60.56/~jnz1568/getInfo.php?workbook=20_05.xlsx&amp;sheet=U0&amp;row=710&amp;col=6&amp;number=3.6&amp;sourceID=14","3.6")</f>
        <v>3.6</v>
      </c>
      <c r="G710" s="4" t="str">
        <f>HYPERLINK("http://141.218.60.56/~jnz1568/getInfo.php?workbook=20_05.xlsx&amp;sheet=U0&amp;row=710&amp;col=7&amp;number=0.00643&amp;sourceID=14","0.00643")</f>
        <v>0.00643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HYPERLINK("http://141.218.60.56/~jnz1568/getInfo.php?workbook=20_05.xlsx&amp;sheet=U0&amp;row=711&amp;col=6&amp;number=3.7&amp;sourceID=14","3.7")</f>
        <v>3.7</v>
      </c>
      <c r="G711" s="4" t="str">
        <f>HYPERLINK("http://141.218.60.56/~jnz1568/getInfo.php?workbook=20_05.xlsx&amp;sheet=U0&amp;row=711&amp;col=7&amp;number=0.00643&amp;sourceID=14","0.00643")</f>
        <v>0.00643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HYPERLINK("http://141.218.60.56/~jnz1568/getInfo.php?workbook=20_05.xlsx&amp;sheet=U0&amp;row=712&amp;col=6&amp;number=3.8&amp;sourceID=14","3.8")</f>
        <v>3.8</v>
      </c>
      <c r="G712" s="4" t="str">
        <f>HYPERLINK("http://141.218.60.56/~jnz1568/getInfo.php?workbook=20_05.xlsx&amp;sheet=U0&amp;row=712&amp;col=7&amp;number=0.00644&amp;sourceID=14","0.00644")</f>
        <v>0.00644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HYPERLINK("http://141.218.60.56/~jnz1568/getInfo.php?workbook=20_05.xlsx&amp;sheet=U0&amp;row=713&amp;col=6&amp;number=3.9&amp;sourceID=14","3.9")</f>
        <v>3.9</v>
      </c>
      <c r="G713" s="4" t="str">
        <f>HYPERLINK("http://141.218.60.56/~jnz1568/getInfo.php?workbook=20_05.xlsx&amp;sheet=U0&amp;row=713&amp;col=7&amp;number=0.00644&amp;sourceID=14","0.00644")</f>
        <v>0.00644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HYPERLINK("http://141.218.60.56/~jnz1568/getInfo.php?workbook=20_05.xlsx&amp;sheet=U0&amp;row=714&amp;col=6&amp;number=4&amp;sourceID=14","4")</f>
        <v>4</v>
      </c>
      <c r="G714" s="4" t="str">
        <f>HYPERLINK("http://141.218.60.56/~jnz1568/getInfo.php?workbook=20_05.xlsx&amp;sheet=U0&amp;row=714&amp;col=7&amp;number=0.00645&amp;sourceID=14","0.00645")</f>
        <v>0.00645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HYPERLINK("http://141.218.60.56/~jnz1568/getInfo.php?workbook=20_05.xlsx&amp;sheet=U0&amp;row=715&amp;col=6&amp;number=4.1&amp;sourceID=14","4.1")</f>
        <v>4.1</v>
      </c>
      <c r="G715" s="4" t="str">
        <f>HYPERLINK("http://141.218.60.56/~jnz1568/getInfo.php?workbook=20_05.xlsx&amp;sheet=U0&amp;row=715&amp;col=7&amp;number=0.00646&amp;sourceID=14","0.00646")</f>
        <v>0.00646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HYPERLINK("http://141.218.60.56/~jnz1568/getInfo.php?workbook=20_05.xlsx&amp;sheet=U0&amp;row=716&amp;col=6&amp;number=4.2&amp;sourceID=14","4.2")</f>
        <v>4.2</v>
      </c>
      <c r="G716" s="4" t="str">
        <f>HYPERLINK("http://141.218.60.56/~jnz1568/getInfo.php?workbook=20_05.xlsx&amp;sheet=U0&amp;row=716&amp;col=7&amp;number=0.00647&amp;sourceID=14","0.00647")</f>
        <v>0.00647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HYPERLINK("http://141.218.60.56/~jnz1568/getInfo.php?workbook=20_05.xlsx&amp;sheet=U0&amp;row=717&amp;col=6&amp;number=4.3&amp;sourceID=14","4.3")</f>
        <v>4.3</v>
      </c>
      <c r="G717" s="4" t="str">
        <f>HYPERLINK("http://141.218.60.56/~jnz1568/getInfo.php?workbook=20_05.xlsx&amp;sheet=U0&amp;row=717&amp;col=7&amp;number=0.00649&amp;sourceID=14","0.00649")</f>
        <v>0.00649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HYPERLINK("http://141.218.60.56/~jnz1568/getInfo.php?workbook=20_05.xlsx&amp;sheet=U0&amp;row=718&amp;col=6&amp;number=4.4&amp;sourceID=14","4.4")</f>
        <v>4.4</v>
      </c>
      <c r="G718" s="4" t="str">
        <f>HYPERLINK("http://141.218.60.56/~jnz1568/getInfo.php?workbook=20_05.xlsx&amp;sheet=U0&amp;row=718&amp;col=7&amp;number=0.00651&amp;sourceID=14","0.00651")</f>
        <v>0.00651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HYPERLINK("http://141.218.60.56/~jnz1568/getInfo.php?workbook=20_05.xlsx&amp;sheet=U0&amp;row=719&amp;col=6&amp;number=4.5&amp;sourceID=14","4.5")</f>
        <v>4.5</v>
      </c>
      <c r="G719" s="4" t="str">
        <f>HYPERLINK("http://141.218.60.56/~jnz1568/getInfo.php?workbook=20_05.xlsx&amp;sheet=U0&amp;row=719&amp;col=7&amp;number=0.00653&amp;sourceID=14","0.00653")</f>
        <v>0.00653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HYPERLINK("http://141.218.60.56/~jnz1568/getInfo.php?workbook=20_05.xlsx&amp;sheet=U0&amp;row=720&amp;col=6&amp;number=4.6&amp;sourceID=14","4.6")</f>
        <v>4.6</v>
      </c>
      <c r="G720" s="4" t="str">
        <f>HYPERLINK("http://141.218.60.56/~jnz1568/getInfo.php?workbook=20_05.xlsx&amp;sheet=U0&amp;row=720&amp;col=7&amp;number=0.00656&amp;sourceID=14","0.00656")</f>
        <v>0.00656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HYPERLINK("http://141.218.60.56/~jnz1568/getInfo.php?workbook=20_05.xlsx&amp;sheet=U0&amp;row=721&amp;col=6&amp;number=4.7&amp;sourceID=14","4.7")</f>
        <v>4.7</v>
      </c>
      <c r="G721" s="4" t="str">
        <f>HYPERLINK("http://141.218.60.56/~jnz1568/getInfo.php?workbook=20_05.xlsx&amp;sheet=U0&amp;row=721&amp;col=7&amp;number=0.00659&amp;sourceID=14","0.00659")</f>
        <v>0.00659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HYPERLINK("http://141.218.60.56/~jnz1568/getInfo.php?workbook=20_05.xlsx&amp;sheet=U0&amp;row=722&amp;col=6&amp;number=4.8&amp;sourceID=14","4.8")</f>
        <v>4.8</v>
      </c>
      <c r="G722" s="4" t="str">
        <f>HYPERLINK("http://141.218.60.56/~jnz1568/getInfo.php?workbook=20_05.xlsx&amp;sheet=U0&amp;row=722&amp;col=7&amp;number=0.00664&amp;sourceID=14","0.00664")</f>
        <v>0.00664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HYPERLINK("http://141.218.60.56/~jnz1568/getInfo.php?workbook=20_05.xlsx&amp;sheet=U0&amp;row=723&amp;col=6&amp;number=4.9&amp;sourceID=14","4.9")</f>
        <v>4.9</v>
      </c>
      <c r="G723" s="4" t="str">
        <f>HYPERLINK("http://141.218.60.56/~jnz1568/getInfo.php?workbook=20_05.xlsx&amp;sheet=U0&amp;row=723&amp;col=7&amp;number=0.00669&amp;sourceID=14","0.00669")</f>
        <v>0.00669</v>
      </c>
    </row>
    <row r="724" spans="1:7">
      <c r="A724" s="3">
        <v>20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HYPERLINK("http://141.218.60.56/~jnz1568/getInfo.php?workbook=20_05.xlsx&amp;sheet=U0&amp;row=724&amp;col=6&amp;number=3&amp;sourceID=14","3")</f>
        <v>3</v>
      </c>
      <c r="G724" s="4" t="str">
        <f>HYPERLINK("http://141.218.60.56/~jnz1568/getInfo.php?workbook=20_05.xlsx&amp;sheet=U0&amp;row=724&amp;col=7&amp;number=0.000726&amp;sourceID=14","0.000726")</f>
        <v>0.000726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HYPERLINK("http://141.218.60.56/~jnz1568/getInfo.php?workbook=20_05.xlsx&amp;sheet=U0&amp;row=725&amp;col=6&amp;number=3.1&amp;sourceID=14","3.1")</f>
        <v>3.1</v>
      </c>
      <c r="G725" s="4" t="str">
        <f>HYPERLINK("http://141.218.60.56/~jnz1568/getInfo.php?workbook=20_05.xlsx&amp;sheet=U0&amp;row=725&amp;col=7&amp;number=0.000728&amp;sourceID=14","0.000728")</f>
        <v>0.000728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HYPERLINK("http://141.218.60.56/~jnz1568/getInfo.php?workbook=20_05.xlsx&amp;sheet=U0&amp;row=726&amp;col=6&amp;number=3.2&amp;sourceID=14","3.2")</f>
        <v>3.2</v>
      </c>
      <c r="G726" s="4" t="str">
        <f>HYPERLINK("http://141.218.60.56/~jnz1568/getInfo.php?workbook=20_05.xlsx&amp;sheet=U0&amp;row=726&amp;col=7&amp;number=0.000731&amp;sourceID=14","0.000731")</f>
        <v>0.000731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HYPERLINK("http://141.218.60.56/~jnz1568/getInfo.php?workbook=20_05.xlsx&amp;sheet=U0&amp;row=727&amp;col=6&amp;number=3.3&amp;sourceID=14","3.3")</f>
        <v>3.3</v>
      </c>
      <c r="G727" s="4" t="str">
        <f>HYPERLINK("http://141.218.60.56/~jnz1568/getInfo.php?workbook=20_05.xlsx&amp;sheet=U0&amp;row=727&amp;col=7&amp;number=0.000735&amp;sourceID=14","0.000735")</f>
        <v>0.000735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HYPERLINK("http://141.218.60.56/~jnz1568/getInfo.php?workbook=20_05.xlsx&amp;sheet=U0&amp;row=728&amp;col=6&amp;number=3.4&amp;sourceID=14","3.4")</f>
        <v>3.4</v>
      </c>
      <c r="G728" s="4" t="str">
        <f>HYPERLINK("http://141.218.60.56/~jnz1568/getInfo.php?workbook=20_05.xlsx&amp;sheet=U0&amp;row=728&amp;col=7&amp;number=0.00074&amp;sourceID=14","0.00074")</f>
        <v>0.00074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HYPERLINK("http://141.218.60.56/~jnz1568/getInfo.php?workbook=20_05.xlsx&amp;sheet=U0&amp;row=729&amp;col=6&amp;number=3.5&amp;sourceID=14","3.5")</f>
        <v>3.5</v>
      </c>
      <c r="G729" s="4" t="str">
        <f>HYPERLINK("http://141.218.60.56/~jnz1568/getInfo.php?workbook=20_05.xlsx&amp;sheet=U0&amp;row=729&amp;col=7&amp;number=0.000746&amp;sourceID=14","0.000746")</f>
        <v>0.000746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HYPERLINK("http://141.218.60.56/~jnz1568/getInfo.php?workbook=20_05.xlsx&amp;sheet=U0&amp;row=730&amp;col=6&amp;number=3.6&amp;sourceID=14","3.6")</f>
        <v>3.6</v>
      </c>
      <c r="G730" s="4" t="str">
        <f>HYPERLINK("http://141.218.60.56/~jnz1568/getInfo.php?workbook=20_05.xlsx&amp;sheet=U0&amp;row=730&amp;col=7&amp;number=0.000754&amp;sourceID=14","0.000754")</f>
        <v>0.000754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HYPERLINK("http://141.218.60.56/~jnz1568/getInfo.php?workbook=20_05.xlsx&amp;sheet=U0&amp;row=731&amp;col=6&amp;number=3.7&amp;sourceID=14","3.7")</f>
        <v>3.7</v>
      </c>
      <c r="G731" s="4" t="str">
        <f>HYPERLINK("http://141.218.60.56/~jnz1568/getInfo.php?workbook=20_05.xlsx&amp;sheet=U0&amp;row=731&amp;col=7&amp;number=0.000763&amp;sourceID=14","0.000763")</f>
        <v>0.000763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HYPERLINK("http://141.218.60.56/~jnz1568/getInfo.php?workbook=20_05.xlsx&amp;sheet=U0&amp;row=732&amp;col=6&amp;number=3.8&amp;sourceID=14","3.8")</f>
        <v>3.8</v>
      </c>
      <c r="G732" s="4" t="str">
        <f>HYPERLINK("http://141.218.60.56/~jnz1568/getInfo.php?workbook=20_05.xlsx&amp;sheet=U0&amp;row=732&amp;col=7&amp;number=0.000775&amp;sourceID=14","0.000775")</f>
        <v>0.000775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HYPERLINK("http://141.218.60.56/~jnz1568/getInfo.php?workbook=20_05.xlsx&amp;sheet=U0&amp;row=733&amp;col=6&amp;number=3.9&amp;sourceID=14","3.9")</f>
        <v>3.9</v>
      </c>
      <c r="G733" s="4" t="str">
        <f>HYPERLINK("http://141.218.60.56/~jnz1568/getInfo.php?workbook=20_05.xlsx&amp;sheet=U0&amp;row=733&amp;col=7&amp;number=0.000791&amp;sourceID=14","0.000791")</f>
        <v>0.000791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HYPERLINK("http://141.218.60.56/~jnz1568/getInfo.php?workbook=20_05.xlsx&amp;sheet=U0&amp;row=734&amp;col=6&amp;number=4&amp;sourceID=14","4")</f>
        <v>4</v>
      </c>
      <c r="G734" s="4" t="str">
        <f>HYPERLINK("http://141.218.60.56/~jnz1568/getInfo.php?workbook=20_05.xlsx&amp;sheet=U0&amp;row=734&amp;col=7&amp;number=0.000809&amp;sourceID=14","0.000809")</f>
        <v>0.000809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HYPERLINK("http://141.218.60.56/~jnz1568/getInfo.php?workbook=20_05.xlsx&amp;sheet=U0&amp;row=735&amp;col=6&amp;number=4.1&amp;sourceID=14","4.1")</f>
        <v>4.1</v>
      </c>
      <c r="G735" s="4" t="str">
        <f>HYPERLINK("http://141.218.60.56/~jnz1568/getInfo.php?workbook=20_05.xlsx&amp;sheet=U0&amp;row=735&amp;col=7&amp;number=0.000833&amp;sourceID=14","0.000833")</f>
        <v>0.000833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HYPERLINK("http://141.218.60.56/~jnz1568/getInfo.php?workbook=20_05.xlsx&amp;sheet=U0&amp;row=736&amp;col=6&amp;number=4.2&amp;sourceID=14","4.2")</f>
        <v>4.2</v>
      </c>
      <c r="G736" s="4" t="str">
        <f>HYPERLINK("http://141.218.60.56/~jnz1568/getInfo.php?workbook=20_05.xlsx&amp;sheet=U0&amp;row=736&amp;col=7&amp;number=0.000862&amp;sourceID=14","0.000862")</f>
        <v>0.000862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HYPERLINK("http://141.218.60.56/~jnz1568/getInfo.php?workbook=20_05.xlsx&amp;sheet=U0&amp;row=737&amp;col=6&amp;number=4.3&amp;sourceID=14","4.3")</f>
        <v>4.3</v>
      </c>
      <c r="G737" s="4" t="str">
        <f>HYPERLINK("http://141.218.60.56/~jnz1568/getInfo.php?workbook=20_05.xlsx&amp;sheet=U0&amp;row=737&amp;col=7&amp;number=0.000897&amp;sourceID=14","0.000897")</f>
        <v>0.000897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HYPERLINK("http://141.218.60.56/~jnz1568/getInfo.php?workbook=20_05.xlsx&amp;sheet=U0&amp;row=738&amp;col=6&amp;number=4.4&amp;sourceID=14","4.4")</f>
        <v>4.4</v>
      </c>
      <c r="G738" s="4" t="str">
        <f>HYPERLINK("http://141.218.60.56/~jnz1568/getInfo.php?workbook=20_05.xlsx&amp;sheet=U0&amp;row=738&amp;col=7&amp;number=0.00094&amp;sourceID=14","0.00094")</f>
        <v>0.00094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HYPERLINK("http://141.218.60.56/~jnz1568/getInfo.php?workbook=20_05.xlsx&amp;sheet=U0&amp;row=739&amp;col=6&amp;number=4.5&amp;sourceID=14","4.5")</f>
        <v>4.5</v>
      </c>
      <c r="G739" s="4" t="str">
        <f>HYPERLINK("http://141.218.60.56/~jnz1568/getInfo.php?workbook=20_05.xlsx&amp;sheet=U0&amp;row=739&amp;col=7&amp;number=0.000992&amp;sourceID=14","0.000992")</f>
        <v>0.000992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HYPERLINK("http://141.218.60.56/~jnz1568/getInfo.php?workbook=20_05.xlsx&amp;sheet=U0&amp;row=740&amp;col=6&amp;number=4.6&amp;sourceID=14","4.6")</f>
        <v>4.6</v>
      </c>
      <c r="G740" s="4" t="str">
        <f>HYPERLINK("http://141.218.60.56/~jnz1568/getInfo.php?workbook=20_05.xlsx&amp;sheet=U0&amp;row=740&amp;col=7&amp;number=0.00105&amp;sourceID=14","0.00105")</f>
        <v>0.00105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HYPERLINK("http://141.218.60.56/~jnz1568/getInfo.php?workbook=20_05.xlsx&amp;sheet=U0&amp;row=741&amp;col=6&amp;number=4.7&amp;sourceID=14","4.7")</f>
        <v>4.7</v>
      </c>
      <c r="G741" s="4" t="str">
        <f>HYPERLINK("http://141.218.60.56/~jnz1568/getInfo.php?workbook=20_05.xlsx&amp;sheet=U0&amp;row=741&amp;col=7&amp;number=0.00112&amp;sourceID=14","0.00112")</f>
        <v>0.00112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HYPERLINK("http://141.218.60.56/~jnz1568/getInfo.php?workbook=20_05.xlsx&amp;sheet=U0&amp;row=742&amp;col=6&amp;number=4.8&amp;sourceID=14","4.8")</f>
        <v>4.8</v>
      </c>
      <c r="G742" s="4" t="str">
        <f>HYPERLINK("http://141.218.60.56/~jnz1568/getInfo.php?workbook=20_05.xlsx&amp;sheet=U0&amp;row=742&amp;col=7&amp;number=0.00119&amp;sourceID=14","0.00119")</f>
        <v>0.00119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HYPERLINK("http://141.218.60.56/~jnz1568/getInfo.php?workbook=20_05.xlsx&amp;sheet=U0&amp;row=743&amp;col=6&amp;number=4.9&amp;sourceID=14","4.9")</f>
        <v>4.9</v>
      </c>
      <c r="G743" s="4" t="str">
        <f>HYPERLINK("http://141.218.60.56/~jnz1568/getInfo.php?workbook=20_05.xlsx&amp;sheet=U0&amp;row=743&amp;col=7&amp;number=0.00126&amp;sourceID=14","0.00126")</f>
        <v>0.00126</v>
      </c>
    </row>
    <row r="744" spans="1:7">
      <c r="A744" s="3">
        <v>20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HYPERLINK("http://141.218.60.56/~jnz1568/getInfo.php?workbook=20_05.xlsx&amp;sheet=U0&amp;row=744&amp;col=6&amp;number=3&amp;sourceID=14","3")</f>
        <v>3</v>
      </c>
      <c r="G744" s="4" t="str">
        <f>HYPERLINK("http://141.218.60.56/~jnz1568/getInfo.php?workbook=20_05.xlsx&amp;sheet=U0&amp;row=744&amp;col=7&amp;number=0.000409&amp;sourceID=14","0.000409")</f>
        <v>0.000409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HYPERLINK("http://141.218.60.56/~jnz1568/getInfo.php?workbook=20_05.xlsx&amp;sheet=U0&amp;row=745&amp;col=6&amp;number=3.1&amp;sourceID=14","3.1")</f>
        <v>3.1</v>
      </c>
      <c r="G745" s="4" t="str">
        <f>HYPERLINK("http://141.218.60.56/~jnz1568/getInfo.php?workbook=20_05.xlsx&amp;sheet=U0&amp;row=745&amp;col=7&amp;number=0.000413&amp;sourceID=14","0.000413")</f>
        <v>0.000413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HYPERLINK("http://141.218.60.56/~jnz1568/getInfo.php?workbook=20_05.xlsx&amp;sheet=U0&amp;row=746&amp;col=6&amp;number=3.2&amp;sourceID=14","3.2")</f>
        <v>3.2</v>
      </c>
      <c r="G746" s="4" t="str">
        <f>HYPERLINK("http://141.218.60.56/~jnz1568/getInfo.php?workbook=20_05.xlsx&amp;sheet=U0&amp;row=746&amp;col=7&amp;number=0.000418&amp;sourceID=14","0.000418")</f>
        <v>0.000418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HYPERLINK("http://141.218.60.56/~jnz1568/getInfo.php?workbook=20_05.xlsx&amp;sheet=U0&amp;row=747&amp;col=6&amp;number=3.3&amp;sourceID=14","3.3")</f>
        <v>3.3</v>
      </c>
      <c r="G747" s="4" t="str">
        <f>HYPERLINK("http://141.218.60.56/~jnz1568/getInfo.php?workbook=20_05.xlsx&amp;sheet=U0&amp;row=747&amp;col=7&amp;number=0.000424&amp;sourceID=14","0.000424")</f>
        <v>0.000424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HYPERLINK("http://141.218.60.56/~jnz1568/getInfo.php?workbook=20_05.xlsx&amp;sheet=U0&amp;row=748&amp;col=6&amp;number=3.4&amp;sourceID=14","3.4")</f>
        <v>3.4</v>
      </c>
      <c r="G748" s="4" t="str">
        <f>HYPERLINK("http://141.218.60.56/~jnz1568/getInfo.php?workbook=20_05.xlsx&amp;sheet=U0&amp;row=748&amp;col=7&amp;number=0.000431&amp;sourceID=14","0.000431")</f>
        <v>0.000431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HYPERLINK("http://141.218.60.56/~jnz1568/getInfo.php?workbook=20_05.xlsx&amp;sheet=U0&amp;row=749&amp;col=6&amp;number=3.5&amp;sourceID=14","3.5")</f>
        <v>3.5</v>
      </c>
      <c r="G749" s="4" t="str">
        <f>HYPERLINK("http://141.218.60.56/~jnz1568/getInfo.php?workbook=20_05.xlsx&amp;sheet=U0&amp;row=749&amp;col=7&amp;number=0.000441&amp;sourceID=14","0.000441")</f>
        <v>0.000441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HYPERLINK("http://141.218.60.56/~jnz1568/getInfo.php?workbook=20_05.xlsx&amp;sheet=U0&amp;row=750&amp;col=6&amp;number=3.6&amp;sourceID=14","3.6")</f>
        <v>3.6</v>
      </c>
      <c r="G750" s="4" t="str">
        <f>HYPERLINK("http://141.218.60.56/~jnz1568/getInfo.php?workbook=20_05.xlsx&amp;sheet=U0&amp;row=750&amp;col=7&amp;number=0.000453&amp;sourceID=14","0.000453")</f>
        <v>0.000453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HYPERLINK("http://141.218.60.56/~jnz1568/getInfo.php?workbook=20_05.xlsx&amp;sheet=U0&amp;row=751&amp;col=6&amp;number=3.7&amp;sourceID=14","3.7")</f>
        <v>3.7</v>
      </c>
      <c r="G751" s="4" t="str">
        <f>HYPERLINK("http://141.218.60.56/~jnz1568/getInfo.php?workbook=20_05.xlsx&amp;sheet=U0&amp;row=751&amp;col=7&amp;number=0.000468&amp;sourceID=14","0.000468")</f>
        <v>0.000468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HYPERLINK("http://141.218.60.56/~jnz1568/getInfo.php?workbook=20_05.xlsx&amp;sheet=U0&amp;row=752&amp;col=6&amp;number=3.8&amp;sourceID=14","3.8")</f>
        <v>3.8</v>
      </c>
      <c r="G752" s="4" t="str">
        <f>HYPERLINK("http://141.218.60.56/~jnz1568/getInfo.php?workbook=20_05.xlsx&amp;sheet=U0&amp;row=752&amp;col=7&amp;number=0.000486&amp;sourceID=14","0.000486")</f>
        <v>0.000486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HYPERLINK("http://141.218.60.56/~jnz1568/getInfo.php?workbook=20_05.xlsx&amp;sheet=U0&amp;row=753&amp;col=6&amp;number=3.9&amp;sourceID=14","3.9")</f>
        <v>3.9</v>
      </c>
      <c r="G753" s="4" t="str">
        <f>HYPERLINK("http://141.218.60.56/~jnz1568/getInfo.php?workbook=20_05.xlsx&amp;sheet=U0&amp;row=753&amp;col=7&amp;number=0.00051&amp;sourceID=14","0.00051")</f>
        <v>0.00051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HYPERLINK("http://141.218.60.56/~jnz1568/getInfo.php?workbook=20_05.xlsx&amp;sheet=U0&amp;row=754&amp;col=6&amp;number=4&amp;sourceID=14","4")</f>
        <v>4</v>
      </c>
      <c r="G754" s="4" t="str">
        <f>HYPERLINK("http://141.218.60.56/~jnz1568/getInfo.php?workbook=20_05.xlsx&amp;sheet=U0&amp;row=754&amp;col=7&amp;number=0.000539&amp;sourceID=14","0.000539")</f>
        <v>0.000539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HYPERLINK("http://141.218.60.56/~jnz1568/getInfo.php?workbook=20_05.xlsx&amp;sheet=U0&amp;row=755&amp;col=6&amp;number=4.1&amp;sourceID=14","4.1")</f>
        <v>4.1</v>
      </c>
      <c r="G755" s="4" t="str">
        <f>HYPERLINK("http://141.218.60.56/~jnz1568/getInfo.php?workbook=20_05.xlsx&amp;sheet=U0&amp;row=755&amp;col=7&amp;number=0.000575&amp;sourceID=14","0.000575")</f>
        <v>0.000575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HYPERLINK("http://141.218.60.56/~jnz1568/getInfo.php?workbook=20_05.xlsx&amp;sheet=U0&amp;row=756&amp;col=6&amp;number=4.2&amp;sourceID=14","4.2")</f>
        <v>4.2</v>
      </c>
      <c r="G756" s="4" t="str">
        <f>HYPERLINK("http://141.218.60.56/~jnz1568/getInfo.php?workbook=20_05.xlsx&amp;sheet=U0&amp;row=756&amp;col=7&amp;number=0.00062&amp;sourceID=14","0.00062")</f>
        <v>0.00062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HYPERLINK("http://141.218.60.56/~jnz1568/getInfo.php?workbook=20_05.xlsx&amp;sheet=U0&amp;row=757&amp;col=6&amp;number=4.3&amp;sourceID=14","4.3")</f>
        <v>4.3</v>
      </c>
      <c r="G757" s="4" t="str">
        <f>HYPERLINK("http://141.218.60.56/~jnz1568/getInfo.php?workbook=20_05.xlsx&amp;sheet=U0&amp;row=757&amp;col=7&amp;number=0.000675&amp;sourceID=14","0.000675")</f>
        <v>0.000675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HYPERLINK("http://141.218.60.56/~jnz1568/getInfo.php?workbook=20_05.xlsx&amp;sheet=U0&amp;row=758&amp;col=6&amp;number=4.4&amp;sourceID=14","4.4")</f>
        <v>4.4</v>
      </c>
      <c r="G758" s="4" t="str">
        <f>HYPERLINK("http://141.218.60.56/~jnz1568/getInfo.php?workbook=20_05.xlsx&amp;sheet=U0&amp;row=758&amp;col=7&amp;number=0.000742&amp;sourceID=14","0.000742")</f>
        <v>0.000742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HYPERLINK("http://141.218.60.56/~jnz1568/getInfo.php?workbook=20_05.xlsx&amp;sheet=U0&amp;row=759&amp;col=6&amp;number=4.5&amp;sourceID=14","4.5")</f>
        <v>4.5</v>
      </c>
      <c r="G759" s="4" t="str">
        <f>HYPERLINK("http://141.218.60.56/~jnz1568/getInfo.php?workbook=20_05.xlsx&amp;sheet=U0&amp;row=759&amp;col=7&amp;number=0.000823&amp;sourceID=14","0.000823")</f>
        <v>0.000823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HYPERLINK("http://141.218.60.56/~jnz1568/getInfo.php?workbook=20_05.xlsx&amp;sheet=U0&amp;row=760&amp;col=6&amp;number=4.6&amp;sourceID=14","4.6")</f>
        <v>4.6</v>
      </c>
      <c r="G760" s="4" t="str">
        <f>HYPERLINK("http://141.218.60.56/~jnz1568/getInfo.php?workbook=20_05.xlsx&amp;sheet=U0&amp;row=760&amp;col=7&amp;number=0.000919&amp;sourceID=14","0.000919")</f>
        <v>0.000919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HYPERLINK("http://141.218.60.56/~jnz1568/getInfo.php?workbook=20_05.xlsx&amp;sheet=U0&amp;row=761&amp;col=6&amp;number=4.7&amp;sourceID=14","4.7")</f>
        <v>4.7</v>
      </c>
      <c r="G761" s="4" t="str">
        <f>HYPERLINK("http://141.218.60.56/~jnz1568/getInfo.php?workbook=20_05.xlsx&amp;sheet=U0&amp;row=761&amp;col=7&amp;number=0.00103&amp;sourceID=14","0.00103")</f>
        <v>0.00103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HYPERLINK("http://141.218.60.56/~jnz1568/getInfo.php?workbook=20_05.xlsx&amp;sheet=U0&amp;row=762&amp;col=6&amp;number=4.8&amp;sourceID=14","4.8")</f>
        <v>4.8</v>
      </c>
      <c r="G762" s="4" t="str">
        <f>HYPERLINK("http://141.218.60.56/~jnz1568/getInfo.php?workbook=20_05.xlsx&amp;sheet=U0&amp;row=762&amp;col=7&amp;number=0.00115&amp;sourceID=14","0.00115")</f>
        <v>0.00115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HYPERLINK("http://141.218.60.56/~jnz1568/getInfo.php?workbook=20_05.xlsx&amp;sheet=U0&amp;row=763&amp;col=6&amp;number=4.9&amp;sourceID=14","4.9")</f>
        <v>4.9</v>
      </c>
      <c r="G763" s="4" t="str">
        <f>HYPERLINK("http://141.218.60.56/~jnz1568/getInfo.php?workbook=20_05.xlsx&amp;sheet=U0&amp;row=763&amp;col=7&amp;number=0.00126&amp;sourceID=14","0.00126")</f>
        <v>0.00126</v>
      </c>
    </row>
    <row r="764" spans="1:7">
      <c r="A764" s="3">
        <v>20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HYPERLINK("http://141.218.60.56/~jnz1568/getInfo.php?workbook=20_05.xlsx&amp;sheet=U0&amp;row=764&amp;col=6&amp;number=3&amp;sourceID=14","3")</f>
        <v>3</v>
      </c>
      <c r="G764" s="4" t="str">
        <f>HYPERLINK("http://141.218.60.56/~jnz1568/getInfo.php?workbook=20_05.xlsx&amp;sheet=U0&amp;row=764&amp;col=7&amp;number=0.00012&amp;sourceID=14","0.00012")</f>
        <v>0.00012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HYPERLINK("http://141.218.60.56/~jnz1568/getInfo.php?workbook=20_05.xlsx&amp;sheet=U0&amp;row=765&amp;col=6&amp;number=3.1&amp;sourceID=14","3.1")</f>
        <v>3.1</v>
      </c>
      <c r="G765" s="4" t="str">
        <f>HYPERLINK("http://141.218.60.56/~jnz1568/getInfo.php?workbook=20_05.xlsx&amp;sheet=U0&amp;row=765&amp;col=7&amp;number=0.000121&amp;sourceID=14","0.000121")</f>
        <v>0.000121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HYPERLINK("http://141.218.60.56/~jnz1568/getInfo.php?workbook=20_05.xlsx&amp;sheet=U0&amp;row=766&amp;col=6&amp;number=3.2&amp;sourceID=14","3.2")</f>
        <v>3.2</v>
      </c>
      <c r="G766" s="4" t="str">
        <f>HYPERLINK("http://141.218.60.56/~jnz1568/getInfo.php?workbook=20_05.xlsx&amp;sheet=U0&amp;row=766&amp;col=7&amp;number=0.000122&amp;sourceID=14","0.000122")</f>
        <v>0.000122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HYPERLINK("http://141.218.60.56/~jnz1568/getInfo.php?workbook=20_05.xlsx&amp;sheet=U0&amp;row=767&amp;col=6&amp;number=3.3&amp;sourceID=14","3.3")</f>
        <v>3.3</v>
      </c>
      <c r="G767" s="4" t="str">
        <f>HYPERLINK("http://141.218.60.56/~jnz1568/getInfo.php?workbook=20_05.xlsx&amp;sheet=U0&amp;row=767&amp;col=7&amp;number=0.000124&amp;sourceID=14","0.000124")</f>
        <v>0.000124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HYPERLINK("http://141.218.60.56/~jnz1568/getInfo.php?workbook=20_05.xlsx&amp;sheet=U0&amp;row=768&amp;col=6&amp;number=3.4&amp;sourceID=14","3.4")</f>
        <v>3.4</v>
      </c>
      <c r="G768" s="4" t="str">
        <f>HYPERLINK("http://141.218.60.56/~jnz1568/getInfo.php?workbook=20_05.xlsx&amp;sheet=U0&amp;row=768&amp;col=7&amp;number=0.000126&amp;sourceID=14","0.000126")</f>
        <v>0.000126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HYPERLINK("http://141.218.60.56/~jnz1568/getInfo.php?workbook=20_05.xlsx&amp;sheet=U0&amp;row=769&amp;col=6&amp;number=3.5&amp;sourceID=14","3.5")</f>
        <v>3.5</v>
      </c>
      <c r="G769" s="4" t="str">
        <f>HYPERLINK("http://141.218.60.56/~jnz1568/getInfo.php?workbook=20_05.xlsx&amp;sheet=U0&amp;row=769&amp;col=7&amp;number=0.000129&amp;sourceID=14","0.000129")</f>
        <v>0.000129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HYPERLINK("http://141.218.60.56/~jnz1568/getInfo.php?workbook=20_05.xlsx&amp;sheet=U0&amp;row=770&amp;col=6&amp;number=3.6&amp;sourceID=14","3.6")</f>
        <v>3.6</v>
      </c>
      <c r="G770" s="4" t="str">
        <f>HYPERLINK("http://141.218.60.56/~jnz1568/getInfo.php?workbook=20_05.xlsx&amp;sheet=U0&amp;row=770&amp;col=7&amp;number=0.000132&amp;sourceID=14","0.000132")</f>
        <v>0.000132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HYPERLINK("http://141.218.60.56/~jnz1568/getInfo.php?workbook=20_05.xlsx&amp;sheet=U0&amp;row=771&amp;col=6&amp;number=3.7&amp;sourceID=14","3.7")</f>
        <v>3.7</v>
      </c>
      <c r="G771" s="4" t="str">
        <f>HYPERLINK("http://141.218.60.56/~jnz1568/getInfo.php?workbook=20_05.xlsx&amp;sheet=U0&amp;row=771&amp;col=7&amp;number=0.000137&amp;sourceID=14","0.000137")</f>
        <v>0.000137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HYPERLINK("http://141.218.60.56/~jnz1568/getInfo.php?workbook=20_05.xlsx&amp;sheet=U0&amp;row=772&amp;col=6&amp;number=3.8&amp;sourceID=14","3.8")</f>
        <v>3.8</v>
      </c>
      <c r="G772" s="4" t="str">
        <f>HYPERLINK("http://141.218.60.56/~jnz1568/getInfo.php?workbook=20_05.xlsx&amp;sheet=U0&amp;row=772&amp;col=7&amp;number=0.000142&amp;sourceID=14","0.000142")</f>
        <v>0.000142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HYPERLINK("http://141.218.60.56/~jnz1568/getInfo.php?workbook=20_05.xlsx&amp;sheet=U0&amp;row=773&amp;col=6&amp;number=3.9&amp;sourceID=14","3.9")</f>
        <v>3.9</v>
      </c>
      <c r="G773" s="4" t="str">
        <f>HYPERLINK("http://141.218.60.56/~jnz1568/getInfo.php?workbook=20_05.xlsx&amp;sheet=U0&amp;row=773&amp;col=7&amp;number=0.000149&amp;sourceID=14","0.000149")</f>
        <v>0.000149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HYPERLINK("http://141.218.60.56/~jnz1568/getInfo.php?workbook=20_05.xlsx&amp;sheet=U0&amp;row=774&amp;col=6&amp;number=4&amp;sourceID=14","4")</f>
        <v>4</v>
      </c>
      <c r="G774" s="4" t="str">
        <f>HYPERLINK("http://141.218.60.56/~jnz1568/getInfo.php?workbook=20_05.xlsx&amp;sheet=U0&amp;row=774&amp;col=7&amp;number=0.000157&amp;sourceID=14","0.000157")</f>
        <v>0.000157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HYPERLINK("http://141.218.60.56/~jnz1568/getInfo.php?workbook=20_05.xlsx&amp;sheet=U0&amp;row=775&amp;col=6&amp;number=4.1&amp;sourceID=14","4.1")</f>
        <v>4.1</v>
      </c>
      <c r="G775" s="4" t="str">
        <f>HYPERLINK("http://141.218.60.56/~jnz1568/getInfo.php?workbook=20_05.xlsx&amp;sheet=U0&amp;row=775&amp;col=7&amp;number=0.000168&amp;sourceID=14","0.000168")</f>
        <v>0.000168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HYPERLINK("http://141.218.60.56/~jnz1568/getInfo.php?workbook=20_05.xlsx&amp;sheet=U0&amp;row=776&amp;col=6&amp;number=4.2&amp;sourceID=14","4.2")</f>
        <v>4.2</v>
      </c>
      <c r="G776" s="4" t="str">
        <f>HYPERLINK("http://141.218.60.56/~jnz1568/getInfo.php?workbook=20_05.xlsx&amp;sheet=U0&amp;row=776&amp;col=7&amp;number=0.00018&amp;sourceID=14","0.00018")</f>
        <v>0.00018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HYPERLINK("http://141.218.60.56/~jnz1568/getInfo.php?workbook=20_05.xlsx&amp;sheet=U0&amp;row=777&amp;col=6&amp;number=4.3&amp;sourceID=14","4.3")</f>
        <v>4.3</v>
      </c>
      <c r="G777" s="4" t="str">
        <f>HYPERLINK("http://141.218.60.56/~jnz1568/getInfo.php?workbook=20_05.xlsx&amp;sheet=U0&amp;row=777&amp;col=7&amp;number=0.000196&amp;sourceID=14","0.000196")</f>
        <v>0.000196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HYPERLINK("http://141.218.60.56/~jnz1568/getInfo.php?workbook=20_05.xlsx&amp;sheet=U0&amp;row=778&amp;col=6&amp;number=4.4&amp;sourceID=14","4.4")</f>
        <v>4.4</v>
      </c>
      <c r="G778" s="4" t="str">
        <f>HYPERLINK("http://141.218.60.56/~jnz1568/getInfo.php?workbook=20_05.xlsx&amp;sheet=U0&amp;row=778&amp;col=7&amp;number=0.000216&amp;sourceID=14","0.000216")</f>
        <v>0.000216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HYPERLINK("http://141.218.60.56/~jnz1568/getInfo.php?workbook=20_05.xlsx&amp;sheet=U0&amp;row=779&amp;col=6&amp;number=4.5&amp;sourceID=14","4.5")</f>
        <v>4.5</v>
      </c>
      <c r="G779" s="4" t="str">
        <f>HYPERLINK("http://141.218.60.56/~jnz1568/getInfo.php?workbook=20_05.xlsx&amp;sheet=U0&amp;row=779&amp;col=7&amp;number=0.000239&amp;sourceID=14","0.000239")</f>
        <v>0.000239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HYPERLINK("http://141.218.60.56/~jnz1568/getInfo.php?workbook=20_05.xlsx&amp;sheet=U0&amp;row=780&amp;col=6&amp;number=4.6&amp;sourceID=14","4.6")</f>
        <v>4.6</v>
      </c>
      <c r="G780" s="4" t="str">
        <f>HYPERLINK("http://141.218.60.56/~jnz1568/getInfo.php?workbook=20_05.xlsx&amp;sheet=U0&amp;row=780&amp;col=7&amp;number=0.000267&amp;sourceID=14","0.000267")</f>
        <v>0.000267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HYPERLINK("http://141.218.60.56/~jnz1568/getInfo.php?workbook=20_05.xlsx&amp;sheet=U0&amp;row=781&amp;col=6&amp;number=4.7&amp;sourceID=14","4.7")</f>
        <v>4.7</v>
      </c>
      <c r="G781" s="4" t="str">
        <f>HYPERLINK("http://141.218.60.56/~jnz1568/getInfo.php?workbook=20_05.xlsx&amp;sheet=U0&amp;row=781&amp;col=7&amp;number=0.000298&amp;sourceID=14","0.000298")</f>
        <v>0.000298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HYPERLINK("http://141.218.60.56/~jnz1568/getInfo.php?workbook=20_05.xlsx&amp;sheet=U0&amp;row=782&amp;col=6&amp;number=4.8&amp;sourceID=14","4.8")</f>
        <v>4.8</v>
      </c>
      <c r="G782" s="4" t="str">
        <f>HYPERLINK("http://141.218.60.56/~jnz1568/getInfo.php?workbook=20_05.xlsx&amp;sheet=U0&amp;row=782&amp;col=7&amp;number=0.000332&amp;sourceID=14","0.000332")</f>
        <v>0.000332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HYPERLINK("http://141.218.60.56/~jnz1568/getInfo.php?workbook=20_05.xlsx&amp;sheet=U0&amp;row=783&amp;col=6&amp;number=4.9&amp;sourceID=14","4.9")</f>
        <v>4.9</v>
      </c>
      <c r="G783" s="4" t="str">
        <f>HYPERLINK("http://141.218.60.56/~jnz1568/getInfo.php?workbook=20_05.xlsx&amp;sheet=U0&amp;row=783&amp;col=7&amp;number=0.000366&amp;sourceID=14","0.000366")</f>
        <v>0.000366</v>
      </c>
    </row>
    <row r="784" spans="1:7">
      <c r="A784" s="3">
        <v>20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HYPERLINK("http://141.218.60.56/~jnz1568/getInfo.php?workbook=20_05.xlsx&amp;sheet=U0&amp;row=784&amp;col=6&amp;number=3&amp;sourceID=14","3")</f>
        <v>3</v>
      </c>
      <c r="G784" s="4" t="str">
        <f>HYPERLINK("http://141.218.60.56/~jnz1568/getInfo.php?workbook=20_05.xlsx&amp;sheet=U0&amp;row=784&amp;col=7&amp;number=0.336&amp;sourceID=14","0.336")</f>
        <v>0.336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HYPERLINK("http://141.218.60.56/~jnz1568/getInfo.php?workbook=20_05.xlsx&amp;sheet=U0&amp;row=785&amp;col=6&amp;number=3.1&amp;sourceID=14","3.1")</f>
        <v>3.1</v>
      </c>
      <c r="G785" s="4" t="str">
        <f>HYPERLINK("http://141.218.60.56/~jnz1568/getInfo.php?workbook=20_05.xlsx&amp;sheet=U0&amp;row=785&amp;col=7&amp;number=0.336&amp;sourceID=14","0.336")</f>
        <v>0.336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HYPERLINK("http://141.218.60.56/~jnz1568/getInfo.php?workbook=20_05.xlsx&amp;sheet=U0&amp;row=786&amp;col=6&amp;number=3.2&amp;sourceID=14","3.2")</f>
        <v>3.2</v>
      </c>
      <c r="G786" s="4" t="str">
        <f>HYPERLINK("http://141.218.60.56/~jnz1568/getInfo.php?workbook=20_05.xlsx&amp;sheet=U0&amp;row=786&amp;col=7&amp;number=0.337&amp;sourceID=14","0.337")</f>
        <v>0.337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HYPERLINK("http://141.218.60.56/~jnz1568/getInfo.php?workbook=20_05.xlsx&amp;sheet=U0&amp;row=787&amp;col=6&amp;number=3.3&amp;sourceID=14","3.3")</f>
        <v>3.3</v>
      </c>
      <c r="G787" s="4" t="str">
        <f>HYPERLINK("http://141.218.60.56/~jnz1568/getInfo.php?workbook=20_05.xlsx&amp;sheet=U0&amp;row=787&amp;col=7&amp;number=0.337&amp;sourceID=14","0.337")</f>
        <v>0.337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HYPERLINK("http://141.218.60.56/~jnz1568/getInfo.php?workbook=20_05.xlsx&amp;sheet=U0&amp;row=788&amp;col=6&amp;number=3.4&amp;sourceID=14","3.4")</f>
        <v>3.4</v>
      </c>
      <c r="G788" s="4" t="str">
        <f>HYPERLINK("http://141.218.60.56/~jnz1568/getInfo.php?workbook=20_05.xlsx&amp;sheet=U0&amp;row=788&amp;col=7&amp;number=0.337&amp;sourceID=14","0.337")</f>
        <v>0.337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HYPERLINK("http://141.218.60.56/~jnz1568/getInfo.php?workbook=20_05.xlsx&amp;sheet=U0&amp;row=789&amp;col=6&amp;number=3.5&amp;sourceID=14","3.5")</f>
        <v>3.5</v>
      </c>
      <c r="G789" s="4" t="str">
        <f>HYPERLINK("http://141.218.60.56/~jnz1568/getInfo.php?workbook=20_05.xlsx&amp;sheet=U0&amp;row=789&amp;col=7&amp;number=0.337&amp;sourceID=14","0.337")</f>
        <v>0.337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HYPERLINK("http://141.218.60.56/~jnz1568/getInfo.php?workbook=20_05.xlsx&amp;sheet=U0&amp;row=790&amp;col=6&amp;number=3.6&amp;sourceID=14","3.6")</f>
        <v>3.6</v>
      </c>
      <c r="G790" s="4" t="str">
        <f>HYPERLINK("http://141.218.60.56/~jnz1568/getInfo.php?workbook=20_05.xlsx&amp;sheet=U0&amp;row=790&amp;col=7&amp;number=0.337&amp;sourceID=14","0.337")</f>
        <v>0.337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HYPERLINK("http://141.218.60.56/~jnz1568/getInfo.php?workbook=20_05.xlsx&amp;sheet=U0&amp;row=791&amp;col=6&amp;number=3.7&amp;sourceID=14","3.7")</f>
        <v>3.7</v>
      </c>
      <c r="G791" s="4" t="str">
        <f>HYPERLINK("http://141.218.60.56/~jnz1568/getInfo.php?workbook=20_05.xlsx&amp;sheet=U0&amp;row=791&amp;col=7&amp;number=0.337&amp;sourceID=14","0.337")</f>
        <v>0.337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HYPERLINK("http://141.218.60.56/~jnz1568/getInfo.php?workbook=20_05.xlsx&amp;sheet=U0&amp;row=792&amp;col=6&amp;number=3.8&amp;sourceID=14","3.8")</f>
        <v>3.8</v>
      </c>
      <c r="G792" s="4" t="str">
        <f>HYPERLINK("http://141.218.60.56/~jnz1568/getInfo.php?workbook=20_05.xlsx&amp;sheet=U0&amp;row=792&amp;col=7&amp;number=0.338&amp;sourceID=14","0.338")</f>
        <v>0.338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HYPERLINK("http://141.218.60.56/~jnz1568/getInfo.php?workbook=20_05.xlsx&amp;sheet=U0&amp;row=793&amp;col=6&amp;number=3.9&amp;sourceID=14","3.9")</f>
        <v>3.9</v>
      </c>
      <c r="G793" s="4" t="str">
        <f>HYPERLINK("http://141.218.60.56/~jnz1568/getInfo.php?workbook=20_05.xlsx&amp;sheet=U0&amp;row=793&amp;col=7&amp;number=0.338&amp;sourceID=14","0.338")</f>
        <v>0.338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HYPERLINK("http://141.218.60.56/~jnz1568/getInfo.php?workbook=20_05.xlsx&amp;sheet=U0&amp;row=794&amp;col=6&amp;number=4&amp;sourceID=14","4")</f>
        <v>4</v>
      </c>
      <c r="G794" s="4" t="str">
        <f>HYPERLINK("http://141.218.60.56/~jnz1568/getInfo.php?workbook=20_05.xlsx&amp;sheet=U0&amp;row=794&amp;col=7&amp;number=0.339&amp;sourceID=14","0.339")</f>
        <v>0.339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HYPERLINK("http://141.218.60.56/~jnz1568/getInfo.php?workbook=20_05.xlsx&amp;sheet=U0&amp;row=795&amp;col=6&amp;number=4.1&amp;sourceID=14","4.1")</f>
        <v>4.1</v>
      </c>
      <c r="G795" s="4" t="str">
        <f>HYPERLINK("http://141.218.60.56/~jnz1568/getInfo.php?workbook=20_05.xlsx&amp;sheet=U0&amp;row=795&amp;col=7&amp;number=0.339&amp;sourceID=14","0.339")</f>
        <v>0.339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HYPERLINK("http://141.218.60.56/~jnz1568/getInfo.php?workbook=20_05.xlsx&amp;sheet=U0&amp;row=796&amp;col=6&amp;number=4.2&amp;sourceID=14","4.2")</f>
        <v>4.2</v>
      </c>
      <c r="G796" s="4" t="str">
        <f>HYPERLINK("http://141.218.60.56/~jnz1568/getInfo.php?workbook=20_05.xlsx&amp;sheet=U0&amp;row=796&amp;col=7&amp;number=0.34&amp;sourceID=14","0.34")</f>
        <v>0.34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HYPERLINK("http://141.218.60.56/~jnz1568/getInfo.php?workbook=20_05.xlsx&amp;sheet=U0&amp;row=797&amp;col=6&amp;number=4.3&amp;sourceID=14","4.3")</f>
        <v>4.3</v>
      </c>
      <c r="G797" s="4" t="str">
        <f>HYPERLINK("http://141.218.60.56/~jnz1568/getInfo.php?workbook=20_05.xlsx&amp;sheet=U0&amp;row=797&amp;col=7&amp;number=0.341&amp;sourceID=14","0.341")</f>
        <v>0.341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HYPERLINK("http://141.218.60.56/~jnz1568/getInfo.php?workbook=20_05.xlsx&amp;sheet=U0&amp;row=798&amp;col=6&amp;number=4.4&amp;sourceID=14","4.4")</f>
        <v>4.4</v>
      </c>
      <c r="G798" s="4" t="str">
        <f>HYPERLINK("http://141.218.60.56/~jnz1568/getInfo.php?workbook=20_05.xlsx&amp;sheet=U0&amp;row=798&amp;col=7&amp;number=0.342&amp;sourceID=14","0.342")</f>
        <v>0.342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HYPERLINK("http://141.218.60.56/~jnz1568/getInfo.php?workbook=20_05.xlsx&amp;sheet=U0&amp;row=799&amp;col=6&amp;number=4.5&amp;sourceID=14","4.5")</f>
        <v>4.5</v>
      </c>
      <c r="G799" s="4" t="str">
        <f>HYPERLINK("http://141.218.60.56/~jnz1568/getInfo.php?workbook=20_05.xlsx&amp;sheet=U0&amp;row=799&amp;col=7&amp;number=0.343&amp;sourceID=14","0.343")</f>
        <v>0.343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HYPERLINK("http://141.218.60.56/~jnz1568/getInfo.php?workbook=20_05.xlsx&amp;sheet=U0&amp;row=800&amp;col=6&amp;number=4.6&amp;sourceID=14","4.6")</f>
        <v>4.6</v>
      </c>
      <c r="G800" s="4" t="str">
        <f>HYPERLINK("http://141.218.60.56/~jnz1568/getInfo.php?workbook=20_05.xlsx&amp;sheet=U0&amp;row=800&amp;col=7&amp;number=0.345&amp;sourceID=14","0.345")</f>
        <v>0.345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HYPERLINK("http://141.218.60.56/~jnz1568/getInfo.php?workbook=20_05.xlsx&amp;sheet=U0&amp;row=801&amp;col=6&amp;number=4.7&amp;sourceID=14","4.7")</f>
        <v>4.7</v>
      </c>
      <c r="G801" s="4" t="str">
        <f>HYPERLINK("http://141.218.60.56/~jnz1568/getInfo.php?workbook=20_05.xlsx&amp;sheet=U0&amp;row=801&amp;col=7&amp;number=0.345&amp;sourceID=14","0.345")</f>
        <v>0.345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HYPERLINK("http://141.218.60.56/~jnz1568/getInfo.php?workbook=20_05.xlsx&amp;sheet=U0&amp;row=802&amp;col=6&amp;number=4.8&amp;sourceID=14","4.8")</f>
        <v>4.8</v>
      </c>
      <c r="G802" s="4" t="str">
        <f>HYPERLINK("http://141.218.60.56/~jnz1568/getInfo.php?workbook=20_05.xlsx&amp;sheet=U0&amp;row=802&amp;col=7&amp;number=0.346&amp;sourceID=14","0.346")</f>
        <v>0.346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HYPERLINK("http://141.218.60.56/~jnz1568/getInfo.php?workbook=20_05.xlsx&amp;sheet=U0&amp;row=803&amp;col=6&amp;number=4.9&amp;sourceID=14","4.9")</f>
        <v>4.9</v>
      </c>
      <c r="G803" s="4" t="str">
        <f>HYPERLINK("http://141.218.60.56/~jnz1568/getInfo.php?workbook=20_05.xlsx&amp;sheet=U0&amp;row=803&amp;col=7&amp;number=0.344&amp;sourceID=14","0.344")</f>
        <v>0.344</v>
      </c>
    </row>
    <row r="804" spans="1:7">
      <c r="A804" s="3">
        <v>20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HYPERLINK("http://141.218.60.56/~jnz1568/getInfo.php?workbook=20_05.xlsx&amp;sheet=U0&amp;row=804&amp;col=6&amp;number=3&amp;sourceID=14","3")</f>
        <v>3</v>
      </c>
      <c r="G804" s="4" t="str">
        <f>HYPERLINK("http://141.218.60.56/~jnz1568/getInfo.php?workbook=20_05.xlsx&amp;sheet=U0&amp;row=804&amp;col=7&amp;number=0.0364&amp;sourceID=14","0.0364")</f>
        <v>0.0364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HYPERLINK("http://141.218.60.56/~jnz1568/getInfo.php?workbook=20_05.xlsx&amp;sheet=U0&amp;row=805&amp;col=6&amp;number=3.1&amp;sourceID=14","3.1")</f>
        <v>3.1</v>
      </c>
      <c r="G805" s="4" t="str">
        <f>HYPERLINK("http://141.218.60.56/~jnz1568/getInfo.php?workbook=20_05.xlsx&amp;sheet=U0&amp;row=805&amp;col=7&amp;number=0.0364&amp;sourceID=14","0.0364")</f>
        <v>0.0364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HYPERLINK("http://141.218.60.56/~jnz1568/getInfo.php?workbook=20_05.xlsx&amp;sheet=U0&amp;row=806&amp;col=6&amp;number=3.2&amp;sourceID=14","3.2")</f>
        <v>3.2</v>
      </c>
      <c r="G806" s="4" t="str">
        <f>HYPERLINK("http://141.218.60.56/~jnz1568/getInfo.php?workbook=20_05.xlsx&amp;sheet=U0&amp;row=806&amp;col=7&amp;number=0.0364&amp;sourceID=14","0.0364")</f>
        <v>0.0364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HYPERLINK("http://141.218.60.56/~jnz1568/getInfo.php?workbook=20_05.xlsx&amp;sheet=U0&amp;row=807&amp;col=6&amp;number=3.3&amp;sourceID=14","3.3")</f>
        <v>3.3</v>
      </c>
      <c r="G807" s="4" t="str">
        <f>HYPERLINK("http://141.218.60.56/~jnz1568/getInfo.php?workbook=20_05.xlsx&amp;sheet=U0&amp;row=807&amp;col=7&amp;number=0.0364&amp;sourceID=14","0.0364")</f>
        <v>0.0364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HYPERLINK("http://141.218.60.56/~jnz1568/getInfo.php?workbook=20_05.xlsx&amp;sheet=U0&amp;row=808&amp;col=6&amp;number=3.4&amp;sourceID=14","3.4")</f>
        <v>3.4</v>
      </c>
      <c r="G808" s="4" t="str">
        <f>HYPERLINK("http://141.218.60.56/~jnz1568/getInfo.php?workbook=20_05.xlsx&amp;sheet=U0&amp;row=808&amp;col=7&amp;number=0.0365&amp;sourceID=14","0.0365")</f>
        <v>0.0365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HYPERLINK("http://141.218.60.56/~jnz1568/getInfo.php?workbook=20_05.xlsx&amp;sheet=U0&amp;row=809&amp;col=6&amp;number=3.5&amp;sourceID=14","3.5")</f>
        <v>3.5</v>
      </c>
      <c r="G809" s="4" t="str">
        <f>HYPERLINK("http://141.218.60.56/~jnz1568/getInfo.php?workbook=20_05.xlsx&amp;sheet=U0&amp;row=809&amp;col=7&amp;number=0.0365&amp;sourceID=14","0.0365")</f>
        <v>0.0365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HYPERLINK("http://141.218.60.56/~jnz1568/getInfo.php?workbook=20_05.xlsx&amp;sheet=U0&amp;row=810&amp;col=6&amp;number=3.6&amp;sourceID=14","3.6")</f>
        <v>3.6</v>
      </c>
      <c r="G810" s="4" t="str">
        <f>HYPERLINK("http://141.218.60.56/~jnz1568/getInfo.php?workbook=20_05.xlsx&amp;sheet=U0&amp;row=810&amp;col=7&amp;number=0.0365&amp;sourceID=14","0.0365")</f>
        <v>0.0365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HYPERLINK("http://141.218.60.56/~jnz1568/getInfo.php?workbook=20_05.xlsx&amp;sheet=U0&amp;row=811&amp;col=6&amp;number=3.7&amp;sourceID=14","3.7")</f>
        <v>3.7</v>
      </c>
      <c r="G811" s="4" t="str">
        <f>HYPERLINK("http://141.218.60.56/~jnz1568/getInfo.php?workbook=20_05.xlsx&amp;sheet=U0&amp;row=811&amp;col=7&amp;number=0.0366&amp;sourceID=14","0.0366")</f>
        <v>0.0366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HYPERLINK("http://141.218.60.56/~jnz1568/getInfo.php?workbook=20_05.xlsx&amp;sheet=U0&amp;row=812&amp;col=6&amp;number=3.8&amp;sourceID=14","3.8")</f>
        <v>3.8</v>
      </c>
      <c r="G812" s="4" t="str">
        <f>HYPERLINK("http://141.218.60.56/~jnz1568/getInfo.php?workbook=20_05.xlsx&amp;sheet=U0&amp;row=812&amp;col=7&amp;number=0.0366&amp;sourceID=14","0.0366")</f>
        <v>0.0366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HYPERLINK("http://141.218.60.56/~jnz1568/getInfo.php?workbook=20_05.xlsx&amp;sheet=U0&amp;row=813&amp;col=6&amp;number=3.9&amp;sourceID=14","3.9")</f>
        <v>3.9</v>
      </c>
      <c r="G813" s="4" t="str">
        <f>HYPERLINK("http://141.218.60.56/~jnz1568/getInfo.php?workbook=20_05.xlsx&amp;sheet=U0&amp;row=813&amp;col=7&amp;number=0.0367&amp;sourceID=14","0.0367")</f>
        <v>0.0367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HYPERLINK("http://141.218.60.56/~jnz1568/getInfo.php?workbook=20_05.xlsx&amp;sheet=U0&amp;row=814&amp;col=6&amp;number=4&amp;sourceID=14","4")</f>
        <v>4</v>
      </c>
      <c r="G814" s="4" t="str">
        <f>HYPERLINK("http://141.218.60.56/~jnz1568/getInfo.php?workbook=20_05.xlsx&amp;sheet=U0&amp;row=814&amp;col=7&amp;number=0.0368&amp;sourceID=14","0.0368")</f>
        <v>0.0368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HYPERLINK("http://141.218.60.56/~jnz1568/getInfo.php?workbook=20_05.xlsx&amp;sheet=U0&amp;row=815&amp;col=6&amp;number=4.1&amp;sourceID=14","4.1")</f>
        <v>4.1</v>
      </c>
      <c r="G815" s="4" t="str">
        <f>HYPERLINK("http://141.218.60.56/~jnz1568/getInfo.php?workbook=20_05.xlsx&amp;sheet=U0&amp;row=815&amp;col=7&amp;number=0.0369&amp;sourceID=14","0.0369")</f>
        <v>0.0369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HYPERLINK("http://141.218.60.56/~jnz1568/getInfo.php?workbook=20_05.xlsx&amp;sheet=U0&amp;row=816&amp;col=6&amp;number=4.2&amp;sourceID=14","4.2")</f>
        <v>4.2</v>
      </c>
      <c r="G816" s="4" t="str">
        <f>HYPERLINK("http://141.218.60.56/~jnz1568/getInfo.php?workbook=20_05.xlsx&amp;sheet=U0&amp;row=816&amp;col=7&amp;number=0.037&amp;sourceID=14","0.037")</f>
        <v>0.037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HYPERLINK("http://141.218.60.56/~jnz1568/getInfo.php?workbook=20_05.xlsx&amp;sheet=U0&amp;row=817&amp;col=6&amp;number=4.3&amp;sourceID=14","4.3")</f>
        <v>4.3</v>
      </c>
      <c r="G817" s="4" t="str">
        <f>HYPERLINK("http://141.218.60.56/~jnz1568/getInfo.php?workbook=20_05.xlsx&amp;sheet=U0&amp;row=817&amp;col=7&amp;number=0.0371&amp;sourceID=14","0.0371")</f>
        <v>0.0371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HYPERLINK("http://141.218.60.56/~jnz1568/getInfo.php?workbook=20_05.xlsx&amp;sheet=U0&amp;row=818&amp;col=6&amp;number=4.4&amp;sourceID=14","4.4")</f>
        <v>4.4</v>
      </c>
      <c r="G818" s="4" t="str">
        <f>HYPERLINK("http://141.218.60.56/~jnz1568/getInfo.php?workbook=20_05.xlsx&amp;sheet=U0&amp;row=818&amp;col=7&amp;number=0.0373&amp;sourceID=14","0.0373")</f>
        <v>0.0373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HYPERLINK("http://141.218.60.56/~jnz1568/getInfo.php?workbook=20_05.xlsx&amp;sheet=U0&amp;row=819&amp;col=6&amp;number=4.5&amp;sourceID=14","4.5")</f>
        <v>4.5</v>
      </c>
      <c r="G819" s="4" t="str">
        <f>HYPERLINK("http://141.218.60.56/~jnz1568/getInfo.php?workbook=20_05.xlsx&amp;sheet=U0&amp;row=819&amp;col=7&amp;number=0.0375&amp;sourceID=14","0.0375")</f>
        <v>0.0375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HYPERLINK("http://141.218.60.56/~jnz1568/getInfo.php?workbook=20_05.xlsx&amp;sheet=U0&amp;row=820&amp;col=6&amp;number=4.6&amp;sourceID=14","4.6")</f>
        <v>4.6</v>
      </c>
      <c r="G820" s="4" t="str">
        <f>HYPERLINK("http://141.218.60.56/~jnz1568/getInfo.php?workbook=20_05.xlsx&amp;sheet=U0&amp;row=820&amp;col=7&amp;number=0.0378&amp;sourceID=14","0.0378")</f>
        <v>0.0378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HYPERLINK("http://141.218.60.56/~jnz1568/getInfo.php?workbook=20_05.xlsx&amp;sheet=U0&amp;row=821&amp;col=6&amp;number=4.7&amp;sourceID=14","4.7")</f>
        <v>4.7</v>
      </c>
      <c r="G821" s="4" t="str">
        <f>HYPERLINK("http://141.218.60.56/~jnz1568/getInfo.php?workbook=20_05.xlsx&amp;sheet=U0&amp;row=821&amp;col=7&amp;number=0.038&amp;sourceID=14","0.038")</f>
        <v>0.038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HYPERLINK("http://141.218.60.56/~jnz1568/getInfo.php?workbook=20_05.xlsx&amp;sheet=U0&amp;row=822&amp;col=6&amp;number=4.8&amp;sourceID=14","4.8")</f>
        <v>4.8</v>
      </c>
      <c r="G822" s="4" t="str">
        <f>HYPERLINK("http://141.218.60.56/~jnz1568/getInfo.php?workbook=20_05.xlsx&amp;sheet=U0&amp;row=822&amp;col=7&amp;number=0.0383&amp;sourceID=14","0.0383")</f>
        <v>0.0383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HYPERLINK("http://141.218.60.56/~jnz1568/getInfo.php?workbook=20_05.xlsx&amp;sheet=U0&amp;row=823&amp;col=6&amp;number=4.9&amp;sourceID=14","4.9")</f>
        <v>4.9</v>
      </c>
      <c r="G823" s="4" t="str">
        <f>HYPERLINK("http://141.218.60.56/~jnz1568/getInfo.php?workbook=20_05.xlsx&amp;sheet=U0&amp;row=823&amp;col=7&amp;number=0.0386&amp;sourceID=14","0.0386")</f>
        <v>0.0386</v>
      </c>
    </row>
    <row r="824" spans="1:7">
      <c r="A824" s="3">
        <v>20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HYPERLINK("http://141.218.60.56/~jnz1568/getInfo.php?workbook=20_05.xlsx&amp;sheet=U0&amp;row=824&amp;col=6&amp;number=3&amp;sourceID=14","3")</f>
        <v>3</v>
      </c>
      <c r="G824" s="4" t="str">
        <f>HYPERLINK("http://141.218.60.56/~jnz1568/getInfo.php?workbook=20_05.xlsx&amp;sheet=U0&amp;row=824&amp;col=7&amp;number=0.0402&amp;sourceID=14","0.0402")</f>
        <v>0.0402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HYPERLINK("http://141.218.60.56/~jnz1568/getInfo.php?workbook=20_05.xlsx&amp;sheet=U0&amp;row=825&amp;col=6&amp;number=3.1&amp;sourceID=14","3.1")</f>
        <v>3.1</v>
      </c>
      <c r="G825" s="4" t="str">
        <f>HYPERLINK("http://141.218.60.56/~jnz1568/getInfo.php?workbook=20_05.xlsx&amp;sheet=U0&amp;row=825&amp;col=7&amp;number=0.0402&amp;sourceID=14","0.0402")</f>
        <v>0.0402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HYPERLINK("http://141.218.60.56/~jnz1568/getInfo.php?workbook=20_05.xlsx&amp;sheet=U0&amp;row=826&amp;col=6&amp;number=3.2&amp;sourceID=14","3.2")</f>
        <v>3.2</v>
      </c>
      <c r="G826" s="4" t="str">
        <f>HYPERLINK("http://141.218.60.56/~jnz1568/getInfo.php?workbook=20_05.xlsx&amp;sheet=U0&amp;row=826&amp;col=7&amp;number=0.0403&amp;sourceID=14","0.0403")</f>
        <v>0.0403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HYPERLINK("http://141.218.60.56/~jnz1568/getInfo.php?workbook=20_05.xlsx&amp;sheet=U0&amp;row=827&amp;col=6&amp;number=3.3&amp;sourceID=14","3.3")</f>
        <v>3.3</v>
      </c>
      <c r="G827" s="4" t="str">
        <f>HYPERLINK("http://141.218.60.56/~jnz1568/getInfo.php?workbook=20_05.xlsx&amp;sheet=U0&amp;row=827&amp;col=7&amp;number=0.0403&amp;sourceID=14","0.0403")</f>
        <v>0.0403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HYPERLINK("http://141.218.60.56/~jnz1568/getInfo.php?workbook=20_05.xlsx&amp;sheet=U0&amp;row=828&amp;col=6&amp;number=3.4&amp;sourceID=14","3.4")</f>
        <v>3.4</v>
      </c>
      <c r="G828" s="4" t="str">
        <f>HYPERLINK("http://141.218.60.56/~jnz1568/getInfo.php?workbook=20_05.xlsx&amp;sheet=U0&amp;row=828&amp;col=7&amp;number=0.0403&amp;sourceID=14","0.0403")</f>
        <v>0.0403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HYPERLINK("http://141.218.60.56/~jnz1568/getInfo.php?workbook=20_05.xlsx&amp;sheet=U0&amp;row=829&amp;col=6&amp;number=3.5&amp;sourceID=14","3.5")</f>
        <v>3.5</v>
      </c>
      <c r="G829" s="4" t="str">
        <f>HYPERLINK("http://141.218.60.56/~jnz1568/getInfo.php?workbook=20_05.xlsx&amp;sheet=U0&amp;row=829&amp;col=7&amp;number=0.0403&amp;sourceID=14","0.0403")</f>
        <v>0.0403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HYPERLINK("http://141.218.60.56/~jnz1568/getInfo.php?workbook=20_05.xlsx&amp;sheet=U0&amp;row=830&amp;col=6&amp;number=3.6&amp;sourceID=14","3.6")</f>
        <v>3.6</v>
      </c>
      <c r="G830" s="4" t="str">
        <f>HYPERLINK("http://141.218.60.56/~jnz1568/getInfo.php?workbook=20_05.xlsx&amp;sheet=U0&amp;row=830&amp;col=7&amp;number=0.0404&amp;sourceID=14","0.0404")</f>
        <v>0.0404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HYPERLINK("http://141.218.60.56/~jnz1568/getInfo.php?workbook=20_05.xlsx&amp;sheet=U0&amp;row=831&amp;col=6&amp;number=3.7&amp;sourceID=14","3.7")</f>
        <v>3.7</v>
      </c>
      <c r="G831" s="4" t="str">
        <f>HYPERLINK("http://141.218.60.56/~jnz1568/getInfo.php?workbook=20_05.xlsx&amp;sheet=U0&amp;row=831&amp;col=7&amp;number=0.0404&amp;sourceID=14","0.0404")</f>
        <v>0.0404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HYPERLINK("http://141.218.60.56/~jnz1568/getInfo.php?workbook=20_05.xlsx&amp;sheet=U0&amp;row=832&amp;col=6&amp;number=3.8&amp;sourceID=14","3.8")</f>
        <v>3.8</v>
      </c>
      <c r="G832" s="4" t="str">
        <f>HYPERLINK("http://141.218.60.56/~jnz1568/getInfo.php?workbook=20_05.xlsx&amp;sheet=U0&amp;row=832&amp;col=7&amp;number=0.0405&amp;sourceID=14","0.0405")</f>
        <v>0.0405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HYPERLINK("http://141.218.60.56/~jnz1568/getInfo.php?workbook=20_05.xlsx&amp;sheet=U0&amp;row=833&amp;col=6&amp;number=3.9&amp;sourceID=14","3.9")</f>
        <v>3.9</v>
      </c>
      <c r="G833" s="4" t="str">
        <f>HYPERLINK("http://141.218.60.56/~jnz1568/getInfo.php?workbook=20_05.xlsx&amp;sheet=U0&amp;row=833&amp;col=7&amp;number=0.0406&amp;sourceID=14","0.0406")</f>
        <v>0.0406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HYPERLINK("http://141.218.60.56/~jnz1568/getInfo.php?workbook=20_05.xlsx&amp;sheet=U0&amp;row=834&amp;col=6&amp;number=4&amp;sourceID=14","4")</f>
        <v>4</v>
      </c>
      <c r="G834" s="4" t="str">
        <f>HYPERLINK("http://141.218.60.56/~jnz1568/getInfo.php?workbook=20_05.xlsx&amp;sheet=U0&amp;row=834&amp;col=7&amp;number=0.0407&amp;sourceID=14","0.0407")</f>
        <v>0.0407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HYPERLINK("http://141.218.60.56/~jnz1568/getInfo.php?workbook=20_05.xlsx&amp;sheet=U0&amp;row=835&amp;col=6&amp;number=4.1&amp;sourceID=14","4.1")</f>
        <v>4.1</v>
      </c>
      <c r="G835" s="4" t="str">
        <f>HYPERLINK("http://141.218.60.56/~jnz1568/getInfo.php?workbook=20_05.xlsx&amp;sheet=U0&amp;row=835&amp;col=7&amp;number=0.0408&amp;sourceID=14","0.0408")</f>
        <v>0.0408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HYPERLINK("http://141.218.60.56/~jnz1568/getInfo.php?workbook=20_05.xlsx&amp;sheet=U0&amp;row=836&amp;col=6&amp;number=4.2&amp;sourceID=14","4.2")</f>
        <v>4.2</v>
      </c>
      <c r="G836" s="4" t="str">
        <f>HYPERLINK("http://141.218.60.56/~jnz1568/getInfo.php?workbook=20_05.xlsx&amp;sheet=U0&amp;row=836&amp;col=7&amp;number=0.0409&amp;sourceID=14","0.0409")</f>
        <v>0.0409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HYPERLINK("http://141.218.60.56/~jnz1568/getInfo.php?workbook=20_05.xlsx&amp;sheet=U0&amp;row=837&amp;col=6&amp;number=4.3&amp;sourceID=14","4.3")</f>
        <v>4.3</v>
      </c>
      <c r="G837" s="4" t="str">
        <f>HYPERLINK("http://141.218.60.56/~jnz1568/getInfo.php?workbook=20_05.xlsx&amp;sheet=U0&amp;row=837&amp;col=7&amp;number=0.0411&amp;sourceID=14","0.0411")</f>
        <v>0.0411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HYPERLINK("http://141.218.60.56/~jnz1568/getInfo.php?workbook=20_05.xlsx&amp;sheet=U0&amp;row=838&amp;col=6&amp;number=4.4&amp;sourceID=14","4.4")</f>
        <v>4.4</v>
      </c>
      <c r="G838" s="4" t="str">
        <f>HYPERLINK("http://141.218.60.56/~jnz1568/getInfo.php?workbook=20_05.xlsx&amp;sheet=U0&amp;row=838&amp;col=7&amp;number=0.0414&amp;sourceID=14","0.0414")</f>
        <v>0.0414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HYPERLINK("http://141.218.60.56/~jnz1568/getInfo.php?workbook=20_05.xlsx&amp;sheet=U0&amp;row=839&amp;col=6&amp;number=4.5&amp;sourceID=14","4.5")</f>
        <v>4.5</v>
      </c>
      <c r="G839" s="4" t="str">
        <f>HYPERLINK("http://141.218.60.56/~jnz1568/getInfo.php?workbook=20_05.xlsx&amp;sheet=U0&amp;row=839&amp;col=7&amp;number=0.0416&amp;sourceID=14","0.0416")</f>
        <v>0.0416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HYPERLINK("http://141.218.60.56/~jnz1568/getInfo.php?workbook=20_05.xlsx&amp;sheet=U0&amp;row=840&amp;col=6&amp;number=4.6&amp;sourceID=14","4.6")</f>
        <v>4.6</v>
      </c>
      <c r="G840" s="4" t="str">
        <f>HYPERLINK("http://141.218.60.56/~jnz1568/getInfo.php?workbook=20_05.xlsx&amp;sheet=U0&amp;row=840&amp;col=7&amp;number=0.0419&amp;sourceID=14","0.0419")</f>
        <v>0.0419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HYPERLINK("http://141.218.60.56/~jnz1568/getInfo.php?workbook=20_05.xlsx&amp;sheet=U0&amp;row=841&amp;col=6&amp;number=4.7&amp;sourceID=14","4.7")</f>
        <v>4.7</v>
      </c>
      <c r="G841" s="4" t="str">
        <f>HYPERLINK("http://141.218.60.56/~jnz1568/getInfo.php?workbook=20_05.xlsx&amp;sheet=U0&amp;row=841&amp;col=7&amp;number=0.0423&amp;sourceID=14","0.0423")</f>
        <v>0.0423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HYPERLINK("http://141.218.60.56/~jnz1568/getInfo.php?workbook=20_05.xlsx&amp;sheet=U0&amp;row=842&amp;col=6&amp;number=4.8&amp;sourceID=14","4.8")</f>
        <v>4.8</v>
      </c>
      <c r="G842" s="4" t="str">
        <f>HYPERLINK("http://141.218.60.56/~jnz1568/getInfo.php?workbook=20_05.xlsx&amp;sheet=U0&amp;row=842&amp;col=7&amp;number=0.0427&amp;sourceID=14","0.0427")</f>
        <v>0.0427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HYPERLINK("http://141.218.60.56/~jnz1568/getInfo.php?workbook=20_05.xlsx&amp;sheet=U0&amp;row=843&amp;col=6&amp;number=4.9&amp;sourceID=14","4.9")</f>
        <v>4.9</v>
      </c>
      <c r="G843" s="4" t="str">
        <f>HYPERLINK("http://141.218.60.56/~jnz1568/getInfo.php?workbook=20_05.xlsx&amp;sheet=U0&amp;row=843&amp;col=7&amp;number=0.0431&amp;sourceID=14","0.0431")</f>
        <v>0.0431</v>
      </c>
    </row>
    <row r="844" spans="1:7">
      <c r="A844" s="3">
        <v>20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HYPERLINK("http://141.218.60.56/~jnz1568/getInfo.php?workbook=20_05.xlsx&amp;sheet=U0&amp;row=844&amp;col=6&amp;number=3&amp;sourceID=14","3")</f>
        <v>3</v>
      </c>
      <c r="G844" s="4" t="str">
        <f>HYPERLINK("http://141.218.60.56/~jnz1568/getInfo.php?workbook=20_05.xlsx&amp;sheet=U0&amp;row=844&amp;col=7&amp;number=0.00972&amp;sourceID=14","0.00972")</f>
        <v>0.00972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HYPERLINK("http://141.218.60.56/~jnz1568/getInfo.php?workbook=20_05.xlsx&amp;sheet=U0&amp;row=845&amp;col=6&amp;number=3.1&amp;sourceID=14","3.1")</f>
        <v>3.1</v>
      </c>
      <c r="G845" s="4" t="str">
        <f>HYPERLINK("http://141.218.60.56/~jnz1568/getInfo.php?workbook=20_05.xlsx&amp;sheet=U0&amp;row=845&amp;col=7&amp;number=0.00973&amp;sourceID=14","0.00973")</f>
        <v>0.00973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HYPERLINK("http://141.218.60.56/~jnz1568/getInfo.php?workbook=20_05.xlsx&amp;sheet=U0&amp;row=846&amp;col=6&amp;number=3.2&amp;sourceID=14","3.2")</f>
        <v>3.2</v>
      </c>
      <c r="G846" s="4" t="str">
        <f>HYPERLINK("http://141.218.60.56/~jnz1568/getInfo.php?workbook=20_05.xlsx&amp;sheet=U0&amp;row=846&amp;col=7&amp;number=0.00973&amp;sourceID=14","0.00973")</f>
        <v>0.00973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HYPERLINK("http://141.218.60.56/~jnz1568/getInfo.php?workbook=20_05.xlsx&amp;sheet=U0&amp;row=847&amp;col=6&amp;number=3.3&amp;sourceID=14","3.3")</f>
        <v>3.3</v>
      </c>
      <c r="G847" s="4" t="str">
        <f>HYPERLINK("http://141.218.60.56/~jnz1568/getInfo.php?workbook=20_05.xlsx&amp;sheet=U0&amp;row=847&amp;col=7&amp;number=0.00974&amp;sourceID=14","0.00974")</f>
        <v>0.00974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HYPERLINK("http://141.218.60.56/~jnz1568/getInfo.php?workbook=20_05.xlsx&amp;sheet=U0&amp;row=848&amp;col=6&amp;number=3.4&amp;sourceID=14","3.4")</f>
        <v>3.4</v>
      </c>
      <c r="G848" s="4" t="str">
        <f>HYPERLINK("http://141.218.60.56/~jnz1568/getInfo.php?workbook=20_05.xlsx&amp;sheet=U0&amp;row=848&amp;col=7&amp;number=0.00975&amp;sourceID=14","0.00975")</f>
        <v>0.00975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HYPERLINK("http://141.218.60.56/~jnz1568/getInfo.php?workbook=20_05.xlsx&amp;sheet=U0&amp;row=849&amp;col=6&amp;number=3.5&amp;sourceID=14","3.5")</f>
        <v>3.5</v>
      </c>
      <c r="G849" s="4" t="str">
        <f>HYPERLINK("http://141.218.60.56/~jnz1568/getInfo.php?workbook=20_05.xlsx&amp;sheet=U0&amp;row=849&amp;col=7&amp;number=0.00975&amp;sourceID=14","0.00975")</f>
        <v>0.00975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HYPERLINK("http://141.218.60.56/~jnz1568/getInfo.php?workbook=20_05.xlsx&amp;sheet=U0&amp;row=850&amp;col=6&amp;number=3.6&amp;sourceID=14","3.6")</f>
        <v>3.6</v>
      </c>
      <c r="G850" s="4" t="str">
        <f>HYPERLINK("http://141.218.60.56/~jnz1568/getInfo.php?workbook=20_05.xlsx&amp;sheet=U0&amp;row=850&amp;col=7&amp;number=0.00977&amp;sourceID=14","0.00977")</f>
        <v>0.00977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HYPERLINK("http://141.218.60.56/~jnz1568/getInfo.php?workbook=20_05.xlsx&amp;sheet=U0&amp;row=851&amp;col=6&amp;number=3.7&amp;sourceID=14","3.7")</f>
        <v>3.7</v>
      </c>
      <c r="G851" s="4" t="str">
        <f>HYPERLINK("http://141.218.60.56/~jnz1568/getInfo.php?workbook=20_05.xlsx&amp;sheet=U0&amp;row=851&amp;col=7&amp;number=0.00978&amp;sourceID=14","0.00978")</f>
        <v>0.00978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HYPERLINK("http://141.218.60.56/~jnz1568/getInfo.php?workbook=20_05.xlsx&amp;sheet=U0&amp;row=852&amp;col=6&amp;number=3.8&amp;sourceID=14","3.8")</f>
        <v>3.8</v>
      </c>
      <c r="G852" s="4" t="str">
        <f>HYPERLINK("http://141.218.60.56/~jnz1568/getInfo.php?workbook=20_05.xlsx&amp;sheet=U0&amp;row=852&amp;col=7&amp;number=0.0098&amp;sourceID=14","0.0098")</f>
        <v>0.0098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HYPERLINK("http://141.218.60.56/~jnz1568/getInfo.php?workbook=20_05.xlsx&amp;sheet=U0&amp;row=853&amp;col=6&amp;number=3.9&amp;sourceID=14","3.9")</f>
        <v>3.9</v>
      </c>
      <c r="G853" s="4" t="str">
        <f>HYPERLINK("http://141.218.60.56/~jnz1568/getInfo.php?workbook=20_05.xlsx&amp;sheet=U0&amp;row=853&amp;col=7&amp;number=0.00982&amp;sourceID=14","0.00982")</f>
        <v>0.00982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HYPERLINK("http://141.218.60.56/~jnz1568/getInfo.php?workbook=20_05.xlsx&amp;sheet=U0&amp;row=854&amp;col=6&amp;number=4&amp;sourceID=14","4")</f>
        <v>4</v>
      </c>
      <c r="G854" s="4" t="str">
        <f>HYPERLINK("http://141.218.60.56/~jnz1568/getInfo.php?workbook=20_05.xlsx&amp;sheet=U0&amp;row=854&amp;col=7&amp;number=0.00985&amp;sourceID=14","0.00985")</f>
        <v>0.00985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HYPERLINK("http://141.218.60.56/~jnz1568/getInfo.php?workbook=20_05.xlsx&amp;sheet=U0&amp;row=855&amp;col=6&amp;number=4.1&amp;sourceID=14","4.1")</f>
        <v>4.1</v>
      </c>
      <c r="G855" s="4" t="str">
        <f>HYPERLINK("http://141.218.60.56/~jnz1568/getInfo.php?workbook=20_05.xlsx&amp;sheet=U0&amp;row=855&amp;col=7&amp;number=0.00989&amp;sourceID=14","0.00989")</f>
        <v>0.00989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HYPERLINK("http://141.218.60.56/~jnz1568/getInfo.php?workbook=20_05.xlsx&amp;sheet=U0&amp;row=856&amp;col=6&amp;number=4.2&amp;sourceID=14","4.2")</f>
        <v>4.2</v>
      </c>
      <c r="G856" s="4" t="str">
        <f>HYPERLINK("http://141.218.60.56/~jnz1568/getInfo.php?workbook=20_05.xlsx&amp;sheet=U0&amp;row=856&amp;col=7&amp;number=0.00994&amp;sourceID=14","0.00994")</f>
        <v>0.00994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HYPERLINK("http://141.218.60.56/~jnz1568/getInfo.php?workbook=20_05.xlsx&amp;sheet=U0&amp;row=857&amp;col=6&amp;number=4.3&amp;sourceID=14","4.3")</f>
        <v>4.3</v>
      </c>
      <c r="G857" s="4" t="str">
        <f>HYPERLINK("http://141.218.60.56/~jnz1568/getInfo.php?workbook=20_05.xlsx&amp;sheet=U0&amp;row=857&amp;col=7&amp;number=0.00999&amp;sourceID=14","0.00999")</f>
        <v>0.00999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HYPERLINK("http://141.218.60.56/~jnz1568/getInfo.php?workbook=20_05.xlsx&amp;sheet=U0&amp;row=858&amp;col=6&amp;number=4.4&amp;sourceID=14","4.4")</f>
        <v>4.4</v>
      </c>
      <c r="G858" s="4" t="str">
        <f>HYPERLINK("http://141.218.60.56/~jnz1568/getInfo.php?workbook=20_05.xlsx&amp;sheet=U0&amp;row=858&amp;col=7&amp;number=0.0101&amp;sourceID=14","0.0101")</f>
        <v>0.0101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HYPERLINK("http://141.218.60.56/~jnz1568/getInfo.php?workbook=20_05.xlsx&amp;sheet=U0&amp;row=859&amp;col=6&amp;number=4.5&amp;sourceID=14","4.5")</f>
        <v>4.5</v>
      </c>
      <c r="G859" s="4" t="str">
        <f>HYPERLINK("http://141.218.60.56/~jnz1568/getInfo.php?workbook=20_05.xlsx&amp;sheet=U0&amp;row=859&amp;col=7&amp;number=0.0101&amp;sourceID=14","0.0101")</f>
        <v>0.0101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HYPERLINK("http://141.218.60.56/~jnz1568/getInfo.php?workbook=20_05.xlsx&amp;sheet=U0&amp;row=860&amp;col=6&amp;number=4.6&amp;sourceID=14","4.6")</f>
        <v>4.6</v>
      </c>
      <c r="G860" s="4" t="str">
        <f>HYPERLINK("http://141.218.60.56/~jnz1568/getInfo.php?workbook=20_05.xlsx&amp;sheet=U0&amp;row=860&amp;col=7&amp;number=0.0102&amp;sourceID=14","0.0102")</f>
        <v>0.0102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HYPERLINK("http://141.218.60.56/~jnz1568/getInfo.php?workbook=20_05.xlsx&amp;sheet=U0&amp;row=861&amp;col=6&amp;number=4.7&amp;sourceID=14","4.7")</f>
        <v>4.7</v>
      </c>
      <c r="G861" s="4" t="str">
        <f>HYPERLINK("http://141.218.60.56/~jnz1568/getInfo.php?workbook=20_05.xlsx&amp;sheet=U0&amp;row=861&amp;col=7&amp;number=0.0103&amp;sourceID=14","0.0103")</f>
        <v>0.0103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HYPERLINK("http://141.218.60.56/~jnz1568/getInfo.php?workbook=20_05.xlsx&amp;sheet=U0&amp;row=862&amp;col=6&amp;number=4.8&amp;sourceID=14","4.8")</f>
        <v>4.8</v>
      </c>
      <c r="G862" s="4" t="str">
        <f>HYPERLINK("http://141.218.60.56/~jnz1568/getInfo.php?workbook=20_05.xlsx&amp;sheet=U0&amp;row=862&amp;col=7&amp;number=0.0105&amp;sourceID=14","0.0105")</f>
        <v>0.0105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HYPERLINK("http://141.218.60.56/~jnz1568/getInfo.php?workbook=20_05.xlsx&amp;sheet=U0&amp;row=863&amp;col=6&amp;number=4.9&amp;sourceID=14","4.9")</f>
        <v>4.9</v>
      </c>
      <c r="G863" s="4" t="str">
        <f>HYPERLINK("http://141.218.60.56/~jnz1568/getInfo.php?workbook=20_05.xlsx&amp;sheet=U0&amp;row=863&amp;col=7&amp;number=0.0106&amp;sourceID=14","0.0106")</f>
        <v>0.0106</v>
      </c>
    </row>
    <row r="864" spans="1:7">
      <c r="A864" s="3">
        <v>20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HYPERLINK("http://141.218.60.56/~jnz1568/getInfo.php?workbook=20_05.xlsx&amp;sheet=U0&amp;row=864&amp;col=6&amp;number=3&amp;sourceID=14","3")</f>
        <v>3</v>
      </c>
      <c r="G864" s="4" t="str">
        <f>HYPERLINK("http://141.218.60.56/~jnz1568/getInfo.php?workbook=20_05.xlsx&amp;sheet=U0&amp;row=864&amp;col=7&amp;number=0.00771&amp;sourceID=14","0.00771")</f>
        <v>0.00771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HYPERLINK("http://141.218.60.56/~jnz1568/getInfo.php?workbook=20_05.xlsx&amp;sheet=U0&amp;row=865&amp;col=6&amp;number=3.1&amp;sourceID=14","3.1")</f>
        <v>3.1</v>
      </c>
      <c r="G865" s="4" t="str">
        <f>HYPERLINK("http://141.218.60.56/~jnz1568/getInfo.php?workbook=20_05.xlsx&amp;sheet=U0&amp;row=865&amp;col=7&amp;number=0.00771&amp;sourceID=14","0.00771")</f>
        <v>0.00771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HYPERLINK("http://141.218.60.56/~jnz1568/getInfo.php?workbook=20_05.xlsx&amp;sheet=U0&amp;row=866&amp;col=6&amp;number=3.2&amp;sourceID=14","3.2")</f>
        <v>3.2</v>
      </c>
      <c r="G866" s="4" t="str">
        <f>HYPERLINK("http://141.218.60.56/~jnz1568/getInfo.php?workbook=20_05.xlsx&amp;sheet=U0&amp;row=866&amp;col=7&amp;number=0.00771&amp;sourceID=14","0.00771")</f>
        <v>0.00771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HYPERLINK("http://141.218.60.56/~jnz1568/getInfo.php?workbook=20_05.xlsx&amp;sheet=U0&amp;row=867&amp;col=6&amp;number=3.3&amp;sourceID=14","3.3")</f>
        <v>3.3</v>
      </c>
      <c r="G867" s="4" t="str">
        <f>HYPERLINK("http://141.218.60.56/~jnz1568/getInfo.php?workbook=20_05.xlsx&amp;sheet=U0&amp;row=867&amp;col=7&amp;number=0.00772&amp;sourceID=14","0.00772")</f>
        <v>0.00772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HYPERLINK("http://141.218.60.56/~jnz1568/getInfo.php?workbook=20_05.xlsx&amp;sheet=U0&amp;row=868&amp;col=6&amp;number=3.4&amp;sourceID=14","3.4")</f>
        <v>3.4</v>
      </c>
      <c r="G868" s="4" t="str">
        <f>HYPERLINK("http://141.218.60.56/~jnz1568/getInfo.php?workbook=20_05.xlsx&amp;sheet=U0&amp;row=868&amp;col=7&amp;number=0.00772&amp;sourceID=14","0.00772")</f>
        <v>0.00772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HYPERLINK("http://141.218.60.56/~jnz1568/getInfo.php?workbook=20_05.xlsx&amp;sheet=U0&amp;row=869&amp;col=6&amp;number=3.5&amp;sourceID=14","3.5")</f>
        <v>3.5</v>
      </c>
      <c r="G869" s="4" t="str">
        <f>HYPERLINK("http://141.218.60.56/~jnz1568/getInfo.php?workbook=20_05.xlsx&amp;sheet=U0&amp;row=869&amp;col=7&amp;number=0.00773&amp;sourceID=14","0.00773")</f>
        <v>0.00773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HYPERLINK("http://141.218.60.56/~jnz1568/getInfo.php?workbook=20_05.xlsx&amp;sheet=U0&amp;row=870&amp;col=6&amp;number=3.6&amp;sourceID=14","3.6")</f>
        <v>3.6</v>
      </c>
      <c r="G870" s="4" t="str">
        <f>HYPERLINK("http://141.218.60.56/~jnz1568/getInfo.php?workbook=20_05.xlsx&amp;sheet=U0&amp;row=870&amp;col=7&amp;number=0.00774&amp;sourceID=14","0.00774")</f>
        <v>0.00774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HYPERLINK("http://141.218.60.56/~jnz1568/getInfo.php?workbook=20_05.xlsx&amp;sheet=U0&amp;row=871&amp;col=6&amp;number=3.7&amp;sourceID=14","3.7")</f>
        <v>3.7</v>
      </c>
      <c r="G871" s="4" t="str">
        <f>HYPERLINK("http://141.218.60.56/~jnz1568/getInfo.php?workbook=20_05.xlsx&amp;sheet=U0&amp;row=871&amp;col=7&amp;number=0.00775&amp;sourceID=14","0.00775")</f>
        <v>0.00775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HYPERLINK("http://141.218.60.56/~jnz1568/getInfo.php?workbook=20_05.xlsx&amp;sheet=U0&amp;row=872&amp;col=6&amp;number=3.8&amp;sourceID=14","3.8")</f>
        <v>3.8</v>
      </c>
      <c r="G872" s="4" t="str">
        <f>HYPERLINK("http://141.218.60.56/~jnz1568/getInfo.php?workbook=20_05.xlsx&amp;sheet=U0&amp;row=872&amp;col=7&amp;number=0.00776&amp;sourceID=14","0.00776")</f>
        <v>0.00776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HYPERLINK("http://141.218.60.56/~jnz1568/getInfo.php?workbook=20_05.xlsx&amp;sheet=U0&amp;row=873&amp;col=6&amp;number=3.9&amp;sourceID=14","3.9")</f>
        <v>3.9</v>
      </c>
      <c r="G873" s="4" t="str">
        <f>HYPERLINK("http://141.218.60.56/~jnz1568/getInfo.php?workbook=20_05.xlsx&amp;sheet=U0&amp;row=873&amp;col=7&amp;number=0.00778&amp;sourceID=14","0.00778")</f>
        <v>0.00778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HYPERLINK("http://141.218.60.56/~jnz1568/getInfo.php?workbook=20_05.xlsx&amp;sheet=U0&amp;row=874&amp;col=6&amp;number=4&amp;sourceID=14","4")</f>
        <v>4</v>
      </c>
      <c r="G874" s="4" t="str">
        <f>HYPERLINK("http://141.218.60.56/~jnz1568/getInfo.php?workbook=20_05.xlsx&amp;sheet=U0&amp;row=874&amp;col=7&amp;number=0.0078&amp;sourceID=14","0.0078")</f>
        <v>0.0078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HYPERLINK("http://141.218.60.56/~jnz1568/getInfo.php?workbook=20_05.xlsx&amp;sheet=U0&amp;row=875&amp;col=6&amp;number=4.1&amp;sourceID=14","4.1")</f>
        <v>4.1</v>
      </c>
      <c r="G875" s="4" t="str">
        <f>HYPERLINK("http://141.218.60.56/~jnz1568/getInfo.php?workbook=20_05.xlsx&amp;sheet=U0&amp;row=875&amp;col=7&amp;number=0.00782&amp;sourceID=14","0.00782")</f>
        <v>0.00782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HYPERLINK("http://141.218.60.56/~jnz1568/getInfo.php?workbook=20_05.xlsx&amp;sheet=U0&amp;row=876&amp;col=6&amp;number=4.2&amp;sourceID=14","4.2")</f>
        <v>4.2</v>
      </c>
      <c r="G876" s="4" t="str">
        <f>HYPERLINK("http://141.218.60.56/~jnz1568/getInfo.php?workbook=20_05.xlsx&amp;sheet=U0&amp;row=876&amp;col=7&amp;number=0.00785&amp;sourceID=14","0.00785")</f>
        <v>0.00785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HYPERLINK("http://141.218.60.56/~jnz1568/getInfo.php?workbook=20_05.xlsx&amp;sheet=U0&amp;row=877&amp;col=6&amp;number=4.3&amp;sourceID=14","4.3")</f>
        <v>4.3</v>
      </c>
      <c r="G877" s="4" t="str">
        <f>HYPERLINK("http://141.218.60.56/~jnz1568/getInfo.php?workbook=20_05.xlsx&amp;sheet=U0&amp;row=877&amp;col=7&amp;number=0.00789&amp;sourceID=14","0.00789")</f>
        <v>0.00789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HYPERLINK("http://141.218.60.56/~jnz1568/getInfo.php?workbook=20_05.xlsx&amp;sheet=U0&amp;row=878&amp;col=6&amp;number=4.4&amp;sourceID=14","4.4")</f>
        <v>4.4</v>
      </c>
      <c r="G878" s="4" t="str">
        <f>HYPERLINK("http://141.218.60.56/~jnz1568/getInfo.php?workbook=20_05.xlsx&amp;sheet=U0&amp;row=878&amp;col=7&amp;number=0.00794&amp;sourceID=14","0.00794")</f>
        <v>0.00794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HYPERLINK("http://141.218.60.56/~jnz1568/getInfo.php?workbook=20_05.xlsx&amp;sheet=U0&amp;row=879&amp;col=6&amp;number=4.5&amp;sourceID=14","4.5")</f>
        <v>4.5</v>
      </c>
      <c r="G879" s="4" t="str">
        <f>HYPERLINK("http://141.218.60.56/~jnz1568/getInfo.php?workbook=20_05.xlsx&amp;sheet=U0&amp;row=879&amp;col=7&amp;number=0.00799&amp;sourceID=14","0.00799")</f>
        <v>0.00799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HYPERLINK("http://141.218.60.56/~jnz1568/getInfo.php?workbook=20_05.xlsx&amp;sheet=U0&amp;row=880&amp;col=6&amp;number=4.6&amp;sourceID=14","4.6")</f>
        <v>4.6</v>
      </c>
      <c r="G880" s="4" t="str">
        <f>HYPERLINK("http://141.218.60.56/~jnz1568/getInfo.php?workbook=20_05.xlsx&amp;sheet=U0&amp;row=880&amp;col=7&amp;number=0.00805&amp;sourceID=14","0.00805")</f>
        <v>0.00805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HYPERLINK("http://141.218.60.56/~jnz1568/getInfo.php?workbook=20_05.xlsx&amp;sheet=U0&amp;row=881&amp;col=6&amp;number=4.7&amp;sourceID=14","4.7")</f>
        <v>4.7</v>
      </c>
      <c r="G881" s="4" t="str">
        <f>HYPERLINK("http://141.218.60.56/~jnz1568/getInfo.php?workbook=20_05.xlsx&amp;sheet=U0&amp;row=881&amp;col=7&amp;number=0.00812&amp;sourceID=14","0.00812")</f>
        <v>0.00812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HYPERLINK("http://141.218.60.56/~jnz1568/getInfo.php?workbook=20_05.xlsx&amp;sheet=U0&amp;row=882&amp;col=6&amp;number=4.8&amp;sourceID=14","4.8")</f>
        <v>4.8</v>
      </c>
      <c r="G882" s="4" t="str">
        <f>HYPERLINK("http://141.218.60.56/~jnz1568/getInfo.php?workbook=20_05.xlsx&amp;sheet=U0&amp;row=882&amp;col=7&amp;number=0.00819&amp;sourceID=14","0.00819")</f>
        <v>0.00819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HYPERLINK("http://141.218.60.56/~jnz1568/getInfo.php?workbook=20_05.xlsx&amp;sheet=U0&amp;row=883&amp;col=6&amp;number=4.9&amp;sourceID=14","4.9")</f>
        <v>4.9</v>
      </c>
      <c r="G883" s="4" t="str">
        <f>HYPERLINK("http://141.218.60.56/~jnz1568/getInfo.php?workbook=20_05.xlsx&amp;sheet=U0&amp;row=883&amp;col=7&amp;number=0.00824&amp;sourceID=14","0.00824")</f>
        <v>0.00824</v>
      </c>
    </row>
    <row r="884" spans="1:7">
      <c r="A884" s="3">
        <v>20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HYPERLINK("http://141.218.60.56/~jnz1568/getInfo.php?workbook=20_05.xlsx&amp;sheet=U0&amp;row=884&amp;col=6&amp;number=3&amp;sourceID=14","3")</f>
        <v>3</v>
      </c>
      <c r="G884" s="4" t="str">
        <f>HYPERLINK("http://141.218.60.56/~jnz1568/getInfo.php?workbook=20_05.xlsx&amp;sheet=U0&amp;row=884&amp;col=7&amp;number=0.0133&amp;sourceID=14","0.0133")</f>
        <v>0.0133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HYPERLINK("http://141.218.60.56/~jnz1568/getInfo.php?workbook=20_05.xlsx&amp;sheet=U0&amp;row=885&amp;col=6&amp;number=3.1&amp;sourceID=14","3.1")</f>
        <v>3.1</v>
      </c>
      <c r="G885" s="4" t="str">
        <f>HYPERLINK("http://141.218.60.56/~jnz1568/getInfo.php?workbook=20_05.xlsx&amp;sheet=U0&amp;row=885&amp;col=7&amp;number=0.0134&amp;sourceID=14","0.0134")</f>
        <v>0.0134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HYPERLINK("http://141.218.60.56/~jnz1568/getInfo.php?workbook=20_05.xlsx&amp;sheet=U0&amp;row=886&amp;col=6&amp;number=3.2&amp;sourceID=14","3.2")</f>
        <v>3.2</v>
      </c>
      <c r="G886" s="4" t="str">
        <f>HYPERLINK("http://141.218.60.56/~jnz1568/getInfo.php?workbook=20_05.xlsx&amp;sheet=U0&amp;row=886&amp;col=7&amp;number=0.0134&amp;sourceID=14","0.0134")</f>
        <v>0.0134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HYPERLINK("http://141.218.60.56/~jnz1568/getInfo.php?workbook=20_05.xlsx&amp;sheet=U0&amp;row=887&amp;col=6&amp;number=3.3&amp;sourceID=14","3.3")</f>
        <v>3.3</v>
      </c>
      <c r="G887" s="4" t="str">
        <f>HYPERLINK("http://141.218.60.56/~jnz1568/getInfo.php?workbook=20_05.xlsx&amp;sheet=U0&amp;row=887&amp;col=7&amp;number=0.0134&amp;sourceID=14","0.0134")</f>
        <v>0.0134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HYPERLINK("http://141.218.60.56/~jnz1568/getInfo.php?workbook=20_05.xlsx&amp;sheet=U0&amp;row=888&amp;col=6&amp;number=3.4&amp;sourceID=14","3.4")</f>
        <v>3.4</v>
      </c>
      <c r="G888" s="4" t="str">
        <f>HYPERLINK("http://141.218.60.56/~jnz1568/getInfo.php?workbook=20_05.xlsx&amp;sheet=U0&amp;row=888&amp;col=7&amp;number=0.0134&amp;sourceID=14","0.0134")</f>
        <v>0.0134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HYPERLINK("http://141.218.60.56/~jnz1568/getInfo.php?workbook=20_05.xlsx&amp;sheet=U0&amp;row=889&amp;col=6&amp;number=3.5&amp;sourceID=14","3.5")</f>
        <v>3.5</v>
      </c>
      <c r="G889" s="4" t="str">
        <f>HYPERLINK("http://141.218.60.56/~jnz1568/getInfo.php?workbook=20_05.xlsx&amp;sheet=U0&amp;row=889&amp;col=7&amp;number=0.0134&amp;sourceID=14","0.0134")</f>
        <v>0.0134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HYPERLINK("http://141.218.60.56/~jnz1568/getInfo.php?workbook=20_05.xlsx&amp;sheet=U0&amp;row=890&amp;col=6&amp;number=3.6&amp;sourceID=14","3.6")</f>
        <v>3.6</v>
      </c>
      <c r="G890" s="4" t="str">
        <f>HYPERLINK("http://141.218.60.56/~jnz1568/getInfo.php?workbook=20_05.xlsx&amp;sheet=U0&amp;row=890&amp;col=7&amp;number=0.0134&amp;sourceID=14","0.0134")</f>
        <v>0.0134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HYPERLINK("http://141.218.60.56/~jnz1568/getInfo.php?workbook=20_05.xlsx&amp;sheet=U0&amp;row=891&amp;col=6&amp;number=3.7&amp;sourceID=14","3.7")</f>
        <v>3.7</v>
      </c>
      <c r="G891" s="4" t="str">
        <f>HYPERLINK("http://141.218.60.56/~jnz1568/getInfo.php?workbook=20_05.xlsx&amp;sheet=U0&amp;row=891&amp;col=7&amp;number=0.0135&amp;sourceID=14","0.0135")</f>
        <v>0.0135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HYPERLINK("http://141.218.60.56/~jnz1568/getInfo.php?workbook=20_05.xlsx&amp;sheet=U0&amp;row=892&amp;col=6&amp;number=3.8&amp;sourceID=14","3.8")</f>
        <v>3.8</v>
      </c>
      <c r="G892" s="4" t="str">
        <f>HYPERLINK("http://141.218.60.56/~jnz1568/getInfo.php?workbook=20_05.xlsx&amp;sheet=U0&amp;row=892&amp;col=7&amp;number=0.0135&amp;sourceID=14","0.0135")</f>
        <v>0.0135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HYPERLINK("http://141.218.60.56/~jnz1568/getInfo.php?workbook=20_05.xlsx&amp;sheet=U0&amp;row=893&amp;col=6&amp;number=3.9&amp;sourceID=14","3.9")</f>
        <v>3.9</v>
      </c>
      <c r="G893" s="4" t="str">
        <f>HYPERLINK("http://141.218.60.56/~jnz1568/getInfo.php?workbook=20_05.xlsx&amp;sheet=U0&amp;row=893&amp;col=7&amp;number=0.0135&amp;sourceID=14","0.0135")</f>
        <v>0.0135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HYPERLINK("http://141.218.60.56/~jnz1568/getInfo.php?workbook=20_05.xlsx&amp;sheet=U0&amp;row=894&amp;col=6&amp;number=4&amp;sourceID=14","4")</f>
        <v>4</v>
      </c>
      <c r="G894" s="4" t="str">
        <f>HYPERLINK("http://141.218.60.56/~jnz1568/getInfo.php?workbook=20_05.xlsx&amp;sheet=U0&amp;row=894&amp;col=7&amp;number=0.0136&amp;sourceID=14","0.0136")</f>
        <v>0.0136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HYPERLINK("http://141.218.60.56/~jnz1568/getInfo.php?workbook=20_05.xlsx&amp;sheet=U0&amp;row=895&amp;col=6&amp;number=4.1&amp;sourceID=14","4.1")</f>
        <v>4.1</v>
      </c>
      <c r="G895" s="4" t="str">
        <f>HYPERLINK("http://141.218.60.56/~jnz1568/getInfo.php?workbook=20_05.xlsx&amp;sheet=U0&amp;row=895&amp;col=7&amp;number=0.0137&amp;sourceID=14","0.0137")</f>
        <v>0.0137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HYPERLINK("http://141.218.60.56/~jnz1568/getInfo.php?workbook=20_05.xlsx&amp;sheet=U0&amp;row=896&amp;col=6&amp;number=4.2&amp;sourceID=14","4.2")</f>
        <v>4.2</v>
      </c>
      <c r="G896" s="4" t="str">
        <f>HYPERLINK("http://141.218.60.56/~jnz1568/getInfo.php?workbook=20_05.xlsx&amp;sheet=U0&amp;row=896&amp;col=7&amp;number=0.0138&amp;sourceID=14","0.0138")</f>
        <v>0.0138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HYPERLINK("http://141.218.60.56/~jnz1568/getInfo.php?workbook=20_05.xlsx&amp;sheet=U0&amp;row=897&amp;col=6&amp;number=4.3&amp;sourceID=14","4.3")</f>
        <v>4.3</v>
      </c>
      <c r="G897" s="4" t="str">
        <f>HYPERLINK("http://141.218.60.56/~jnz1568/getInfo.php?workbook=20_05.xlsx&amp;sheet=U0&amp;row=897&amp;col=7&amp;number=0.0139&amp;sourceID=14","0.0139")</f>
        <v>0.0139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HYPERLINK("http://141.218.60.56/~jnz1568/getInfo.php?workbook=20_05.xlsx&amp;sheet=U0&amp;row=898&amp;col=6&amp;number=4.4&amp;sourceID=14","4.4")</f>
        <v>4.4</v>
      </c>
      <c r="G898" s="4" t="str">
        <f>HYPERLINK("http://141.218.60.56/~jnz1568/getInfo.php?workbook=20_05.xlsx&amp;sheet=U0&amp;row=898&amp;col=7&amp;number=0.014&amp;sourceID=14","0.014")</f>
        <v>0.014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HYPERLINK("http://141.218.60.56/~jnz1568/getInfo.php?workbook=20_05.xlsx&amp;sheet=U0&amp;row=899&amp;col=6&amp;number=4.5&amp;sourceID=14","4.5")</f>
        <v>4.5</v>
      </c>
      <c r="G899" s="4" t="str">
        <f>HYPERLINK("http://141.218.60.56/~jnz1568/getInfo.php?workbook=20_05.xlsx&amp;sheet=U0&amp;row=899&amp;col=7&amp;number=0.0142&amp;sourceID=14","0.0142")</f>
        <v>0.0142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HYPERLINK("http://141.218.60.56/~jnz1568/getInfo.php?workbook=20_05.xlsx&amp;sheet=U0&amp;row=900&amp;col=6&amp;number=4.6&amp;sourceID=14","4.6")</f>
        <v>4.6</v>
      </c>
      <c r="G900" s="4" t="str">
        <f>HYPERLINK("http://141.218.60.56/~jnz1568/getInfo.php?workbook=20_05.xlsx&amp;sheet=U0&amp;row=900&amp;col=7&amp;number=0.0143&amp;sourceID=14","0.0143")</f>
        <v>0.0143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HYPERLINK("http://141.218.60.56/~jnz1568/getInfo.php?workbook=20_05.xlsx&amp;sheet=U0&amp;row=901&amp;col=6&amp;number=4.7&amp;sourceID=14","4.7")</f>
        <v>4.7</v>
      </c>
      <c r="G901" s="4" t="str">
        <f>HYPERLINK("http://141.218.60.56/~jnz1568/getInfo.php?workbook=20_05.xlsx&amp;sheet=U0&amp;row=901&amp;col=7&amp;number=0.0145&amp;sourceID=14","0.0145")</f>
        <v>0.0145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HYPERLINK("http://141.218.60.56/~jnz1568/getInfo.php?workbook=20_05.xlsx&amp;sheet=U0&amp;row=902&amp;col=6&amp;number=4.8&amp;sourceID=14","4.8")</f>
        <v>4.8</v>
      </c>
      <c r="G902" s="4" t="str">
        <f>HYPERLINK("http://141.218.60.56/~jnz1568/getInfo.php?workbook=20_05.xlsx&amp;sheet=U0&amp;row=902&amp;col=7&amp;number=0.0147&amp;sourceID=14","0.0147")</f>
        <v>0.0147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HYPERLINK("http://141.218.60.56/~jnz1568/getInfo.php?workbook=20_05.xlsx&amp;sheet=U0&amp;row=903&amp;col=6&amp;number=4.9&amp;sourceID=14","4.9")</f>
        <v>4.9</v>
      </c>
      <c r="G903" s="4" t="str">
        <f>HYPERLINK("http://141.218.60.56/~jnz1568/getInfo.php?workbook=20_05.xlsx&amp;sheet=U0&amp;row=903&amp;col=7&amp;number=0.0148&amp;sourceID=14","0.0148")</f>
        <v>0.0148</v>
      </c>
    </row>
    <row r="904" spans="1:7">
      <c r="A904" s="3">
        <v>20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HYPERLINK("http://141.218.60.56/~jnz1568/getInfo.php?workbook=20_05.xlsx&amp;sheet=U0&amp;row=904&amp;col=6&amp;number=3&amp;sourceID=14","3")</f>
        <v>3</v>
      </c>
      <c r="G904" s="4" t="str">
        <f>HYPERLINK("http://141.218.60.56/~jnz1568/getInfo.php?workbook=20_05.xlsx&amp;sheet=U0&amp;row=904&amp;col=7&amp;number=0.441&amp;sourceID=14","0.441")</f>
        <v>0.441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HYPERLINK("http://141.218.60.56/~jnz1568/getInfo.php?workbook=20_05.xlsx&amp;sheet=U0&amp;row=905&amp;col=6&amp;number=3.1&amp;sourceID=14","3.1")</f>
        <v>3.1</v>
      </c>
      <c r="G905" s="4" t="str">
        <f>HYPERLINK("http://141.218.60.56/~jnz1568/getInfo.php?workbook=20_05.xlsx&amp;sheet=U0&amp;row=905&amp;col=7&amp;number=0.441&amp;sourceID=14","0.441")</f>
        <v>0.441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HYPERLINK("http://141.218.60.56/~jnz1568/getInfo.php?workbook=20_05.xlsx&amp;sheet=U0&amp;row=906&amp;col=6&amp;number=3.2&amp;sourceID=14","3.2")</f>
        <v>3.2</v>
      </c>
      <c r="G906" s="4" t="str">
        <f>HYPERLINK("http://141.218.60.56/~jnz1568/getInfo.php?workbook=20_05.xlsx&amp;sheet=U0&amp;row=906&amp;col=7&amp;number=0.441&amp;sourceID=14","0.441")</f>
        <v>0.441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HYPERLINK("http://141.218.60.56/~jnz1568/getInfo.php?workbook=20_05.xlsx&amp;sheet=U0&amp;row=907&amp;col=6&amp;number=3.3&amp;sourceID=14","3.3")</f>
        <v>3.3</v>
      </c>
      <c r="G907" s="4" t="str">
        <f>HYPERLINK("http://141.218.60.56/~jnz1568/getInfo.php?workbook=20_05.xlsx&amp;sheet=U0&amp;row=907&amp;col=7&amp;number=0.441&amp;sourceID=14","0.441")</f>
        <v>0.441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HYPERLINK("http://141.218.60.56/~jnz1568/getInfo.php?workbook=20_05.xlsx&amp;sheet=U0&amp;row=908&amp;col=6&amp;number=3.4&amp;sourceID=14","3.4")</f>
        <v>3.4</v>
      </c>
      <c r="G908" s="4" t="str">
        <f>HYPERLINK("http://141.218.60.56/~jnz1568/getInfo.php?workbook=20_05.xlsx&amp;sheet=U0&amp;row=908&amp;col=7&amp;number=0.44&amp;sourceID=14","0.44")</f>
        <v>0.44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HYPERLINK("http://141.218.60.56/~jnz1568/getInfo.php?workbook=20_05.xlsx&amp;sheet=U0&amp;row=909&amp;col=6&amp;number=3.5&amp;sourceID=14","3.5")</f>
        <v>3.5</v>
      </c>
      <c r="G909" s="4" t="str">
        <f>HYPERLINK("http://141.218.60.56/~jnz1568/getInfo.php?workbook=20_05.xlsx&amp;sheet=U0&amp;row=909&amp;col=7&amp;number=0.44&amp;sourceID=14","0.44")</f>
        <v>0.44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HYPERLINK("http://141.218.60.56/~jnz1568/getInfo.php?workbook=20_05.xlsx&amp;sheet=U0&amp;row=910&amp;col=6&amp;number=3.6&amp;sourceID=14","3.6")</f>
        <v>3.6</v>
      </c>
      <c r="G910" s="4" t="str">
        <f>HYPERLINK("http://141.218.60.56/~jnz1568/getInfo.php?workbook=20_05.xlsx&amp;sheet=U0&amp;row=910&amp;col=7&amp;number=0.439&amp;sourceID=14","0.439")</f>
        <v>0.439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HYPERLINK("http://141.218.60.56/~jnz1568/getInfo.php?workbook=20_05.xlsx&amp;sheet=U0&amp;row=911&amp;col=6&amp;number=3.7&amp;sourceID=14","3.7")</f>
        <v>3.7</v>
      </c>
      <c r="G911" s="4" t="str">
        <f>HYPERLINK("http://141.218.60.56/~jnz1568/getInfo.php?workbook=20_05.xlsx&amp;sheet=U0&amp;row=911&amp;col=7&amp;number=0.439&amp;sourceID=14","0.439")</f>
        <v>0.439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HYPERLINK("http://141.218.60.56/~jnz1568/getInfo.php?workbook=20_05.xlsx&amp;sheet=U0&amp;row=912&amp;col=6&amp;number=3.8&amp;sourceID=14","3.8")</f>
        <v>3.8</v>
      </c>
      <c r="G912" s="4" t="str">
        <f>HYPERLINK("http://141.218.60.56/~jnz1568/getInfo.php?workbook=20_05.xlsx&amp;sheet=U0&amp;row=912&amp;col=7&amp;number=0.438&amp;sourceID=14","0.438")</f>
        <v>0.438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HYPERLINK("http://141.218.60.56/~jnz1568/getInfo.php?workbook=20_05.xlsx&amp;sheet=U0&amp;row=913&amp;col=6&amp;number=3.9&amp;sourceID=14","3.9")</f>
        <v>3.9</v>
      </c>
      <c r="G913" s="4" t="str">
        <f>HYPERLINK("http://141.218.60.56/~jnz1568/getInfo.php?workbook=20_05.xlsx&amp;sheet=U0&amp;row=913&amp;col=7&amp;number=0.437&amp;sourceID=14","0.437")</f>
        <v>0.437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HYPERLINK("http://141.218.60.56/~jnz1568/getInfo.php?workbook=20_05.xlsx&amp;sheet=U0&amp;row=914&amp;col=6&amp;number=4&amp;sourceID=14","4")</f>
        <v>4</v>
      </c>
      <c r="G914" s="4" t="str">
        <f>HYPERLINK("http://141.218.60.56/~jnz1568/getInfo.php?workbook=20_05.xlsx&amp;sheet=U0&amp;row=914&amp;col=7&amp;number=0.435&amp;sourceID=14","0.435")</f>
        <v>0.435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HYPERLINK("http://141.218.60.56/~jnz1568/getInfo.php?workbook=20_05.xlsx&amp;sheet=U0&amp;row=915&amp;col=6&amp;number=4.1&amp;sourceID=14","4.1")</f>
        <v>4.1</v>
      </c>
      <c r="G915" s="4" t="str">
        <f>HYPERLINK("http://141.218.60.56/~jnz1568/getInfo.php?workbook=20_05.xlsx&amp;sheet=U0&amp;row=915&amp;col=7&amp;number=0.434&amp;sourceID=14","0.434")</f>
        <v>0.434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HYPERLINK("http://141.218.60.56/~jnz1568/getInfo.php?workbook=20_05.xlsx&amp;sheet=U0&amp;row=916&amp;col=6&amp;number=4.2&amp;sourceID=14","4.2")</f>
        <v>4.2</v>
      </c>
      <c r="G916" s="4" t="str">
        <f>HYPERLINK("http://141.218.60.56/~jnz1568/getInfo.php?workbook=20_05.xlsx&amp;sheet=U0&amp;row=916&amp;col=7&amp;number=0.432&amp;sourceID=14","0.432")</f>
        <v>0.432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HYPERLINK("http://141.218.60.56/~jnz1568/getInfo.php?workbook=20_05.xlsx&amp;sheet=U0&amp;row=917&amp;col=6&amp;number=4.3&amp;sourceID=14","4.3")</f>
        <v>4.3</v>
      </c>
      <c r="G917" s="4" t="str">
        <f>HYPERLINK("http://141.218.60.56/~jnz1568/getInfo.php?workbook=20_05.xlsx&amp;sheet=U0&amp;row=917&amp;col=7&amp;number=0.43&amp;sourceID=14","0.43")</f>
        <v>0.43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HYPERLINK("http://141.218.60.56/~jnz1568/getInfo.php?workbook=20_05.xlsx&amp;sheet=U0&amp;row=918&amp;col=6&amp;number=4.4&amp;sourceID=14","4.4")</f>
        <v>4.4</v>
      </c>
      <c r="G918" s="4" t="str">
        <f>HYPERLINK("http://141.218.60.56/~jnz1568/getInfo.php?workbook=20_05.xlsx&amp;sheet=U0&amp;row=918&amp;col=7&amp;number=0.427&amp;sourceID=14","0.427")</f>
        <v>0.427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HYPERLINK("http://141.218.60.56/~jnz1568/getInfo.php?workbook=20_05.xlsx&amp;sheet=U0&amp;row=919&amp;col=6&amp;number=4.5&amp;sourceID=14","4.5")</f>
        <v>4.5</v>
      </c>
      <c r="G919" s="4" t="str">
        <f>HYPERLINK("http://141.218.60.56/~jnz1568/getInfo.php?workbook=20_05.xlsx&amp;sheet=U0&amp;row=919&amp;col=7&amp;number=0.424&amp;sourceID=14","0.424")</f>
        <v>0.424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HYPERLINK("http://141.218.60.56/~jnz1568/getInfo.php?workbook=20_05.xlsx&amp;sheet=U0&amp;row=920&amp;col=6&amp;number=4.6&amp;sourceID=14","4.6")</f>
        <v>4.6</v>
      </c>
      <c r="G920" s="4" t="str">
        <f>HYPERLINK("http://141.218.60.56/~jnz1568/getInfo.php?workbook=20_05.xlsx&amp;sheet=U0&amp;row=920&amp;col=7&amp;number=0.42&amp;sourceID=14","0.42")</f>
        <v>0.42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HYPERLINK("http://141.218.60.56/~jnz1568/getInfo.php?workbook=20_05.xlsx&amp;sheet=U0&amp;row=921&amp;col=6&amp;number=4.7&amp;sourceID=14","4.7")</f>
        <v>4.7</v>
      </c>
      <c r="G921" s="4" t="str">
        <f>HYPERLINK("http://141.218.60.56/~jnz1568/getInfo.php?workbook=20_05.xlsx&amp;sheet=U0&amp;row=921&amp;col=7&amp;number=0.416&amp;sourceID=14","0.416")</f>
        <v>0.416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HYPERLINK("http://141.218.60.56/~jnz1568/getInfo.php?workbook=20_05.xlsx&amp;sheet=U0&amp;row=922&amp;col=6&amp;number=4.8&amp;sourceID=14","4.8")</f>
        <v>4.8</v>
      </c>
      <c r="G922" s="4" t="str">
        <f>HYPERLINK("http://141.218.60.56/~jnz1568/getInfo.php?workbook=20_05.xlsx&amp;sheet=U0&amp;row=922&amp;col=7&amp;number=0.411&amp;sourceID=14","0.411")</f>
        <v>0.411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HYPERLINK("http://141.218.60.56/~jnz1568/getInfo.php?workbook=20_05.xlsx&amp;sheet=U0&amp;row=923&amp;col=6&amp;number=4.9&amp;sourceID=14","4.9")</f>
        <v>4.9</v>
      </c>
      <c r="G923" s="4" t="str">
        <f>HYPERLINK("http://141.218.60.56/~jnz1568/getInfo.php?workbook=20_05.xlsx&amp;sheet=U0&amp;row=923&amp;col=7&amp;number=0.408&amp;sourceID=14","0.408")</f>
        <v>0.408</v>
      </c>
    </row>
    <row r="924" spans="1:7">
      <c r="A924" s="3">
        <v>20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HYPERLINK("http://141.218.60.56/~jnz1568/getInfo.php?workbook=20_05.xlsx&amp;sheet=U0&amp;row=924&amp;col=6&amp;number=3&amp;sourceID=14","3")</f>
        <v>3</v>
      </c>
      <c r="G924" s="4" t="str">
        <f>HYPERLINK("http://141.218.60.56/~jnz1568/getInfo.php?workbook=20_05.xlsx&amp;sheet=U0&amp;row=924&amp;col=7&amp;number=0.0143&amp;sourceID=14","0.0143")</f>
        <v>0.0143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HYPERLINK("http://141.218.60.56/~jnz1568/getInfo.php?workbook=20_05.xlsx&amp;sheet=U0&amp;row=925&amp;col=6&amp;number=3.1&amp;sourceID=14","3.1")</f>
        <v>3.1</v>
      </c>
      <c r="G925" s="4" t="str">
        <f>HYPERLINK("http://141.218.60.56/~jnz1568/getInfo.php?workbook=20_05.xlsx&amp;sheet=U0&amp;row=925&amp;col=7&amp;number=0.0143&amp;sourceID=14","0.0143")</f>
        <v>0.0143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HYPERLINK("http://141.218.60.56/~jnz1568/getInfo.php?workbook=20_05.xlsx&amp;sheet=U0&amp;row=926&amp;col=6&amp;number=3.2&amp;sourceID=14","3.2")</f>
        <v>3.2</v>
      </c>
      <c r="G926" s="4" t="str">
        <f>HYPERLINK("http://141.218.60.56/~jnz1568/getInfo.php?workbook=20_05.xlsx&amp;sheet=U0&amp;row=926&amp;col=7&amp;number=0.0143&amp;sourceID=14","0.0143")</f>
        <v>0.0143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HYPERLINK("http://141.218.60.56/~jnz1568/getInfo.php?workbook=20_05.xlsx&amp;sheet=U0&amp;row=927&amp;col=6&amp;number=3.3&amp;sourceID=14","3.3")</f>
        <v>3.3</v>
      </c>
      <c r="G927" s="4" t="str">
        <f>HYPERLINK("http://141.218.60.56/~jnz1568/getInfo.php?workbook=20_05.xlsx&amp;sheet=U0&amp;row=927&amp;col=7&amp;number=0.0143&amp;sourceID=14","0.0143")</f>
        <v>0.0143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HYPERLINK("http://141.218.60.56/~jnz1568/getInfo.php?workbook=20_05.xlsx&amp;sheet=U0&amp;row=928&amp;col=6&amp;number=3.4&amp;sourceID=14","3.4")</f>
        <v>3.4</v>
      </c>
      <c r="G928" s="4" t="str">
        <f>HYPERLINK("http://141.218.60.56/~jnz1568/getInfo.php?workbook=20_05.xlsx&amp;sheet=U0&amp;row=928&amp;col=7&amp;number=0.0143&amp;sourceID=14","0.0143")</f>
        <v>0.0143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HYPERLINK("http://141.218.60.56/~jnz1568/getInfo.php?workbook=20_05.xlsx&amp;sheet=U0&amp;row=929&amp;col=6&amp;number=3.5&amp;sourceID=14","3.5")</f>
        <v>3.5</v>
      </c>
      <c r="G929" s="4" t="str">
        <f>HYPERLINK("http://141.218.60.56/~jnz1568/getInfo.php?workbook=20_05.xlsx&amp;sheet=U0&amp;row=929&amp;col=7&amp;number=0.0143&amp;sourceID=14","0.0143")</f>
        <v>0.0143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HYPERLINK("http://141.218.60.56/~jnz1568/getInfo.php?workbook=20_05.xlsx&amp;sheet=U0&amp;row=930&amp;col=6&amp;number=3.6&amp;sourceID=14","3.6")</f>
        <v>3.6</v>
      </c>
      <c r="G930" s="4" t="str">
        <f>HYPERLINK("http://141.218.60.56/~jnz1568/getInfo.php?workbook=20_05.xlsx&amp;sheet=U0&amp;row=930&amp;col=7&amp;number=0.0143&amp;sourceID=14","0.0143")</f>
        <v>0.0143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HYPERLINK("http://141.218.60.56/~jnz1568/getInfo.php?workbook=20_05.xlsx&amp;sheet=U0&amp;row=931&amp;col=6&amp;number=3.7&amp;sourceID=14","3.7")</f>
        <v>3.7</v>
      </c>
      <c r="G931" s="4" t="str">
        <f>HYPERLINK("http://141.218.60.56/~jnz1568/getInfo.php?workbook=20_05.xlsx&amp;sheet=U0&amp;row=931&amp;col=7&amp;number=0.0143&amp;sourceID=14","0.0143")</f>
        <v>0.0143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HYPERLINK("http://141.218.60.56/~jnz1568/getInfo.php?workbook=20_05.xlsx&amp;sheet=U0&amp;row=932&amp;col=6&amp;number=3.8&amp;sourceID=14","3.8")</f>
        <v>3.8</v>
      </c>
      <c r="G932" s="4" t="str">
        <f>HYPERLINK("http://141.218.60.56/~jnz1568/getInfo.php?workbook=20_05.xlsx&amp;sheet=U0&amp;row=932&amp;col=7&amp;number=0.0143&amp;sourceID=14","0.0143")</f>
        <v>0.0143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HYPERLINK("http://141.218.60.56/~jnz1568/getInfo.php?workbook=20_05.xlsx&amp;sheet=U0&amp;row=933&amp;col=6&amp;number=3.9&amp;sourceID=14","3.9")</f>
        <v>3.9</v>
      </c>
      <c r="G933" s="4" t="str">
        <f>HYPERLINK("http://141.218.60.56/~jnz1568/getInfo.php?workbook=20_05.xlsx&amp;sheet=U0&amp;row=933&amp;col=7&amp;number=0.0142&amp;sourceID=14","0.0142")</f>
        <v>0.0142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HYPERLINK("http://141.218.60.56/~jnz1568/getInfo.php?workbook=20_05.xlsx&amp;sheet=U0&amp;row=934&amp;col=6&amp;number=4&amp;sourceID=14","4")</f>
        <v>4</v>
      </c>
      <c r="G934" s="4" t="str">
        <f>HYPERLINK("http://141.218.60.56/~jnz1568/getInfo.php?workbook=20_05.xlsx&amp;sheet=U0&amp;row=934&amp;col=7&amp;number=0.0142&amp;sourceID=14","0.0142")</f>
        <v>0.0142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HYPERLINK("http://141.218.60.56/~jnz1568/getInfo.php?workbook=20_05.xlsx&amp;sheet=U0&amp;row=935&amp;col=6&amp;number=4.1&amp;sourceID=14","4.1")</f>
        <v>4.1</v>
      </c>
      <c r="G935" s="4" t="str">
        <f>HYPERLINK("http://141.218.60.56/~jnz1568/getInfo.php?workbook=20_05.xlsx&amp;sheet=U0&amp;row=935&amp;col=7&amp;number=0.0142&amp;sourceID=14","0.0142")</f>
        <v>0.0142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HYPERLINK("http://141.218.60.56/~jnz1568/getInfo.php?workbook=20_05.xlsx&amp;sheet=U0&amp;row=936&amp;col=6&amp;number=4.2&amp;sourceID=14","4.2")</f>
        <v>4.2</v>
      </c>
      <c r="G936" s="4" t="str">
        <f>HYPERLINK("http://141.218.60.56/~jnz1568/getInfo.php?workbook=20_05.xlsx&amp;sheet=U0&amp;row=936&amp;col=7&amp;number=0.0141&amp;sourceID=14","0.0141")</f>
        <v>0.0141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HYPERLINK("http://141.218.60.56/~jnz1568/getInfo.php?workbook=20_05.xlsx&amp;sheet=U0&amp;row=937&amp;col=6&amp;number=4.3&amp;sourceID=14","4.3")</f>
        <v>4.3</v>
      </c>
      <c r="G937" s="4" t="str">
        <f>HYPERLINK("http://141.218.60.56/~jnz1568/getInfo.php?workbook=20_05.xlsx&amp;sheet=U0&amp;row=937&amp;col=7&amp;number=0.0141&amp;sourceID=14","0.0141")</f>
        <v>0.0141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HYPERLINK("http://141.218.60.56/~jnz1568/getInfo.php?workbook=20_05.xlsx&amp;sheet=U0&amp;row=938&amp;col=6&amp;number=4.4&amp;sourceID=14","4.4")</f>
        <v>4.4</v>
      </c>
      <c r="G938" s="4" t="str">
        <f>HYPERLINK("http://141.218.60.56/~jnz1568/getInfo.php?workbook=20_05.xlsx&amp;sheet=U0&amp;row=938&amp;col=7&amp;number=0.014&amp;sourceID=14","0.014")</f>
        <v>0.014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HYPERLINK("http://141.218.60.56/~jnz1568/getInfo.php?workbook=20_05.xlsx&amp;sheet=U0&amp;row=939&amp;col=6&amp;number=4.5&amp;sourceID=14","4.5")</f>
        <v>4.5</v>
      </c>
      <c r="G939" s="4" t="str">
        <f>HYPERLINK("http://141.218.60.56/~jnz1568/getInfo.php?workbook=20_05.xlsx&amp;sheet=U0&amp;row=939&amp;col=7&amp;number=0.0139&amp;sourceID=14","0.0139")</f>
        <v>0.0139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HYPERLINK("http://141.218.60.56/~jnz1568/getInfo.php?workbook=20_05.xlsx&amp;sheet=U0&amp;row=940&amp;col=6&amp;number=4.6&amp;sourceID=14","4.6")</f>
        <v>4.6</v>
      </c>
      <c r="G940" s="4" t="str">
        <f>HYPERLINK("http://141.218.60.56/~jnz1568/getInfo.php?workbook=20_05.xlsx&amp;sheet=U0&amp;row=940&amp;col=7&amp;number=0.0138&amp;sourceID=14","0.0138")</f>
        <v>0.0138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HYPERLINK("http://141.218.60.56/~jnz1568/getInfo.php?workbook=20_05.xlsx&amp;sheet=U0&amp;row=941&amp;col=6&amp;number=4.7&amp;sourceID=14","4.7")</f>
        <v>4.7</v>
      </c>
      <c r="G941" s="4" t="str">
        <f>HYPERLINK("http://141.218.60.56/~jnz1568/getInfo.php?workbook=20_05.xlsx&amp;sheet=U0&amp;row=941&amp;col=7&amp;number=0.0137&amp;sourceID=14","0.0137")</f>
        <v>0.0137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HYPERLINK("http://141.218.60.56/~jnz1568/getInfo.php?workbook=20_05.xlsx&amp;sheet=U0&amp;row=942&amp;col=6&amp;number=4.8&amp;sourceID=14","4.8")</f>
        <v>4.8</v>
      </c>
      <c r="G942" s="4" t="str">
        <f>HYPERLINK("http://141.218.60.56/~jnz1568/getInfo.php?workbook=20_05.xlsx&amp;sheet=U0&amp;row=942&amp;col=7&amp;number=0.0135&amp;sourceID=14","0.0135")</f>
        <v>0.0135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HYPERLINK("http://141.218.60.56/~jnz1568/getInfo.php?workbook=20_05.xlsx&amp;sheet=U0&amp;row=943&amp;col=6&amp;number=4.9&amp;sourceID=14","4.9")</f>
        <v>4.9</v>
      </c>
      <c r="G943" s="4" t="str">
        <f>HYPERLINK("http://141.218.60.56/~jnz1568/getInfo.php?workbook=20_05.xlsx&amp;sheet=U0&amp;row=943&amp;col=7&amp;number=0.0134&amp;sourceID=14","0.0134")</f>
        <v>0.0134</v>
      </c>
    </row>
    <row r="944" spans="1:7">
      <c r="A944" s="3">
        <v>20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HYPERLINK("http://141.218.60.56/~jnz1568/getInfo.php?workbook=20_05.xlsx&amp;sheet=U0&amp;row=944&amp;col=6&amp;number=3&amp;sourceID=14","3")</f>
        <v>3</v>
      </c>
      <c r="G944" s="4" t="str">
        <f>HYPERLINK("http://141.218.60.56/~jnz1568/getInfo.php?workbook=20_05.xlsx&amp;sheet=U0&amp;row=944&amp;col=7&amp;number=0.00642&amp;sourceID=14","0.00642")</f>
        <v>0.00642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HYPERLINK("http://141.218.60.56/~jnz1568/getInfo.php?workbook=20_05.xlsx&amp;sheet=U0&amp;row=945&amp;col=6&amp;number=3.1&amp;sourceID=14","3.1")</f>
        <v>3.1</v>
      </c>
      <c r="G945" s="4" t="str">
        <f>HYPERLINK("http://141.218.60.56/~jnz1568/getInfo.php?workbook=20_05.xlsx&amp;sheet=U0&amp;row=945&amp;col=7&amp;number=0.00642&amp;sourceID=14","0.00642")</f>
        <v>0.00642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HYPERLINK("http://141.218.60.56/~jnz1568/getInfo.php?workbook=20_05.xlsx&amp;sheet=U0&amp;row=946&amp;col=6&amp;number=3.2&amp;sourceID=14","3.2")</f>
        <v>3.2</v>
      </c>
      <c r="G946" s="4" t="str">
        <f>HYPERLINK("http://141.218.60.56/~jnz1568/getInfo.php?workbook=20_05.xlsx&amp;sheet=U0&amp;row=946&amp;col=7&amp;number=0.00642&amp;sourceID=14","0.00642")</f>
        <v>0.00642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HYPERLINK("http://141.218.60.56/~jnz1568/getInfo.php?workbook=20_05.xlsx&amp;sheet=U0&amp;row=947&amp;col=6&amp;number=3.3&amp;sourceID=14","3.3")</f>
        <v>3.3</v>
      </c>
      <c r="G947" s="4" t="str">
        <f>HYPERLINK("http://141.218.60.56/~jnz1568/getInfo.php?workbook=20_05.xlsx&amp;sheet=U0&amp;row=947&amp;col=7&amp;number=0.00642&amp;sourceID=14","0.00642")</f>
        <v>0.00642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HYPERLINK("http://141.218.60.56/~jnz1568/getInfo.php?workbook=20_05.xlsx&amp;sheet=U0&amp;row=948&amp;col=6&amp;number=3.4&amp;sourceID=14","3.4")</f>
        <v>3.4</v>
      </c>
      <c r="G948" s="4" t="str">
        <f>HYPERLINK("http://141.218.60.56/~jnz1568/getInfo.php?workbook=20_05.xlsx&amp;sheet=U0&amp;row=948&amp;col=7&amp;number=0.00642&amp;sourceID=14","0.00642")</f>
        <v>0.00642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HYPERLINK("http://141.218.60.56/~jnz1568/getInfo.php?workbook=20_05.xlsx&amp;sheet=U0&amp;row=949&amp;col=6&amp;number=3.5&amp;sourceID=14","3.5")</f>
        <v>3.5</v>
      </c>
      <c r="G949" s="4" t="str">
        <f>HYPERLINK("http://141.218.60.56/~jnz1568/getInfo.php?workbook=20_05.xlsx&amp;sheet=U0&amp;row=949&amp;col=7&amp;number=0.00642&amp;sourceID=14","0.00642")</f>
        <v>0.00642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HYPERLINK("http://141.218.60.56/~jnz1568/getInfo.php?workbook=20_05.xlsx&amp;sheet=U0&amp;row=950&amp;col=6&amp;number=3.6&amp;sourceID=14","3.6")</f>
        <v>3.6</v>
      </c>
      <c r="G950" s="4" t="str">
        <f>HYPERLINK("http://141.218.60.56/~jnz1568/getInfo.php?workbook=20_05.xlsx&amp;sheet=U0&amp;row=950&amp;col=7&amp;number=0.00642&amp;sourceID=14","0.00642")</f>
        <v>0.00642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HYPERLINK("http://141.218.60.56/~jnz1568/getInfo.php?workbook=20_05.xlsx&amp;sheet=U0&amp;row=951&amp;col=6&amp;number=3.7&amp;sourceID=14","3.7")</f>
        <v>3.7</v>
      </c>
      <c r="G951" s="4" t="str">
        <f>HYPERLINK("http://141.218.60.56/~jnz1568/getInfo.php?workbook=20_05.xlsx&amp;sheet=U0&amp;row=951&amp;col=7&amp;number=0.00642&amp;sourceID=14","0.00642")</f>
        <v>0.00642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HYPERLINK("http://141.218.60.56/~jnz1568/getInfo.php?workbook=20_05.xlsx&amp;sheet=U0&amp;row=952&amp;col=6&amp;number=3.8&amp;sourceID=14","3.8")</f>
        <v>3.8</v>
      </c>
      <c r="G952" s="4" t="str">
        <f>HYPERLINK("http://141.218.60.56/~jnz1568/getInfo.php?workbook=20_05.xlsx&amp;sheet=U0&amp;row=952&amp;col=7&amp;number=0.00642&amp;sourceID=14","0.00642")</f>
        <v>0.00642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HYPERLINK("http://141.218.60.56/~jnz1568/getInfo.php?workbook=20_05.xlsx&amp;sheet=U0&amp;row=953&amp;col=6&amp;number=3.9&amp;sourceID=14","3.9")</f>
        <v>3.9</v>
      </c>
      <c r="G953" s="4" t="str">
        <f>HYPERLINK("http://141.218.60.56/~jnz1568/getInfo.php?workbook=20_05.xlsx&amp;sheet=U0&amp;row=953&amp;col=7&amp;number=0.00643&amp;sourceID=14","0.00643")</f>
        <v>0.00643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HYPERLINK("http://141.218.60.56/~jnz1568/getInfo.php?workbook=20_05.xlsx&amp;sheet=U0&amp;row=954&amp;col=6&amp;number=4&amp;sourceID=14","4")</f>
        <v>4</v>
      </c>
      <c r="G954" s="4" t="str">
        <f>HYPERLINK("http://141.218.60.56/~jnz1568/getInfo.php?workbook=20_05.xlsx&amp;sheet=U0&amp;row=954&amp;col=7&amp;number=0.00643&amp;sourceID=14","0.00643")</f>
        <v>0.00643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HYPERLINK("http://141.218.60.56/~jnz1568/getInfo.php?workbook=20_05.xlsx&amp;sheet=U0&amp;row=955&amp;col=6&amp;number=4.1&amp;sourceID=14","4.1")</f>
        <v>4.1</v>
      </c>
      <c r="G955" s="4" t="str">
        <f>HYPERLINK("http://141.218.60.56/~jnz1568/getInfo.php?workbook=20_05.xlsx&amp;sheet=U0&amp;row=955&amp;col=7&amp;number=0.00643&amp;sourceID=14","0.00643")</f>
        <v>0.00643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HYPERLINK("http://141.218.60.56/~jnz1568/getInfo.php?workbook=20_05.xlsx&amp;sheet=U0&amp;row=956&amp;col=6&amp;number=4.2&amp;sourceID=14","4.2")</f>
        <v>4.2</v>
      </c>
      <c r="G956" s="4" t="str">
        <f>HYPERLINK("http://141.218.60.56/~jnz1568/getInfo.php?workbook=20_05.xlsx&amp;sheet=U0&amp;row=956&amp;col=7&amp;number=0.00644&amp;sourceID=14","0.00644")</f>
        <v>0.00644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HYPERLINK("http://141.218.60.56/~jnz1568/getInfo.php?workbook=20_05.xlsx&amp;sheet=U0&amp;row=957&amp;col=6&amp;number=4.3&amp;sourceID=14","4.3")</f>
        <v>4.3</v>
      </c>
      <c r="G957" s="4" t="str">
        <f>HYPERLINK("http://141.218.60.56/~jnz1568/getInfo.php?workbook=20_05.xlsx&amp;sheet=U0&amp;row=957&amp;col=7&amp;number=0.00644&amp;sourceID=14","0.00644")</f>
        <v>0.00644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HYPERLINK("http://141.218.60.56/~jnz1568/getInfo.php?workbook=20_05.xlsx&amp;sheet=U0&amp;row=958&amp;col=6&amp;number=4.4&amp;sourceID=14","4.4")</f>
        <v>4.4</v>
      </c>
      <c r="G958" s="4" t="str">
        <f>HYPERLINK("http://141.218.60.56/~jnz1568/getInfo.php?workbook=20_05.xlsx&amp;sheet=U0&amp;row=958&amp;col=7&amp;number=0.00645&amp;sourceID=14","0.00645")</f>
        <v>0.00645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HYPERLINK("http://141.218.60.56/~jnz1568/getInfo.php?workbook=20_05.xlsx&amp;sheet=U0&amp;row=959&amp;col=6&amp;number=4.5&amp;sourceID=14","4.5")</f>
        <v>4.5</v>
      </c>
      <c r="G959" s="4" t="str">
        <f>HYPERLINK("http://141.218.60.56/~jnz1568/getInfo.php?workbook=20_05.xlsx&amp;sheet=U0&amp;row=959&amp;col=7&amp;number=0.00646&amp;sourceID=14","0.00646")</f>
        <v>0.00646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HYPERLINK("http://141.218.60.56/~jnz1568/getInfo.php?workbook=20_05.xlsx&amp;sheet=U0&amp;row=960&amp;col=6&amp;number=4.6&amp;sourceID=14","4.6")</f>
        <v>4.6</v>
      </c>
      <c r="G960" s="4" t="str">
        <f>HYPERLINK("http://141.218.60.56/~jnz1568/getInfo.php?workbook=20_05.xlsx&amp;sheet=U0&amp;row=960&amp;col=7&amp;number=0.00646&amp;sourceID=14","0.00646")</f>
        <v>0.00646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HYPERLINK("http://141.218.60.56/~jnz1568/getInfo.php?workbook=20_05.xlsx&amp;sheet=U0&amp;row=961&amp;col=6&amp;number=4.7&amp;sourceID=14","4.7")</f>
        <v>4.7</v>
      </c>
      <c r="G961" s="4" t="str">
        <f>HYPERLINK("http://141.218.60.56/~jnz1568/getInfo.php?workbook=20_05.xlsx&amp;sheet=U0&amp;row=961&amp;col=7&amp;number=0.00647&amp;sourceID=14","0.00647")</f>
        <v>0.00647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HYPERLINK("http://141.218.60.56/~jnz1568/getInfo.php?workbook=20_05.xlsx&amp;sheet=U0&amp;row=962&amp;col=6&amp;number=4.8&amp;sourceID=14","4.8")</f>
        <v>4.8</v>
      </c>
      <c r="G962" s="4" t="str">
        <f>HYPERLINK("http://141.218.60.56/~jnz1568/getInfo.php?workbook=20_05.xlsx&amp;sheet=U0&amp;row=962&amp;col=7&amp;number=0.00648&amp;sourceID=14","0.00648")</f>
        <v>0.00648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HYPERLINK("http://141.218.60.56/~jnz1568/getInfo.php?workbook=20_05.xlsx&amp;sheet=U0&amp;row=963&amp;col=6&amp;number=4.9&amp;sourceID=14","4.9")</f>
        <v>4.9</v>
      </c>
      <c r="G963" s="4" t="str">
        <f>HYPERLINK("http://141.218.60.56/~jnz1568/getInfo.php?workbook=20_05.xlsx&amp;sheet=U0&amp;row=963&amp;col=7&amp;number=0.00649&amp;sourceID=14","0.00649")</f>
        <v>0.00649</v>
      </c>
    </row>
    <row r="964" spans="1:7">
      <c r="A964" s="3">
        <v>20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HYPERLINK("http://141.218.60.56/~jnz1568/getInfo.php?workbook=20_05.xlsx&amp;sheet=U0&amp;row=964&amp;col=6&amp;number=3&amp;sourceID=14","3")</f>
        <v>3</v>
      </c>
      <c r="G964" s="4" t="str">
        <f>HYPERLINK("http://141.218.60.56/~jnz1568/getInfo.php?workbook=20_05.xlsx&amp;sheet=U0&amp;row=964&amp;col=7&amp;number=0.000669&amp;sourceID=14","0.000669")</f>
        <v>0.000669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HYPERLINK("http://141.218.60.56/~jnz1568/getInfo.php?workbook=20_05.xlsx&amp;sheet=U0&amp;row=965&amp;col=6&amp;number=3.1&amp;sourceID=14","3.1")</f>
        <v>3.1</v>
      </c>
      <c r="G965" s="4" t="str">
        <f>HYPERLINK("http://141.218.60.56/~jnz1568/getInfo.php?workbook=20_05.xlsx&amp;sheet=U0&amp;row=965&amp;col=7&amp;number=0.000675&amp;sourceID=14","0.000675")</f>
        <v>0.000675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HYPERLINK("http://141.218.60.56/~jnz1568/getInfo.php?workbook=20_05.xlsx&amp;sheet=U0&amp;row=966&amp;col=6&amp;number=3.2&amp;sourceID=14","3.2")</f>
        <v>3.2</v>
      </c>
      <c r="G966" s="4" t="str">
        <f>HYPERLINK("http://141.218.60.56/~jnz1568/getInfo.php?workbook=20_05.xlsx&amp;sheet=U0&amp;row=966&amp;col=7&amp;number=0.000684&amp;sourceID=14","0.000684")</f>
        <v>0.000684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HYPERLINK("http://141.218.60.56/~jnz1568/getInfo.php?workbook=20_05.xlsx&amp;sheet=U0&amp;row=967&amp;col=6&amp;number=3.3&amp;sourceID=14","3.3")</f>
        <v>3.3</v>
      </c>
      <c r="G967" s="4" t="str">
        <f>HYPERLINK("http://141.218.60.56/~jnz1568/getInfo.php?workbook=20_05.xlsx&amp;sheet=U0&amp;row=967&amp;col=7&amp;number=0.000694&amp;sourceID=14","0.000694")</f>
        <v>0.000694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HYPERLINK("http://141.218.60.56/~jnz1568/getInfo.php?workbook=20_05.xlsx&amp;sheet=U0&amp;row=968&amp;col=6&amp;number=3.4&amp;sourceID=14","3.4")</f>
        <v>3.4</v>
      </c>
      <c r="G968" s="4" t="str">
        <f>HYPERLINK("http://141.218.60.56/~jnz1568/getInfo.php?workbook=20_05.xlsx&amp;sheet=U0&amp;row=968&amp;col=7&amp;number=0.000707&amp;sourceID=14","0.000707")</f>
        <v>0.000707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HYPERLINK("http://141.218.60.56/~jnz1568/getInfo.php?workbook=20_05.xlsx&amp;sheet=U0&amp;row=969&amp;col=6&amp;number=3.5&amp;sourceID=14","3.5")</f>
        <v>3.5</v>
      </c>
      <c r="G969" s="4" t="str">
        <f>HYPERLINK("http://141.218.60.56/~jnz1568/getInfo.php?workbook=20_05.xlsx&amp;sheet=U0&amp;row=969&amp;col=7&amp;number=0.000724&amp;sourceID=14","0.000724")</f>
        <v>0.000724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HYPERLINK("http://141.218.60.56/~jnz1568/getInfo.php?workbook=20_05.xlsx&amp;sheet=U0&amp;row=970&amp;col=6&amp;number=3.6&amp;sourceID=14","3.6")</f>
        <v>3.6</v>
      </c>
      <c r="G970" s="4" t="str">
        <f>HYPERLINK("http://141.218.60.56/~jnz1568/getInfo.php?workbook=20_05.xlsx&amp;sheet=U0&amp;row=970&amp;col=7&amp;number=0.000744&amp;sourceID=14","0.000744")</f>
        <v>0.000744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HYPERLINK("http://141.218.60.56/~jnz1568/getInfo.php?workbook=20_05.xlsx&amp;sheet=U0&amp;row=971&amp;col=6&amp;number=3.7&amp;sourceID=14","3.7")</f>
        <v>3.7</v>
      </c>
      <c r="G971" s="4" t="str">
        <f>HYPERLINK("http://141.218.60.56/~jnz1568/getInfo.php?workbook=20_05.xlsx&amp;sheet=U0&amp;row=971&amp;col=7&amp;number=0.00077&amp;sourceID=14","0.00077")</f>
        <v>0.00077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HYPERLINK("http://141.218.60.56/~jnz1568/getInfo.php?workbook=20_05.xlsx&amp;sheet=U0&amp;row=972&amp;col=6&amp;number=3.8&amp;sourceID=14","3.8")</f>
        <v>3.8</v>
      </c>
      <c r="G972" s="4" t="str">
        <f>HYPERLINK("http://141.218.60.56/~jnz1568/getInfo.php?workbook=20_05.xlsx&amp;sheet=U0&amp;row=972&amp;col=7&amp;number=0.000803&amp;sourceID=14","0.000803")</f>
        <v>0.000803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HYPERLINK("http://141.218.60.56/~jnz1568/getInfo.php?workbook=20_05.xlsx&amp;sheet=U0&amp;row=973&amp;col=6&amp;number=3.9&amp;sourceID=14","3.9")</f>
        <v>3.9</v>
      </c>
      <c r="G973" s="4" t="str">
        <f>HYPERLINK("http://141.218.60.56/~jnz1568/getInfo.php?workbook=20_05.xlsx&amp;sheet=U0&amp;row=973&amp;col=7&amp;number=0.000843&amp;sourceID=14","0.000843")</f>
        <v>0.000843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HYPERLINK("http://141.218.60.56/~jnz1568/getInfo.php?workbook=20_05.xlsx&amp;sheet=U0&amp;row=974&amp;col=6&amp;number=4&amp;sourceID=14","4")</f>
        <v>4</v>
      </c>
      <c r="G974" s="4" t="str">
        <f>HYPERLINK("http://141.218.60.56/~jnz1568/getInfo.php?workbook=20_05.xlsx&amp;sheet=U0&amp;row=974&amp;col=7&amp;number=0.000894&amp;sourceID=14","0.000894")</f>
        <v>0.000894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HYPERLINK("http://141.218.60.56/~jnz1568/getInfo.php?workbook=20_05.xlsx&amp;sheet=U0&amp;row=975&amp;col=6&amp;number=4.1&amp;sourceID=14","4.1")</f>
        <v>4.1</v>
      </c>
      <c r="G975" s="4" t="str">
        <f>HYPERLINK("http://141.218.60.56/~jnz1568/getInfo.php?workbook=20_05.xlsx&amp;sheet=U0&amp;row=975&amp;col=7&amp;number=0.000957&amp;sourceID=14","0.000957")</f>
        <v>0.000957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HYPERLINK("http://141.218.60.56/~jnz1568/getInfo.php?workbook=20_05.xlsx&amp;sheet=U0&amp;row=976&amp;col=6&amp;number=4.2&amp;sourceID=14","4.2")</f>
        <v>4.2</v>
      </c>
      <c r="G976" s="4" t="str">
        <f>HYPERLINK("http://141.218.60.56/~jnz1568/getInfo.php?workbook=20_05.xlsx&amp;sheet=U0&amp;row=976&amp;col=7&amp;number=0.00104&amp;sourceID=14","0.00104")</f>
        <v>0.00104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HYPERLINK("http://141.218.60.56/~jnz1568/getInfo.php?workbook=20_05.xlsx&amp;sheet=U0&amp;row=977&amp;col=6&amp;number=4.3&amp;sourceID=14","4.3")</f>
        <v>4.3</v>
      </c>
      <c r="G977" s="4" t="str">
        <f>HYPERLINK("http://141.218.60.56/~jnz1568/getInfo.php?workbook=20_05.xlsx&amp;sheet=U0&amp;row=977&amp;col=7&amp;number=0.00113&amp;sourceID=14","0.00113")</f>
        <v>0.00113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HYPERLINK("http://141.218.60.56/~jnz1568/getInfo.php?workbook=20_05.xlsx&amp;sheet=U0&amp;row=978&amp;col=6&amp;number=4.4&amp;sourceID=14","4.4")</f>
        <v>4.4</v>
      </c>
      <c r="G978" s="4" t="str">
        <f>HYPERLINK("http://141.218.60.56/~jnz1568/getInfo.php?workbook=20_05.xlsx&amp;sheet=U0&amp;row=978&amp;col=7&amp;number=0.00125&amp;sourceID=14","0.00125")</f>
        <v>0.00125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HYPERLINK("http://141.218.60.56/~jnz1568/getInfo.php?workbook=20_05.xlsx&amp;sheet=U0&amp;row=979&amp;col=6&amp;number=4.5&amp;sourceID=14","4.5")</f>
        <v>4.5</v>
      </c>
      <c r="G979" s="4" t="str">
        <f>HYPERLINK("http://141.218.60.56/~jnz1568/getInfo.php?workbook=20_05.xlsx&amp;sheet=U0&amp;row=979&amp;col=7&amp;number=0.00139&amp;sourceID=14","0.00139")</f>
        <v>0.00139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HYPERLINK("http://141.218.60.56/~jnz1568/getInfo.php?workbook=20_05.xlsx&amp;sheet=U0&amp;row=980&amp;col=6&amp;number=4.6&amp;sourceID=14","4.6")</f>
        <v>4.6</v>
      </c>
      <c r="G980" s="4" t="str">
        <f>HYPERLINK("http://141.218.60.56/~jnz1568/getInfo.php?workbook=20_05.xlsx&amp;sheet=U0&amp;row=980&amp;col=7&amp;number=0.00155&amp;sourceID=14","0.00155")</f>
        <v>0.00155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HYPERLINK("http://141.218.60.56/~jnz1568/getInfo.php?workbook=20_05.xlsx&amp;sheet=U0&amp;row=981&amp;col=6&amp;number=4.7&amp;sourceID=14","4.7")</f>
        <v>4.7</v>
      </c>
      <c r="G981" s="4" t="str">
        <f>HYPERLINK("http://141.218.60.56/~jnz1568/getInfo.php?workbook=20_05.xlsx&amp;sheet=U0&amp;row=981&amp;col=7&amp;number=0.00174&amp;sourceID=14","0.00174")</f>
        <v>0.00174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HYPERLINK("http://141.218.60.56/~jnz1568/getInfo.php?workbook=20_05.xlsx&amp;sheet=U0&amp;row=982&amp;col=6&amp;number=4.8&amp;sourceID=14","4.8")</f>
        <v>4.8</v>
      </c>
      <c r="G982" s="4" t="str">
        <f>HYPERLINK("http://141.218.60.56/~jnz1568/getInfo.php?workbook=20_05.xlsx&amp;sheet=U0&amp;row=982&amp;col=7&amp;number=0.00194&amp;sourceID=14","0.00194")</f>
        <v>0.00194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HYPERLINK("http://141.218.60.56/~jnz1568/getInfo.php?workbook=20_05.xlsx&amp;sheet=U0&amp;row=983&amp;col=6&amp;number=4.9&amp;sourceID=14","4.9")</f>
        <v>4.9</v>
      </c>
      <c r="G983" s="4" t="str">
        <f>HYPERLINK("http://141.218.60.56/~jnz1568/getInfo.php?workbook=20_05.xlsx&amp;sheet=U0&amp;row=983&amp;col=7&amp;number=0.00214&amp;sourceID=14","0.00214")</f>
        <v>0.00214</v>
      </c>
    </row>
    <row r="984" spans="1:7">
      <c r="A984" s="3">
        <v>20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HYPERLINK("http://141.218.60.56/~jnz1568/getInfo.php?workbook=20_05.xlsx&amp;sheet=U0&amp;row=984&amp;col=6&amp;number=3&amp;sourceID=14","3")</f>
        <v>3</v>
      </c>
      <c r="G984" s="4" t="str">
        <f>HYPERLINK("http://141.218.60.56/~jnz1568/getInfo.php?workbook=20_05.xlsx&amp;sheet=U0&amp;row=984&amp;col=7&amp;number=0.000769&amp;sourceID=14","0.000769")</f>
        <v>0.000769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HYPERLINK("http://141.218.60.56/~jnz1568/getInfo.php?workbook=20_05.xlsx&amp;sheet=U0&amp;row=985&amp;col=6&amp;number=3.1&amp;sourceID=14","3.1")</f>
        <v>3.1</v>
      </c>
      <c r="G985" s="4" t="str">
        <f>HYPERLINK("http://141.218.60.56/~jnz1568/getInfo.php?workbook=20_05.xlsx&amp;sheet=U0&amp;row=985&amp;col=7&amp;number=0.000777&amp;sourceID=14","0.000777")</f>
        <v>0.000777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HYPERLINK("http://141.218.60.56/~jnz1568/getInfo.php?workbook=20_05.xlsx&amp;sheet=U0&amp;row=986&amp;col=6&amp;number=3.2&amp;sourceID=14","3.2")</f>
        <v>3.2</v>
      </c>
      <c r="G986" s="4" t="str">
        <f>HYPERLINK("http://141.218.60.56/~jnz1568/getInfo.php?workbook=20_05.xlsx&amp;sheet=U0&amp;row=986&amp;col=7&amp;number=0.000786&amp;sourceID=14","0.000786")</f>
        <v>0.000786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HYPERLINK("http://141.218.60.56/~jnz1568/getInfo.php?workbook=20_05.xlsx&amp;sheet=U0&amp;row=987&amp;col=6&amp;number=3.3&amp;sourceID=14","3.3")</f>
        <v>3.3</v>
      </c>
      <c r="G987" s="4" t="str">
        <f>HYPERLINK("http://141.218.60.56/~jnz1568/getInfo.php?workbook=20_05.xlsx&amp;sheet=U0&amp;row=987&amp;col=7&amp;number=0.000798&amp;sourceID=14","0.000798")</f>
        <v>0.000798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HYPERLINK("http://141.218.60.56/~jnz1568/getInfo.php?workbook=20_05.xlsx&amp;sheet=U0&amp;row=988&amp;col=6&amp;number=3.4&amp;sourceID=14","3.4")</f>
        <v>3.4</v>
      </c>
      <c r="G988" s="4" t="str">
        <f>HYPERLINK("http://141.218.60.56/~jnz1568/getInfo.php?workbook=20_05.xlsx&amp;sheet=U0&amp;row=988&amp;col=7&amp;number=0.000813&amp;sourceID=14","0.000813")</f>
        <v>0.000813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HYPERLINK("http://141.218.60.56/~jnz1568/getInfo.php?workbook=20_05.xlsx&amp;sheet=U0&amp;row=989&amp;col=6&amp;number=3.5&amp;sourceID=14","3.5")</f>
        <v>3.5</v>
      </c>
      <c r="G989" s="4" t="str">
        <f>HYPERLINK("http://141.218.60.56/~jnz1568/getInfo.php?workbook=20_05.xlsx&amp;sheet=U0&amp;row=989&amp;col=7&amp;number=0.000831&amp;sourceID=14","0.000831")</f>
        <v>0.000831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HYPERLINK("http://141.218.60.56/~jnz1568/getInfo.php?workbook=20_05.xlsx&amp;sheet=U0&amp;row=990&amp;col=6&amp;number=3.6&amp;sourceID=14","3.6")</f>
        <v>3.6</v>
      </c>
      <c r="G990" s="4" t="str">
        <f>HYPERLINK("http://141.218.60.56/~jnz1568/getInfo.php?workbook=20_05.xlsx&amp;sheet=U0&amp;row=990&amp;col=7&amp;number=0.000854&amp;sourceID=14","0.000854")</f>
        <v>0.000854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HYPERLINK("http://141.218.60.56/~jnz1568/getInfo.php?workbook=20_05.xlsx&amp;sheet=U0&amp;row=991&amp;col=6&amp;number=3.7&amp;sourceID=14","3.7")</f>
        <v>3.7</v>
      </c>
      <c r="G991" s="4" t="str">
        <f>HYPERLINK("http://141.218.60.56/~jnz1568/getInfo.php?workbook=20_05.xlsx&amp;sheet=U0&amp;row=991&amp;col=7&amp;number=0.000883&amp;sourceID=14","0.000883")</f>
        <v>0.000883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HYPERLINK("http://141.218.60.56/~jnz1568/getInfo.php?workbook=20_05.xlsx&amp;sheet=U0&amp;row=992&amp;col=6&amp;number=3.8&amp;sourceID=14","3.8")</f>
        <v>3.8</v>
      </c>
      <c r="G992" s="4" t="str">
        <f>HYPERLINK("http://141.218.60.56/~jnz1568/getInfo.php?workbook=20_05.xlsx&amp;sheet=U0&amp;row=992&amp;col=7&amp;number=0.00092&amp;sourceID=14","0.00092")</f>
        <v>0.00092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HYPERLINK("http://141.218.60.56/~jnz1568/getInfo.php?workbook=20_05.xlsx&amp;sheet=U0&amp;row=993&amp;col=6&amp;number=3.9&amp;sourceID=14","3.9")</f>
        <v>3.9</v>
      </c>
      <c r="G993" s="4" t="str">
        <f>HYPERLINK("http://141.218.60.56/~jnz1568/getInfo.php?workbook=20_05.xlsx&amp;sheet=U0&amp;row=993&amp;col=7&amp;number=0.000965&amp;sourceID=14","0.000965")</f>
        <v>0.000965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HYPERLINK("http://141.218.60.56/~jnz1568/getInfo.php?workbook=20_05.xlsx&amp;sheet=U0&amp;row=994&amp;col=6&amp;number=4&amp;sourceID=14","4")</f>
        <v>4</v>
      </c>
      <c r="G994" s="4" t="str">
        <f>HYPERLINK("http://141.218.60.56/~jnz1568/getInfo.php?workbook=20_05.xlsx&amp;sheet=U0&amp;row=994&amp;col=7&amp;number=0.00102&amp;sourceID=14","0.00102")</f>
        <v>0.00102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HYPERLINK("http://141.218.60.56/~jnz1568/getInfo.php?workbook=20_05.xlsx&amp;sheet=U0&amp;row=995&amp;col=6&amp;number=4.1&amp;sourceID=14","4.1")</f>
        <v>4.1</v>
      </c>
      <c r="G995" s="4" t="str">
        <f>HYPERLINK("http://141.218.60.56/~jnz1568/getInfo.php?workbook=20_05.xlsx&amp;sheet=U0&amp;row=995&amp;col=7&amp;number=0.00109&amp;sourceID=14","0.00109")</f>
        <v>0.00109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HYPERLINK("http://141.218.60.56/~jnz1568/getInfo.php?workbook=20_05.xlsx&amp;sheet=U0&amp;row=996&amp;col=6&amp;number=4.2&amp;sourceID=14","4.2")</f>
        <v>4.2</v>
      </c>
      <c r="G996" s="4" t="str">
        <f>HYPERLINK("http://141.218.60.56/~jnz1568/getInfo.php?workbook=20_05.xlsx&amp;sheet=U0&amp;row=996&amp;col=7&amp;number=0.00118&amp;sourceID=14","0.00118")</f>
        <v>0.00118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HYPERLINK("http://141.218.60.56/~jnz1568/getInfo.php?workbook=20_05.xlsx&amp;sheet=U0&amp;row=997&amp;col=6&amp;number=4.3&amp;sourceID=14","4.3")</f>
        <v>4.3</v>
      </c>
      <c r="G997" s="4" t="str">
        <f>HYPERLINK("http://141.218.60.56/~jnz1568/getInfo.php?workbook=20_05.xlsx&amp;sheet=U0&amp;row=997&amp;col=7&amp;number=0.00129&amp;sourceID=14","0.00129")</f>
        <v>0.00129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HYPERLINK("http://141.218.60.56/~jnz1568/getInfo.php?workbook=20_05.xlsx&amp;sheet=U0&amp;row=998&amp;col=6&amp;number=4.4&amp;sourceID=14","4.4")</f>
        <v>4.4</v>
      </c>
      <c r="G998" s="4" t="str">
        <f>HYPERLINK("http://141.218.60.56/~jnz1568/getInfo.php?workbook=20_05.xlsx&amp;sheet=U0&amp;row=998&amp;col=7&amp;number=0.00142&amp;sourceID=14","0.00142")</f>
        <v>0.00142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HYPERLINK("http://141.218.60.56/~jnz1568/getInfo.php?workbook=20_05.xlsx&amp;sheet=U0&amp;row=999&amp;col=6&amp;number=4.5&amp;sourceID=14","4.5")</f>
        <v>4.5</v>
      </c>
      <c r="G999" s="4" t="str">
        <f>HYPERLINK("http://141.218.60.56/~jnz1568/getInfo.php?workbook=20_05.xlsx&amp;sheet=U0&amp;row=999&amp;col=7&amp;number=0.00158&amp;sourceID=14","0.00158")</f>
        <v>0.00158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HYPERLINK("http://141.218.60.56/~jnz1568/getInfo.php?workbook=20_05.xlsx&amp;sheet=U0&amp;row=1000&amp;col=6&amp;number=4.6&amp;sourceID=14","4.6")</f>
        <v>4.6</v>
      </c>
      <c r="G1000" s="4" t="str">
        <f>HYPERLINK("http://141.218.60.56/~jnz1568/getInfo.php?workbook=20_05.xlsx&amp;sheet=U0&amp;row=1000&amp;col=7&amp;number=0.00176&amp;sourceID=14","0.00176")</f>
        <v>0.00176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HYPERLINK("http://141.218.60.56/~jnz1568/getInfo.php?workbook=20_05.xlsx&amp;sheet=U0&amp;row=1001&amp;col=6&amp;number=4.7&amp;sourceID=14","4.7")</f>
        <v>4.7</v>
      </c>
      <c r="G1001" s="4" t="str">
        <f>HYPERLINK("http://141.218.60.56/~jnz1568/getInfo.php?workbook=20_05.xlsx&amp;sheet=U0&amp;row=1001&amp;col=7&amp;number=0.00197&amp;sourceID=14","0.00197")</f>
        <v>0.00197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HYPERLINK("http://141.218.60.56/~jnz1568/getInfo.php?workbook=20_05.xlsx&amp;sheet=U0&amp;row=1002&amp;col=6&amp;number=4.8&amp;sourceID=14","4.8")</f>
        <v>4.8</v>
      </c>
      <c r="G1002" s="4" t="str">
        <f>HYPERLINK("http://141.218.60.56/~jnz1568/getInfo.php?workbook=20_05.xlsx&amp;sheet=U0&amp;row=1002&amp;col=7&amp;number=0.0022&amp;sourceID=14","0.0022")</f>
        <v>0.0022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HYPERLINK("http://141.218.60.56/~jnz1568/getInfo.php?workbook=20_05.xlsx&amp;sheet=U0&amp;row=1003&amp;col=6&amp;number=4.9&amp;sourceID=14","4.9")</f>
        <v>4.9</v>
      </c>
      <c r="G1003" s="4" t="str">
        <f>HYPERLINK("http://141.218.60.56/~jnz1568/getInfo.php?workbook=20_05.xlsx&amp;sheet=U0&amp;row=1003&amp;col=7&amp;number=0.00243&amp;sourceID=14","0.00243")</f>
        <v>0.00243</v>
      </c>
    </row>
    <row r="1004" spans="1:7">
      <c r="A1004" s="3">
        <v>20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HYPERLINK("http://141.218.60.56/~jnz1568/getInfo.php?workbook=20_05.xlsx&amp;sheet=U0&amp;row=1004&amp;col=6&amp;number=3&amp;sourceID=14","3")</f>
        <v>3</v>
      </c>
      <c r="G1004" s="4" t="str">
        <f>HYPERLINK("http://141.218.60.56/~jnz1568/getInfo.php?workbook=20_05.xlsx&amp;sheet=U0&amp;row=1004&amp;col=7&amp;number=0.0301&amp;sourceID=14","0.0301")</f>
        <v>0.0301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HYPERLINK("http://141.218.60.56/~jnz1568/getInfo.php?workbook=20_05.xlsx&amp;sheet=U0&amp;row=1005&amp;col=6&amp;number=3.1&amp;sourceID=14","3.1")</f>
        <v>3.1</v>
      </c>
      <c r="G1005" s="4" t="str">
        <f>HYPERLINK("http://141.218.60.56/~jnz1568/getInfo.php?workbook=20_05.xlsx&amp;sheet=U0&amp;row=1005&amp;col=7&amp;number=0.0302&amp;sourceID=14","0.0302")</f>
        <v>0.0302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HYPERLINK("http://141.218.60.56/~jnz1568/getInfo.php?workbook=20_05.xlsx&amp;sheet=U0&amp;row=1006&amp;col=6&amp;number=3.2&amp;sourceID=14","3.2")</f>
        <v>3.2</v>
      </c>
      <c r="G1006" s="4" t="str">
        <f>HYPERLINK("http://141.218.60.56/~jnz1568/getInfo.php?workbook=20_05.xlsx&amp;sheet=U0&amp;row=1006&amp;col=7&amp;number=0.0302&amp;sourceID=14","0.0302")</f>
        <v>0.0302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HYPERLINK("http://141.218.60.56/~jnz1568/getInfo.php?workbook=20_05.xlsx&amp;sheet=U0&amp;row=1007&amp;col=6&amp;number=3.3&amp;sourceID=14","3.3")</f>
        <v>3.3</v>
      </c>
      <c r="G1007" s="4" t="str">
        <f>HYPERLINK("http://141.218.60.56/~jnz1568/getInfo.php?workbook=20_05.xlsx&amp;sheet=U0&amp;row=1007&amp;col=7&amp;number=0.0303&amp;sourceID=14","0.0303")</f>
        <v>0.0303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HYPERLINK("http://141.218.60.56/~jnz1568/getInfo.php?workbook=20_05.xlsx&amp;sheet=U0&amp;row=1008&amp;col=6&amp;number=3.4&amp;sourceID=14","3.4")</f>
        <v>3.4</v>
      </c>
      <c r="G1008" s="4" t="str">
        <f>HYPERLINK("http://141.218.60.56/~jnz1568/getInfo.php?workbook=20_05.xlsx&amp;sheet=U0&amp;row=1008&amp;col=7&amp;number=0.0303&amp;sourceID=14","0.0303")</f>
        <v>0.0303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HYPERLINK("http://141.218.60.56/~jnz1568/getInfo.php?workbook=20_05.xlsx&amp;sheet=U0&amp;row=1009&amp;col=6&amp;number=3.5&amp;sourceID=14","3.5")</f>
        <v>3.5</v>
      </c>
      <c r="G1009" s="4" t="str">
        <f>HYPERLINK("http://141.218.60.56/~jnz1568/getInfo.php?workbook=20_05.xlsx&amp;sheet=U0&amp;row=1009&amp;col=7&amp;number=0.0304&amp;sourceID=14","0.0304")</f>
        <v>0.0304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HYPERLINK("http://141.218.60.56/~jnz1568/getInfo.php?workbook=20_05.xlsx&amp;sheet=U0&amp;row=1010&amp;col=6&amp;number=3.6&amp;sourceID=14","3.6")</f>
        <v>3.6</v>
      </c>
      <c r="G1010" s="4" t="str">
        <f>HYPERLINK("http://141.218.60.56/~jnz1568/getInfo.php?workbook=20_05.xlsx&amp;sheet=U0&amp;row=1010&amp;col=7&amp;number=0.0305&amp;sourceID=14","0.0305")</f>
        <v>0.0305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HYPERLINK("http://141.218.60.56/~jnz1568/getInfo.php?workbook=20_05.xlsx&amp;sheet=U0&amp;row=1011&amp;col=6&amp;number=3.7&amp;sourceID=14","3.7")</f>
        <v>3.7</v>
      </c>
      <c r="G1011" s="4" t="str">
        <f>HYPERLINK("http://141.218.60.56/~jnz1568/getInfo.php?workbook=20_05.xlsx&amp;sheet=U0&amp;row=1011&amp;col=7&amp;number=0.0306&amp;sourceID=14","0.0306")</f>
        <v>0.0306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HYPERLINK("http://141.218.60.56/~jnz1568/getInfo.php?workbook=20_05.xlsx&amp;sheet=U0&amp;row=1012&amp;col=6&amp;number=3.8&amp;sourceID=14","3.8")</f>
        <v>3.8</v>
      </c>
      <c r="G1012" s="4" t="str">
        <f>HYPERLINK("http://141.218.60.56/~jnz1568/getInfo.php?workbook=20_05.xlsx&amp;sheet=U0&amp;row=1012&amp;col=7&amp;number=0.0307&amp;sourceID=14","0.0307")</f>
        <v>0.0307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HYPERLINK("http://141.218.60.56/~jnz1568/getInfo.php?workbook=20_05.xlsx&amp;sheet=U0&amp;row=1013&amp;col=6&amp;number=3.9&amp;sourceID=14","3.9")</f>
        <v>3.9</v>
      </c>
      <c r="G1013" s="4" t="str">
        <f>HYPERLINK("http://141.218.60.56/~jnz1568/getInfo.php?workbook=20_05.xlsx&amp;sheet=U0&amp;row=1013&amp;col=7&amp;number=0.0309&amp;sourceID=14","0.0309")</f>
        <v>0.0309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HYPERLINK("http://141.218.60.56/~jnz1568/getInfo.php?workbook=20_05.xlsx&amp;sheet=U0&amp;row=1014&amp;col=6&amp;number=4&amp;sourceID=14","4")</f>
        <v>4</v>
      </c>
      <c r="G1014" s="4" t="str">
        <f>HYPERLINK("http://141.218.60.56/~jnz1568/getInfo.php?workbook=20_05.xlsx&amp;sheet=U0&amp;row=1014&amp;col=7&amp;number=0.0311&amp;sourceID=14","0.0311")</f>
        <v>0.0311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HYPERLINK("http://141.218.60.56/~jnz1568/getInfo.php?workbook=20_05.xlsx&amp;sheet=U0&amp;row=1015&amp;col=6&amp;number=4.1&amp;sourceID=14","4.1")</f>
        <v>4.1</v>
      </c>
      <c r="G1015" s="4" t="str">
        <f>HYPERLINK("http://141.218.60.56/~jnz1568/getInfo.php?workbook=20_05.xlsx&amp;sheet=U0&amp;row=1015&amp;col=7&amp;number=0.0314&amp;sourceID=14","0.0314")</f>
        <v>0.0314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HYPERLINK("http://141.218.60.56/~jnz1568/getInfo.php?workbook=20_05.xlsx&amp;sheet=U0&amp;row=1016&amp;col=6&amp;number=4.2&amp;sourceID=14","4.2")</f>
        <v>4.2</v>
      </c>
      <c r="G1016" s="4" t="str">
        <f>HYPERLINK("http://141.218.60.56/~jnz1568/getInfo.php?workbook=20_05.xlsx&amp;sheet=U0&amp;row=1016&amp;col=7&amp;number=0.0317&amp;sourceID=14","0.0317")</f>
        <v>0.0317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HYPERLINK("http://141.218.60.56/~jnz1568/getInfo.php?workbook=20_05.xlsx&amp;sheet=U0&amp;row=1017&amp;col=6&amp;number=4.3&amp;sourceID=14","4.3")</f>
        <v>4.3</v>
      </c>
      <c r="G1017" s="4" t="str">
        <f>HYPERLINK("http://141.218.60.56/~jnz1568/getInfo.php?workbook=20_05.xlsx&amp;sheet=U0&amp;row=1017&amp;col=7&amp;number=0.0321&amp;sourceID=14","0.0321")</f>
        <v>0.0321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HYPERLINK("http://141.218.60.56/~jnz1568/getInfo.php?workbook=20_05.xlsx&amp;sheet=U0&amp;row=1018&amp;col=6&amp;number=4.4&amp;sourceID=14","4.4")</f>
        <v>4.4</v>
      </c>
      <c r="G1018" s="4" t="str">
        <f>HYPERLINK("http://141.218.60.56/~jnz1568/getInfo.php?workbook=20_05.xlsx&amp;sheet=U0&amp;row=1018&amp;col=7&amp;number=0.0326&amp;sourceID=14","0.0326")</f>
        <v>0.0326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HYPERLINK("http://141.218.60.56/~jnz1568/getInfo.php?workbook=20_05.xlsx&amp;sheet=U0&amp;row=1019&amp;col=6&amp;number=4.5&amp;sourceID=14","4.5")</f>
        <v>4.5</v>
      </c>
      <c r="G1019" s="4" t="str">
        <f>HYPERLINK("http://141.218.60.56/~jnz1568/getInfo.php?workbook=20_05.xlsx&amp;sheet=U0&amp;row=1019&amp;col=7&amp;number=0.0332&amp;sourceID=14","0.0332")</f>
        <v>0.0332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HYPERLINK("http://141.218.60.56/~jnz1568/getInfo.php?workbook=20_05.xlsx&amp;sheet=U0&amp;row=1020&amp;col=6&amp;number=4.6&amp;sourceID=14","4.6")</f>
        <v>4.6</v>
      </c>
      <c r="G1020" s="4" t="str">
        <f>HYPERLINK("http://141.218.60.56/~jnz1568/getInfo.php?workbook=20_05.xlsx&amp;sheet=U0&amp;row=1020&amp;col=7&amp;number=0.0338&amp;sourceID=14","0.0338")</f>
        <v>0.0338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HYPERLINK("http://141.218.60.56/~jnz1568/getInfo.php?workbook=20_05.xlsx&amp;sheet=U0&amp;row=1021&amp;col=6&amp;number=4.7&amp;sourceID=14","4.7")</f>
        <v>4.7</v>
      </c>
      <c r="G1021" s="4" t="str">
        <f>HYPERLINK("http://141.218.60.56/~jnz1568/getInfo.php?workbook=20_05.xlsx&amp;sheet=U0&amp;row=1021&amp;col=7&amp;number=0.0346&amp;sourceID=14","0.0346")</f>
        <v>0.0346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HYPERLINK("http://141.218.60.56/~jnz1568/getInfo.php?workbook=20_05.xlsx&amp;sheet=U0&amp;row=1022&amp;col=6&amp;number=4.8&amp;sourceID=14","4.8")</f>
        <v>4.8</v>
      </c>
      <c r="G1022" s="4" t="str">
        <f>HYPERLINK("http://141.218.60.56/~jnz1568/getInfo.php?workbook=20_05.xlsx&amp;sheet=U0&amp;row=1022&amp;col=7&amp;number=0.0353&amp;sourceID=14","0.0353")</f>
        <v>0.0353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HYPERLINK("http://141.218.60.56/~jnz1568/getInfo.php?workbook=20_05.xlsx&amp;sheet=U0&amp;row=1023&amp;col=6&amp;number=4.9&amp;sourceID=14","4.9")</f>
        <v>4.9</v>
      </c>
      <c r="G1023" s="4" t="str">
        <f>HYPERLINK("http://141.218.60.56/~jnz1568/getInfo.php?workbook=20_05.xlsx&amp;sheet=U0&amp;row=1023&amp;col=7&amp;number=0.036&amp;sourceID=14","0.036")</f>
        <v>0.036</v>
      </c>
    </row>
    <row r="1024" spans="1:7">
      <c r="A1024" s="3">
        <v>20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HYPERLINK("http://141.218.60.56/~jnz1568/getInfo.php?workbook=20_05.xlsx&amp;sheet=U0&amp;row=1024&amp;col=6&amp;number=3&amp;sourceID=14","3")</f>
        <v>3</v>
      </c>
      <c r="G1024" s="4" t="str">
        <f>HYPERLINK("http://141.218.60.56/~jnz1568/getInfo.php?workbook=20_05.xlsx&amp;sheet=U0&amp;row=1024&amp;col=7&amp;number=0.0815&amp;sourceID=14","0.0815")</f>
        <v>0.0815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HYPERLINK("http://141.218.60.56/~jnz1568/getInfo.php?workbook=20_05.xlsx&amp;sheet=U0&amp;row=1025&amp;col=6&amp;number=3.1&amp;sourceID=14","3.1")</f>
        <v>3.1</v>
      </c>
      <c r="G1025" s="4" t="str">
        <f>HYPERLINK("http://141.218.60.56/~jnz1568/getInfo.php?workbook=20_05.xlsx&amp;sheet=U0&amp;row=1025&amp;col=7&amp;number=0.0815&amp;sourceID=14","0.0815")</f>
        <v>0.0815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HYPERLINK("http://141.218.60.56/~jnz1568/getInfo.php?workbook=20_05.xlsx&amp;sheet=U0&amp;row=1026&amp;col=6&amp;number=3.2&amp;sourceID=14","3.2")</f>
        <v>3.2</v>
      </c>
      <c r="G1026" s="4" t="str">
        <f>HYPERLINK("http://141.218.60.56/~jnz1568/getInfo.php?workbook=20_05.xlsx&amp;sheet=U0&amp;row=1026&amp;col=7&amp;number=0.0816&amp;sourceID=14","0.0816")</f>
        <v>0.0816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HYPERLINK("http://141.218.60.56/~jnz1568/getInfo.php?workbook=20_05.xlsx&amp;sheet=U0&amp;row=1027&amp;col=6&amp;number=3.3&amp;sourceID=14","3.3")</f>
        <v>3.3</v>
      </c>
      <c r="G1027" s="4" t="str">
        <f>HYPERLINK("http://141.218.60.56/~jnz1568/getInfo.php?workbook=20_05.xlsx&amp;sheet=U0&amp;row=1027&amp;col=7&amp;number=0.0818&amp;sourceID=14","0.0818")</f>
        <v>0.0818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HYPERLINK("http://141.218.60.56/~jnz1568/getInfo.php?workbook=20_05.xlsx&amp;sheet=U0&amp;row=1028&amp;col=6&amp;number=3.4&amp;sourceID=14","3.4")</f>
        <v>3.4</v>
      </c>
      <c r="G1028" s="4" t="str">
        <f>HYPERLINK("http://141.218.60.56/~jnz1568/getInfo.php?workbook=20_05.xlsx&amp;sheet=U0&amp;row=1028&amp;col=7&amp;number=0.0819&amp;sourceID=14","0.0819")</f>
        <v>0.0819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HYPERLINK("http://141.218.60.56/~jnz1568/getInfo.php?workbook=20_05.xlsx&amp;sheet=U0&amp;row=1029&amp;col=6&amp;number=3.5&amp;sourceID=14","3.5")</f>
        <v>3.5</v>
      </c>
      <c r="G1029" s="4" t="str">
        <f>HYPERLINK("http://141.218.60.56/~jnz1568/getInfo.php?workbook=20_05.xlsx&amp;sheet=U0&amp;row=1029&amp;col=7&amp;number=0.0821&amp;sourceID=14","0.0821")</f>
        <v>0.0821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HYPERLINK("http://141.218.60.56/~jnz1568/getInfo.php?workbook=20_05.xlsx&amp;sheet=U0&amp;row=1030&amp;col=6&amp;number=3.6&amp;sourceID=14","3.6")</f>
        <v>3.6</v>
      </c>
      <c r="G1030" s="4" t="str">
        <f>HYPERLINK("http://141.218.60.56/~jnz1568/getInfo.php?workbook=20_05.xlsx&amp;sheet=U0&amp;row=1030&amp;col=7&amp;number=0.0824&amp;sourceID=14","0.0824")</f>
        <v>0.0824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HYPERLINK("http://141.218.60.56/~jnz1568/getInfo.php?workbook=20_05.xlsx&amp;sheet=U0&amp;row=1031&amp;col=6&amp;number=3.7&amp;sourceID=14","3.7")</f>
        <v>3.7</v>
      </c>
      <c r="G1031" s="4" t="str">
        <f>HYPERLINK("http://141.218.60.56/~jnz1568/getInfo.php?workbook=20_05.xlsx&amp;sheet=U0&amp;row=1031&amp;col=7&amp;number=0.0827&amp;sourceID=14","0.0827")</f>
        <v>0.0827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HYPERLINK("http://141.218.60.56/~jnz1568/getInfo.php?workbook=20_05.xlsx&amp;sheet=U0&amp;row=1032&amp;col=6&amp;number=3.8&amp;sourceID=14","3.8")</f>
        <v>3.8</v>
      </c>
      <c r="G1032" s="4" t="str">
        <f>HYPERLINK("http://141.218.60.56/~jnz1568/getInfo.php?workbook=20_05.xlsx&amp;sheet=U0&amp;row=1032&amp;col=7&amp;number=0.0831&amp;sourceID=14","0.0831")</f>
        <v>0.0831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HYPERLINK("http://141.218.60.56/~jnz1568/getInfo.php?workbook=20_05.xlsx&amp;sheet=U0&amp;row=1033&amp;col=6&amp;number=3.9&amp;sourceID=14","3.9")</f>
        <v>3.9</v>
      </c>
      <c r="G1033" s="4" t="str">
        <f>HYPERLINK("http://141.218.60.56/~jnz1568/getInfo.php?workbook=20_05.xlsx&amp;sheet=U0&amp;row=1033&amp;col=7&amp;number=0.0836&amp;sourceID=14","0.0836")</f>
        <v>0.0836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HYPERLINK("http://141.218.60.56/~jnz1568/getInfo.php?workbook=20_05.xlsx&amp;sheet=U0&amp;row=1034&amp;col=6&amp;number=4&amp;sourceID=14","4")</f>
        <v>4</v>
      </c>
      <c r="G1034" s="4" t="str">
        <f>HYPERLINK("http://141.218.60.56/~jnz1568/getInfo.php?workbook=20_05.xlsx&amp;sheet=U0&amp;row=1034&amp;col=7&amp;number=0.0842&amp;sourceID=14","0.0842")</f>
        <v>0.0842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HYPERLINK("http://141.218.60.56/~jnz1568/getInfo.php?workbook=20_05.xlsx&amp;sheet=U0&amp;row=1035&amp;col=6&amp;number=4.1&amp;sourceID=14","4.1")</f>
        <v>4.1</v>
      </c>
      <c r="G1035" s="4" t="str">
        <f>HYPERLINK("http://141.218.60.56/~jnz1568/getInfo.php?workbook=20_05.xlsx&amp;sheet=U0&amp;row=1035&amp;col=7&amp;number=0.085&amp;sourceID=14","0.085")</f>
        <v>0.085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HYPERLINK("http://141.218.60.56/~jnz1568/getInfo.php?workbook=20_05.xlsx&amp;sheet=U0&amp;row=1036&amp;col=6&amp;number=4.2&amp;sourceID=14","4.2")</f>
        <v>4.2</v>
      </c>
      <c r="G1036" s="4" t="str">
        <f>HYPERLINK("http://141.218.60.56/~jnz1568/getInfo.php?workbook=20_05.xlsx&amp;sheet=U0&amp;row=1036&amp;col=7&amp;number=0.0859&amp;sourceID=14","0.0859")</f>
        <v>0.0859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HYPERLINK("http://141.218.60.56/~jnz1568/getInfo.php?workbook=20_05.xlsx&amp;sheet=U0&amp;row=1037&amp;col=6&amp;number=4.3&amp;sourceID=14","4.3")</f>
        <v>4.3</v>
      </c>
      <c r="G1037" s="4" t="str">
        <f>HYPERLINK("http://141.218.60.56/~jnz1568/getInfo.php?workbook=20_05.xlsx&amp;sheet=U0&amp;row=1037&amp;col=7&amp;number=0.0871&amp;sourceID=14","0.0871")</f>
        <v>0.0871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HYPERLINK("http://141.218.60.56/~jnz1568/getInfo.php?workbook=20_05.xlsx&amp;sheet=U0&amp;row=1038&amp;col=6&amp;number=4.4&amp;sourceID=14","4.4")</f>
        <v>4.4</v>
      </c>
      <c r="G1038" s="4" t="str">
        <f>HYPERLINK("http://141.218.60.56/~jnz1568/getInfo.php?workbook=20_05.xlsx&amp;sheet=U0&amp;row=1038&amp;col=7&amp;number=0.0885&amp;sourceID=14","0.0885")</f>
        <v>0.0885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HYPERLINK("http://141.218.60.56/~jnz1568/getInfo.php?workbook=20_05.xlsx&amp;sheet=U0&amp;row=1039&amp;col=6&amp;number=4.5&amp;sourceID=14","4.5")</f>
        <v>4.5</v>
      </c>
      <c r="G1039" s="4" t="str">
        <f>HYPERLINK("http://141.218.60.56/~jnz1568/getInfo.php?workbook=20_05.xlsx&amp;sheet=U0&amp;row=1039&amp;col=7&amp;number=0.0902&amp;sourceID=14","0.0902")</f>
        <v>0.0902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HYPERLINK("http://141.218.60.56/~jnz1568/getInfo.php?workbook=20_05.xlsx&amp;sheet=U0&amp;row=1040&amp;col=6&amp;number=4.6&amp;sourceID=14","4.6")</f>
        <v>4.6</v>
      </c>
      <c r="G1040" s="4" t="str">
        <f>HYPERLINK("http://141.218.60.56/~jnz1568/getInfo.php?workbook=20_05.xlsx&amp;sheet=U0&amp;row=1040&amp;col=7&amp;number=0.0921&amp;sourceID=14","0.0921")</f>
        <v>0.0921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HYPERLINK("http://141.218.60.56/~jnz1568/getInfo.php?workbook=20_05.xlsx&amp;sheet=U0&amp;row=1041&amp;col=6&amp;number=4.7&amp;sourceID=14","4.7")</f>
        <v>4.7</v>
      </c>
      <c r="G1041" s="4" t="str">
        <f>HYPERLINK("http://141.218.60.56/~jnz1568/getInfo.php?workbook=20_05.xlsx&amp;sheet=U0&amp;row=1041&amp;col=7&amp;number=0.0943&amp;sourceID=14","0.0943")</f>
        <v>0.0943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HYPERLINK("http://141.218.60.56/~jnz1568/getInfo.php?workbook=20_05.xlsx&amp;sheet=U0&amp;row=1042&amp;col=6&amp;number=4.8&amp;sourceID=14","4.8")</f>
        <v>4.8</v>
      </c>
      <c r="G1042" s="4" t="str">
        <f>HYPERLINK("http://141.218.60.56/~jnz1568/getInfo.php?workbook=20_05.xlsx&amp;sheet=U0&amp;row=1042&amp;col=7&amp;number=0.0966&amp;sourceID=14","0.0966")</f>
        <v>0.0966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HYPERLINK("http://141.218.60.56/~jnz1568/getInfo.php?workbook=20_05.xlsx&amp;sheet=U0&amp;row=1043&amp;col=6&amp;number=4.9&amp;sourceID=14","4.9")</f>
        <v>4.9</v>
      </c>
      <c r="G1043" s="4" t="str">
        <f>HYPERLINK("http://141.218.60.56/~jnz1568/getInfo.php?workbook=20_05.xlsx&amp;sheet=U0&amp;row=1043&amp;col=7&amp;number=0.0987&amp;sourceID=14","0.0987")</f>
        <v>0.0987</v>
      </c>
    </row>
    <row r="1044" spans="1:7">
      <c r="A1044" s="3">
        <v>20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HYPERLINK("http://141.218.60.56/~jnz1568/getInfo.php?workbook=20_05.xlsx&amp;sheet=U0&amp;row=1044&amp;col=6&amp;number=3&amp;sourceID=14","3")</f>
        <v>3</v>
      </c>
      <c r="G1044" s="4" t="str">
        <f>HYPERLINK("http://141.218.60.56/~jnz1568/getInfo.php?workbook=20_05.xlsx&amp;sheet=U0&amp;row=1044&amp;col=7&amp;number=0.0154&amp;sourceID=14","0.0154")</f>
        <v>0.0154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HYPERLINK("http://141.218.60.56/~jnz1568/getInfo.php?workbook=20_05.xlsx&amp;sheet=U0&amp;row=1045&amp;col=6&amp;number=3.1&amp;sourceID=14","3.1")</f>
        <v>3.1</v>
      </c>
      <c r="G1045" s="4" t="str">
        <f>HYPERLINK("http://141.218.60.56/~jnz1568/getInfo.php?workbook=20_05.xlsx&amp;sheet=U0&amp;row=1045&amp;col=7&amp;number=0.0154&amp;sourceID=14","0.0154")</f>
        <v>0.0154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HYPERLINK("http://141.218.60.56/~jnz1568/getInfo.php?workbook=20_05.xlsx&amp;sheet=U0&amp;row=1046&amp;col=6&amp;number=3.2&amp;sourceID=14","3.2")</f>
        <v>3.2</v>
      </c>
      <c r="G1046" s="4" t="str">
        <f>HYPERLINK("http://141.218.60.56/~jnz1568/getInfo.php?workbook=20_05.xlsx&amp;sheet=U0&amp;row=1046&amp;col=7&amp;number=0.0154&amp;sourceID=14","0.0154")</f>
        <v>0.0154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HYPERLINK("http://141.218.60.56/~jnz1568/getInfo.php?workbook=20_05.xlsx&amp;sheet=U0&amp;row=1047&amp;col=6&amp;number=3.3&amp;sourceID=14","3.3")</f>
        <v>3.3</v>
      </c>
      <c r="G1047" s="4" t="str">
        <f>HYPERLINK("http://141.218.60.56/~jnz1568/getInfo.php?workbook=20_05.xlsx&amp;sheet=U0&amp;row=1047&amp;col=7&amp;number=0.0154&amp;sourceID=14","0.0154")</f>
        <v>0.0154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HYPERLINK("http://141.218.60.56/~jnz1568/getInfo.php?workbook=20_05.xlsx&amp;sheet=U0&amp;row=1048&amp;col=6&amp;number=3.4&amp;sourceID=14","3.4")</f>
        <v>3.4</v>
      </c>
      <c r="G1048" s="4" t="str">
        <f>HYPERLINK("http://141.218.60.56/~jnz1568/getInfo.php?workbook=20_05.xlsx&amp;sheet=U0&amp;row=1048&amp;col=7&amp;number=0.0154&amp;sourceID=14","0.0154")</f>
        <v>0.0154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HYPERLINK("http://141.218.60.56/~jnz1568/getInfo.php?workbook=20_05.xlsx&amp;sheet=U0&amp;row=1049&amp;col=6&amp;number=3.5&amp;sourceID=14","3.5")</f>
        <v>3.5</v>
      </c>
      <c r="G1049" s="4" t="str">
        <f>HYPERLINK("http://141.218.60.56/~jnz1568/getInfo.php?workbook=20_05.xlsx&amp;sheet=U0&amp;row=1049&amp;col=7&amp;number=0.0154&amp;sourceID=14","0.0154")</f>
        <v>0.0154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HYPERLINK("http://141.218.60.56/~jnz1568/getInfo.php?workbook=20_05.xlsx&amp;sheet=U0&amp;row=1050&amp;col=6&amp;number=3.6&amp;sourceID=14","3.6")</f>
        <v>3.6</v>
      </c>
      <c r="G1050" s="4" t="str">
        <f>HYPERLINK("http://141.218.60.56/~jnz1568/getInfo.php?workbook=20_05.xlsx&amp;sheet=U0&amp;row=1050&amp;col=7&amp;number=0.0154&amp;sourceID=14","0.0154")</f>
        <v>0.0154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HYPERLINK("http://141.218.60.56/~jnz1568/getInfo.php?workbook=20_05.xlsx&amp;sheet=U0&amp;row=1051&amp;col=6&amp;number=3.7&amp;sourceID=14","3.7")</f>
        <v>3.7</v>
      </c>
      <c r="G1051" s="4" t="str">
        <f>HYPERLINK("http://141.218.60.56/~jnz1568/getInfo.php?workbook=20_05.xlsx&amp;sheet=U0&amp;row=1051&amp;col=7&amp;number=0.0154&amp;sourceID=14","0.0154")</f>
        <v>0.0154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HYPERLINK("http://141.218.60.56/~jnz1568/getInfo.php?workbook=20_05.xlsx&amp;sheet=U0&amp;row=1052&amp;col=6&amp;number=3.8&amp;sourceID=14","3.8")</f>
        <v>3.8</v>
      </c>
      <c r="G1052" s="4" t="str">
        <f>HYPERLINK("http://141.218.60.56/~jnz1568/getInfo.php?workbook=20_05.xlsx&amp;sheet=U0&amp;row=1052&amp;col=7&amp;number=0.0153&amp;sourceID=14","0.0153")</f>
        <v>0.0153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HYPERLINK("http://141.218.60.56/~jnz1568/getInfo.php?workbook=20_05.xlsx&amp;sheet=U0&amp;row=1053&amp;col=6&amp;number=3.9&amp;sourceID=14","3.9")</f>
        <v>3.9</v>
      </c>
      <c r="G1053" s="4" t="str">
        <f>HYPERLINK("http://141.218.60.56/~jnz1568/getInfo.php?workbook=20_05.xlsx&amp;sheet=U0&amp;row=1053&amp;col=7&amp;number=0.0153&amp;sourceID=14","0.0153")</f>
        <v>0.0153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HYPERLINK("http://141.218.60.56/~jnz1568/getInfo.php?workbook=20_05.xlsx&amp;sheet=U0&amp;row=1054&amp;col=6&amp;number=4&amp;sourceID=14","4")</f>
        <v>4</v>
      </c>
      <c r="G1054" s="4" t="str">
        <f>HYPERLINK("http://141.218.60.56/~jnz1568/getInfo.php?workbook=20_05.xlsx&amp;sheet=U0&amp;row=1054&amp;col=7&amp;number=0.0153&amp;sourceID=14","0.0153")</f>
        <v>0.0153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HYPERLINK("http://141.218.60.56/~jnz1568/getInfo.php?workbook=20_05.xlsx&amp;sheet=U0&amp;row=1055&amp;col=6&amp;number=4.1&amp;sourceID=14","4.1")</f>
        <v>4.1</v>
      </c>
      <c r="G1055" s="4" t="str">
        <f>HYPERLINK("http://141.218.60.56/~jnz1568/getInfo.php?workbook=20_05.xlsx&amp;sheet=U0&amp;row=1055&amp;col=7&amp;number=0.0152&amp;sourceID=14","0.0152")</f>
        <v>0.0152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HYPERLINK("http://141.218.60.56/~jnz1568/getInfo.php?workbook=20_05.xlsx&amp;sheet=U0&amp;row=1056&amp;col=6&amp;number=4.2&amp;sourceID=14","4.2")</f>
        <v>4.2</v>
      </c>
      <c r="G1056" s="4" t="str">
        <f>HYPERLINK("http://141.218.60.56/~jnz1568/getInfo.php?workbook=20_05.xlsx&amp;sheet=U0&amp;row=1056&amp;col=7&amp;number=0.0152&amp;sourceID=14","0.0152")</f>
        <v>0.0152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HYPERLINK("http://141.218.60.56/~jnz1568/getInfo.php?workbook=20_05.xlsx&amp;sheet=U0&amp;row=1057&amp;col=6&amp;number=4.3&amp;sourceID=14","4.3")</f>
        <v>4.3</v>
      </c>
      <c r="G1057" s="4" t="str">
        <f>HYPERLINK("http://141.218.60.56/~jnz1568/getInfo.php?workbook=20_05.xlsx&amp;sheet=U0&amp;row=1057&amp;col=7&amp;number=0.0151&amp;sourceID=14","0.0151")</f>
        <v>0.0151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HYPERLINK("http://141.218.60.56/~jnz1568/getInfo.php?workbook=20_05.xlsx&amp;sheet=U0&amp;row=1058&amp;col=6&amp;number=4.4&amp;sourceID=14","4.4")</f>
        <v>4.4</v>
      </c>
      <c r="G1058" s="4" t="str">
        <f>HYPERLINK("http://141.218.60.56/~jnz1568/getInfo.php?workbook=20_05.xlsx&amp;sheet=U0&amp;row=1058&amp;col=7&amp;number=0.0151&amp;sourceID=14","0.0151")</f>
        <v>0.0151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HYPERLINK("http://141.218.60.56/~jnz1568/getInfo.php?workbook=20_05.xlsx&amp;sheet=U0&amp;row=1059&amp;col=6&amp;number=4.5&amp;sourceID=14","4.5")</f>
        <v>4.5</v>
      </c>
      <c r="G1059" s="4" t="str">
        <f>HYPERLINK("http://141.218.60.56/~jnz1568/getInfo.php?workbook=20_05.xlsx&amp;sheet=U0&amp;row=1059&amp;col=7&amp;number=0.015&amp;sourceID=14","0.015")</f>
        <v>0.015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HYPERLINK("http://141.218.60.56/~jnz1568/getInfo.php?workbook=20_05.xlsx&amp;sheet=U0&amp;row=1060&amp;col=6&amp;number=4.6&amp;sourceID=14","4.6")</f>
        <v>4.6</v>
      </c>
      <c r="G1060" s="4" t="str">
        <f>HYPERLINK("http://141.218.60.56/~jnz1568/getInfo.php?workbook=20_05.xlsx&amp;sheet=U0&amp;row=1060&amp;col=7&amp;number=0.0149&amp;sourceID=14","0.0149")</f>
        <v>0.0149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HYPERLINK("http://141.218.60.56/~jnz1568/getInfo.php?workbook=20_05.xlsx&amp;sheet=U0&amp;row=1061&amp;col=6&amp;number=4.7&amp;sourceID=14","4.7")</f>
        <v>4.7</v>
      </c>
      <c r="G1061" s="4" t="str">
        <f>HYPERLINK("http://141.218.60.56/~jnz1568/getInfo.php?workbook=20_05.xlsx&amp;sheet=U0&amp;row=1061&amp;col=7&amp;number=0.0147&amp;sourceID=14","0.0147")</f>
        <v>0.0147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HYPERLINK("http://141.218.60.56/~jnz1568/getInfo.php?workbook=20_05.xlsx&amp;sheet=U0&amp;row=1062&amp;col=6&amp;number=4.8&amp;sourceID=14","4.8")</f>
        <v>4.8</v>
      </c>
      <c r="G1062" s="4" t="str">
        <f>HYPERLINK("http://141.218.60.56/~jnz1568/getInfo.php?workbook=20_05.xlsx&amp;sheet=U0&amp;row=1062&amp;col=7&amp;number=0.0146&amp;sourceID=14","0.0146")</f>
        <v>0.0146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HYPERLINK("http://141.218.60.56/~jnz1568/getInfo.php?workbook=20_05.xlsx&amp;sheet=U0&amp;row=1063&amp;col=6&amp;number=4.9&amp;sourceID=14","4.9")</f>
        <v>4.9</v>
      </c>
      <c r="G1063" s="4" t="str">
        <f>HYPERLINK("http://141.218.60.56/~jnz1568/getInfo.php?workbook=20_05.xlsx&amp;sheet=U0&amp;row=1063&amp;col=7&amp;number=0.0144&amp;sourceID=14","0.0144")</f>
        <v>0.0144</v>
      </c>
    </row>
    <row r="1064" spans="1:7">
      <c r="A1064" s="3">
        <v>20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HYPERLINK("http://141.218.60.56/~jnz1568/getInfo.php?workbook=20_05.xlsx&amp;sheet=U0&amp;row=1064&amp;col=6&amp;number=3&amp;sourceID=14","3")</f>
        <v>3</v>
      </c>
      <c r="G1064" s="4" t="str">
        <f>HYPERLINK("http://141.218.60.56/~jnz1568/getInfo.php?workbook=20_05.xlsx&amp;sheet=U0&amp;row=1064&amp;col=7&amp;number=0.0136&amp;sourceID=14","0.0136")</f>
        <v>0.0136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HYPERLINK("http://141.218.60.56/~jnz1568/getInfo.php?workbook=20_05.xlsx&amp;sheet=U0&amp;row=1065&amp;col=6&amp;number=3.1&amp;sourceID=14","3.1")</f>
        <v>3.1</v>
      </c>
      <c r="G1065" s="4" t="str">
        <f>HYPERLINK("http://141.218.60.56/~jnz1568/getInfo.php?workbook=20_05.xlsx&amp;sheet=U0&amp;row=1065&amp;col=7&amp;number=0.0136&amp;sourceID=14","0.0136")</f>
        <v>0.0136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HYPERLINK("http://141.218.60.56/~jnz1568/getInfo.php?workbook=20_05.xlsx&amp;sheet=U0&amp;row=1066&amp;col=6&amp;number=3.2&amp;sourceID=14","3.2")</f>
        <v>3.2</v>
      </c>
      <c r="G1066" s="4" t="str">
        <f>HYPERLINK("http://141.218.60.56/~jnz1568/getInfo.php?workbook=20_05.xlsx&amp;sheet=U0&amp;row=1066&amp;col=7&amp;number=0.0136&amp;sourceID=14","0.0136")</f>
        <v>0.0136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HYPERLINK("http://141.218.60.56/~jnz1568/getInfo.php?workbook=20_05.xlsx&amp;sheet=U0&amp;row=1067&amp;col=6&amp;number=3.3&amp;sourceID=14","3.3")</f>
        <v>3.3</v>
      </c>
      <c r="G1067" s="4" t="str">
        <f>HYPERLINK("http://141.218.60.56/~jnz1568/getInfo.php?workbook=20_05.xlsx&amp;sheet=U0&amp;row=1067&amp;col=7&amp;number=0.0136&amp;sourceID=14","0.0136")</f>
        <v>0.0136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HYPERLINK("http://141.218.60.56/~jnz1568/getInfo.php?workbook=20_05.xlsx&amp;sheet=U0&amp;row=1068&amp;col=6&amp;number=3.4&amp;sourceID=14","3.4")</f>
        <v>3.4</v>
      </c>
      <c r="G1068" s="4" t="str">
        <f>HYPERLINK("http://141.218.60.56/~jnz1568/getInfo.php?workbook=20_05.xlsx&amp;sheet=U0&amp;row=1068&amp;col=7&amp;number=0.0136&amp;sourceID=14","0.0136")</f>
        <v>0.0136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HYPERLINK("http://141.218.60.56/~jnz1568/getInfo.php?workbook=20_05.xlsx&amp;sheet=U0&amp;row=1069&amp;col=6&amp;number=3.5&amp;sourceID=14","3.5")</f>
        <v>3.5</v>
      </c>
      <c r="G1069" s="4" t="str">
        <f>HYPERLINK("http://141.218.60.56/~jnz1568/getInfo.php?workbook=20_05.xlsx&amp;sheet=U0&amp;row=1069&amp;col=7&amp;number=0.0136&amp;sourceID=14","0.0136")</f>
        <v>0.0136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HYPERLINK("http://141.218.60.56/~jnz1568/getInfo.php?workbook=20_05.xlsx&amp;sheet=U0&amp;row=1070&amp;col=6&amp;number=3.6&amp;sourceID=14","3.6")</f>
        <v>3.6</v>
      </c>
      <c r="G1070" s="4" t="str">
        <f>HYPERLINK("http://141.218.60.56/~jnz1568/getInfo.php?workbook=20_05.xlsx&amp;sheet=U0&amp;row=1070&amp;col=7&amp;number=0.0136&amp;sourceID=14","0.0136")</f>
        <v>0.0136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HYPERLINK("http://141.218.60.56/~jnz1568/getInfo.php?workbook=20_05.xlsx&amp;sheet=U0&amp;row=1071&amp;col=6&amp;number=3.7&amp;sourceID=14","3.7")</f>
        <v>3.7</v>
      </c>
      <c r="G1071" s="4" t="str">
        <f>HYPERLINK("http://141.218.60.56/~jnz1568/getInfo.php?workbook=20_05.xlsx&amp;sheet=U0&amp;row=1071&amp;col=7&amp;number=0.0137&amp;sourceID=14","0.0137")</f>
        <v>0.0137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HYPERLINK("http://141.218.60.56/~jnz1568/getInfo.php?workbook=20_05.xlsx&amp;sheet=U0&amp;row=1072&amp;col=6&amp;number=3.8&amp;sourceID=14","3.8")</f>
        <v>3.8</v>
      </c>
      <c r="G1072" s="4" t="str">
        <f>HYPERLINK("http://141.218.60.56/~jnz1568/getInfo.php?workbook=20_05.xlsx&amp;sheet=U0&amp;row=1072&amp;col=7&amp;number=0.0137&amp;sourceID=14","0.0137")</f>
        <v>0.0137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HYPERLINK("http://141.218.60.56/~jnz1568/getInfo.php?workbook=20_05.xlsx&amp;sheet=U0&amp;row=1073&amp;col=6&amp;number=3.9&amp;sourceID=14","3.9")</f>
        <v>3.9</v>
      </c>
      <c r="G1073" s="4" t="str">
        <f>HYPERLINK("http://141.218.60.56/~jnz1568/getInfo.php?workbook=20_05.xlsx&amp;sheet=U0&amp;row=1073&amp;col=7&amp;number=0.0137&amp;sourceID=14","0.0137")</f>
        <v>0.0137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HYPERLINK("http://141.218.60.56/~jnz1568/getInfo.php?workbook=20_05.xlsx&amp;sheet=U0&amp;row=1074&amp;col=6&amp;number=4&amp;sourceID=14","4")</f>
        <v>4</v>
      </c>
      <c r="G1074" s="4" t="str">
        <f>HYPERLINK("http://141.218.60.56/~jnz1568/getInfo.php?workbook=20_05.xlsx&amp;sheet=U0&amp;row=1074&amp;col=7&amp;number=0.0138&amp;sourceID=14","0.0138")</f>
        <v>0.0138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HYPERLINK("http://141.218.60.56/~jnz1568/getInfo.php?workbook=20_05.xlsx&amp;sheet=U0&amp;row=1075&amp;col=6&amp;number=4.1&amp;sourceID=14","4.1")</f>
        <v>4.1</v>
      </c>
      <c r="G1075" s="4" t="str">
        <f>HYPERLINK("http://141.218.60.56/~jnz1568/getInfo.php?workbook=20_05.xlsx&amp;sheet=U0&amp;row=1075&amp;col=7&amp;number=0.0138&amp;sourceID=14","0.0138")</f>
        <v>0.0138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HYPERLINK("http://141.218.60.56/~jnz1568/getInfo.php?workbook=20_05.xlsx&amp;sheet=U0&amp;row=1076&amp;col=6&amp;number=4.2&amp;sourceID=14","4.2")</f>
        <v>4.2</v>
      </c>
      <c r="G1076" s="4" t="str">
        <f>HYPERLINK("http://141.218.60.56/~jnz1568/getInfo.php?workbook=20_05.xlsx&amp;sheet=U0&amp;row=1076&amp;col=7&amp;number=0.0139&amp;sourceID=14","0.0139")</f>
        <v>0.0139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HYPERLINK("http://141.218.60.56/~jnz1568/getInfo.php?workbook=20_05.xlsx&amp;sheet=U0&amp;row=1077&amp;col=6&amp;number=4.3&amp;sourceID=14","4.3")</f>
        <v>4.3</v>
      </c>
      <c r="G1077" s="4" t="str">
        <f>HYPERLINK("http://141.218.60.56/~jnz1568/getInfo.php?workbook=20_05.xlsx&amp;sheet=U0&amp;row=1077&amp;col=7&amp;number=0.014&amp;sourceID=14","0.014")</f>
        <v>0.014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HYPERLINK("http://141.218.60.56/~jnz1568/getInfo.php?workbook=20_05.xlsx&amp;sheet=U0&amp;row=1078&amp;col=6&amp;number=4.4&amp;sourceID=14","4.4")</f>
        <v>4.4</v>
      </c>
      <c r="G1078" s="4" t="str">
        <f>HYPERLINK("http://141.218.60.56/~jnz1568/getInfo.php?workbook=20_05.xlsx&amp;sheet=U0&amp;row=1078&amp;col=7&amp;number=0.0141&amp;sourceID=14","0.0141")</f>
        <v>0.0141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HYPERLINK("http://141.218.60.56/~jnz1568/getInfo.php?workbook=20_05.xlsx&amp;sheet=U0&amp;row=1079&amp;col=6&amp;number=4.5&amp;sourceID=14","4.5")</f>
        <v>4.5</v>
      </c>
      <c r="G1079" s="4" t="str">
        <f>HYPERLINK("http://141.218.60.56/~jnz1568/getInfo.php?workbook=20_05.xlsx&amp;sheet=U0&amp;row=1079&amp;col=7&amp;number=0.0143&amp;sourceID=14","0.0143")</f>
        <v>0.0143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HYPERLINK("http://141.218.60.56/~jnz1568/getInfo.php?workbook=20_05.xlsx&amp;sheet=U0&amp;row=1080&amp;col=6&amp;number=4.6&amp;sourceID=14","4.6")</f>
        <v>4.6</v>
      </c>
      <c r="G1080" s="4" t="str">
        <f>HYPERLINK("http://141.218.60.56/~jnz1568/getInfo.php?workbook=20_05.xlsx&amp;sheet=U0&amp;row=1080&amp;col=7&amp;number=0.0144&amp;sourceID=14","0.0144")</f>
        <v>0.0144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HYPERLINK("http://141.218.60.56/~jnz1568/getInfo.php?workbook=20_05.xlsx&amp;sheet=U0&amp;row=1081&amp;col=6&amp;number=4.7&amp;sourceID=14","4.7")</f>
        <v>4.7</v>
      </c>
      <c r="G1081" s="4" t="str">
        <f>HYPERLINK("http://141.218.60.56/~jnz1568/getInfo.php?workbook=20_05.xlsx&amp;sheet=U0&amp;row=1081&amp;col=7&amp;number=0.0146&amp;sourceID=14","0.0146")</f>
        <v>0.0146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HYPERLINK("http://141.218.60.56/~jnz1568/getInfo.php?workbook=20_05.xlsx&amp;sheet=U0&amp;row=1082&amp;col=6&amp;number=4.8&amp;sourceID=14","4.8")</f>
        <v>4.8</v>
      </c>
      <c r="G1082" s="4" t="str">
        <f>HYPERLINK("http://141.218.60.56/~jnz1568/getInfo.php?workbook=20_05.xlsx&amp;sheet=U0&amp;row=1082&amp;col=7&amp;number=0.0147&amp;sourceID=14","0.0147")</f>
        <v>0.0147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HYPERLINK("http://141.218.60.56/~jnz1568/getInfo.php?workbook=20_05.xlsx&amp;sheet=U0&amp;row=1083&amp;col=6&amp;number=4.9&amp;sourceID=14","4.9")</f>
        <v>4.9</v>
      </c>
      <c r="G1083" s="4" t="str">
        <f>HYPERLINK("http://141.218.60.56/~jnz1568/getInfo.php?workbook=20_05.xlsx&amp;sheet=U0&amp;row=1083&amp;col=7&amp;number=0.0149&amp;sourceID=14","0.0149")</f>
        <v>0.0149</v>
      </c>
    </row>
    <row r="1084" spans="1:7">
      <c r="A1084" s="3">
        <v>20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HYPERLINK("http://141.218.60.56/~jnz1568/getInfo.php?workbook=20_05.xlsx&amp;sheet=U0&amp;row=1084&amp;col=6&amp;number=3&amp;sourceID=14","3")</f>
        <v>3</v>
      </c>
      <c r="G1084" s="4" t="str">
        <f>HYPERLINK("http://141.218.60.56/~jnz1568/getInfo.php?workbook=20_05.xlsx&amp;sheet=U0&amp;row=1084&amp;col=7&amp;number=0.024&amp;sourceID=14","0.024")</f>
        <v>0.024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HYPERLINK("http://141.218.60.56/~jnz1568/getInfo.php?workbook=20_05.xlsx&amp;sheet=U0&amp;row=1085&amp;col=6&amp;number=3.1&amp;sourceID=14","3.1")</f>
        <v>3.1</v>
      </c>
      <c r="G1085" s="4" t="str">
        <f>HYPERLINK("http://141.218.60.56/~jnz1568/getInfo.php?workbook=20_05.xlsx&amp;sheet=U0&amp;row=1085&amp;col=7&amp;number=0.024&amp;sourceID=14","0.024")</f>
        <v>0.024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HYPERLINK("http://141.218.60.56/~jnz1568/getInfo.php?workbook=20_05.xlsx&amp;sheet=U0&amp;row=1086&amp;col=6&amp;number=3.2&amp;sourceID=14","3.2")</f>
        <v>3.2</v>
      </c>
      <c r="G1086" s="4" t="str">
        <f>HYPERLINK("http://141.218.60.56/~jnz1568/getInfo.php?workbook=20_05.xlsx&amp;sheet=U0&amp;row=1086&amp;col=7&amp;number=0.024&amp;sourceID=14","0.024")</f>
        <v>0.024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HYPERLINK("http://141.218.60.56/~jnz1568/getInfo.php?workbook=20_05.xlsx&amp;sheet=U0&amp;row=1087&amp;col=6&amp;number=3.3&amp;sourceID=14","3.3")</f>
        <v>3.3</v>
      </c>
      <c r="G1087" s="4" t="str">
        <f>HYPERLINK("http://141.218.60.56/~jnz1568/getInfo.php?workbook=20_05.xlsx&amp;sheet=U0&amp;row=1087&amp;col=7&amp;number=0.024&amp;sourceID=14","0.024")</f>
        <v>0.024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HYPERLINK("http://141.218.60.56/~jnz1568/getInfo.php?workbook=20_05.xlsx&amp;sheet=U0&amp;row=1088&amp;col=6&amp;number=3.4&amp;sourceID=14","3.4")</f>
        <v>3.4</v>
      </c>
      <c r="G1088" s="4" t="str">
        <f>HYPERLINK("http://141.218.60.56/~jnz1568/getInfo.php?workbook=20_05.xlsx&amp;sheet=U0&amp;row=1088&amp;col=7&amp;number=0.0241&amp;sourceID=14","0.0241")</f>
        <v>0.0241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HYPERLINK("http://141.218.60.56/~jnz1568/getInfo.php?workbook=20_05.xlsx&amp;sheet=U0&amp;row=1089&amp;col=6&amp;number=3.5&amp;sourceID=14","3.5")</f>
        <v>3.5</v>
      </c>
      <c r="G1089" s="4" t="str">
        <f>HYPERLINK("http://141.218.60.56/~jnz1568/getInfo.php?workbook=20_05.xlsx&amp;sheet=U0&amp;row=1089&amp;col=7&amp;number=0.0241&amp;sourceID=14","0.0241")</f>
        <v>0.0241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HYPERLINK("http://141.218.60.56/~jnz1568/getInfo.php?workbook=20_05.xlsx&amp;sheet=U0&amp;row=1090&amp;col=6&amp;number=3.6&amp;sourceID=14","3.6")</f>
        <v>3.6</v>
      </c>
      <c r="G1090" s="4" t="str">
        <f>HYPERLINK("http://141.218.60.56/~jnz1568/getInfo.php?workbook=20_05.xlsx&amp;sheet=U0&amp;row=1090&amp;col=7&amp;number=0.0242&amp;sourceID=14","0.0242")</f>
        <v>0.0242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HYPERLINK("http://141.218.60.56/~jnz1568/getInfo.php?workbook=20_05.xlsx&amp;sheet=U0&amp;row=1091&amp;col=6&amp;number=3.7&amp;sourceID=14","3.7")</f>
        <v>3.7</v>
      </c>
      <c r="G1091" s="4" t="str">
        <f>HYPERLINK("http://141.218.60.56/~jnz1568/getInfo.php?workbook=20_05.xlsx&amp;sheet=U0&amp;row=1091&amp;col=7&amp;number=0.0243&amp;sourceID=14","0.0243")</f>
        <v>0.0243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HYPERLINK("http://141.218.60.56/~jnz1568/getInfo.php?workbook=20_05.xlsx&amp;sheet=U0&amp;row=1092&amp;col=6&amp;number=3.8&amp;sourceID=14","3.8")</f>
        <v>3.8</v>
      </c>
      <c r="G1092" s="4" t="str">
        <f>HYPERLINK("http://141.218.60.56/~jnz1568/getInfo.php?workbook=20_05.xlsx&amp;sheet=U0&amp;row=1092&amp;col=7&amp;number=0.0243&amp;sourceID=14","0.0243")</f>
        <v>0.0243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HYPERLINK("http://141.218.60.56/~jnz1568/getInfo.php?workbook=20_05.xlsx&amp;sheet=U0&amp;row=1093&amp;col=6&amp;number=3.9&amp;sourceID=14","3.9")</f>
        <v>3.9</v>
      </c>
      <c r="G1093" s="4" t="str">
        <f>HYPERLINK("http://141.218.60.56/~jnz1568/getInfo.php?workbook=20_05.xlsx&amp;sheet=U0&amp;row=1093&amp;col=7&amp;number=0.0245&amp;sourceID=14","0.0245")</f>
        <v>0.0245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HYPERLINK("http://141.218.60.56/~jnz1568/getInfo.php?workbook=20_05.xlsx&amp;sheet=U0&amp;row=1094&amp;col=6&amp;number=4&amp;sourceID=14","4")</f>
        <v>4</v>
      </c>
      <c r="G1094" s="4" t="str">
        <f>HYPERLINK("http://141.218.60.56/~jnz1568/getInfo.php?workbook=20_05.xlsx&amp;sheet=U0&amp;row=1094&amp;col=7&amp;number=0.0246&amp;sourceID=14","0.0246")</f>
        <v>0.0246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HYPERLINK("http://141.218.60.56/~jnz1568/getInfo.php?workbook=20_05.xlsx&amp;sheet=U0&amp;row=1095&amp;col=6&amp;number=4.1&amp;sourceID=14","4.1")</f>
        <v>4.1</v>
      </c>
      <c r="G1095" s="4" t="str">
        <f>HYPERLINK("http://141.218.60.56/~jnz1568/getInfo.php?workbook=20_05.xlsx&amp;sheet=U0&amp;row=1095&amp;col=7&amp;number=0.0248&amp;sourceID=14","0.0248")</f>
        <v>0.0248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HYPERLINK("http://141.218.60.56/~jnz1568/getInfo.php?workbook=20_05.xlsx&amp;sheet=U0&amp;row=1096&amp;col=6&amp;number=4.2&amp;sourceID=14","4.2")</f>
        <v>4.2</v>
      </c>
      <c r="G1096" s="4" t="str">
        <f>HYPERLINK("http://141.218.60.56/~jnz1568/getInfo.php?workbook=20_05.xlsx&amp;sheet=U0&amp;row=1096&amp;col=7&amp;number=0.025&amp;sourceID=14","0.025")</f>
        <v>0.025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HYPERLINK("http://141.218.60.56/~jnz1568/getInfo.php?workbook=20_05.xlsx&amp;sheet=U0&amp;row=1097&amp;col=6&amp;number=4.3&amp;sourceID=14","4.3")</f>
        <v>4.3</v>
      </c>
      <c r="G1097" s="4" t="str">
        <f>HYPERLINK("http://141.218.60.56/~jnz1568/getInfo.php?workbook=20_05.xlsx&amp;sheet=U0&amp;row=1097&amp;col=7&amp;number=0.0253&amp;sourceID=14","0.0253")</f>
        <v>0.0253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HYPERLINK("http://141.218.60.56/~jnz1568/getInfo.php?workbook=20_05.xlsx&amp;sheet=U0&amp;row=1098&amp;col=6&amp;number=4.4&amp;sourceID=14","4.4")</f>
        <v>4.4</v>
      </c>
      <c r="G1098" s="4" t="str">
        <f>HYPERLINK("http://141.218.60.56/~jnz1568/getInfo.php?workbook=20_05.xlsx&amp;sheet=U0&amp;row=1098&amp;col=7&amp;number=0.0256&amp;sourceID=14","0.0256")</f>
        <v>0.0256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HYPERLINK("http://141.218.60.56/~jnz1568/getInfo.php?workbook=20_05.xlsx&amp;sheet=U0&amp;row=1099&amp;col=6&amp;number=4.5&amp;sourceID=14","4.5")</f>
        <v>4.5</v>
      </c>
      <c r="G1099" s="4" t="str">
        <f>HYPERLINK("http://141.218.60.56/~jnz1568/getInfo.php?workbook=20_05.xlsx&amp;sheet=U0&amp;row=1099&amp;col=7&amp;number=0.026&amp;sourceID=14","0.026")</f>
        <v>0.026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HYPERLINK("http://141.218.60.56/~jnz1568/getInfo.php?workbook=20_05.xlsx&amp;sheet=U0&amp;row=1100&amp;col=6&amp;number=4.6&amp;sourceID=14","4.6")</f>
        <v>4.6</v>
      </c>
      <c r="G1100" s="4" t="str">
        <f>HYPERLINK("http://141.218.60.56/~jnz1568/getInfo.php?workbook=20_05.xlsx&amp;sheet=U0&amp;row=1100&amp;col=7&amp;number=0.0265&amp;sourceID=14","0.0265")</f>
        <v>0.0265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HYPERLINK("http://141.218.60.56/~jnz1568/getInfo.php?workbook=20_05.xlsx&amp;sheet=U0&amp;row=1101&amp;col=6&amp;number=4.7&amp;sourceID=14","4.7")</f>
        <v>4.7</v>
      </c>
      <c r="G1101" s="4" t="str">
        <f>HYPERLINK("http://141.218.60.56/~jnz1568/getInfo.php?workbook=20_05.xlsx&amp;sheet=U0&amp;row=1101&amp;col=7&amp;number=0.027&amp;sourceID=14","0.027")</f>
        <v>0.027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HYPERLINK("http://141.218.60.56/~jnz1568/getInfo.php?workbook=20_05.xlsx&amp;sheet=U0&amp;row=1102&amp;col=6&amp;number=4.8&amp;sourceID=14","4.8")</f>
        <v>4.8</v>
      </c>
      <c r="G1102" s="4" t="str">
        <f>HYPERLINK("http://141.218.60.56/~jnz1568/getInfo.php?workbook=20_05.xlsx&amp;sheet=U0&amp;row=1102&amp;col=7&amp;number=0.0275&amp;sourceID=14","0.0275")</f>
        <v>0.0275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HYPERLINK("http://141.218.60.56/~jnz1568/getInfo.php?workbook=20_05.xlsx&amp;sheet=U0&amp;row=1103&amp;col=6&amp;number=4.9&amp;sourceID=14","4.9")</f>
        <v>4.9</v>
      </c>
      <c r="G1103" s="4" t="str">
        <f>HYPERLINK("http://141.218.60.56/~jnz1568/getInfo.php?workbook=20_05.xlsx&amp;sheet=U0&amp;row=1103&amp;col=7&amp;number=0.028&amp;sourceID=14","0.028")</f>
        <v>0.028</v>
      </c>
    </row>
    <row r="1104" spans="1:7">
      <c r="A1104" s="3">
        <v>20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HYPERLINK("http://141.218.60.56/~jnz1568/getInfo.php?workbook=20_05.xlsx&amp;sheet=U0&amp;row=1104&amp;col=6&amp;number=3&amp;sourceID=14","3")</f>
        <v>3</v>
      </c>
      <c r="G1104" s="4" t="str">
        <f>HYPERLINK("http://141.218.60.56/~jnz1568/getInfo.php?workbook=20_05.xlsx&amp;sheet=U0&amp;row=1104&amp;col=7&amp;number=0.666&amp;sourceID=14","0.666")</f>
        <v>0.666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HYPERLINK("http://141.218.60.56/~jnz1568/getInfo.php?workbook=20_05.xlsx&amp;sheet=U0&amp;row=1105&amp;col=6&amp;number=3.1&amp;sourceID=14","3.1")</f>
        <v>3.1</v>
      </c>
      <c r="G1105" s="4" t="str">
        <f>HYPERLINK("http://141.218.60.56/~jnz1568/getInfo.php?workbook=20_05.xlsx&amp;sheet=U0&amp;row=1105&amp;col=7&amp;number=0.665&amp;sourceID=14","0.665")</f>
        <v>0.665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HYPERLINK("http://141.218.60.56/~jnz1568/getInfo.php?workbook=20_05.xlsx&amp;sheet=U0&amp;row=1106&amp;col=6&amp;number=3.2&amp;sourceID=14","3.2")</f>
        <v>3.2</v>
      </c>
      <c r="G1106" s="4" t="str">
        <f>HYPERLINK("http://141.218.60.56/~jnz1568/getInfo.php?workbook=20_05.xlsx&amp;sheet=U0&amp;row=1106&amp;col=7&amp;number=0.665&amp;sourceID=14","0.665")</f>
        <v>0.665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HYPERLINK("http://141.218.60.56/~jnz1568/getInfo.php?workbook=20_05.xlsx&amp;sheet=U0&amp;row=1107&amp;col=6&amp;number=3.3&amp;sourceID=14","3.3")</f>
        <v>3.3</v>
      </c>
      <c r="G1107" s="4" t="str">
        <f>HYPERLINK("http://141.218.60.56/~jnz1568/getInfo.php?workbook=20_05.xlsx&amp;sheet=U0&amp;row=1107&amp;col=7&amp;number=0.665&amp;sourceID=14","0.665")</f>
        <v>0.665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HYPERLINK("http://141.218.60.56/~jnz1568/getInfo.php?workbook=20_05.xlsx&amp;sheet=U0&amp;row=1108&amp;col=6&amp;number=3.4&amp;sourceID=14","3.4")</f>
        <v>3.4</v>
      </c>
      <c r="G1108" s="4" t="str">
        <f>HYPERLINK("http://141.218.60.56/~jnz1568/getInfo.php?workbook=20_05.xlsx&amp;sheet=U0&amp;row=1108&amp;col=7&amp;number=0.664&amp;sourceID=14","0.664")</f>
        <v>0.664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HYPERLINK("http://141.218.60.56/~jnz1568/getInfo.php?workbook=20_05.xlsx&amp;sheet=U0&amp;row=1109&amp;col=6&amp;number=3.5&amp;sourceID=14","3.5")</f>
        <v>3.5</v>
      </c>
      <c r="G1109" s="4" t="str">
        <f>HYPERLINK("http://141.218.60.56/~jnz1568/getInfo.php?workbook=20_05.xlsx&amp;sheet=U0&amp;row=1109&amp;col=7&amp;number=0.663&amp;sourceID=14","0.663")</f>
        <v>0.663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HYPERLINK("http://141.218.60.56/~jnz1568/getInfo.php?workbook=20_05.xlsx&amp;sheet=U0&amp;row=1110&amp;col=6&amp;number=3.6&amp;sourceID=14","3.6")</f>
        <v>3.6</v>
      </c>
      <c r="G1110" s="4" t="str">
        <f>HYPERLINK("http://141.218.60.56/~jnz1568/getInfo.php?workbook=20_05.xlsx&amp;sheet=U0&amp;row=1110&amp;col=7&amp;number=0.663&amp;sourceID=14","0.663")</f>
        <v>0.663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HYPERLINK("http://141.218.60.56/~jnz1568/getInfo.php?workbook=20_05.xlsx&amp;sheet=U0&amp;row=1111&amp;col=6&amp;number=3.7&amp;sourceID=14","3.7")</f>
        <v>3.7</v>
      </c>
      <c r="G1111" s="4" t="str">
        <f>HYPERLINK("http://141.218.60.56/~jnz1568/getInfo.php?workbook=20_05.xlsx&amp;sheet=U0&amp;row=1111&amp;col=7&amp;number=0.662&amp;sourceID=14","0.662")</f>
        <v>0.662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HYPERLINK("http://141.218.60.56/~jnz1568/getInfo.php?workbook=20_05.xlsx&amp;sheet=U0&amp;row=1112&amp;col=6&amp;number=3.8&amp;sourceID=14","3.8")</f>
        <v>3.8</v>
      </c>
      <c r="G1112" s="4" t="str">
        <f>HYPERLINK("http://141.218.60.56/~jnz1568/getInfo.php?workbook=20_05.xlsx&amp;sheet=U0&amp;row=1112&amp;col=7&amp;number=0.66&amp;sourceID=14","0.66")</f>
        <v>0.66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HYPERLINK("http://141.218.60.56/~jnz1568/getInfo.php?workbook=20_05.xlsx&amp;sheet=U0&amp;row=1113&amp;col=6&amp;number=3.9&amp;sourceID=14","3.9")</f>
        <v>3.9</v>
      </c>
      <c r="G1113" s="4" t="str">
        <f>HYPERLINK("http://141.218.60.56/~jnz1568/getInfo.php?workbook=20_05.xlsx&amp;sheet=U0&amp;row=1113&amp;col=7&amp;number=0.659&amp;sourceID=14","0.659")</f>
        <v>0.659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HYPERLINK("http://141.218.60.56/~jnz1568/getInfo.php?workbook=20_05.xlsx&amp;sheet=U0&amp;row=1114&amp;col=6&amp;number=4&amp;sourceID=14","4")</f>
        <v>4</v>
      </c>
      <c r="G1114" s="4" t="str">
        <f>HYPERLINK("http://141.218.60.56/~jnz1568/getInfo.php?workbook=20_05.xlsx&amp;sheet=U0&amp;row=1114&amp;col=7&amp;number=0.657&amp;sourceID=14","0.657")</f>
        <v>0.657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HYPERLINK("http://141.218.60.56/~jnz1568/getInfo.php?workbook=20_05.xlsx&amp;sheet=U0&amp;row=1115&amp;col=6&amp;number=4.1&amp;sourceID=14","4.1")</f>
        <v>4.1</v>
      </c>
      <c r="G1115" s="4" t="str">
        <f>HYPERLINK("http://141.218.60.56/~jnz1568/getInfo.php?workbook=20_05.xlsx&amp;sheet=U0&amp;row=1115&amp;col=7&amp;number=0.654&amp;sourceID=14","0.654")</f>
        <v>0.654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HYPERLINK("http://141.218.60.56/~jnz1568/getInfo.php?workbook=20_05.xlsx&amp;sheet=U0&amp;row=1116&amp;col=6&amp;number=4.2&amp;sourceID=14","4.2")</f>
        <v>4.2</v>
      </c>
      <c r="G1116" s="4" t="str">
        <f>HYPERLINK("http://141.218.60.56/~jnz1568/getInfo.php?workbook=20_05.xlsx&amp;sheet=U0&amp;row=1116&amp;col=7&amp;number=0.651&amp;sourceID=14","0.651")</f>
        <v>0.651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HYPERLINK("http://141.218.60.56/~jnz1568/getInfo.php?workbook=20_05.xlsx&amp;sheet=U0&amp;row=1117&amp;col=6&amp;number=4.3&amp;sourceID=14","4.3")</f>
        <v>4.3</v>
      </c>
      <c r="G1117" s="4" t="str">
        <f>HYPERLINK("http://141.218.60.56/~jnz1568/getInfo.php?workbook=20_05.xlsx&amp;sheet=U0&amp;row=1117&amp;col=7&amp;number=0.647&amp;sourceID=14","0.647")</f>
        <v>0.647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HYPERLINK("http://141.218.60.56/~jnz1568/getInfo.php?workbook=20_05.xlsx&amp;sheet=U0&amp;row=1118&amp;col=6&amp;number=4.4&amp;sourceID=14","4.4")</f>
        <v>4.4</v>
      </c>
      <c r="G1118" s="4" t="str">
        <f>HYPERLINK("http://141.218.60.56/~jnz1568/getInfo.php?workbook=20_05.xlsx&amp;sheet=U0&amp;row=1118&amp;col=7&amp;number=0.643&amp;sourceID=14","0.643")</f>
        <v>0.643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HYPERLINK("http://141.218.60.56/~jnz1568/getInfo.php?workbook=20_05.xlsx&amp;sheet=U0&amp;row=1119&amp;col=6&amp;number=4.5&amp;sourceID=14","4.5")</f>
        <v>4.5</v>
      </c>
      <c r="G1119" s="4" t="str">
        <f>HYPERLINK("http://141.218.60.56/~jnz1568/getInfo.php?workbook=20_05.xlsx&amp;sheet=U0&amp;row=1119&amp;col=7&amp;number=0.638&amp;sourceID=14","0.638")</f>
        <v>0.638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HYPERLINK("http://141.218.60.56/~jnz1568/getInfo.php?workbook=20_05.xlsx&amp;sheet=U0&amp;row=1120&amp;col=6&amp;number=4.6&amp;sourceID=14","4.6")</f>
        <v>4.6</v>
      </c>
      <c r="G1120" s="4" t="str">
        <f>HYPERLINK("http://141.218.60.56/~jnz1568/getInfo.php?workbook=20_05.xlsx&amp;sheet=U0&amp;row=1120&amp;col=7&amp;number=0.632&amp;sourceID=14","0.632")</f>
        <v>0.632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HYPERLINK("http://141.218.60.56/~jnz1568/getInfo.php?workbook=20_05.xlsx&amp;sheet=U0&amp;row=1121&amp;col=6&amp;number=4.7&amp;sourceID=14","4.7")</f>
        <v>4.7</v>
      </c>
      <c r="G1121" s="4" t="str">
        <f>HYPERLINK("http://141.218.60.56/~jnz1568/getInfo.php?workbook=20_05.xlsx&amp;sheet=U0&amp;row=1121&amp;col=7&amp;number=0.626&amp;sourceID=14","0.626")</f>
        <v>0.626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HYPERLINK("http://141.218.60.56/~jnz1568/getInfo.php?workbook=20_05.xlsx&amp;sheet=U0&amp;row=1122&amp;col=6&amp;number=4.8&amp;sourceID=14","4.8")</f>
        <v>4.8</v>
      </c>
      <c r="G1122" s="4" t="str">
        <f>HYPERLINK("http://141.218.60.56/~jnz1568/getInfo.php?workbook=20_05.xlsx&amp;sheet=U0&amp;row=1122&amp;col=7&amp;number=0.62&amp;sourceID=14","0.62")</f>
        <v>0.62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HYPERLINK("http://141.218.60.56/~jnz1568/getInfo.php?workbook=20_05.xlsx&amp;sheet=U0&amp;row=1123&amp;col=6&amp;number=4.9&amp;sourceID=14","4.9")</f>
        <v>4.9</v>
      </c>
      <c r="G1123" s="4" t="str">
        <f>HYPERLINK("http://141.218.60.56/~jnz1568/getInfo.php?workbook=20_05.xlsx&amp;sheet=U0&amp;row=1123&amp;col=7&amp;number=0.615&amp;sourceID=14","0.615")</f>
        <v>0.615</v>
      </c>
    </row>
    <row r="1124" spans="1:7">
      <c r="A1124" s="3">
        <v>20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HYPERLINK("http://141.218.60.56/~jnz1568/getInfo.php?workbook=20_05.xlsx&amp;sheet=U0&amp;row=1124&amp;col=6&amp;number=3&amp;sourceID=14","3")</f>
        <v>3</v>
      </c>
      <c r="G1124" s="4" t="str">
        <f>HYPERLINK("http://141.218.60.56/~jnz1568/getInfo.php?workbook=20_05.xlsx&amp;sheet=U0&amp;row=1124&amp;col=7&amp;number=0.00144&amp;sourceID=14","0.00144")</f>
        <v>0.00144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HYPERLINK("http://141.218.60.56/~jnz1568/getInfo.php?workbook=20_05.xlsx&amp;sheet=U0&amp;row=1125&amp;col=6&amp;number=3.1&amp;sourceID=14","3.1")</f>
        <v>3.1</v>
      </c>
      <c r="G1125" s="4" t="str">
        <f>HYPERLINK("http://141.218.60.56/~jnz1568/getInfo.php?workbook=20_05.xlsx&amp;sheet=U0&amp;row=1125&amp;col=7&amp;number=0.00144&amp;sourceID=14","0.00144")</f>
        <v>0.00144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HYPERLINK("http://141.218.60.56/~jnz1568/getInfo.php?workbook=20_05.xlsx&amp;sheet=U0&amp;row=1126&amp;col=6&amp;number=3.2&amp;sourceID=14","3.2")</f>
        <v>3.2</v>
      </c>
      <c r="G1126" s="4" t="str">
        <f>HYPERLINK("http://141.218.60.56/~jnz1568/getInfo.php?workbook=20_05.xlsx&amp;sheet=U0&amp;row=1126&amp;col=7&amp;number=0.00145&amp;sourceID=14","0.00145")</f>
        <v>0.00145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HYPERLINK("http://141.218.60.56/~jnz1568/getInfo.php?workbook=20_05.xlsx&amp;sheet=U0&amp;row=1127&amp;col=6&amp;number=3.3&amp;sourceID=14","3.3")</f>
        <v>3.3</v>
      </c>
      <c r="G1127" s="4" t="str">
        <f>HYPERLINK("http://141.218.60.56/~jnz1568/getInfo.php?workbook=20_05.xlsx&amp;sheet=U0&amp;row=1127&amp;col=7&amp;number=0.00146&amp;sourceID=14","0.00146")</f>
        <v>0.00146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HYPERLINK("http://141.218.60.56/~jnz1568/getInfo.php?workbook=20_05.xlsx&amp;sheet=U0&amp;row=1128&amp;col=6&amp;number=3.4&amp;sourceID=14","3.4")</f>
        <v>3.4</v>
      </c>
      <c r="G1128" s="4" t="str">
        <f>HYPERLINK("http://141.218.60.56/~jnz1568/getInfo.php?workbook=20_05.xlsx&amp;sheet=U0&amp;row=1128&amp;col=7&amp;number=0.00147&amp;sourceID=14","0.00147")</f>
        <v>0.00147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HYPERLINK("http://141.218.60.56/~jnz1568/getInfo.php?workbook=20_05.xlsx&amp;sheet=U0&amp;row=1129&amp;col=6&amp;number=3.5&amp;sourceID=14","3.5")</f>
        <v>3.5</v>
      </c>
      <c r="G1129" s="4" t="str">
        <f>HYPERLINK("http://141.218.60.56/~jnz1568/getInfo.php?workbook=20_05.xlsx&amp;sheet=U0&amp;row=1129&amp;col=7&amp;number=0.00148&amp;sourceID=14","0.00148")</f>
        <v>0.00148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HYPERLINK("http://141.218.60.56/~jnz1568/getInfo.php?workbook=20_05.xlsx&amp;sheet=U0&amp;row=1130&amp;col=6&amp;number=3.6&amp;sourceID=14","3.6")</f>
        <v>3.6</v>
      </c>
      <c r="G1130" s="4" t="str">
        <f>HYPERLINK("http://141.218.60.56/~jnz1568/getInfo.php?workbook=20_05.xlsx&amp;sheet=U0&amp;row=1130&amp;col=7&amp;number=0.0015&amp;sourceID=14","0.0015")</f>
        <v>0.0015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HYPERLINK("http://141.218.60.56/~jnz1568/getInfo.php?workbook=20_05.xlsx&amp;sheet=U0&amp;row=1131&amp;col=6&amp;number=3.7&amp;sourceID=14","3.7")</f>
        <v>3.7</v>
      </c>
      <c r="G1131" s="4" t="str">
        <f>HYPERLINK("http://141.218.60.56/~jnz1568/getInfo.php?workbook=20_05.xlsx&amp;sheet=U0&amp;row=1131&amp;col=7&amp;number=0.00152&amp;sourceID=14","0.00152")</f>
        <v>0.00152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HYPERLINK("http://141.218.60.56/~jnz1568/getInfo.php?workbook=20_05.xlsx&amp;sheet=U0&amp;row=1132&amp;col=6&amp;number=3.8&amp;sourceID=14","3.8")</f>
        <v>3.8</v>
      </c>
      <c r="G1132" s="4" t="str">
        <f>HYPERLINK("http://141.218.60.56/~jnz1568/getInfo.php?workbook=20_05.xlsx&amp;sheet=U0&amp;row=1132&amp;col=7&amp;number=0.00154&amp;sourceID=14","0.00154")</f>
        <v>0.00154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HYPERLINK("http://141.218.60.56/~jnz1568/getInfo.php?workbook=20_05.xlsx&amp;sheet=U0&amp;row=1133&amp;col=6&amp;number=3.9&amp;sourceID=14","3.9")</f>
        <v>3.9</v>
      </c>
      <c r="G1133" s="4" t="str">
        <f>HYPERLINK("http://141.218.60.56/~jnz1568/getInfo.php?workbook=20_05.xlsx&amp;sheet=U0&amp;row=1133&amp;col=7&amp;number=0.00157&amp;sourceID=14","0.00157")</f>
        <v>0.00157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HYPERLINK("http://141.218.60.56/~jnz1568/getInfo.php?workbook=20_05.xlsx&amp;sheet=U0&amp;row=1134&amp;col=6&amp;number=4&amp;sourceID=14","4")</f>
        <v>4</v>
      </c>
      <c r="G1134" s="4" t="str">
        <f>HYPERLINK("http://141.218.60.56/~jnz1568/getInfo.php?workbook=20_05.xlsx&amp;sheet=U0&amp;row=1134&amp;col=7&amp;number=0.00161&amp;sourceID=14","0.00161")</f>
        <v>0.00161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HYPERLINK("http://141.218.60.56/~jnz1568/getInfo.php?workbook=20_05.xlsx&amp;sheet=U0&amp;row=1135&amp;col=6&amp;number=4.1&amp;sourceID=14","4.1")</f>
        <v>4.1</v>
      </c>
      <c r="G1135" s="4" t="str">
        <f>HYPERLINK("http://141.218.60.56/~jnz1568/getInfo.php?workbook=20_05.xlsx&amp;sheet=U0&amp;row=1135&amp;col=7&amp;number=0.00166&amp;sourceID=14","0.00166")</f>
        <v>0.00166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HYPERLINK("http://141.218.60.56/~jnz1568/getInfo.php?workbook=20_05.xlsx&amp;sheet=U0&amp;row=1136&amp;col=6&amp;number=4.2&amp;sourceID=14","4.2")</f>
        <v>4.2</v>
      </c>
      <c r="G1136" s="4" t="str">
        <f>HYPERLINK("http://141.218.60.56/~jnz1568/getInfo.php?workbook=20_05.xlsx&amp;sheet=U0&amp;row=1136&amp;col=7&amp;number=0.00172&amp;sourceID=14","0.00172")</f>
        <v>0.00172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HYPERLINK("http://141.218.60.56/~jnz1568/getInfo.php?workbook=20_05.xlsx&amp;sheet=U0&amp;row=1137&amp;col=6&amp;number=4.3&amp;sourceID=14","4.3")</f>
        <v>4.3</v>
      </c>
      <c r="G1137" s="4" t="str">
        <f>HYPERLINK("http://141.218.60.56/~jnz1568/getInfo.php?workbook=20_05.xlsx&amp;sheet=U0&amp;row=1137&amp;col=7&amp;number=0.0018&amp;sourceID=14","0.0018")</f>
        <v>0.0018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HYPERLINK("http://141.218.60.56/~jnz1568/getInfo.php?workbook=20_05.xlsx&amp;sheet=U0&amp;row=1138&amp;col=6&amp;number=4.4&amp;sourceID=14","4.4")</f>
        <v>4.4</v>
      </c>
      <c r="G1138" s="4" t="str">
        <f>HYPERLINK("http://141.218.60.56/~jnz1568/getInfo.php?workbook=20_05.xlsx&amp;sheet=U0&amp;row=1138&amp;col=7&amp;number=0.00189&amp;sourceID=14","0.00189")</f>
        <v>0.00189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HYPERLINK("http://141.218.60.56/~jnz1568/getInfo.php?workbook=20_05.xlsx&amp;sheet=U0&amp;row=1139&amp;col=6&amp;number=4.5&amp;sourceID=14","4.5")</f>
        <v>4.5</v>
      </c>
      <c r="G1139" s="4" t="str">
        <f>HYPERLINK("http://141.218.60.56/~jnz1568/getInfo.php?workbook=20_05.xlsx&amp;sheet=U0&amp;row=1139&amp;col=7&amp;number=0.00199&amp;sourceID=14","0.00199")</f>
        <v>0.00199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HYPERLINK("http://141.218.60.56/~jnz1568/getInfo.php?workbook=20_05.xlsx&amp;sheet=U0&amp;row=1140&amp;col=6&amp;number=4.6&amp;sourceID=14","4.6")</f>
        <v>4.6</v>
      </c>
      <c r="G1140" s="4" t="str">
        <f>HYPERLINK("http://141.218.60.56/~jnz1568/getInfo.php?workbook=20_05.xlsx&amp;sheet=U0&amp;row=1140&amp;col=7&amp;number=0.00211&amp;sourceID=14","0.00211")</f>
        <v>0.00211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HYPERLINK("http://141.218.60.56/~jnz1568/getInfo.php?workbook=20_05.xlsx&amp;sheet=U0&amp;row=1141&amp;col=6&amp;number=4.7&amp;sourceID=14","4.7")</f>
        <v>4.7</v>
      </c>
      <c r="G1141" s="4" t="str">
        <f>HYPERLINK("http://141.218.60.56/~jnz1568/getInfo.php?workbook=20_05.xlsx&amp;sheet=U0&amp;row=1141&amp;col=7&amp;number=0.00225&amp;sourceID=14","0.00225")</f>
        <v>0.00225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HYPERLINK("http://141.218.60.56/~jnz1568/getInfo.php?workbook=20_05.xlsx&amp;sheet=U0&amp;row=1142&amp;col=6&amp;number=4.8&amp;sourceID=14","4.8")</f>
        <v>4.8</v>
      </c>
      <c r="G1142" s="4" t="str">
        <f>HYPERLINK("http://141.218.60.56/~jnz1568/getInfo.php?workbook=20_05.xlsx&amp;sheet=U0&amp;row=1142&amp;col=7&amp;number=0.00237&amp;sourceID=14","0.00237")</f>
        <v>0.00237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HYPERLINK("http://141.218.60.56/~jnz1568/getInfo.php?workbook=20_05.xlsx&amp;sheet=U0&amp;row=1143&amp;col=6&amp;number=4.9&amp;sourceID=14","4.9")</f>
        <v>4.9</v>
      </c>
      <c r="G1143" s="4" t="str">
        <f>HYPERLINK("http://141.218.60.56/~jnz1568/getInfo.php?workbook=20_05.xlsx&amp;sheet=U0&amp;row=1143&amp;col=7&amp;number=0.00248&amp;sourceID=14","0.00248")</f>
        <v>0.00248</v>
      </c>
    </row>
    <row r="1144" spans="1:7">
      <c r="A1144" s="3">
        <v>20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HYPERLINK("http://141.218.60.56/~jnz1568/getInfo.php?workbook=20_05.xlsx&amp;sheet=U0&amp;row=1144&amp;col=6&amp;number=3&amp;sourceID=14","3")</f>
        <v>3</v>
      </c>
      <c r="G1144" s="4" t="str">
        <f>HYPERLINK("http://141.218.60.56/~jnz1568/getInfo.php?workbook=20_05.xlsx&amp;sheet=U0&amp;row=1144&amp;col=7&amp;number=0.0302&amp;sourceID=14","0.0302")</f>
        <v>0.0302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HYPERLINK("http://141.218.60.56/~jnz1568/getInfo.php?workbook=20_05.xlsx&amp;sheet=U0&amp;row=1145&amp;col=6&amp;number=3.1&amp;sourceID=14","3.1")</f>
        <v>3.1</v>
      </c>
      <c r="G1145" s="4" t="str">
        <f>HYPERLINK("http://141.218.60.56/~jnz1568/getInfo.php?workbook=20_05.xlsx&amp;sheet=U0&amp;row=1145&amp;col=7&amp;number=0.0302&amp;sourceID=14","0.0302")</f>
        <v>0.0302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HYPERLINK("http://141.218.60.56/~jnz1568/getInfo.php?workbook=20_05.xlsx&amp;sheet=U0&amp;row=1146&amp;col=6&amp;number=3.2&amp;sourceID=14","3.2")</f>
        <v>3.2</v>
      </c>
      <c r="G1146" s="4" t="str">
        <f>HYPERLINK("http://141.218.60.56/~jnz1568/getInfo.php?workbook=20_05.xlsx&amp;sheet=U0&amp;row=1146&amp;col=7&amp;number=0.0302&amp;sourceID=14","0.0302")</f>
        <v>0.0302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HYPERLINK("http://141.218.60.56/~jnz1568/getInfo.php?workbook=20_05.xlsx&amp;sheet=U0&amp;row=1147&amp;col=6&amp;number=3.3&amp;sourceID=14","3.3")</f>
        <v>3.3</v>
      </c>
      <c r="G1147" s="4" t="str">
        <f>HYPERLINK("http://141.218.60.56/~jnz1568/getInfo.php?workbook=20_05.xlsx&amp;sheet=U0&amp;row=1147&amp;col=7&amp;number=0.0302&amp;sourceID=14","0.0302")</f>
        <v>0.0302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HYPERLINK("http://141.218.60.56/~jnz1568/getInfo.php?workbook=20_05.xlsx&amp;sheet=U0&amp;row=1148&amp;col=6&amp;number=3.4&amp;sourceID=14","3.4")</f>
        <v>3.4</v>
      </c>
      <c r="G1148" s="4" t="str">
        <f>HYPERLINK("http://141.218.60.56/~jnz1568/getInfo.php?workbook=20_05.xlsx&amp;sheet=U0&amp;row=1148&amp;col=7&amp;number=0.0302&amp;sourceID=14","0.0302")</f>
        <v>0.0302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HYPERLINK("http://141.218.60.56/~jnz1568/getInfo.php?workbook=20_05.xlsx&amp;sheet=U0&amp;row=1149&amp;col=6&amp;number=3.5&amp;sourceID=14","3.5")</f>
        <v>3.5</v>
      </c>
      <c r="G1149" s="4" t="str">
        <f>HYPERLINK("http://141.218.60.56/~jnz1568/getInfo.php?workbook=20_05.xlsx&amp;sheet=U0&amp;row=1149&amp;col=7&amp;number=0.0302&amp;sourceID=14","0.0302")</f>
        <v>0.0302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HYPERLINK("http://141.218.60.56/~jnz1568/getInfo.php?workbook=20_05.xlsx&amp;sheet=U0&amp;row=1150&amp;col=6&amp;number=3.6&amp;sourceID=14","3.6")</f>
        <v>3.6</v>
      </c>
      <c r="G1150" s="4" t="str">
        <f>HYPERLINK("http://141.218.60.56/~jnz1568/getInfo.php?workbook=20_05.xlsx&amp;sheet=U0&amp;row=1150&amp;col=7&amp;number=0.0302&amp;sourceID=14","0.0302")</f>
        <v>0.0302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HYPERLINK("http://141.218.60.56/~jnz1568/getInfo.php?workbook=20_05.xlsx&amp;sheet=U0&amp;row=1151&amp;col=6&amp;number=3.7&amp;sourceID=14","3.7")</f>
        <v>3.7</v>
      </c>
      <c r="G1151" s="4" t="str">
        <f>HYPERLINK("http://141.218.60.56/~jnz1568/getInfo.php?workbook=20_05.xlsx&amp;sheet=U0&amp;row=1151&amp;col=7&amp;number=0.0302&amp;sourceID=14","0.0302")</f>
        <v>0.0302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HYPERLINK("http://141.218.60.56/~jnz1568/getInfo.php?workbook=20_05.xlsx&amp;sheet=U0&amp;row=1152&amp;col=6&amp;number=3.8&amp;sourceID=14","3.8")</f>
        <v>3.8</v>
      </c>
      <c r="G1152" s="4" t="str">
        <f>HYPERLINK("http://141.218.60.56/~jnz1568/getInfo.php?workbook=20_05.xlsx&amp;sheet=U0&amp;row=1152&amp;col=7&amp;number=0.0302&amp;sourceID=14","0.0302")</f>
        <v>0.0302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HYPERLINK("http://141.218.60.56/~jnz1568/getInfo.php?workbook=20_05.xlsx&amp;sheet=U0&amp;row=1153&amp;col=6&amp;number=3.9&amp;sourceID=14","3.9")</f>
        <v>3.9</v>
      </c>
      <c r="G1153" s="4" t="str">
        <f>HYPERLINK("http://141.218.60.56/~jnz1568/getInfo.php?workbook=20_05.xlsx&amp;sheet=U0&amp;row=1153&amp;col=7&amp;number=0.0302&amp;sourceID=14","0.0302")</f>
        <v>0.0302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HYPERLINK("http://141.218.60.56/~jnz1568/getInfo.php?workbook=20_05.xlsx&amp;sheet=U0&amp;row=1154&amp;col=6&amp;number=4&amp;sourceID=14","4")</f>
        <v>4</v>
      </c>
      <c r="G1154" s="4" t="str">
        <f>HYPERLINK("http://141.218.60.56/~jnz1568/getInfo.php?workbook=20_05.xlsx&amp;sheet=U0&amp;row=1154&amp;col=7&amp;number=0.0302&amp;sourceID=14","0.0302")</f>
        <v>0.0302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HYPERLINK("http://141.218.60.56/~jnz1568/getInfo.php?workbook=20_05.xlsx&amp;sheet=U0&amp;row=1155&amp;col=6&amp;number=4.1&amp;sourceID=14","4.1")</f>
        <v>4.1</v>
      </c>
      <c r="G1155" s="4" t="str">
        <f>HYPERLINK("http://141.218.60.56/~jnz1568/getInfo.php?workbook=20_05.xlsx&amp;sheet=U0&amp;row=1155&amp;col=7&amp;number=0.0302&amp;sourceID=14","0.0302")</f>
        <v>0.0302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HYPERLINK("http://141.218.60.56/~jnz1568/getInfo.php?workbook=20_05.xlsx&amp;sheet=U0&amp;row=1156&amp;col=6&amp;number=4.2&amp;sourceID=14","4.2")</f>
        <v>4.2</v>
      </c>
      <c r="G1156" s="4" t="str">
        <f>HYPERLINK("http://141.218.60.56/~jnz1568/getInfo.php?workbook=20_05.xlsx&amp;sheet=U0&amp;row=1156&amp;col=7&amp;number=0.0302&amp;sourceID=14","0.0302")</f>
        <v>0.0302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HYPERLINK("http://141.218.60.56/~jnz1568/getInfo.php?workbook=20_05.xlsx&amp;sheet=U0&amp;row=1157&amp;col=6&amp;number=4.3&amp;sourceID=14","4.3")</f>
        <v>4.3</v>
      </c>
      <c r="G1157" s="4" t="str">
        <f>HYPERLINK("http://141.218.60.56/~jnz1568/getInfo.php?workbook=20_05.xlsx&amp;sheet=U0&amp;row=1157&amp;col=7&amp;number=0.0302&amp;sourceID=14","0.0302")</f>
        <v>0.0302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HYPERLINK("http://141.218.60.56/~jnz1568/getInfo.php?workbook=20_05.xlsx&amp;sheet=U0&amp;row=1158&amp;col=6&amp;number=4.4&amp;sourceID=14","4.4")</f>
        <v>4.4</v>
      </c>
      <c r="G1158" s="4" t="str">
        <f>HYPERLINK("http://141.218.60.56/~jnz1568/getInfo.php?workbook=20_05.xlsx&amp;sheet=U0&amp;row=1158&amp;col=7&amp;number=0.0302&amp;sourceID=14","0.0302")</f>
        <v>0.0302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HYPERLINK("http://141.218.60.56/~jnz1568/getInfo.php?workbook=20_05.xlsx&amp;sheet=U0&amp;row=1159&amp;col=6&amp;number=4.5&amp;sourceID=14","4.5")</f>
        <v>4.5</v>
      </c>
      <c r="G1159" s="4" t="str">
        <f>HYPERLINK("http://141.218.60.56/~jnz1568/getInfo.php?workbook=20_05.xlsx&amp;sheet=U0&amp;row=1159&amp;col=7&amp;number=0.0301&amp;sourceID=14","0.0301")</f>
        <v>0.0301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HYPERLINK("http://141.218.60.56/~jnz1568/getInfo.php?workbook=20_05.xlsx&amp;sheet=U0&amp;row=1160&amp;col=6&amp;number=4.6&amp;sourceID=14","4.6")</f>
        <v>4.6</v>
      </c>
      <c r="G1160" s="4" t="str">
        <f>HYPERLINK("http://141.218.60.56/~jnz1568/getInfo.php?workbook=20_05.xlsx&amp;sheet=U0&amp;row=1160&amp;col=7&amp;number=0.0301&amp;sourceID=14","0.0301")</f>
        <v>0.0301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HYPERLINK("http://141.218.60.56/~jnz1568/getInfo.php?workbook=20_05.xlsx&amp;sheet=U0&amp;row=1161&amp;col=6&amp;number=4.7&amp;sourceID=14","4.7")</f>
        <v>4.7</v>
      </c>
      <c r="G1161" s="4" t="str">
        <f>HYPERLINK("http://141.218.60.56/~jnz1568/getInfo.php?workbook=20_05.xlsx&amp;sheet=U0&amp;row=1161&amp;col=7&amp;number=0.0301&amp;sourceID=14","0.0301")</f>
        <v>0.0301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HYPERLINK("http://141.218.60.56/~jnz1568/getInfo.php?workbook=20_05.xlsx&amp;sheet=U0&amp;row=1162&amp;col=6&amp;number=4.8&amp;sourceID=14","4.8")</f>
        <v>4.8</v>
      </c>
      <c r="G1162" s="4" t="str">
        <f>HYPERLINK("http://141.218.60.56/~jnz1568/getInfo.php?workbook=20_05.xlsx&amp;sheet=U0&amp;row=1162&amp;col=7&amp;number=0.0301&amp;sourceID=14","0.0301")</f>
        <v>0.0301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HYPERLINK("http://141.218.60.56/~jnz1568/getInfo.php?workbook=20_05.xlsx&amp;sheet=U0&amp;row=1163&amp;col=6&amp;number=4.9&amp;sourceID=14","4.9")</f>
        <v>4.9</v>
      </c>
      <c r="G1163" s="4" t="str">
        <f>HYPERLINK("http://141.218.60.56/~jnz1568/getInfo.php?workbook=20_05.xlsx&amp;sheet=U0&amp;row=1163&amp;col=7&amp;number=0.03&amp;sourceID=14","0.03")</f>
        <v>0.03</v>
      </c>
    </row>
    <row r="1164" spans="1:7">
      <c r="A1164" s="3">
        <v>20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HYPERLINK("http://141.218.60.56/~jnz1568/getInfo.php?workbook=20_05.xlsx&amp;sheet=U0&amp;row=1164&amp;col=6&amp;number=3&amp;sourceID=14","3")</f>
        <v>3</v>
      </c>
      <c r="G1164" s="4" t="str">
        <f>HYPERLINK("http://141.218.60.56/~jnz1568/getInfo.php?workbook=20_05.xlsx&amp;sheet=U0&amp;row=1164&amp;col=7&amp;number=0.000587&amp;sourceID=14","0.000587")</f>
        <v>0.000587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HYPERLINK("http://141.218.60.56/~jnz1568/getInfo.php?workbook=20_05.xlsx&amp;sheet=U0&amp;row=1165&amp;col=6&amp;number=3.1&amp;sourceID=14","3.1")</f>
        <v>3.1</v>
      </c>
      <c r="G1165" s="4" t="str">
        <f>HYPERLINK("http://141.218.60.56/~jnz1568/getInfo.php?workbook=20_05.xlsx&amp;sheet=U0&amp;row=1165&amp;col=7&amp;number=0.000591&amp;sourceID=14","0.000591")</f>
        <v>0.000591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HYPERLINK("http://141.218.60.56/~jnz1568/getInfo.php?workbook=20_05.xlsx&amp;sheet=U0&amp;row=1166&amp;col=6&amp;number=3.2&amp;sourceID=14","3.2")</f>
        <v>3.2</v>
      </c>
      <c r="G1166" s="4" t="str">
        <f>HYPERLINK("http://141.218.60.56/~jnz1568/getInfo.php?workbook=20_05.xlsx&amp;sheet=U0&amp;row=1166&amp;col=7&amp;number=0.000596&amp;sourceID=14","0.000596")</f>
        <v>0.000596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HYPERLINK("http://141.218.60.56/~jnz1568/getInfo.php?workbook=20_05.xlsx&amp;sheet=U0&amp;row=1167&amp;col=6&amp;number=3.3&amp;sourceID=14","3.3")</f>
        <v>3.3</v>
      </c>
      <c r="G1167" s="4" t="str">
        <f>HYPERLINK("http://141.218.60.56/~jnz1568/getInfo.php?workbook=20_05.xlsx&amp;sheet=U0&amp;row=1167&amp;col=7&amp;number=0.000602&amp;sourceID=14","0.000602")</f>
        <v>0.000602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HYPERLINK("http://141.218.60.56/~jnz1568/getInfo.php?workbook=20_05.xlsx&amp;sheet=U0&amp;row=1168&amp;col=6&amp;number=3.4&amp;sourceID=14","3.4")</f>
        <v>3.4</v>
      </c>
      <c r="G1168" s="4" t="str">
        <f>HYPERLINK("http://141.218.60.56/~jnz1568/getInfo.php?workbook=20_05.xlsx&amp;sheet=U0&amp;row=1168&amp;col=7&amp;number=0.00061&amp;sourceID=14","0.00061")</f>
        <v>0.00061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HYPERLINK("http://141.218.60.56/~jnz1568/getInfo.php?workbook=20_05.xlsx&amp;sheet=U0&amp;row=1169&amp;col=6&amp;number=3.5&amp;sourceID=14","3.5")</f>
        <v>3.5</v>
      </c>
      <c r="G1169" s="4" t="str">
        <f>HYPERLINK("http://141.218.60.56/~jnz1568/getInfo.php?workbook=20_05.xlsx&amp;sheet=U0&amp;row=1169&amp;col=7&amp;number=0.000619&amp;sourceID=14","0.000619")</f>
        <v>0.000619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HYPERLINK("http://141.218.60.56/~jnz1568/getInfo.php?workbook=20_05.xlsx&amp;sheet=U0&amp;row=1170&amp;col=6&amp;number=3.6&amp;sourceID=14","3.6")</f>
        <v>3.6</v>
      </c>
      <c r="G1170" s="4" t="str">
        <f>HYPERLINK("http://141.218.60.56/~jnz1568/getInfo.php?workbook=20_05.xlsx&amp;sheet=U0&amp;row=1170&amp;col=7&amp;number=0.000632&amp;sourceID=14","0.000632")</f>
        <v>0.000632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HYPERLINK("http://141.218.60.56/~jnz1568/getInfo.php?workbook=20_05.xlsx&amp;sheet=U0&amp;row=1171&amp;col=6&amp;number=3.7&amp;sourceID=14","3.7")</f>
        <v>3.7</v>
      </c>
      <c r="G1171" s="4" t="str">
        <f>HYPERLINK("http://141.218.60.56/~jnz1568/getInfo.php?workbook=20_05.xlsx&amp;sheet=U0&amp;row=1171&amp;col=7&amp;number=0.000647&amp;sourceID=14","0.000647")</f>
        <v>0.000647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HYPERLINK("http://141.218.60.56/~jnz1568/getInfo.php?workbook=20_05.xlsx&amp;sheet=U0&amp;row=1172&amp;col=6&amp;number=3.8&amp;sourceID=14","3.8")</f>
        <v>3.8</v>
      </c>
      <c r="G1172" s="4" t="str">
        <f>HYPERLINK("http://141.218.60.56/~jnz1568/getInfo.php?workbook=20_05.xlsx&amp;sheet=U0&amp;row=1172&amp;col=7&amp;number=0.000666&amp;sourceID=14","0.000666")</f>
        <v>0.000666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HYPERLINK("http://141.218.60.56/~jnz1568/getInfo.php?workbook=20_05.xlsx&amp;sheet=U0&amp;row=1173&amp;col=6&amp;number=3.9&amp;sourceID=14","3.9")</f>
        <v>3.9</v>
      </c>
      <c r="G1173" s="4" t="str">
        <f>HYPERLINK("http://141.218.60.56/~jnz1568/getInfo.php?workbook=20_05.xlsx&amp;sheet=U0&amp;row=1173&amp;col=7&amp;number=0.000689&amp;sourceID=14","0.000689")</f>
        <v>0.000689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HYPERLINK("http://141.218.60.56/~jnz1568/getInfo.php?workbook=20_05.xlsx&amp;sheet=U0&amp;row=1174&amp;col=6&amp;number=4&amp;sourceID=14","4")</f>
        <v>4</v>
      </c>
      <c r="G1174" s="4" t="str">
        <f>HYPERLINK("http://141.218.60.56/~jnz1568/getInfo.php?workbook=20_05.xlsx&amp;sheet=U0&amp;row=1174&amp;col=7&amp;number=0.000719&amp;sourceID=14","0.000719")</f>
        <v>0.000719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HYPERLINK("http://141.218.60.56/~jnz1568/getInfo.php?workbook=20_05.xlsx&amp;sheet=U0&amp;row=1175&amp;col=6&amp;number=4.1&amp;sourceID=14","4.1")</f>
        <v>4.1</v>
      </c>
      <c r="G1175" s="4" t="str">
        <f>HYPERLINK("http://141.218.60.56/~jnz1568/getInfo.php?workbook=20_05.xlsx&amp;sheet=U0&amp;row=1175&amp;col=7&amp;number=0.000756&amp;sourceID=14","0.000756")</f>
        <v>0.000756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HYPERLINK("http://141.218.60.56/~jnz1568/getInfo.php?workbook=20_05.xlsx&amp;sheet=U0&amp;row=1176&amp;col=6&amp;number=4.2&amp;sourceID=14","4.2")</f>
        <v>4.2</v>
      </c>
      <c r="G1176" s="4" t="str">
        <f>HYPERLINK("http://141.218.60.56/~jnz1568/getInfo.php?workbook=20_05.xlsx&amp;sheet=U0&amp;row=1176&amp;col=7&amp;number=0.000802&amp;sourceID=14","0.000802")</f>
        <v>0.000802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HYPERLINK("http://141.218.60.56/~jnz1568/getInfo.php?workbook=20_05.xlsx&amp;sheet=U0&amp;row=1177&amp;col=6&amp;number=4.3&amp;sourceID=14","4.3")</f>
        <v>4.3</v>
      </c>
      <c r="G1177" s="4" t="str">
        <f>HYPERLINK("http://141.218.60.56/~jnz1568/getInfo.php?workbook=20_05.xlsx&amp;sheet=U0&amp;row=1177&amp;col=7&amp;number=0.000859&amp;sourceID=14","0.000859")</f>
        <v>0.000859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HYPERLINK("http://141.218.60.56/~jnz1568/getInfo.php?workbook=20_05.xlsx&amp;sheet=U0&amp;row=1178&amp;col=6&amp;number=4.4&amp;sourceID=14","4.4")</f>
        <v>4.4</v>
      </c>
      <c r="G1178" s="4" t="str">
        <f>HYPERLINK("http://141.218.60.56/~jnz1568/getInfo.php?workbook=20_05.xlsx&amp;sheet=U0&amp;row=1178&amp;col=7&amp;number=0.000928&amp;sourceID=14","0.000928")</f>
        <v>0.000928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HYPERLINK("http://141.218.60.56/~jnz1568/getInfo.php?workbook=20_05.xlsx&amp;sheet=U0&amp;row=1179&amp;col=6&amp;number=4.5&amp;sourceID=14","4.5")</f>
        <v>4.5</v>
      </c>
      <c r="G1179" s="4" t="str">
        <f>HYPERLINK("http://141.218.60.56/~jnz1568/getInfo.php?workbook=20_05.xlsx&amp;sheet=U0&amp;row=1179&amp;col=7&amp;number=0.00101&amp;sourceID=14","0.00101")</f>
        <v>0.00101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HYPERLINK("http://141.218.60.56/~jnz1568/getInfo.php?workbook=20_05.xlsx&amp;sheet=U0&amp;row=1180&amp;col=6&amp;number=4.6&amp;sourceID=14","4.6")</f>
        <v>4.6</v>
      </c>
      <c r="G1180" s="4" t="str">
        <f>HYPERLINK("http://141.218.60.56/~jnz1568/getInfo.php?workbook=20_05.xlsx&amp;sheet=U0&amp;row=1180&amp;col=7&amp;number=0.00111&amp;sourceID=14","0.00111")</f>
        <v>0.00111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HYPERLINK("http://141.218.60.56/~jnz1568/getInfo.php?workbook=20_05.xlsx&amp;sheet=U0&amp;row=1181&amp;col=6&amp;number=4.7&amp;sourceID=14","4.7")</f>
        <v>4.7</v>
      </c>
      <c r="G1181" s="4" t="str">
        <f>HYPERLINK("http://141.218.60.56/~jnz1568/getInfo.php?workbook=20_05.xlsx&amp;sheet=U0&amp;row=1181&amp;col=7&amp;number=0.00123&amp;sourceID=14","0.00123")</f>
        <v>0.00123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HYPERLINK("http://141.218.60.56/~jnz1568/getInfo.php?workbook=20_05.xlsx&amp;sheet=U0&amp;row=1182&amp;col=6&amp;number=4.8&amp;sourceID=14","4.8")</f>
        <v>4.8</v>
      </c>
      <c r="G1182" s="4" t="str">
        <f>HYPERLINK("http://141.218.60.56/~jnz1568/getInfo.php?workbook=20_05.xlsx&amp;sheet=U0&amp;row=1182&amp;col=7&amp;number=0.00136&amp;sourceID=14","0.00136")</f>
        <v>0.00136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HYPERLINK("http://141.218.60.56/~jnz1568/getInfo.php?workbook=20_05.xlsx&amp;sheet=U0&amp;row=1183&amp;col=6&amp;number=4.9&amp;sourceID=14","4.9")</f>
        <v>4.9</v>
      </c>
      <c r="G1183" s="4" t="str">
        <f>HYPERLINK("http://141.218.60.56/~jnz1568/getInfo.php?workbook=20_05.xlsx&amp;sheet=U0&amp;row=1183&amp;col=7&amp;number=0.00149&amp;sourceID=14","0.00149")</f>
        <v>0.00149</v>
      </c>
    </row>
    <row r="1184" spans="1:7">
      <c r="A1184" s="3">
        <v>20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HYPERLINK("http://141.218.60.56/~jnz1568/getInfo.php?workbook=20_05.xlsx&amp;sheet=U0&amp;row=1184&amp;col=6&amp;number=3&amp;sourceID=14","3")</f>
        <v>3</v>
      </c>
      <c r="G1184" s="4" t="str">
        <f>HYPERLINK("http://141.218.60.56/~jnz1568/getInfo.php?workbook=20_05.xlsx&amp;sheet=U0&amp;row=1184&amp;col=7&amp;number=0.00221&amp;sourceID=14","0.00221")</f>
        <v>0.00221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HYPERLINK("http://141.218.60.56/~jnz1568/getInfo.php?workbook=20_05.xlsx&amp;sheet=U0&amp;row=1185&amp;col=6&amp;number=3.1&amp;sourceID=14","3.1")</f>
        <v>3.1</v>
      </c>
      <c r="G1185" s="4" t="str">
        <f>HYPERLINK("http://141.218.60.56/~jnz1568/getInfo.php?workbook=20_05.xlsx&amp;sheet=U0&amp;row=1185&amp;col=7&amp;number=0.00224&amp;sourceID=14","0.00224")</f>
        <v>0.00224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HYPERLINK("http://141.218.60.56/~jnz1568/getInfo.php?workbook=20_05.xlsx&amp;sheet=U0&amp;row=1186&amp;col=6&amp;number=3.2&amp;sourceID=14","3.2")</f>
        <v>3.2</v>
      </c>
      <c r="G1186" s="4" t="str">
        <f>HYPERLINK("http://141.218.60.56/~jnz1568/getInfo.php?workbook=20_05.xlsx&amp;sheet=U0&amp;row=1186&amp;col=7&amp;number=0.00226&amp;sourceID=14","0.00226")</f>
        <v>0.00226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HYPERLINK("http://141.218.60.56/~jnz1568/getInfo.php?workbook=20_05.xlsx&amp;sheet=U0&amp;row=1187&amp;col=6&amp;number=3.3&amp;sourceID=14","3.3")</f>
        <v>3.3</v>
      </c>
      <c r="G1187" s="4" t="str">
        <f>HYPERLINK("http://141.218.60.56/~jnz1568/getInfo.php?workbook=20_05.xlsx&amp;sheet=U0&amp;row=1187&amp;col=7&amp;number=0.0023&amp;sourceID=14","0.0023")</f>
        <v>0.0023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HYPERLINK("http://141.218.60.56/~jnz1568/getInfo.php?workbook=20_05.xlsx&amp;sheet=U0&amp;row=1188&amp;col=6&amp;number=3.4&amp;sourceID=14","3.4")</f>
        <v>3.4</v>
      </c>
      <c r="G1188" s="4" t="str">
        <f>HYPERLINK("http://141.218.60.56/~jnz1568/getInfo.php?workbook=20_05.xlsx&amp;sheet=U0&amp;row=1188&amp;col=7&amp;number=0.00234&amp;sourceID=14","0.00234")</f>
        <v>0.00234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HYPERLINK("http://141.218.60.56/~jnz1568/getInfo.php?workbook=20_05.xlsx&amp;sheet=U0&amp;row=1189&amp;col=6&amp;number=3.5&amp;sourceID=14","3.5")</f>
        <v>3.5</v>
      </c>
      <c r="G1189" s="4" t="str">
        <f>HYPERLINK("http://141.218.60.56/~jnz1568/getInfo.php?workbook=20_05.xlsx&amp;sheet=U0&amp;row=1189&amp;col=7&amp;number=0.00239&amp;sourceID=14","0.00239")</f>
        <v>0.00239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HYPERLINK("http://141.218.60.56/~jnz1568/getInfo.php?workbook=20_05.xlsx&amp;sheet=U0&amp;row=1190&amp;col=6&amp;number=3.6&amp;sourceID=14","3.6")</f>
        <v>3.6</v>
      </c>
      <c r="G1190" s="4" t="str">
        <f>HYPERLINK("http://141.218.60.56/~jnz1568/getInfo.php?workbook=20_05.xlsx&amp;sheet=U0&amp;row=1190&amp;col=7&amp;number=0.00246&amp;sourceID=14","0.00246")</f>
        <v>0.00246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HYPERLINK("http://141.218.60.56/~jnz1568/getInfo.php?workbook=20_05.xlsx&amp;sheet=U0&amp;row=1191&amp;col=6&amp;number=3.7&amp;sourceID=14","3.7")</f>
        <v>3.7</v>
      </c>
      <c r="G1191" s="4" t="str">
        <f>HYPERLINK("http://141.218.60.56/~jnz1568/getInfo.php?workbook=20_05.xlsx&amp;sheet=U0&amp;row=1191&amp;col=7&amp;number=0.00255&amp;sourceID=14","0.00255")</f>
        <v>0.00255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HYPERLINK("http://141.218.60.56/~jnz1568/getInfo.php?workbook=20_05.xlsx&amp;sheet=U0&amp;row=1192&amp;col=6&amp;number=3.8&amp;sourceID=14","3.8")</f>
        <v>3.8</v>
      </c>
      <c r="G1192" s="4" t="str">
        <f>HYPERLINK("http://141.218.60.56/~jnz1568/getInfo.php?workbook=20_05.xlsx&amp;sheet=U0&amp;row=1192&amp;col=7&amp;number=0.00266&amp;sourceID=14","0.00266")</f>
        <v>0.00266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HYPERLINK("http://141.218.60.56/~jnz1568/getInfo.php?workbook=20_05.xlsx&amp;sheet=U0&amp;row=1193&amp;col=6&amp;number=3.9&amp;sourceID=14","3.9")</f>
        <v>3.9</v>
      </c>
      <c r="G1193" s="4" t="str">
        <f>HYPERLINK("http://141.218.60.56/~jnz1568/getInfo.php?workbook=20_05.xlsx&amp;sheet=U0&amp;row=1193&amp;col=7&amp;number=0.00279&amp;sourceID=14","0.00279")</f>
        <v>0.00279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HYPERLINK("http://141.218.60.56/~jnz1568/getInfo.php?workbook=20_05.xlsx&amp;sheet=U0&amp;row=1194&amp;col=6&amp;number=4&amp;sourceID=14","4")</f>
        <v>4</v>
      </c>
      <c r="G1194" s="4" t="str">
        <f>HYPERLINK("http://141.218.60.56/~jnz1568/getInfo.php?workbook=20_05.xlsx&amp;sheet=U0&amp;row=1194&amp;col=7&amp;number=0.00296&amp;sourceID=14","0.00296")</f>
        <v>0.00296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HYPERLINK("http://141.218.60.56/~jnz1568/getInfo.php?workbook=20_05.xlsx&amp;sheet=U0&amp;row=1195&amp;col=6&amp;number=4.1&amp;sourceID=14","4.1")</f>
        <v>4.1</v>
      </c>
      <c r="G1195" s="4" t="str">
        <f>HYPERLINK("http://141.218.60.56/~jnz1568/getInfo.php?workbook=20_05.xlsx&amp;sheet=U0&amp;row=1195&amp;col=7&amp;number=0.00316&amp;sourceID=14","0.00316")</f>
        <v>0.00316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HYPERLINK("http://141.218.60.56/~jnz1568/getInfo.php?workbook=20_05.xlsx&amp;sheet=U0&amp;row=1196&amp;col=6&amp;number=4.2&amp;sourceID=14","4.2")</f>
        <v>4.2</v>
      </c>
      <c r="G1196" s="4" t="str">
        <f>HYPERLINK("http://141.218.60.56/~jnz1568/getInfo.php?workbook=20_05.xlsx&amp;sheet=U0&amp;row=1196&amp;col=7&amp;number=0.00342&amp;sourceID=14","0.00342")</f>
        <v>0.00342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HYPERLINK("http://141.218.60.56/~jnz1568/getInfo.php?workbook=20_05.xlsx&amp;sheet=U0&amp;row=1197&amp;col=6&amp;number=4.3&amp;sourceID=14","4.3")</f>
        <v>4.3</v>
      </c>
      <c r="G1197" s="4" t="str">
        <f>HYPERLINK("http://141.218.60.56/~jnz1568/getInfo.php?workbook=20_05.xlsx&amp;sheet=U0&amp;row=1197&amp;col=7&amp;number=0.00374&amp;sourceID=14","0.00374")</f>
        <v>0.00374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HYPERLINK("http://141.218.60.56/~jnz1568/getInfo.php?workbook=20_05.xlsx&amp;sheet=U0&amp;row=1198&amp;col=6&amp;number=4.4&amp;sourceID=14","4.4")</f>
        <v>4.4</v>
      </c>
      <c r="G1198" s="4" t="str">
        <f>HYPERLINK("http://141.218.60.56/~jnz1568/getInfo.php?workbook=20_05.xlsx&amp;sheet=U0&amp;row=1198&amp;col=7&amp;number=0.00412&amp;sourceID=14","0.00412")</f>
        <v>0.00412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HYPERLINK("http://141.218.60.56/~jnz1568/getInfo.php?workbook=20_05.xlsx&amp;sheet=U0&amp;row=1199&amp;col=6&amp;number=4.5&amp;sourceID=14","4.5")</f>
        <v>4.5</v>
      </c>
      <c r="G1199" s="4" t="str">
        <f>HYPERLINK("http://141.218.60.56/~jnz1568/getInfo.php?workbook=20_05.xlsx&amp;sheet=U0&amp;row=1199&amp;col=7&amp;number=0.00458&amp;sourceID=14","0.00458")</f>
        <v>0.00458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HYPERLINK("http://141.218.60.56/~jnz1568/getInfo.php?workbook=20_05.xlsx&amp;sheet=U0&amp;row=1200&amp;col=6&amp;number=4.6&amp;sourceID=14","4.6")</f>
        <v>4.6</v>
      </c>
      <c r="G1200" s="4" t="str">
        <f>HYPERLINK("http://141.218.60.56/~jnz1568/getInfo.php?workbook=20_05.xlsx&amp;sheet=U0&amp;row=1200&amp;col=7&amp;number=0.00512&amp;sourceID=14","0.00512")</f>
        <v>0.00512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HYPERLINK("http://141.218.60.56/~jnz1568/getInfo.php?workbook=20_05.xlsx&amp;sheet=U0&amp;row=1201&amp;col=6&amp;number=4.7&amp;sourceID=14","4.7")</f>
        <v>4.7</v>
      </c>
      <c r="G1201" s="4" t="str">
        <f>HYPERLINK("http://141.218.60.56/~jnz1568/getInfo.php?workbook=20_05.xlsx&amp;sheet=U0&amp;row=1201&amp;col=7&amp;number=0.00573&amp;sourceID=14","0.00573")</f>
        <v>0.00573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HYPERLINK("http://141.218.60.56/~jnz1568/getInfo.php?workbook=20_05.xlsx&amp;sheet=U0&amp;row=1202&amp;col=6&amp;number=4.8&amp;sourceID=14","4.8")</f>
        <v>4.8</v>
      </c>
      <c r="G1202" s="4" t="str">
        <f>HYPERLINK("http://141.218.60.56/~jnz1568/getInfo.php?workbook=20_05.xlsx&amp;sheet=U0&amp;row=1202&amp;col=7&amp;number=0.00639&amp;sourceID=14","0.00639")</f>
        <v>0.00639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HYPERLINK("http://141.218.60.56/~jnz1568/getInfo.php?workbook=20_05.xlsx&amp;sheet=U0&amp;row=1203&amp;col=6&amp;number=4.9&amp;sourceID=14","4.9")</f>
        <v>4.9</v>
      </c>
      <c r="G1203" s="4" t="str">
        <f>HYPERLINK("http://141.218.60.56/~jnz1568/getInfo.php?workbook=20_05.xlsx&amp;sheet=U0&amp;row=1203&amp;col=7&amp;number=0.00704&amp;sourceID=14","0.00704")</f>
        <v>0.00704</v>
      </c>
    </row>
    <row r="1204" spans="1:7">
      <c r="A1204" s="3">
        <v>20</v>
      </c>
      <c r="B1204" s="3">
        <v>5</v>
      </c>
      <c r="C1204" s="3">
        <v>1</v>
      </c>
      <c r="D1204" s="3">
        <v>16</v>
      </c>
      <c r="E1204" s="3">
        <v>1</v>
      </c>
      <c r="F1204" s="4" t="str">
        <f>HYPERLINK("http://141.218.60.56/~jnz1568/getInfo.php?workbook=20_05.xlsx&amp;sheet=U0&amp;row=1204&amp;col=6&amp;number=3&amp;sourceID=14","3")</f>
        <v>3</v>
      </c>
      <c r="G1204" s="4" t="str">
        <f>HYPERLINK("http://141.218.60.56/~jnz1568/getInfo.php?workbook=20_05.xlsx&amp;sheet=U0&amp;row=1204&amp;col=7&amp;number=0.00196&amp;sourceID=14","0.00196")</f>
        <v>0.00196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HYPERLINK("http://141.218.60.56/~jnz1568/getInfo.php?workbook=20_05.xlsx&amp;sheet=U0&amp;row=1205&amp;col=6&amp;number=3.1&amp;sourceID=14","3.1")</f>
        <v>3.1</v>
      </c>
      <c r="G1205" s="4" t="str">
        <f>HYPERLINK("http://141.218.60.56/~jnz1568/getInfo.php?workbook=20_05.xlsx&amp;sheet=U0&amp;row=1205&amp;col=7&amp;number=0.00196&amp;sourceID=14","0.00196")</f>
        <v>0.00196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HYPERLINK("http://141.218.60.56/~jnz1568/getInfo.php?workbook=20_05.xlsx&amp;sheet=U0&amp;row=1206&amp;col=6&amp;number=3.2&amp;sourceID=14","3.2")</f>
        <v>3.2</v>
      </c>
      <c r="G1206" s="4" t="str">
        <f>HYPERLINK("http://141.218.60.56/~jnz1568/getInfo.php?workbook=20_05.xlsx&amp;sheet=U0&amp;row=1206&amp;col=7&amp;number=0.00196&amp;sourceID=14","0.00196")</f>
        <v>0.00196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HYPERLINK("http://141.218.60.56/~jnz1568/getInfo.php?workbook=20_05.xlsx&amp;sheet=U0&amp;row=1207&amp;col=6&amp;number=3.3&amp;sourceID=14","3.3")</f>
        <v>3.3</v>
      </c>
      <c r="G1207" s="4" t="str">
        <f>HYPERLINK("http://141.218.60.56/~jnz1568/getInfo.php?workbook=20_05.xlsx&amp;sheet=U0&amp;row=1207&amp;col=7&amp;number=0.00196&amp;sourceID=14","0.00196")</f>
        <v>0.00196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HYPERLINK("http://141.218.60.56/~jnz1568/getInfo.php?workbook=20_05.xlsx&amp;sheet=U0&amp;row=1208&amp;col=6&amp;number=3.4&amp;sourceID=14","3.4")</f>
        <v>3.4</v>
      </c>
      <c r="G1208" s="4" t="str">
        <f>HYPERLINK("http://141.218.60.56/~jnz1568/getInfo.php?workbook=20_05.xlsx&amp;sheet=U0&amp;row=1208&amp;col=7&amp;number=0.00196&amp;sourceID=14","0.00196")</f>
        <v>0.00196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HYPERLINK("http://141.218.60.56/~jnz1568/getInfo.php?workbook=20_05.xlsx&amp;sheet=U0&amp;row=1209&amp;col=6&amp;number=3.5&amp;sourceID=14","3.5")</f>
        <v>3.5</v>
      </c>
      <c r="G1209" s="4" t="str">
        <f>HYPERLINK("http://141.218.60.56/~jnz1568/getInfo.php?workbook=20_05.xlsx&amp;sheet=U0&amp;row=1209&amp;col=7&amp;number=0.00196&amp;sourceID=14","0.00196")</f>
        <v>0.00196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HYPERLINK("http://141.218.60.56/~jnz1568/getInfo.php?workbook=20_05.xlsx&amp;sheet=U0&amp;row=1210&amp;col=6&amp;number=3.6&amp;sourceID=14","3.6")</f>
        <v>3.6</v>
      </c>
      <c r="G1210" s="4" t="str">
        <f>HYPERLINK("http://141.218.60.56/~jnz1568/getInfo.php?workbook=20_05.xlsx&amp;sheet=U0&amp;row=1210&amp;col=7&amp;number=0.00196&amp;sourceID=14","0.00196")</f>
        <v>0.00196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HYPERLINK("http://141.218.60.56/~jnz1568/getInfo.php?workbook=20_05.xlsx&amp;sheet=U0&amp;row=1211&amp;col=6&amp;number=3.7&amp;sourceID=14","3.7")</f>
        <v>3.7</v>
      </c>
      <c r="G1211" s="4" t="str">
        <f>HYPERLINK("http://141.218.60.56/~jnz1568/getInfo.php?workbook=20_05.xlsx&amp;sheet=U0&amp;row=1211&amp;col=7&amp;number=0.00196&amp;sourceID=14","0.00196")</f>
        <v>0.00196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HYPERLINK("http://141.218.60.56/~jnz1568/getInfo.php?workbook=20_05.xlsx&amp;sheet=U0&amp;row=1212&amp;col=6&amp;number=3.8&amp;sourceID=14","3.8")</f>
        <v>3.8</v>
      </c>
      <c r="G1212" s="4" t="str">
        <f>HYPERLINK("http://141.218.60.56/~jnz1568/getInfo.php?workbook=20_05.xlsx&amp;sheet=U0&amp;row=1212&amp;col=7&amp;number=0.00196&amp;sourceID=14","0.00196")</f>
        <v>0.00196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HYPERLINK("http://141.218.60.56/~jnz1568/getInfo.php?workbook=20_05.xlsx&amp;sheet=U0&amp;row=1213&amp;col=6&amp;number=3.9&amp;sourceID=14","3.9")</f>
        <v>3.9</v>
      </c>
      <c r="G1213" s="4" t="str">
        <f>HYPERLINK("http://141.218.60.56/~jnz1568/getInfo.php?workbook=20_05.xlsx&amp;sheet=U0&amp;row=1213&amp;col=7&amp;number=0.00196&amp;sourceID=14","0.00196")</f>
        <v>0.00196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HYPERLINK("http://141.218.60.56/~jnz1568/getInfo.php?workbook=20_05.xlsx&amp;sheet=U0&amp;row=1214&amp;col=6&amp;number=4&amp;sourceID=14","4")</f>
        <v>4</v>
      </c>
      <c r="G1214" s="4" t="str">
        <f>HYPERLINK("http://141.218.60.56/~jnz1568/getInfo.php?workbook=20_05.xlsx&amp;sheet=U0&amp;row=1214&amp;col=7&amp;number=0.00196&amp;sourceID=14","0.00196")</f>
        <v>0.00196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HYPERLINK("http://141.218.60.56/~jnz1568/getInfo.php?workbook=20_05.xlsx&amp;sheet=U0&amp;row=1215&amp;col=6&amp;number=4.1&amp;sourceID=14","4.1")</f>
        <v>4.1</v>
      </c>
      <c r="G1215" s="4" t="str">
        <f>HYPERLINK("http://141.218.60.56/~jnz1568/getInfo.php?workbook=20_05.xlsx&amp;sheet=U0&amp;row=1215&amp;col=7&amp;number=0.00196&amp;sourceID=14","0.00196")</f>
        <v>0.00196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HYPERLINK("http://141.218.60.56/~jnz1568/getInfo.php?workbook=20_05.xlsx&amp;sheet=U0&amp;row=1216&amp;col=6&amp;number=4.2&amp;sourceID=14","4.2")</f>
        <v>4.2</v>
      </c>
      <c r="G1216" s="4" t="str">
        <f>HYPERLINK("http://141.218.60.56/~jnz1568/getInfo.php?workbook=20_05.xlsx&amp;sheet=U0&amp;row=1216&amp;col=7&amp;number=0.00196&amp;sourceID=14","0.00196")</f>
        <v>0.00196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HYPERLINK("http://141.218.60.56/~jnz1568/getInfo.php?workbook=20_05.xlsx&amp;sheet=U0&amp;row=1217&amp;col=6&amp;number=4.3&amp;sourceID=14","4.3")</f>
        <v>4.3</v>
      </c>
      <c r="G1217" s="4" t="str">
        <f>HYPERLINK("http://141.218.60.56/~jnz1568/getInfo.php?workbook=20_05.xlsx&amp;sheet=U0&amp;row=1217&amp;col=7&amp;number=0.00196&amp;sourceID=14","0.00196")</f>
        <v>0.00196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HYPERLINK("http://141.218.60.56/~jnz1568/getInfo.php?workbook=20_05.xlsx&amp;sheet=U0&amp;row=1218&amp;col=6&amp;number=4.4&amp;sourceID=14","4.4")</f>
        <v>4.4</v>
      </c>
      <c r="G1218" s="4" t="str">
        <f>HYPERLINK("http://141.218.60.56/~jnz1568/getInfo.php?workbook=20_05.xlsx&amp;sheet=U0&amp;row=1218&amp;col=7&amp;number=0.00196&amp;sourceID=14","0.00196")</f>
        <v>0.00196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HYPERLINK("http://141.218.60.56/~jnz1568/getInfo.php?workbook=20_05.xlsx&amp;sheet=U0&amp;row=1219&amp;col=6&amp;number=4.5&amp;sourceID=14","4.5")</f>
        <v>4.5</v>
      </c>
      <c r="G1219" s="4" t="str">
        <f>HYPERLINK("http://141.218.60.56/~jnz1568/getInfo.php?workbook=20_05.xlsx&amp;sheet=U0&amp;row=1219&amp;col=7&amp;number=0.00196&amp;sourceID=14","0.00196")</f>
        <v>0.00196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HYPERLINK("http://141.218.60.56/~jnz1568/getInfo.php?workbook=20_05.xlsx&amp;sheet=U0&amp;row=1220&amp;col=6&amp;number=4.6&amp;sourceID=14","4.6")</f>
        <v>4.6</v>
      </c>
      <c r="G1220" s="4" t="str">
        <f>HYPERLINK("http://141.218.60.56/~jnz1568/getInfo.php?workbook=20_05.xlsx&amp;sheet=U0&amp;row=1220&amp;col=7&amp;number=0.00197&amp;sourceID=14","0.00197")</f>
        <v>0.00197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HYPERLINK("http://141.218.60.56/~jnz1568/getInfo.php?workbook=20_05.xlsx&amp;sheet=U0&amp;row=1221&amp;col=6&amp;number=4.7&amp;sourceID=14","4.7")</f>
        <v>4.7</v>
      </c>
      <c r="G1221" s="4" t="str">
        <f>HYPERLINK("http://141.218.60.56/~jnz1568/getInfo.php?workbook=20_05.xlsx&amp;sheet=U0&amp;row=1221&amp;col=7&amp;number=0.00197&amp;sourceID=14","0.00197")</f>
        <v>0.00197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HYPERLINK("http://141.218.60.56/~jnz1568/getInfo.php?workbook=20_05.xlsx&amp;sheet=U0&amp;row=1222&amp;col=6&amp;number=4.8&amp;sourceID=14","4.8")</f>
        <v>4.8</v>
      </c>
      <c r="G1222" s="4" t="str">
        <f>HYPERLINK("http://141.218.60.56/~jnz1568/getInfo.php?workbook=20_05.xlsx&amp;sheet=U0&amp;row=1222&amp;col=7&amp;number=0.00197&amp;sourceID=14","0.00197")</f>
        <v>0.00197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HYPERLINK("http://141.218.60.56/~jnz1568/getInfo.php?workbook=20_05.xlsx&amp;sheet=U0&amp;row=1223&amp;col=6&amp;number=4.9&amp;sourceID=14","4.9")</f>
        <v>4.9</v>
      </c>
      <c r="G1223" s="4" t="str">
        <f>HYPERLINK("http://141.218.60.56/~jnz1568/getInfo.php?workbook=20_05.xlsx&amp;sheet=U0&amp;row=1223&amp;col=7&amp;number=0.00197&amp;sourceID=14","0.00197")</f>
        <v>0.00197</v>
      </c>
    </row>
    <row r="1224" spans="1:7">
      <c r="A1224" s="3">
        <v>20</v>
      </c>
      <c r="B1224" s="3">
        <v>5</v>
      </c>
      <c r="C1224" s="3">
        <v>1</v>
      </c>
      <c r="D1224" s="3">
        <v>17</v>
      </c>
      <c r="E1224" s="3">
        <v>1</v>
      </c>
      <c r="F1224" s="4" t="str">
        <f>HYPERLINK("http://141.218.60.56/~jnz1568/getInfo.php?workbook=20_05.xlsx&amp;sheet=U0&amp;row=1224&amp;col=6&amp;number=3&amp;sourceID=14","3")</f>
        <v>3</v>
      </c>
      <c r="G1224" s="4" t="str">
        <f>HYPERLINK("http://141.218.60.56/~jnz1568/getInfo.php?workbook=20_05.xlsx&amp;sheet=U0&amp;row=1224&amp;col=7&amp;number=0.00186&amp;sourceID=14","0.00186")</f>
        <v>0.00186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HYPERLINK("http://141.218.60.56/~jnz1568/getInfo.php?workbook=20_05.xlsx&amp;sheet=U0&amp;row=1225&amp;col=6&amp;number=3.1&amp;sourceID=14","3.1")</f>
        <v>3.1</v>
      </c>
      <c r="G1225" s="4" t="str">
        <f>HYPERLINK("http://141.218.60.56/~jnz1568/getInfo.php?workbook=20_05.xlsx&amp;sheet=U0&amp;row=1225&amp;col=7&amp;number=0.00186&amp;sourceID=14","0.00186")</f>
        <v>0.00186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HYPERLINK("http://141.218.60.56/~jnz1568/getInfo.php?workbook=20_05.xlsx&amp;sheet=U0&amp;row=1226&amp;col=6&amp;number=3.2&amp;sourceID=14","3.2")</f>
        <v>3.2</v>
      </c>
      <c r="G1226" s="4" t="str">
        <f>HYPERLINK("http://141.218.60.56/~jnz1568/getInfo.php?workbook=20_05.xlsx&amp;sheet=U0&amp;row=1226&amp;col=7&amp;number=0.00186&amp;sourceID=14","0.00186")</f>
        <v>0.00186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HYPERLINK("http://141.218.60.56/~jnz1568/getInfo.php?workbook=20_05.xlsx&amp;sheet=U0&amp;row=1227&amp;col=6&amp;number=3.3&amp;sourceID=14","3.3")</f>
        <v>3.3</v>
      </c>
      <c r="G1227" s="4" t="str">
        <f>HYPERLINK("http://141.218.60.56/~jnz1568/getInfo.php?workbook=20_05.xlsx&amp;sheet=U0&amp;row=1227&amp;col=7&amp;number=0.00186&amp;sourceID=14","0.00186")</f>
        <v>0.00186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HYPERLINK("http://141.218.60.56/~jnz1568/getInfo.php?workbook=20_05.xlsx&amp;sheet=U0&amp;row=1228&amp;col=6&amp;number=3.4&amp;sourceID=14","3.4")</f>
        <v>3.4</v>
      </c>
      <c r="G1228" s="4" t="str">
        <f>HYPERLINK("http://141.218.60.56/~jnz1568/getInfo.php?workbook=20_05.xlsx&amp;sheet=U0&amp;row=1228&amp;col=7&amp;number=0.00186&amp;sourceID=14","0.00186")</f>
        <v>0.00186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HYPERLINK("http://141.218.60.56/~jnz1568/getInfo.php?workbook=20_05.xlsx&amp;sheet=U0&amp;row=1229&amp;col=6&amp;number=3.5&amp;sourceID=14","3.5")</f>
        <v>3.5</v>
      </c>
      <c r="G1229" s="4" t="str">
        <f>HYPERLINK("http://141.218.60.56/~jnz1568/getInfo.php?workbook=20_05.xlsx&amp;sheet=U0&amp;row=1229&amp;col=7&amp;number=0.00186&amp;sourceID=14","0.00186")</f>
        <v>0.00186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HYPERLINK("http://141.218.60.56/~jnz1568/getInfo.php?workbook=20_05.xlsx&amp;sheet=U0&amp;row=1230&amp;col=6&amp;number=3.6&amp;sourceID=14","3.6")</f>
        <v>3.6</v>
      </c>
      <c r="G1230" s="4" t="str">
        <f>HYPERLINK("http://141.218.60.56/~jnz1568/getInfo.php?workbook=20_05.xlsx&amp;sheet=U0&amp;row=1230&amp;col=7&amp;number=0.00186&amp;sourceID=14","0.00186")</f>
        <v>0.00186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HYPERLINK("http://141.218.60.56/~jnz1568/getInfo.php?workbook=20_05.xlsx&amp;sheet=U0&amp;row=1231&amp;col=6&amp;number=3.7&amp;sourceID=14","3.7")</f>
        <v>3.7</v>
      </c>
      <c r="G1231" s="4" t="str">
        <f>HYPERLINK("http://141.218.60.56/~jnz1568/getInfo.php?workbook=20_05.xlsx&amp;sheet=U0&amp;row=1231&amp;col=7&amp;number=0.00186&amp;sourceID=14","0.00186")</f>
        <v>0.00186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HYPERLINK("http://141.218.60.56/~jnz1568/getInfo.php?workbook=20_05.xlsx&amp;sheet=U0&amp;row=1232&amp;col=6&amp;number=3.8&amp;sourceID=14","3.8")</f>
        <v>3.8</v>
      </c>
      <c r="G1232" s="4" t="str">
        <f>HYPERLINK("http://141.218.60.56/~jnz1568/getInfo.php?workbook=20_05.xlsx&amp;sheet=U0&amp;row=1232&amp;col=7&amp;number=0.00186&amp;sourceID=14","0.00186")</f>
        <v>0.00186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HYPERLINK("http://141.218.60.56/~jnz1568/getInfo.php?workbook=20_05.xlsx&amp;sheet=U0&amp;row=1233&amp;col=6&amp;number=3.9&amp;sourceID=14","3.9")</f>
        <v>3.9</v>
      </c>
      <c r="G1233" s="4" t="str">
        <f>HYPERLINK("http://141.218.60.56/~jnz1568/getInfo.php?workbook=20_05.xlsx&amp;sheet=U0&amp;row=1233&amp;col=7&amp;number=0.00186&amp;sourceID=14","0.00186")</f>
        <v>0.00186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HYPERLINK("http://141.218.60.56/~jnz1568/getInfo.php?workbook=20_05.xlsx&amp;sheet=U0&amp;row=1234&amp;col=6&amp;number=4&amp;sourceID=14","4")</f>
        <v>4</v>
      </c>
      <c r="G1234" s="4" t="str">
        <f>HYPERLINK("http://141.218.60.56/~jnz1568/getInfo.php?workbook=20_05.xlsx&amp;sheet=U0&amp;row=1234&amp;col=7&amp;number=0.00186&amp;sourceID=14","0.00186")</f>
        <v>0.00186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HYPERLINK("http://141.218.60.56/~jnz1568/getInfo.php?workbook=20_05.xlsx&amp;sheet=U0&amp;row=1235&amp;col=6&amp;number=4.1&amp;sourceID=14","4.1")</f>
        <v>4.1</v>
      </c>
      <c r="G1235" s="4" t="str">
        <f>HYPERLINK("http://141.218.60.56/~jnz1568/getInfo.php?workbook=20_05.xlsx&amp;sheet=U0&amp;row=1235&amp;col=7&amp;number=0.00186&amp;sourceID=14","0.00186")</f>
        <v>0.00186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HYPERLINK("http://141.218.60.56/~jnz1568/getInfo.php?workbook=20_05.xlsx&amp;sheet=U0&amp;row=1236&amp;col=6&amp;number=4.2&amp;sourceID=14","4.2")</f>
        <v>4.2</v>
      </c>
      <c r="G1236" s="4" t="str">
        <f>HYPERLINK("http://141.218.60.56/~jnz1568/getInfo.php?workbook=20_05.xlsx&amp;sheet=U0&amp;row=1236&amp;col=7&amp;number=0.00186&amp;sourceID=14","0.00186")</f>
        <v>0.00186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HYPERLINK("http://141.218.60.56/~jnz1568/getInfo.php?workbook=20_05.xlsx&amp;sheet=U0&amp;row=1237&amp;col=6&amp;number=4.3&amp;sourceID=14","4.3")</f>
        <v>4.3</v>
      </c>
      <c r="G1237" s="4" t="str">
        <f>HYPERLINK("http://141.218.60.56/~jnz1568/getInfo.php?workbook=20_05.xlsx&amp;sheet=U0&amp;row=1237&amp;col=7&amp;number=0.00186&amp;sourceID=14","0.00186")</f>
        <v>0.00186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HYPERLINK("http://141.218.60.56/~jnz1568/getInfo.php?workbook=20_05.xlsx&amp;sheet=U0&amp;row=1238&amp;col=6&amp;number=4.4&amp;sourceID=14","4.4")</f>
        <v>4.4</v>
      </c>
      <c r="G1238" s="4" t="str">
        <f>HYPERLINK("http://141.218.60.56/~jnz1568/getInfo.php?workbook=20_05.xlsx&amp;sheet=U0&amp;row=1238&amp;col=7&amp;number=0.00187&amp;sourceID=14","0.00187")</f>
        <v>0.00187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HYPERLINK("http://141.218.60.56/~jnz1568/getInfo.php?workbook=20_05.xlsx&amp;sheet=U0&amp;row=1239&amp;col=6&amp;number=4.5&amp;sourceID=14","4.5")</f>
        <v>4.5</v>
      </c>
      <c r="G1239" s="4" t="str">
        <f>HYPERLINK("http://141.218.60.56/~jnz1568/getInfo.php?workbook=20_05.xlsx&amp;sheet=U0&amp;row=1239&amp;col=7&amp;number=0.00187&amp;sourceID=14","0.00187")</f>
        <v>0.00187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HYPERLINK("http://141.218.60.56/~jnz1568/getInfo.php?workbook=20_05.xlsx&amp;sheet=U0&amp;row=1240&amp;col=6&amp;number=4.6&amp;sourceID=14","4.6")</f>
        <v>4.6</v>
      </c>
      <c r="G1240" s="4" t="str">
        <f>HYPERLINK("http://141.218.60.56/~jnz1568/getInfo.php?workbook=20_05.xlsx&amp;sheet=U0&amp;row=1240&amp;col=7&amp;number=0.00187&amp;sourceID=14","0.00187")</f>
        <v>0.00187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HYPERLINK("http://141.218.60.56/~jnz1568/getInfo.php?workbook=20_05.xlsx&amp;sheet=U0&amp;row=1241&amp;col=6&amp;number=4.7&amp;sourceID=14","4.7")</f>
        <v>4.7</v>
      </c>
      <c r="G1241" s="4" t="str">
        <f>HYPERLINK("http://141.218.60.56/~jnz1568/getInfo.php?workbook=20_05.xlsx&amp;sheet=U0&amp;row=1241&amp;col=7&amp;number=0.00187&amp;sourceID=14","0.00187")</f>
        <v>0.00187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HYPERLINK("http://141.218.60.56/~jnz1568/getInfo.php?workbook=20_05.xlsx&amp;sheet=U0&amp;row=1242&amp;col=6&amp;number=4.8&amp;sourceID=14","4.8")</f>
        <v>4.8</v>
      </c>
      <c r="G1242" s="4" t="str">
        <f>HYPERLINK("http://141.218.60.56/~jnz1568/getInfo.php?workbook=20_05.xlsx&amp;sheet=U0&amp;row=1242&amp;col=7&amp;number=0.00188&amp;sourceID=14","0.00188")</f>
        <v>0.00188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HYPERLINK("http://141.218.60.56/~jnz1568/getInfo.php?workbook=20_05.xlsx&amp;sheet=U0&amp;row=1243&amp;col=6&amp;number=4.9&amp;sourceID=14","4.9")</f>
        <v>4.9</v>
      </c>
      <c r="G1243" s="4" t="str">
        <f>HYPERLINK("http://141.218.60.56/~jnz1568/getInfo.php?workbook=20_05.xlsx&amp;sheet=U0&amp;row=1243&amp;col=7&amp;number=0.00188&amp;sourceID=14","0.00188")</f>
        <v>0.00188</v>
      </c>
    </row>
    <row r="1244" spans="1:7">
      <c r="A1244" s="3">
        <v>20</v>
      </c>
      <c r="B1244" s="3">
        <v>5</v>
      </c>
      <c r="C1244" s="3">
        <v>1</v>
      </c>
      <c r="D1244" s="3">
        <v>18</v>
      </c>
      <c r="E1244" s="3">
        <v>1</v>
      </c>
      <c r="F1244" s="4" t="str">
        <f>HYPERLINK("http://141.218.60.56/~jnz1568/getInfo.php?workbook=20_05.xlsx&amp;sheet=U0&amp;row=1244&amp;col=6&amp;number=3&amp;sourceID=14","3")</f>
        <v>3</v>
      </c>
      <c r="G1244" s="4" t="str">
        <f>HYPERLINK("http://141.218.60.56/~jnz1568/getInfo.php?workbook=20_05.xlsx&amp;sheet=U0&amp;row=1244&amp;col=7&amp;number=0.00311&amp;sourceID=14","0.00311")</f>
        <v>0.00311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HYPERLINK("http://141.218.60.56/~jnz1568/getInfo.php?workbook=20_05.xlsx&amp;sheet=U0&amp;row=1245&amp;col=6&amp;number=3.1&amp;sourceID=14","3.1")</f>
        <v>3.1</v>
      </c>
      <c r="G1245" s="4" t="str">
        <f>HYPERLINK("http://141.218.60.56/~jnz1568/getInfo.php?workbook=20_05.xlsx&amp;sheet=U0&amp;row=1245&amp;col=7&amp;number=0.00311&amp;sourceID=14","0.00311")</f>
        <v>0.00311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HYPERLINK("http://141.218.60.56/~jnz1568/getInfo.php?workbook=20_05.xlsx&amp;sheet=U0&amp;row=1246&amp;col=6&amp;number=3.2&amp;sourceID=14","3.2")</f>
        <v>3.2</v>
      </c>
      <c r="G1246" s="4" t="str">
        <f>HYPERLINK("http://141.218.60.56/~jnz1568/getInfo.php?workbook=20_05.xlsx&amp;sheet=U0&amp;row=1246&amp;col=7&amp;number=0.00311&amp;sourceID=14","0.00311")</f>
        <v>0.00311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HYPERLINK("http://141.218.60.56/~jnz1568/getInfo.php?workbook=20_05.xlsx&amp;sheet=U0&amp;row=1247&amp;col=6&amp;number=3.3&amp;sourceID=14","3.3")</f>
        <v>3.3</v>
      </c>
      <c r="G1247" s="4" t="str">
        <f>HYPERLINK("http://141.218.60.56/~jnz1568/getInfo.php?workbook=20_05.xlsx&amp;sheet=U0&amp;row=1247&amp;col=7&amp;number=0.00311&amp;sourceID=14","0.00311")</f>
        <v>0.00311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HYPERLINK("http://141.218.60.56/~jnz1568/getInfo.php?workbook=20_05.xlsx&amp;sheet=U0&amp;row=1248&amp;col=6&amp;number=3.4&amp;sourceID=14","3.4")</f>
        <v>3.4</v>
      </c>
      <c r="G1248" s="4" t="str">
        <f>HYPERLINK("http://141.218.60.56/~jnz1568/getInfo.php?workbook=20_05.xlsx&amp;sheet=U0&amp;row=1248&amp;col=7&amp;number=0.00311&amp;sourceID=14","0.00311")</f>
        <v>0.00311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HYPERLINK("http://141.218.60.56/~jnz1568/getInfo.php?workbook=20_05.xlsx&amp;sheet=U0&amp;row=1249&amp;col=6&amp;number=3.5&amp;sourceID=14","3.5")</f>
        <v>3.5</v>
      </c>
      <c r="G1249" s="4" t="str">
        <f>HYPERLINK("http://141.218.60.56/~jnz1568/getInfo.php?workbook=20_05.xlsx&amp;sheet=U0&amp;row=1249&amp;col=7&amp;number=0.00311&amp;sourceID=14","0.00311")</f>
        <v>0.00311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HYPERLINK("http://141.218.60.56/~jnz1568/getInfo.php?workbook=20_05.xlsx&amp;sheet=U0&amp;row=1250&amp;col=6&amp;number=3.6&amp;sourceID=14","3.6")</f>
        <v>3.6</v>
      </c>
      <c r="G1250" s="4" t="str">
        <f>HYPERLINK("http://141.218.60.56/~jnz1568/getInfo.php?workbook=20_05.xlsx&amp;sheet=U0&amp;row=1250&amp;col=7&amp;number=0.00312&amp;sourceID=14","0.00312")</f>
        <v>0.00312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HYPERLINK("http://141.218.60.56/~jnz1568/getInfo.php?workbook=20_05.xlsx&amp;sheet=U0&amp;row=1251&amp;col=6&amp;number=3.7&amp;sourceID=14","3.7")</f>
        <v>3.7</v>
      </c>
      <c r="G1251" s="4" t="str">
        <f>HYPERLINK("http://141.218.60.56/~jnz1568/getInfo.php?workbook=20_05.xlsx&amp;sheet=U0&amp;row=1251&amp;col=7&amp;number=0.00312&amp;sourceID=14","0.00312")</f>
        <v>0.00312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HYPERLINK("http://141.218.60.56/~jnz1568/getInfo.php?workbook=20_05.xlsx&amp;sheet=U0&amp;row=1252&amp;col=6&amp;number=3.8&amp;sourceID=14","3.8")</f>
        <v>3.8</v>
      </c>
      <c r="G1252" s="4" t="str">
        <f>HYPERLINK("http://141.218.60.56/~jnz1568/getInfo.php?workbook=20_05.xlsx&amp;sheet=U0&amp;row=1252&amp;col=7&amp;number=0.00312&amp;sourceID=14","0.00312")</f>
        <v>0.00312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HYPERLINK("http://141.218.60.56/~jnz1568/getInfo.php?workbook=20_05.xlsx&amp;sheet=U0&amp;row=1253&amp;col=6&amp;number=3.9&amp;sourceID=14","3.9")</f>
        <v>3.9</v>
      </c>
      <c r="G1253" s="4" t="str">
        <f>HYPERLINK("http://141.218.60.56/~jnz1568/getInfo.php?workbook=20_05.xlsx&amp;sheet=U0&amp;row=1253&amp;col=7&amp;number=0.00312&amp;sourceID=14","0.00312")</f>
        <v>0.00312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HYPERLINK("http://141.218.60.56/~jnz1568/getInfo.php?workbook=20_05.xlsx&amp;sheet=U0&amp;row=1254&amp;col=6&amp;number=4&amp;sourceID=14","4")</f>
        <v>4</v>
      </c>
      <c r="G1254" s="4" t="str">
        <f>HYPERLINK("http://141.218.60.56/~jnz1568/getInfo.php?workbook=20_05.xlsx&amp;sheet=U0&amp;row=1254&amp;col=7&amp;number=0.00312&amp;sourceID=14","0.00312")</f>
        <v>0.00312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HYPERLINK("http://141.218.60.56/~jnz1568/getInfo.php?workbook=20_05.xlsx&amp;sheet=U0&amp;row=1255&amp;col=6&amp;number=4.1&amp;sourceID=14","4.1")</f>
        <v>4.1</v>
      </c>
      <c r="G1255" s="4" t="str">
        <f>HYPERLINK("http://141.218.60.56/~jnz1568/getInfo.php?workbook=20_05.xlsx&amp;sheet=U0&amp;row=1255&amp;col=7&amp;number=0.00313&amp;sourceID=14","0.00313")</f>
        <v>0.00313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HYPERLINK("http://141.218.60.56/~jnz1568/getInfo.php?workbook=20_05.xlsx&amp;sheet=U0&amp;row=1256&amp;col=6&amp;number=4.2&amp;sourceID=14","4.2")</f>
        <v>4.2</v>
      </c>
      <c r="G1256" s="4" t="str">
        <f>HYPERLINK("http://141.218.60.56/~jnz1568/getInfo.php?workbook=20_05.xlsx&amp;sheet=U0&amp;row=1256&amp;col=7&amp;number=0.00313&amp;sourceID=14","0.00313")</f>
        <v>0.00313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HYPERLINK("http://141.218.60.56/~jnz1568/getInfo.php?workbook=20_05.xlsx&amp;sheet=U0&amp;row=1257&amp;col=6&amp;number=4.3&amp;sourceID=14","4.3")</f>
        <v>4.3</v>
      </c>
      <c r="G1257" s="4" t="str">
        <f>HYPERLINK("http://141.218.60.56/~jnz1568/getInfo.php?workbook=20_05.xlsx&amp;sheet=U0&amp;row=1257&amp;col=7&amp;number=0.00314&amp;sourceID=14","0.00314")</f>
        <v>0.00314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HYPERLINK("http://141.218.60.56/~jnz1568/getInfo.php?workbook=20_05.xlsx&amp;sheet=U0&amp;row=1258&amp;col=6&amp;number=4.4&amp;sourceID=14","4.4")</f>
        <v>4.4</v>
      </c>
      <c r="G1258" s="4" t="str">
        <f>HYPERLINK("http://141.218.60.56/~jnz1568/getInfo.php?workbook=20_05.xlsx&amp;sheet=U0&amp;row=1258&amp;col=7&amp;number=0.00315&amp;sourceID=14","0.00315")</f>
        <v>0.00315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HYPERLINK("http://141.218.60.56/~jnz1568/getInfo.php?workbook=20_05.xlsx&amp;sheet=U0&amp;row=1259&amp;col=6&amp;number=4.5&amp;sourceID=14","4.5")</f>
        <v>4.5</v>
      </c>
      <c r="G1259" s="4" t="str">
        <f>HYPERLINK("http://141.218.60.56/~jnz1568/getInfo.php?workbook=20_05.xlsx&amp;sheet=U0&amp;row=1259&amp;col=7&amp;number=0.00316&amp;sourceID=14","0.00316")</f>
        <v>0.00316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HYPERLINK("http://141.218.60.56/~jnz1568/getInfo.php?workbook=20_05.xlsx&amp;sheet=U0&amp;row=1260&amp;col=6&amp;number=4.6&amp;sourceID=14","4.6")</f>
        <v>4.6</v>
      </c>
      <c r="G1260" s="4" t="str">
        <f>HYPERLINK("http://141.218.60.56/~jnz1568/getInfo.php?workbook=20_05.xlsx&amp;sheet=U0&amp;row=1260&amp;col=7&amp;number=0.00317&amp;sourceID=14","0.00317")</f>
        <v>0.00317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HYPERLINK("http://141.218.60.56/~jnz1568/getInfo.php?workbook=20_05.xlsx&amp;sheet=U0&amp;row=1261&amp;col=6&amp;number=4.7&amp;sourceID=14","4.7")</f>
        <v>4.7</v>
      </c>
      <c r="G1261" s="4" t="str">
        <f>HYPERLINK("http://141.218.60.56/~jnz1568/getInfo.php?workbook=20_05.xlsx&amp;sheet=U0&amp;row=1261&amp;col=7&amp;number=0.00318&amp;sourceID=14","0.00318")</f>
        <v>0.00318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HYPERLINK("http://141.218.60.56/~jnz1568/getInfo.php?workbook=20_05.xlsx&amp;sheet=U0&amp;row=1262&amp;col=6&amp;number=4.8&amp;sourceID=14","4.8")</f>
        <v>4.8</v>
      </c>
      <c r="G1262" s="4" t="str">
        <f>HYPERLINK("http://141.218.60.56/~jnz1568/getInfo.php?workbook=20_05.xlsx&amp;sheet=U0&amp;row=1262&amp;col=7&amp;number=0.0032&amp;sourceID=14","0.0032")</f>
        <v>0.0032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HYPERLINK("http://141.218.60.56/~jnz1568/getInfo.php?workbook=20_05.xlsx&amp;sheet=U0&amp;row=1263&amp;col=6&amp;number=4.9&amp;sourceID=14","4.9")</f>
        <v>4.9</v>
      </c>
      <c r="G1263" s="4" t="str">
        <f>HYPERLINK("http://141.218.60.56/~jnz1568/getInfo.php?workbook=20_05.xlsx&amp;sheet=U0&amp;row=1263&amp;col=7&amp;number=0.00323&amp;sourceID=14","0.00323")</f>
        <v>0.00323</v>
      </c>
    </row>
    <row r="1264" spans="1:7">
      <c r="A1264" s="3">
        <v>20</v>
      </c>
      <c r="B1264" s="3">
        <v>5</v>
      </c>
      <c r="C1264" s="3">
        <v>1</v>
      </c>
      <c r="D1264" s="3">
        <v>19</v>
      </c>
      <c r="E1264" s="3">
        <v>1</v>
      </c>
      <c r="F1264" s="4" t="str">
        <f>HYPERLINK("http://141.218.60.56/~jnz1568/getInfo.php?workbook=20_05.xlsx&amp;sheet=U0&amp;row=1264&amp;col=6&amp;number=3&amp;sourceID=14","3")</f>
        <v>3</v>
      </c>
      <c r="G1264" s="4" t="str">
        <f>HYPERLINK("http://141.218.60.56/~jnz1568/getInfo.php?workbook=20_05.xlsx&amp;sheet=U0&amp;row=1264&amp;col=7&amp;number=0.000769&amp;sourceID=14","0.000769")</f>
        <v>0.000769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HYPERLINK("http://141.218.60.56/~jnz1568/getInfo.php?workbook=20_05.xlsx&amp;sheet=U0&amp;row=1265&amp;col=6&amp;number=3.1&amp;sourceID=14","3.1")</f>
        <v>3.1</v>
      </c>
      <c r="G1265" s="4" t="str">
        <f>HYPERLINK("http://141.218.60.56/~jnz1568/getInfo.php?workbook=20_05.xlsx&amp;sheet=U0&amp;row=1265&amp;col=7&amp;number=0.000769&amp;sourceID=14","0.000769")</f>
        <v>0.000769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HYPERLINK("http://141.218.60.56/~jnz1568/getInfo.php?workbook=20_05.xlsx&amp;sheet=U0&amp;row=1266&amp;col=6&amp;number=3.2&amp;sourceID=14","3.2")</f>
        <v>3.2</v>
      </c>
      <c r="G1266" s="4" t="str">
        <f>HYPERLINK("http://141.218.60.56/~jnz1568/getInfo.php?workbook=20_05.xlsx&amp;sheet=U0&amp;row=1266&amp;col=7&amp;number=0.000769&amp;sourceID=14","0.000769")</f>
        <v>0.000769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HYPERLINK("http://141.218.60.56/~jnz1568/getInfo.php?workbook=20_05.xlsx&amp;sheet=U0&amp;row=1267&amp;col=6&amp;number=3.3&amp;sourceID=14","3.3")</f>
        <v>3.3</v>
      </c>
      <c r="G1267" s="4" t="str">
        <f>HYPERLINK("http://141.218.60.56/~jnz1568/getInfo.php?workbook=20_05.xlsx&amp;sheet=U0&amp;row=1267&amp;col=7&amp;number=0.000769&amp;sourceID=14","0.000769")</f>
        <v>0.000769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HYPERLINK("http://141.218.60.56/~jnz1568/getInfo.php?workbook=20_05.xlsx&amp;sheet=U0&amp;row=1268&amp;col=6&amp;number=3.4&amp;sourceID=14","3.4")</f>
        <v>3.4</v>
      </c>
      <c r="G1268" s="4" t="str">
        <f>HYPERLINK("http://141.218.60.56/~jnz1568/getInfo.php?workbook=20_05.xlsx&amp;sheet=U0&amp;row=1268&amp;col=7&amp;number=0.000769&amp;sourceID=14","0.000769")</f>
        <v>0.000769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HYPERLINK("http://141.218.60.56/~jnz1568/getInfo.php?workbook=20_05.xlsx&amp;sheet=U0&amp;row=1269&amp;col=6&amp;number=3.5&amp;sourceID=14","3.5")</f>
        <v>3.5</v>
      </c>
      <c r="G1269" s="4" t="str">
        <f>HYPERLINK("http://141.218.60.56/~jnz1568/getInfo.php?workbook=20_05.xlsx&amp;sheet=U0&amp;row=1269&amp;col=7&amp;number=0.000769&amp;sourceID=14","0.000769")</f>
        <v>0.000769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HYPERLINK("http://141.218.60.56/~jnz1568/getInfo.php?workbook=20_05.xlsx&amp;sheet=U0&amp;row=1270&amp;col=6&amp;number=3.6&amp;sourceID=14","3.6")</f>
        <v>3.6</v>
      </c>
      <c r="G1270" s="4" t="str">
        <f>HYPERLINK("http://141.218.60.56/~jnz1568/getInfo.php?workbook=20_05.xlsx&amp;sheet=U0&amp;row=1270&amp;col=7&amp;number=0.000768&amp;sourceID=14","0.000768")</f>
        <v>0.000768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HYPERLINK("http://141.218.60.56/~jnz1568/getInfo.php?workbook=20_05.xlsx&amp;sheet=U0&amp;row=1271&amp;col=6&amp;number=3.7&amp;sourceID=14","3.7")</f>
        <v>3.7</v>
      </c>
      <c r="G1271" s="4" t="str">
        <f>HYPERLINK("http://141.218.60.56/~jnz1568/getInfo.php?workbook=20_05.xlsx&amp;sheet=U0&amp;row=1271&amp;col=7&amp;number=0.000768&amp;sourceID=14","0.000768")</f>
        <v>0.000768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HYPERLINK("http://141.218.60.56/~jnz1568/getInfo.php?workbook=20_05.xlsx&amp;sheet=U0&amp;row=1272&amp;col=6&amp;number=3.8&amp;sourceID=14","3.8")</f>
        <v>3.8</v>
      </c>
      <c r="G1272" s="4" t="str">
        <f>HYPERLINK("http://141.218.60.56/~jnz1568/getInfo.php?workbook=20_05.xlsx&amp;sheet=U0&amp;row=1272&amp;col=7&amp;number=0.000768&amp;sourceID=14","0.000768")</f>
        <v>0.000768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HYPERLINK("http://141.218.60.56/~jnz1568/getInfo.php?workbook=20_05.xlsx&amp;sheet=U0&amp;row=1273&amp;col=6&amp;number=3.9&amp;sourceID=14","3.9")</f>
        <v>3.9</v>
      </c>
      <c r="G1273" s="4" t="str">
        <f>HYPERLINK("http://141.218.60.56/~jnz1568/getInfo.php?workbook=20_05.xlsx&amp;sheet=U0&amp;row=1273&amp;col=7&amp;number=0.000768&amp;sourceID=14","0.000768")</f>
        <v>0.000768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HYPERLINK("http://141.218.60.56/~jnz1568/getInfo.php?workbook=20_05.xlsx&amp;sheet=U0&amp;row=1274&amp;col=6&amp;number=4&amp;sourceID=14","4")</f>
        <v>4</v>
      </c>
      <c r="G1274" s="4" t="str">
        <f>HYPERLINK("http://141.218.60.56/~jnz1568/getInfo.php?workbook=20_05.xlsx&amp;sheet=U0&amp;row=1274&amp;col=7&amp;number=0.000768&amp;sourceID=14","0.000768")</f>
        <v>0.000768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HYPERLINK("http://141.218.60.56/~jnz1568/getInfo.php?workbook=20_05.xlsx&amp;sheet=U0&amp;row=1275&amp;col=6&amp;number=4.1&amp;sourceID=14","4.1")</f>
        <v>4.1</v>
      </c>
      <c r="G1275" s="4" t="str">
        <f>HYPERLINK("http://141.218.60.56/~jnz1568/getInfo.php?workbook=20_05.xlsx&amp;sheet=U0&amp;row=1275&amp;col=7&amp;number=0.000767&amp;sourceID=14","0.000767")</f>
        <v>0.000767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HYPERLINK("http://141.218.60.56/~jnz1568/getInfo.php?workbook=20_05.xlsx&amp;sheet=U0&amp;row=1276&amp;col=6&amp;number=4.2&amp;sourceID=14","4.2")</f>
        <v>4.2</v>
      </c>
      <c r="G1276" s="4" t="str">
        <f>HYPERLINK("http://141.218.60.56/~jnz1568/getInfo.php?workbook=20_05.xlsx&amp;sheet=U0&amp;row=1276&amp;col=7&amp;number=0.000767&amp;sourceID=14","0.000767")</f>
        <v>0.000767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HYPERLINK("http://141.218.60.56/~jnz1568/getInfo.php?workbook=20_05.xlsx&amp;sheet=U0&amp;row=1277&amp;col=6&amp;number=4.3&amp;sourceID=14","4.3")</f>
        <v>4.3</v>
      </c>
      <c r="G1277" s="4" t="str">
        <f>HYPERLINK("http://141.218.60.56/~jnz1568/getInfo.php?workbook=20_05.xlsx&amp;sheet=U0&amp;row=1277&amp;col=7&amp;number=0.000767&amp;sourceID=14","0.000767")</f>
        <v>0.000767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HYPERLINK("http://141.218.60.56/~jnz1568/getInfo.php?workbook=20_05.xlsx&amp;sheet=U0&amp;row=1278&amp;col=6&amp;number=4.4&amp;sourceID=14","4.4")</f>
        <v>4.4</v>
      </c>
      <c r="G1278" s="4" t="str">
        <f>HYPERLINK("http://141.218.60.56/~jnz1568/getInfo.php?workbook=20_05.xlsx&amp;sheet=U0&amp;row=1278&amp;col=7&amp;number=0.000766&amp;sourceID=14","0.000766")</f>
        <v>0.000766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HYPERLINK("http://141.218.60.56/~jnz1568/getInfo.php?workbook=20_05.xlsx&amp;sheet=U0&amp;row=1279&amp;col=6&amp;number=4.5&amp;sourceID=14","4.5")</f>
        <v>4.5</v>
      </c>
      <c r="G1279" s="4" t="str">
        <f>HYPERLINK("http://141.218.60.56/~jnz1568/getInfo.php?workbook=20_05.xlsx&amp;sheet=U0&amp;row=1279&amp;col=7&amp;number=0.000765&amp;sourceID=14","0.000765")</f>
        <v>0.000765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HYPERLINK("http://141.218.60.56/~jnz1568/getInfo.php?workbook=20_05.xlsx&amp;sheet=U0&amp;row=1280&amp;col=6&amp;number=4.6&amp;sourceID=14","4.6")</f>
        <v>4.6</v>
      </c>
      <c r="G1280" s="4" t="str">
        <f>HYPERLINK("http://141.218.60.56/~jnz1568/getInfo.php?workbook=20_05.xlsx&amp;sheet=U0&amp;row=1280&amp;col=7&amp;number=0.000764&amp;sourceID=14","0.000764")</f>
        <v>0.000764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HYPERLINK("http://141.218.60.56/~jnz1568/getInfo.php?workbook=20_05.xlsx&amp;sheet=U0&amp;row=1281&amp;col=6&amp;number=4.7&amp;sourceID=14","4.7")</f>
        <v>4.7</v>
      </c>
      <c r="G1281" s="4" t="str">
        <f>HYPERLINK("http://141.218.60.56/~jnz1568/getInfo.php?workbook=20_05.xlsx&amp;sheet=U0&amp;row=1281&amp;col=7&amp;number=0.000763&amp;sourceID=14","0.000763")</f>
        <v>0.000763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HYPERLINK("http://141.218.60.56/~jnz1568/getInfo.php?workbook=20_05.xlsx&amp;sheet=U0&amp;row=1282&amp;col=6&amp;number=4.8&amp;sourceID=14","4.8")</f>
        <v>4.8</v>
      </c>
      <c r="G1282" s="4" t="str">
        <f>HYPERLINK("http://141.218.60.56/~jnz1568/getInfo.php?workbook=20_05.xlsx&amp;sheet=U0&amp;row=1282&amp;col=7&amp;number=0.000761&amp;sourceID=14","0.000761")</f>
        <v>0.000761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HYPERLINK("http://141.218.60.56/~jnz1568/getInfo.php?workbook=20_05.xlsx&amp;sheet=U0&amp;row=1283&amp;col=6&amp;number=4.9&amp;sourceID=14","4.9")</f>
        <v>4.9</v>
      </c>
      <c r="G1283" s="4" t="str">
        <f>HYPERLINK("http://141.218.60.56/~jnz1568/getInfo.php?workbook=20_05.xlsx&amp;sheet=U0&amp;row=1283&amp;col=7&amp;number=0.000759&amp;sourceID=14","0.000759")</f>
        <v>0.000759</v>
      </c>
    </row>
    <row r="1284" spans="1:7">
      <c r="A1284" s="3">
        <v>20</v>
      </c>
      <c r="B1284" s="3">
        <v>5</v>
      </c>
      <c r="C1284" s="3">
        <v>1</v>
      </c>
      <c r="D1284" s="3">
        <v>20</v>
      </c>
      <c r="E1284" s="3">
        <v>1</v>
      </c>
      <c r="F1284" s="4" t="str">
        <f>HYPERLINK("http://141.218.60.56/~jnz1568/getInfo.php?workbook=20_05.xlsx&amp;sheet=U0&amp;row=1284&amp;col=6&amp;number=3&amp;sourceID=14","3")</f>
        <v>3</v>
      </c>
      <c r="G1284" s="4" t="str">
        <f>HYPERLINK("http://141.218.60.56/~jnz1568/getInfo.php?workbook=20_05.xlsx&amp;sheet=U0&amp;row=1284&amp;col=7&amp;number=0.00151&amp;sourceID=14","0.00151")</f>
        <v>0.00151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HYPERLINK("http://141.218.60.56/~jnz1568/getInfo.php?workbook=20_05.xlsx&amp;sheet=U0&amp;row=1285&amp;col=6&amp;number=3.1&amp;sourceID=14","3.1")</f>
        <v>3.1</v>
      </c>
      <c r="G1285" s="4" t="str">
        <f>HYPERLINK("http://141.218.60.56/~jnz1568/getInfo.php?workbook=20_05.xlsx&amp;sheet=U0&amp;row=1285&amp;col=7&amp;number=0.00151&amp;sourceID=14","0.00151")</f>
        <v>0.00151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HYPERLINK("http://141.218.60.56/~jnz1568/getInfo.php?workbook=20_05.xlsx&amp;sheet=U0&amp;row=1286&amp;col=6&amp;number=3.2&amp;sourceID=14","3.2")</f>
        <v>3.2</v>
      </c>
      <c r="G1286" s="4" t="str">
        <f>HYPERLINK("http://141.218.60.56/~jnz1568/getInfo.php?workbook=20_05.xlsx&amp;sheet=U0&amp;row=1286&amp;col=7&amp;number=0.00152&amp;sourceID=14","0.00152")</f>
        <v>0.00152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HYPERLINK("http://141.218.60.56/~jnz1568/getInfo.php?workbook=20_05.xlsx&amp;sheet=U0&amp;row=1287&amp;col=6&amp;number=3.3&amp;sourceID=14","3.3")</f>
        <v>3.3</v>
      </c>
      <c r="G1287" s="4" t="str">
        <f>HYPERLINK("http://141.218.60.56/~jnz1568/getInfo.php?workbook=20_05.xlsx&amp;sheet=U0&amp;row=1287&amp;col=7&amp;number=0.00152&amp;sourceID=14","0.00152")</f>
        <v>0.00152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HYPERLINK("http://141.218.60.56/~jnz1568/getInfo.php?workbook=20_05.xlsx&amp;sheet=U0&amp;row=1288&amp;col=6&amp;number=3.4&amp;sourceID=14","3.4")</f>
        <v>3.4</v>
      </c>
      <c r="G1288" s="4" t="str">
        <f>HYPERLINK("http://141.218.60.56/~jnz1568/getInfo.php?workbook=20_05.xlsx&amp;sheet=U0&amp;row=1288&amp;col=7&amp;number=0.00152&amp;sourceID=14","0.00152")</f>
        <v>0.00152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HYPERLINK("http://141.218.60.56/~jnz1568/getInfo.php?workbook=20_05.xlsx&amp;sheet=U0&amp;row=1289&amp;col=6&amp;number=3.5&amp;sourceID=14","3.5")</f>
        <v>3.5</v>
      </c>
      <c r="G1289" s="4" t="str">
        <f>HYPERLINK("http://141.218.60.56/~jnz1568/getInfo.php?workbook=20_05.xlsx&amp;sheet=U0&amp;row=1289&amp;col=7&amp;number=0.00152&amp;sourceID=14","0.00152")</f>
        <v>0.00152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HYPERLINK("http://141.218.60.56/~jnz1568/getInfo.php?workbook=20_05.xlsx&amp;sheet=U0&amp;row=1290&amp;col=6&amp;number=3.6&amp;sourceID=14","3.6")</f>
        <v>3.6</v>
      </c>
      <c r="G1290" s="4" t="str">
        <f>HYPERLINK("http://141.218.60.56/~jnz1568/getInfo.php?workbook=20_05.xlsx&amp;sheet=U0&amp;row=1290&amp;col=7&amp;number=0.00152&amp;sourceID=14","0.00152")</f>
        <v>0.00152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HYPERLINK("http://141.218.60.56/~jnz1568/getInfo.php?workbook=20_05.xlsx&amp;sheet=U0&amp;row=1291&amp;col=6&amp;number=3.7&amp;sourceID=14","3.7")</f>
        <v>3.7</v>
      </c>
      <c r="G1291" s="4" t="str">
        <f>HYPERLINK("http://141.218.60.56/~jnz1568/getInfo.php?workbook=20_05.xlsx&amp;sheet=U0&amp;row=1291&amp;col=7&amp;number=0.00152&amp;sourceID=14","0.00152")</f>
        <v>0.00152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HYPERLINK("http://141.218.60.56/~jnz1568/getInfo.php?workbook=20_05.xlsx&amp;sheet=U0&amp;row=1292&amp;col=6&amp;number=3.8&amp;sourceID=14","3.8")</f>
        <v>3.8</v>
      </c>
      <c r="G1292" s="4" t="str">
        <f>HYPERLINK("http://141.218.60.56/~jnz1568/getInfo.php?workbook=20_05.xlsx&amp;sheet=U0&amp;row=1292&amp;col=7&amp;number=0.00152&amp;sourceID=14","0.00152")</f>
        <v>0.00152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HYPERLINK("http://141.218.60.56/~jnz1568/getInfo.php?workbook=20_05.xlsx&amp;sheet=U0&amp;row=1293&amp;col=6&amp;number=3.9&amp;sourceID=14","3.9")</f>
        <v>3.9</v>
      </c>
      <c r="G1293" s="4" t="str">
        <f>HYPERLINK("http://141.218.60.56/~jnz1568/getInfo.php?workbook=20_05.xlsx&amp;sheet=U0&amp;row=1293&amp;col=7&amp;number=0.00152&amp;sourceID=14","0.00152")</f>
        <v>0.00152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HYPERLINK("http://141.218.60.56/~jnz1568/getInfo.php?workbook=20_05.xlsx&amp;sheet=U0&amp;row=1294&amp;col=6&amp;number=4&amp;sourceID=14","4")</f>
        <v>4</v>
      </c>
      <c r="G1294" s="4" t="str">
        <f>HYPERLINK("http://141.218.60.56/~jnz1568/getInfo.php?workbook=20_05.xlsx&amp;sheet=U0&amp;row=1294&amp;col=7&amp;number=0.00152&amp;sourceID=14","0.00152")</f>
        <v>0.00152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HYPERLINK("http://141.218.60.56/~jnz1568/getInfo.php?workbook=20_05.xlsx&amp;sheet=U0&amp;row=1295&amp;col=6&amp;number=4.1&amp;sourceID=14","4.1")</f>
        <v>4.1</v>
      </c>
      <c r="G1295" s="4" t="str">
        <f>HYPERLINK("http://141.218.60.56/~jnz1568/getInfo.php?workbook=20_05.xlsx&amp;sheet=U0&amp;row=1295&amp;col=7&amp;number=0.00152&amp;sourceID=14","0.00152")</f>
        <v>0.00152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HYPERLINK("http://141.218.60.56/~jnz1568/getInfo.php?workbook=20_05.xlsx&amp;sheet=U0&amp;row=1296&amp;col=6&amp;number=4.2&amp;sourceID=14","4.2")</f>
        <v>4.2</v>
      </c>
      <c r="G1296" s="4" t="str">
        <f>HYPERLINK("http://141.218.60.56/~jnz1568/getInfo.php?workbook=20_05.xlsx&amp;sheet=U0&amp;row=1296&amp;col=7&amp;number=0.00153&amp;sourceID=14","0.00153")</f>
        <v>0.00153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HYPERLINK("http://141.218.60.56/~jnz1568/getInfo.php?workbook=20_05.xlsx&amp;sheet=U0&amp;row=1297&amp;col=6&amp;number=4.3&amp;sourceID=14","4.3")</f>
        <v>4.3</v>
      </c>
      <c r="G1297" s="4" t="str">
        <f>HYPERLINK("http://141.218.60.56/~jnz1568/getInfo.php?workbook=20_05.xlsx&amp;sheet=U0&amp;row=1297&amp;col=7&amp;number=0.00153&amp;sourceID=14","0.00153")</f>
        <v>0.00153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HYPERLINK("http://141.218.60.56/~jnz1568/getInfo.php?workbook=20_05.xlsx&amp;sheet=U0&amp;row=1298&amp;col=6&amp;number=4.4&amp;sourceID=14","4.4")</f>
        <v>4.4</v>
      </c>
      <c r="G1298" s="4" t="str">
        <f>HYPERLINK("http://141.218.60.56/~jnz1568/getInfo.php?workbook=20_05.xlsx&amp;sheet=U0&amp;row=1298&amp;col=7&amp;number=0.00153&amp;sourceID=14","0.00153")</f>
        <v>0.00153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HYPERLINK("http://141.218.60.56/~jnz1568/getInfo.php?workbook=20_05.xlsx&amp;sheet=U0&amp;row=1299&amp;col=6&amp;number=4.5&amp;sourceID=14","4.5")</f>
        <v>4.5</v>
      </c>
      <c r="G1299" s="4" t="str">
        <f>HYPERLINK("http://141.218.60.56/~jnz1568/getInfo.php?workbook=20_05.xlsx&amp;sheet=U0&amp;row=1299&amp;col=7&amp;number=0.00154&amp;sourceID=14","0.00154")</f>
        <v>0.00154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HYPERLINK("http://141.218.60.56/~jnz1568/getInfo.php?workbook=20_05.xlsx&amp;sheet=U0&amp;row=1300&amp;col=6&amp;number=4.6&amp;sourceID=14","4.6")</f>
        <v>4.6</v>
      </c>
      <c r="G1300" s="4" t="str">
        <f>HYPERLINK("http://141.218.60.56/~jnz1568/getInfo.php?workbook=20_05.xlsx&amp;sheet=U0&amp;row=1300&amp;col=7&amp;number=0.00154&amp;sourceID=14","0.00154")</f>
        <v>0.00154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HYPERLINK("http://141.218.60.56/~jnz1568/getInfo.php?workbook=20_05.xlsx&amp;sheet=U0&amp;row=1301&amp;col=6&amp;number=4.7&amp;sourceID=14","4.7")</f>
        <v>4.7</v>
      </c>
      <c r="G1301" s="4" t="str">
        <f>HYPERLINK("http://141.218.60.56/~jnz1568/getInfo.php?workbook=20_05.xlsx&amp;sheet=U0&amp;row=1301&amp;col=7&amp;number=0.00155&amp;sourceID=14","0.00155")</f>
        <v>0.00155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HYPERLINK("http://141.218.60.56/~jnz1568/getInfo.php?workbook=20_05.xlsx&amp;sheet=U0&amp;row=1302&amp;col=6&amp;number=4.8&amp;sourceID=14","4.8")</f>
        <v>4.8</v>
      </c>
      <c r="G1302" s="4" t="str">
        <f>HYPERLINK("http://141.218.60.56/~jnz1568/getInfo.php?workbook=20_05.xlsx&amp;sheet=U0&amp;row=1302&amp;col=7&amp;number=0.00156&amp;sourceID=14","0.00156")</f>
        <v>0.00156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HYPERLINK("http://141.218.60.56/~jnz1568/getInfo.php?workbook=20_05.xlsx&amp;sheet=U0&amp;row=1303&amp;col=6&amp;number=4.9&amp;sourceID=14","4.9")</f>
        <v>4.9</v>
      </c>
      <c r="G1303" s="4" t="str">
        <f>HYPERLINK("http://141.218.60.56/~jnz1568/getInfo.php?workbook=20_05.xlsx&amp;sheet=U0&amp;row=1303&amp;col=7&amp;number=0.00157&amp;sourceID=14","0.00157")</f>
        <v>0.00157</v>
      </c>
    </row>
    <row r="1304" spans="1:7">
      <c r="A1304" s="3">
        <v>20</v>
      </c>
      <c r="B1304" s="3">
        <v>5</v>
      </c>
      <c r="C1304" s="3">
        <v>1</v>
      </c>
      <c r="D1304" s="3">
        <v>21</v>
      </c>
      <c r="E1304" s="3">
        <v>1</v>
      </c>
      <c r="F1304" s="4" t="str">
        <f>HYPERLINK("http://141.218.60.56/~jnz1568/getInfo.php?workbook=20_05.xlsx&amp;sheet=U0&amp;row=1304&amp;col=6&amp;number=3&amp;sourceID=14","3")</f>
        <v>3</v>
      </c>
      <c r="G1304" s="4" t="str">
        <f>HYPERLINK("http://141.218.60.56/~jnz1568/getInfo.php?workbook=20_05.xlsx&amp;sheet=U0&amp;row=1304&amp;col=7&amp;number=0.000843&amp;sourceID=14","0.000843")</f>
        <v>0.000843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HYPERLINK("http://141.218.60.56/~jnz1568/getInfo.php?workbook=20_05.xlsx&amp;sheet=U0&amp;row=1305&amp;col=6&amp;number=3.1&amp;sourceID=14","3.1")</f>
        <v>3.1</v>
      </c>
      <c r="G1305" s="4" t="str">
        <f>HYPERLINK("http://141.218.60.56/~jnz1568/getInfo.php?workbook=20_05.xlsx&amp;sheet=U0&amp;row=1305&amp;col=7&amp;number=0.000843&amp;sourceID=14","0.000843")</f>
        <v>0.000843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HYPERLINK("http://141.218.60.56/~jnz1568/getInfo.php?workbook=20_05.xlsx&amp;sheet=U0&amp;row=1306&amp;col=6&amp;number=3.2&amp;sourceID=14","3.2")</f>
        <v>3.2</v>
      </c>
      <c r="G1306" s="4" t="str">
        <f>HYPERLINK("http://141.218.60.56/~jnz1568/getInfo.php?workbook=20_05.xlsx&amp;sheet=U0&amp;row=1306&amp;col=7&amp;number=0.000843&amp;sourceID=14","0.000843")</f>
        <v>0.000843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HYPERLINK("http://141.218.60.56/~jnz1568/getInfo.php?workbook=20_05.xlsx&amp;sheet=U0&amp;row=1307&amp;col=6&amp;number=3.3&amp;sourceID=14","3.3")</f>
        <v>3.3</v>
      </c>
      <c r="G1307" s="4" t="str">
        <f>HYPERLINK("http://141.218.60.56/~jnz1568/getInfo.php?workbook=20_05.xlsx&amp;sheet=U0&amp;row=1307&amp;col=7&amp;number=0.000843&amp;sourceID=14","0.000843")</f>
        <v>0.000843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HYPERLINK("http://141.218.60.56/~jnz1568/getInfo.php?workbook=20_05.xlsx&amp;sheet=U0&amp;row=1308&amp;col=6&amp;number=3.4&amp;sourceID=14","3.4")</f>
        <v>3.4</v>
      </c>
      <c r="G1308" s="4" t="str">
        <f>HYPERLINK("http://141.218.60.56/~jnz1568/getInfo.php?workbook=20_05.xlsx&amp;sheet=U0&amp;row=1308&amp;col=7&amp;number=0.000843&amp;sourceID=14","0.000843")</f>
        <v>0.000843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HYPERLINK("http://141.218.60.56/~jnz1568/getInfo.php?workbook=20_05.xlsx&amp;sheet=U0&amp;row=1309&amp;col=6&amp;number=3.5&amp;sourceID=14","3.5")</f>
        <v>3.5</v>
      </c>
      <c r="G1309" s="4" t="str">
        <f>HYPERLINK("http://141.218.60.56/~jnz1568/getInfo.php?workbook=20_05.xlsx&amp;sheet=U0&amp;row=1309&amp;col=7&amp;number=0.000844&amp;sourceID=14","0.000844")</f>
        <v>0.000844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HYPERLINK("http://141.218.60.56/~jnz1568/getInfo.php?workbook=20_05.xlsx&amp;sheet=U0&amp;row=1310&amp;col=6&amp;number=3.6&amp;sourceID=14","3.6")</f>
        <v>3.6</v>
      </c>
      <c r="G1310" s="4" t="str">
        <f>HYPERLINK("http://141.218.60.56/~jnz1568/getInfo.php?workbook=20_05.xlsx&amp;sheet=U0&amp;row=1310&amp;col=7&amp;number=0.000844&amp;sourceID=14","0.000844")</f>
        <v>0.000844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HYPERLINK("http://141.218.60.56/~jnz1568/getInfo.php?workbook=20_05.xlsx&amp;sheet=U0&amp;row=1311&amp;col=6&amp;number=3.7&amp;sourceID=14","3.7")</f>
        <v>3.7</v>
      </c>
      <c r="G1311" s="4" t="str">
        <f>HYPERLINK("http://141.218.60.56/~jnz1568/getInfo.php?workbook=20_05.xlsx&amp;sheet=U0&amp;row=1311&amp;col=7&amp;number=0.000844&amp;sourceID=14","0.000844")</f>
        <v>0.000844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HYPERLINK("http://141.218.60.56/~jnz1568/getInfo.php?workbook=20_05.xlsx&amp;sheet=U0&amp;row=1312&amp;col=6&amp;number=3.8&amp;sourceID=14","3.8")</f>
        <v>3.8</v>
      </c>
      <c r="G1312" s="4" t="str">
        <f>HYPERLINK("http://141.218.60.56/~jnz1568/getInfo.php?workbook=20_05.xlsx&amp;sheet=U0&amp;row=1312&amp;col=7&amp;number=0.000845&amp;sourceID=14","0.000845")</f>
        <v>0.000845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HYPERLINK("http://141.218.60.56/~jnz1568/getInfo.php?workbook=20_05.xlsx&amp;sheet=U0&amp;row=1313&amp;col=6&amp;number=3.9&amp;sourceID=14","3.9")</f>
        <v>3.9</v>
      </c>
      <c r="G1313" s="4" t="str">
        <f>HYPERLINK("http://141.218.60.56/~jnz1568/getInfo.php?workbook=20_05.xlsx&amp;sheet=U0&amp;row=1313&amp;col=7&amp;number=0.000845&amp;sourceID=14","0.000845")</f>
        <v>0.000845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HYPERLINK("http://141.218.60.56/~jnz1568/getInfo.php?workbook=20_05.xlsx&amp;sheet=U0&amp;row=1314&amp;col=6&amp;number=4&amp;sourceID=14","4")</f>
        <v>4</v>
      </c>
      <c r="G1314" s="4" t="str">
        <f>HYPERLINK("http://141.218.60.56/~jnz1568/getInfo.php?workbook=20_05.xlsx&amp;sheet=U0&amp;row=1314&amp;col=7&amp;number=0.000846&amp;sourceID=14","0.000846")</f>
        <v>0.000846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HYPERLINK("http://141.218.60.56/~jnz1568/getInfo.php?workbook=20_05.xlsx&amp;sheet=U0&amp;row=1315&amp;col=6&amp;number=4.1&amp;sourceID=14","4.1")</f>
        <v>4.1</v>
      </c>
      <c r="G1315" s="4" t="str">
        <f>HYPERLINK("http://141.218.60.56/~jnz1568/getInfo.php?workbook=20_05.xlsx&amp;sheet=U0&amp;row=1315&amp;col=7&amp;number=0.000847&amp;sourceID=14","0.000847")</f>
        <v>0.000847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HYPERLINK("http://141.218.60.56/~jnz1568/getInfo.php?workbook=20_05.xlsx&amp;sheet=U0&amp;row=1316&amp;col=6&amp;number=4.2&amp;sourceID=14","4.2")</f>
        <v>4.2</v>
      </c>
      <c r="G1316" s="4" t="str">
        <f>HYPERLINK("http://141.218.60.56/~jnz1568/getInfo.php?workbook=20_05.xlsx&amp;sheet=U0&amp;row=1316&amp;col=7&amp;number=0.000848&amp;sourceID=14","0.000848")</f>
        <v>0.000848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HYPERLINK("http://141.218.60.56/~jnz1568/getInfo.php?workbook=20_05.xlsx&amp;sheet=U0&amp;row=1317&amp;col=6&amp;number=4.3&amp;sourceID=14","4.3")</f>
        <v>4.3</v>
      </c>
      <c r="G1317" s="4" t="str">
        <f>HYPERLINK("http://141.218.60.56/~jnz1568/getInfo.php?workbook=20_05.xlsx&amp;sheet=U0&amp;row=1317&amp;col=7&amp;number=0.000849&amp;sourceID=14","0.000849")</f>
        <v>0.000849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HYPERLINK("http://141.218.60.56/~jnz1568/getInfo.php?workbook=20_05.xlsx&amp;sheet=U0&amp;row=1318&amp;col=6&amp;number=4.4&amp;sourceID=14","4.4")</f>
        <v>4.4</v>
      </c>
      <c r="G1318" s="4" t="str">
        <f>HYPERLINK("http://141.218.60.56/~jnz1568/getInfo.php?workbook=20_05.xlsx&amp;sheet=U0&amp;row=1318&amp;col=7&amp;number=0.000851&amp;sourceID=14","0.000851")</f>
        <v>0.000851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HYPERLINK("http://141.218.60.56/~jnz1568/getInfo.php?workbook=20_05.xlsx&amp;sheet=U0&amp;row=1319&amp;col=6&amp;number=4.5&amp;sourceID=14","4.5")</f>
        <v>4.5</v>
      </c>
      <c r="G1319" s="4" t="str">
        <f>HYPERLINK("http://141.218.60.56/~jnz1568/getInfo.php?workbook=20_05.xlsx&amp;sheet=U0&amp;row=1319&amp;col=7&amp;number=0.000854&amp;sourceID=14","0.000854")</f>
        <v>0.000854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HYPERLINK("http://141.218.60.56/~jnz1568/getInfo.php?workbook=20_05.xlsx&amp;sheet=U0&amp;row=1320&amp;col=6&amp;number=4.6&amp;sourceID=14","4.6")</f>
        <v>4.6</v>
      </c>
      <c r="G1320" s="4" t="str">
        <f>HYPERLINK("http://141.218.60.56/~jnz1568/getInfo.php?workbook=20_05.xlsx&amp;sheet=U0&amp;row=1320&amp;col=7&amp;number=0.000857&amp;sourceID=14","0.000857")</f>
        <v>0.000857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HYPERLINK("http://141.218.60.56/~jnz1568/getInfo.php?workbook=20_05.xlsx&amp;sheet=U0&amp;row=1321&amp;col=6&amp;number=4.7&amp;sourceID=14","4.7")</f>
        <v>4.7</v>
      </c>
      <c r="G1321" s="4" t="str">
        <f>HYPERLINK("http://141.218.60.56/~jnz1568/getInfo.php?workbook=20_05.xlsx&amp;sheet=U0&amp;row=1321&amp;col=7&amp;number=0.00086&amp;sourceID=14","0.00086")</f>
        <v>0.00086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HYPERLINK("http://141.218.60.56/~jnz1568/getInfo.php?workbook=20_05.xlsx&amp;sheet=U0&amp;row=1322&amp;col=6&amp;number=4.8&amp;sourceID=14","4.8")</f>
        <v>4.8</v>
      </c>
      <c r="G1322" s="4" t="str">
        <f>HYPERLINK("http://141.218.60.56/~jnz1568/getInfo.php?workbook=20_05.xlsx&amp;sheet=U0&amp;row=1322&amp;col=7&amp;number=0.000865&amp;sourceID=14","0.000865")</f>
        <v>0.000865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HYPERLINK("http://141.218.60.56/~jnz1568/getInfo.php?workbook=20_05.xlsx&amp;sheet=U0&amp;row=1323&amp;col=6&amp;number=4.9&amp;sourceID=14","4.9")</f>
        <v>4.9</v>
      </c>
      <c r="G1323" s="4" t="str">
        <f>HYPERLINK("http://141.218.60.56/~jnz1568/getInfo.php?workbook=20_05.xlsx&amp;sheet=U0&amp;row=1323&amp;col=7&amp;number=0.00087&amp;sourceID=14","0.00087")</f>
        <v>0.00087</v>
      </c>
    </row>
    <row r="1324" spans="1:7">
      <c r="A1324" s="3">
        <v>20</v>
      </c>
      <c r="B1324" s="3">
        <v>5</v>
      </c>
      <c r="C1324" s="3">
        <v>1</v>
      </c>
      <c r="D1324" s="3">
        <v>22</v>
      </c>
      <c r="E1324" s="3">
        <v>1</v>
      </c>
      <c r="F1324" s="4" t="str">
        <f>HYPERLINK("http://141.218.60.56/~jnz1568/getInfo.php?workbook=20_05.xlsx&amp;sheet=U0&amp;row=1324&amp;col=6&amp;number=3&amp;sourceID=14","3")</f>
        <v>3</v>
      </c>
      <c r="G1324" s="4" t="str">
        <f>HYPERLINK("http://141.218.60.56/~jnz1568/getInfo.php?workbook=20_05.xlsx&amp;sheet=U0&amp;row=1324&amp;col=7&amp;number=0.000347&amp;sourceID=14","0.000347")</f>
        <v>0.000347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HYPERLINK("http://141.218.60.56/~jnz1568/getInfo.php?workbook=20_05.xlsx&amp;sheet=U0&amp;row=1325&amp;col=6&amp;number=3.1&amp;sourceID=14","3.1")</f>
        <v>3.1</v>
      </c>
      <c r="G1325" s="4" t="str">
        <f>HYPERLINK("http://141.218.60.56/~jnz1568/getInfo.php?workbook=20_05.xlsx&amp;sheet=U0&amp;row=1325&amp;col=7&amp;number=0.000347&amp;sourceID=14","0.000347")</f>
        <v>0.000347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HYPERLINK("http://141.218.60.56/~jnz1568/getInfo.php?workbook=20_05.xlsx&amp;sheet=U0&amp;row=1326&amp;col=6&amp;number=3.2&amp;sourceID=14","3.2")</f>
        <v>3.2</v>
      </c>
      <c r="G1326" s="4" t="str">
        <f>HYPERLINK("http://141.218.60.56/~jnz1568/getInfo.php?workbook=20_05.xlsx&amp;sheet=U0&amp;row=1326&amp;col=7&amp;number=0.000347&amp;sourceID=14","0.000347")</f>
        <v>0.000347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HYPERLINK("http://141.218.60.56/~jnz1568/getInfo.php?workbook=20_05.xlsx&amp;sheet=U0&amp;row=1327&amp;col=6&amp;number=3.3&amp;sourceID=14","3.3")</f>
        <v>3.3</v>
      </c>
      <c r="G1327" s="4" t="str">
        <f>HYPERLINK("http://141.218.60.56/~jnz1568/getInfo.php?workbook=20_05.xlsx&amp;sheet=U0&amp;row=1327&amp;col=7&amp;number=0.000347&amp;sourceID=14","0.000347")</f>
        <v>0.000347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HYPERLINK("http://141.218.60.56/~jnz1568/getInfo.php?workbook=20_05.xlsx&amp;sheet=U0&amp;row=1328&amp;col=6&amp;number=3.4&amp;sourceID=14","3.4")</f>
        <v>3.4</v>
      </c>
      <c r="G1328" s="4" t="str">
        <f>HYPERLINK("http://141.218.60.56/~jnz1568/getInfo.php?workbook=20_05.xlsx&amp;sheet=U0&amp;row=1328&amp;col=7&amp;number=0.000347&amp;sourceID=14","0.000347")</f>
        <v>0.000347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HYPERLINK("http://141.218.60.56/~jnz1568/getInfo.php?workbook=20_05.xlsx&amp;sheet=U0&amp;row=1329&amp;col=6&amp;number=3.5&amp;sourceID=14","3.5")</f>
        <v>3.5</v>
      </c>
      <c r="G1329" s="4" t="str">
        <f>HYPERLINK("http://141.218.60.56/~jnz1568/getInfo.php?workbook=20_05.xlsx&amp;sheet=U0&amp;row=1329&amp;col=7&amp;number=0.000347&amp;sourceID=14","0.000347")</f>
        <v>0.000347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HYPERLINK("http://141.218.60.56/~jnz1568/getInfo.php?workbook=20_05.xlsx&amp;sheet=U0&amp;row=1330&amp;col=6&amp;number=3.6&amp;sourceID=14","3.6")</f>
        <v>3.6</v>
      </c>
      <c r="G1330" s="4" t="str">
        <f>HYPERLINK("http://141.218.60.56/~jnz1568/getInfo.php?workbook=20_05.xlsx&amp;sheet=U0&amp;row=1330&amp;col=7&amp;number=0.000347&amp;sourceID=14","0.000347")</f>
        <v>0.000347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HYPERLINK("http://141.218.60.56/~jnz1568/getInfo.php?workbook=20_05.xlsx&amp;sheet=U0&amp;row=1331&amp;col=6&amp;number=3.7&amp;sourceID=14","3.7")</f>
        <v>3.7</v>
      </c>
      <c r="G1331" s="4" t="str">
        <f>HYPERLINK("http://141.218.60.56/~jnz1568/getInfo.php?workbook=20_05.xlsx&amp;sheet=U0&amp;row=1331&amp;col=7&amp;number=0.000347&amp;sourceID=14","0.000347")</f>
        <v>0.000347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HYPERLINK("http://141.218.60.56/~jnz1568/getInfo.php?workbook=20_05.xlsx&amp;sheet=U0&amp;row=1332&amp;col=6&amp;number=3.8&amp;sourceID=14","3.8")</f>
        <v>3.8</v>
      </c>
      <c r="G1332" s="4" t="str">
        <f>HYPERLINK("http://141.218.60.56/~jnz1568/getInfo.php?workbook=20_05.xlsx&amp;sheet=U0&amp;row=1332&amp;col=7&amp;number=0.000347&amp;sourceID=14","0.000347")</f>
        <v>0.000347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HYPERLINK("http://141.218.60.56/~jnz1568/getInfo.php?workbook=20_05.xlsx&amp;sheet=U0&amp;row=1333&amp;col=6&amp;number=3.9&amp;sourceID=14","3.9")</f>
        <v>3.9</v>
      </c>
      <c r="G1333" s="4" t="str">
        <f>HYPERLINK("http://141.218.60.56/~jnz1568/getInfo.php?workbook=20_05.xlsx&amp;sheet=U0&amp;row=1333&amp;col=7&amp;number=0.000347&amp;sourceID=14","0.000347")</f>
        <v>0.000347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HYPERLINK("http://141.218.60.56/~jnz1568/getInfo.php?workbook=20_05.xlsx&amp;sheet=U0&amp;row=1334&amp;col=6&amp;number=4&amp;sourceID=14","4")</f>
        <v>4</v>
      </c>
      <c r="G1334" s="4" t="str">
        <f>HYPERLINK("http://141.218.60.56/~jnz1568/getInfo.php?workbook=20_05.xlsx&amp;sheet=U0&amp;row=1334&amp;col=7&amp;number=0.000348&amp;sourceID=14","0.000348")</f>
        <v>0.000348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HYPERLINK("http://141.218.60.56/~jnz1568/getInfo.php?workbook=20_05.xlsx&amp;sheet=U0&amp;row=1335&amp;col=6&amp;number=4.1&amp;sourceID=14","4.1")</f>
        <v>4.1</v>
      </c>
      <c r="G1335" s="4" t="str">
        <f>HYPERLINK("http://141.218.60.56/~jnz1568/getInfo.php?workbook=20_05.xlsx&amp;sheet=U0&amp;row=1335&amp;col=7&amp;number=0.000348&amp;sourceID=14","0.000348")</f>
        <v>0.000348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HYPERLINK("http://141.218.60.56/~jnz1568/getInfo.php?workbook=20_05.xlsx&amp;sheet=U0&amp;row=1336&amp;col=6&amp;number=4.2&amp;sourceID=14","4.2")</f>
        <v>4.2</v>
      </c>
      <c r="G1336" s="4" t="str">
        <f>HYPERLINK("http://141.218.60.56/~jnz1568/getInfo.php?workbook=20_05.xlsx&amp;sheet=U0&amp;row=1336&amp;col=7&amp;number=0.000348&amp;sourceID=14","0.000348")</f>
        <v>0.000348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HYPERLINK("http://141.218.60.56/~jnz1568/getInfo.php?workbook=20_05.xlsx&amp;sheet=U0&amp;row=1337&amp;col=6&amp;number=4.3&amp;sourceID=14","4.3")</f>
        <v>4.3</v>
      </c>
      <c r="G1337" s="4" t="str">
        <f>HYPERLINK("http://141.218.60.56/~jnz1568/getInfo.php?workbook=20_05.xlsx&amp;sheet=U0&amp;row=1337&amp;col=7&amp;number=0.000348&amp;sourceID=14","0.000348")</f>
        <v>0.000348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HYPERLINK("http://141.218.60.56/~jnz1568/getInfo.php?workbook=20_05.xlsx&amp;sheet=U0&amp;row=1338&amp;col=6&amp;number=4.4&amp;sourceID=14","4.4")</f>
        <v>4.4</v>
      </c>
      <c r="G1338" s="4" t="str">
        <f>HYPERLINK("http://141.218.60.56/~jnz1568/getInfo.php?workbook=20_05.xlsx&amp;sheet=U0&amp;row=1338&amp;col=7&amp;number=0.000348&amp;sourceID=14","0.000348")</f>
        <v>0.000348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HYPERLINK("http://141.218.60.56/~jnz1568/getInfo.php?workbook=20_05.xlsx&amp;sheet=U0&amp;row=1339&amp;col=6&amp;number=4.5&amp;sourceID=14","4.5")</f>
        <v>4.5</v>
      </c>
      <c r="G1339" s="4" t="str">
        <f>HYPERLINK("http://141.218.60.56/~jnz1568/getInfo.php?workbook=20_05.xlsx&amp;sheet=U0&amp;row=1339&amp;col=7&amp;number=0.000348&amp;sourceID=14","0.000348")</f>
        <v>0.000348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HYPERLINK("http://141.218.60.56/~jnz1568/getInfo.php?workbook=20_05.xlsx&amp;sheet=U0&amp;row=1340&amp;col=6&amp;number=4.6&amp;sourceID=14","4.6")</f>
        <v>4.6</v>
      </c>
      <c r="G1340" s="4" t="str">
        <f>HYPERLINK("http://141.218.60.56/~jnz1568/getInfo.php?workbook=20_05.xlsx&amp;sheet=U0&amp;row=1340&amp;col=7&amp;number=0.000348&amp;sourceID=14","0.000348")</f>
        <v>0.000348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HYPERLINK("http://141.218.60.56/~jnz1568/getInfo.php?workbook=20_05.xlsx&amp;sheet=U0&amp;row=1341&amp;col=6&amp;number=4.7&amp;sourceID=14","4.7")</f>
        <v>4.7</v>
      </c>
      <c r="G1341" s="4" t="str">
        <f>HYPERLINK("http://141.218.60.56/~jnz1568/getInfo.php?workbook=20_05.xlsx&amp;sheet=U0&amp;row=1341&amp;col=7&amp;number=0.000349&amp;sourceID=14","0.000349")</f>
        <v>0.000349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HYPERLINK("http://141.218.60.56/~jnz1568/getInfo.php?workbook=20_05.xlsx&amp;sheet=U0&amp;row=1342&amp;col=6&amp;number=4.8&amp;sourceID=14","4.8")</f>
        <v>4.8</v>
      </c>
      <c r="G1342" s="4" t="str">
        <f>HYPERLINK("http://141.218.60.56/~jnz1568/getInfo.php?workbook=20_05.xlsx&amp;sheet=U0&amp;row=1342&amp;col=7&amp;number=0.000349&amp;sourceID=14","0.000349")</f>
        <v>0.000349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HYPERLINK("http://141.218.60.56/~jnz1568/getInfo.php?workbook=20_05.xlsx&amp;sheet=U0&amp;row=1343&amp;col=6&amp;number=4.9&amp;sourceID=14","4.9")</f>
        <v>4.9</v>
      </c>
      <c r="G1343" s="4" t="str">
        <f>HYPERLINK("http://141.218.60.56/~jnz1568/getInfo.php?workbook=20_05.xlsx&amp;sheet=U0&amp;row=1343&amp;col=7&amp;number=0.000349&amp;sourceID=14","0.000349")</f>
        <v>0.000349</v>
      </c>
    </row>
    <row r="1344" spans="1:7">
      <c r="A1344" s="3">
        <v>20</v>
      </c>
      <c r="B1344" s="3">
        <v>5</v>
      </c>
      <c r="C1344" s="3">
        <v>1</v>
      </c>
      <c r="D1344" s="3">
        <v>23</v>
      </c>
      <c r="E1344" s="3">
        <v>1</v>
      </c>
      <c r="F1344" s="4" t="str">
        <f>HYPERLINK("http://141.218.60.56/~jnz1568/getInfo.php?workbook=20_05.xlsx&amp;sheet=U0&amp;row=1344&amp;col=6&amp;number=3&amp;sourceID=14","3")</f>
        <v>3</v>
      </c>
      <c r="G1344" s="4" t="str">
        <f>HYPERLINK("http://141.218.60.56/~jnz1568/getInfo.php?workbook=20_05.xlsx&amp;sheet=U0&amp;row=1344&amp;col=7&amp;number=9.41e-05&amp;sourceID=14","9.41e-05")</f>
        <v>9.41e-05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HYPERLINK("http://141.218.60.56/~jnz1568/getInfo.php?workbook=20_05.xlsx&amp;sheet=U0&amp;row=1345&amp;col=6&amp;number=3.1&amp;sourceID=14","3.1")</f>
        <v>3.1</v>
      </c>
      <c r="G1345" s="4" t="str">
        <f>HYPERLINK("http://141.218.60.56/~jnz1568/getInfo.php?workbook=20_05.xlsx&amp;sheet=U0&amp;row=1345&amp;col=7&amp;number=9.41e-05&amp;sourceID=14","9.41e-05")</f>
        <v>9.41e-05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HYPERLINK("http://141.218.60.56/~jnz1568/getInfo.php?workbook=20_05.xlsx&amp;sheet=U0&amp;row=1346&amp;col=6&amp;number=3.2&amp;sourceID=14","3.2")</f>
        <v>3.2</v>
      </c>
      <c r="G1346" s="4" t="str">
        <f>HYPERLINK("http://141.218.60.56/~jnz1568/getInfo.php?workbook=20_05.xlsx&amp;sheet=U0&amp;row=1346&amp;col=7&amp;number=9.41e-05&amp;sourceID=14","9.41e-05")</f>
        <v>9.41e-05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HYPERLINK("http://141.218.60.56/~jnz1568/getInfo.php?workbook=20_05.xlsx&amp;sheet=U0&amp;row=1347&amp;col=6&amp;number=3.3&amp;sourceID=14","3.3")</f>
        <v>3.3</v>
      </c>
      <c r="G1347" s="4" t="str">
        <f>HYPERLINK("http://141.218.60.56/~jnz1568/getInfo.php?workbook=20_05.xlsx&amp;sheet=U0&amp;row=1347&amp;col=7&amp;number=9.41e-05&amp;sourceID=14","9.41e-05")</f>
        <v>9.41e-05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HYPERLINK("http://141.218.60.56/~jnz1568/getInfo.php?workbook=20_05.xlsx&amp;sheet=U0&amp;row=1348&amp;col=6&amp;number=3.4&amp;sourceID=14","3.4")</f>
        <v>3.4</v>
      </c>
      <c r="G1348" s="4" t="str">
        <f>HYPERLINK("http://141.218.60.56/~jnz1568/getInfo.php?workbook=20_05.xlsx&amp;sheet=U0&amp;row=1348&amp;col=7&amp;number=9.41e-05&amp;sourceID=14","9.41e-05")</f>
        <v>9.41e-05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HYPERLINK("http://141.218.60.56/~jnz1568/getInfo.php?workbook=20_05.xlsx&amp;sheet=U0&amp;row=1349&amp;col=6&amp;number=3.5&amp;sourceID=14","3.5")</f>
        <v>3.5</v>
      </c>
      <c r="G1349" s="4" t="str">
        <f>HYPERLINK("http://141.218.60.56/~jnz1568/getInfo.php?workbook=20_05.xlsx&amp;sheet=U0&amp;row=1349&amp;col=7&amp;number=9.41e-05&amp;sourceID=14","9.41e-05")</f>
        <v>9.41e-05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HYPERLINK("http://141.218.60.56/~jnz1568/getInfo.php?workbook=20_05.xlsx&amp;sheet=U0&amp;row=1350&amp;col=6&amp;number=3.6&amp;sourceID=14","3.6")</f>
        <v>3.6</v>
      </c>
      <c r="G1350" s="4" t="str">
        <f>HYPERLINK("http://141.218.60.56/~jnz1568/getInfo.php?workbook=20_05.xlsx&amp;sheet=U0&amp;row=1350&amp;col=7&amp;number=9.42e-05&amp;sourceID=14","9.42e-05")</f>
        <v>9.42e-05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HYPERLINK("http://141.218.60.56/~jnz1568/getInfo.php?workbook=20_05.xlsx&amp;sheet=U0&amp;row=1351&amp;col=6&amp;number=3.7&amp;sourceID=14","3.7")</f>
        <v>3.7</v>
      </c>
      <c r="G1351" s="4" t="str">
        <f>HYPERLINK("http://141.218.60.56/~jnz1568/getInfo.php?workbook=20_05.xlsx&amp;sheet=U0&amp;row=1351&amp;col=7&amp;number=9.42e-05&amp;sourceID=14","9.42e-05")</f>
        <v>9.42e-05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HYPERLINK("http://141.218.60.56/~jnz1568/getInfo.php?workbook=20_05.xlsx&amp;sheet=U0&amp;row=1352&amp;col=6&amp;number=3.8&amp;sourceID=14","3.8")</f>
        <v>3.8</v>
      </c>
      <c r="G1352" s="4" t="str">
        <f>HYPERLINK("http://141.218.60.56/~jnz1568/getInfo.php?workbook=20_05.xlsx&amp;sheet=U0&amp;row=1352&amp;col=7&amp;number=9.42e-05&amp;sourceID=14","9.42e-05")</f>
        <v>9.42e-05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HYPERLINK("http://141.218.60.56/~jnz1568/getInfo.php?workbook=20_05.xlsx&amp;sheet=U0&amp;row=1353&amp;col=6&amp;number=3.9&amp;sourceID=14","3.9")</f>
        <v>3.9</v>
      </c>
      <c r="G1353" s="4" t="str">
        <f>HYPERLINK("http://141.218.60.56/~jnz1568/getInfo.php?workbook=20_05.xlsx&amp;sheet=U0&amp;row=1353&amp;col=7&amp;number=9.42e-05&amp;sourceID=14","9.42e-05")</f>
        <v>9.42e-05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HYPERLINK("http://141.218.60.56/~jnz1568/getInfo.php?workbook=20_05.xlsx&amp;sheet=U0&amp;row=1354&amp;col=6&amp;number=4&amp;sourceID=14","4")</f>
        <v>4</v>
      </c>
      <c r="G1354" s="4" t="str">
        <f>HYPERLINK("http://141.218.60.56/~jnz1568/getInfo.php?workbook=20_05.xlsx&amp;sheet=U0&amp;row=1354&amp;col=7&amp;number=9.43e-05&amp;sourceID=14","9.43e-05")</f>
        <v>9.43e-05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HYPERLINK("http://141.218.60.56/~jnz1568/getInfo.php?workbook=20_05.xlsx&amp;sheet=U0&amp;row=1355&amp;col=6&amp;number=4.1&amp;sourceID=14","4.1")</f>
        <v>4.1</v>
      </c>
      <c r="G1355" s="4" t="str">
        <f>HYPERLINK("http://141.218.60.56/~jnz1568/getInfo.php?workbook=20_05.xlsx&amp;sheet=U0&amp;row=1355&amp;col=7&amp;number=9.43e-05&amp;sourceID=14","9.43e-05")</f>
        <v>9.43e-05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HYPERLINK("http://141.218.60.56/~jnz1568/getInfo.php?workbook=20_05.xlsx&amp;sheet=U0&amp;row=1356&amp;col=6&amp;number=4.2&amp;sourceID=14","4.2")</f>
        <v>4.2</v>
      </c>
      <c r="G1356" s="4" t="str">
        <f>HYPERLINK("http://141.218.60.56/~jnz1568/getInfo.php?workbook=20_05.xlsx&amp;sheet=U0&amp;row=1356&amp;col=7&amp;number=9.43e-05&amp;sourceID=14","9.43e-05")</f>
        <v>9.43e-05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HYPERLINK("http://141.218.60.56/~jnz1568/getInfo.php?workbook=20_05.xlsx&amp;sheet=U0&amp;row=1357&amp;col=6&amp;number=4.3&amp;sourceID=14","4.3")</f>
        <v>4.3</v>
      </c>
      <c r="G1357" s="4" t="str">
        <f>HYPERLINK("http://141.218.60.56/~jnz1568/getInfo.php?workbook=20_05.xlsx&amp;sheet=U0&amp;row=1357&amp;col=7&amp;number=9.44e-05&amp;sourceID=14","9.44e-05")</f>
        <v>9.44e-05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HYPERLINK("http://141.218.60.56/~jnz1568/getInfo.php?workbook=20_05.xlsx&amp;sheet=U0&amp;row=1358&amp;col=6&amp;number=4.4&amp;sourceID=14","4.4")</f>
        <v>4.4</v>
      </c>
      <c r="G1358" s="4" t="str">
        <f>HYPERLINK("http://141.218.60.56/~jnz1568/getInfo.php?workbook=20_05.xlsx&amp;sheet=U0&amp;row=1358&amp;col=7&amp;number=9.45e-05&amp;sourceID=14","9.45e-05")</f>
        <v>9.45e-05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HYPERLINK("http://141.218.60.56/~jnz1568/getInfo.php?workbook=20_05.xlsx&amp;sheet=U0&amp;row=1359&amp;col=6&amp;number=4.5&amp;sourceID=14","4.5")</f>
        <v>4.5</v>
      </c>
      <c r="G1359" s="4" t="str">
        <f>HYPERLINK("http://141.218.60.56/~jnz1568/getInfo.php?workbook=20_05.xlsx&amp;sheet=U0&amp;row=1359&amp;col=7&amp;number=9.46e-05&amp;sourceID=14","9.46e-05")</f>
        <v>9.46e-05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HYPERLINK("http://141.218.60.56/~jnz1568/getInfo.php?workbook=20_05.xlsx&amp;sheet=U0&amp;row=1360&amp;col=6&amp;number=4.6&amp;sourceID=14","4.6")</f>
        <v>4.6</v>
      </c>
      <c r="G1360" s="4" t="str">
        <f>HYPERLINK("http://141.218.60.56/~jnz1568/getInfo.php?workbook=20_05.xlsx&amp;sheet=U0&amp;row=1360&amp;col=7&amp;number=9.47e-05&amp;sourceID=14","9.47e-05")</f>
        <v>9.47e-05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HYPERLINK("http://141.218.60.56/~jnz1568/getInfo.php?workbook=20_05.xlsx&amp;sheet=U0&amp;row=1361&amp;col=6&amp;number=4.7&amp;sourceID=14","4.7")</f>
        <v>4.7</v>
      </c>
      <c r="G1361" s="4" t="str">
        <f>HYPERLINK("http://141.218.60.56/~jnz1568/getInfo.php?workbook=20_05.xlsx&amp;sheet=U0&amp;row=1361&amp;col=7&amp;number=9.49e-05&amp;sourceID=14","9.49e-05")</f>
        <v>9.49e-05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HYPERLINK("http://141.218.60.56/~jnz1568/getInfo.php?workbook=20_05.xlsx&amp;sheet=U0&amp;row=1362&amp;col=6&amp;number=4.8&amp;sourceID=14","4.8")</f>
        <v>4.8</v>
      </c>
      <c r="G1362" s="4" t="str">
        <f>HYPERLINK("http://141.218.60.56/~jnz1568/getInfo.php?workbook=20_05.xlsx&amp;sheet=U0&amp;row=1362&amp;col=7&amp;number=9.51e-05&amp;sourceID=14","9.51e-05")</f>
        <v>9.51e-05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HYPERLINK("http://141.218.60.56/~jnz1568/getInfo.php?workbook=20_05.xlsx&amp;sheet=U0&amp;row=1363&amp;col=6&amp;number=4.9&amp;sourceID=14","4.9")</f>
        <v>4.9</v>
      </c>
      <c r="G1363" s="4" t="str">
        <f>HYPERLINK("http://141.218.60.56/~jnz1568/getInfo.php?workbook=20_05.xlsx&amp;sheet=U0&amp;row=1363&amp;col=7&amp;number=9.53e-05&amp;sourceID=14","9.53e-05")</f>
        <v>9.53e-05</v>
      </c>
    </row>
    <row r="1364" spans="1:7">
      <c r="A1364" s="3">
        <v>20</v>
      </c>
      <c r="B1364" s="3">
        <v>5</v>
      </c>
      <c r="C1364" s="3">
        <v>1</v>
      </c>
      <c r="D1364" s="3">
        <v>24</v>
      </c>
      <c r="E1364" s="3">
        <v>1</v>
      </c>
      <c r="F1364" s="4" t="str">
        <f>HYPERLINK("http://141.218.60.56/~jnz1568/getInfo.php?workbook=20_05.xlsx&amp;sheet=U0&amp;row=1364&amp;col=6&amp;number=3&amp;sourceID=14","3")</f>
        <v>3</v>
      </c>
      <c r="G1364" s="4" t="str">
        <f>HYPERLINK("http://141.218.60.56/~jnz1568/getInfo.php?workbook=20_05.xlsx&amp;sheet=U0&amp;row=1364&amp;col=7&amp;number=0.000534&amp;sourceID=14","0.000534")</f>
        <v>0.000534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HYPERLINK("http://141.218.60.56/~jnz1568/getInfo.php?workbook=20_05.xlsx&amp;sheet=U0&amp;row=1365&amp;col=6&amp;number=3.1&amp;sourceID=14","3.1")</f>
        <v>3.1</v>
      </c>
      <c r="G1365" s="4" t="str">
        <f>HYPERLINK("http://141.218.60.56/~jnz1568/getInfo.php?workbook=20_05.xlsx&amp;sheet=U0&amp;row=1365&amp;col=7&amp;number=0.000534&amp;sourceID=14","0.000534")</f>
        <v>0.000534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HYPERLINK("http://141.218.60.56/~jnz1568/getInfo.php?workbook=20_05.xlsx&amp;sheet=U0&amp;row=1366&amp;col=6&amp;number=3.2&amp;sourceID=14","3.2")</f>
        <v>3.2</v>
      </c>
      <c r="G1366" s="4" t="str">
        <f>HYPERLINK("http://141.218.60.56/~jnz1568/getInfo.php?workbook=20_05.xlsx&amp;sheet=U0&amp;row=1366&amp;col=7&amp;number=0.000534&amp;sourceID=14","0.000534")</f>
        <v>0.000534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HYPERLINK("http://141.218.60.56/~jnz1568/getInfo.php?workbook=20_05.xlsx&amp;sheet=U0&amp;row=1367&amp;col=6&amp;number=3.3&amp;sourceID=14","3.3")</f>
        <v>3.3</v>
      </c>
      <c r="G1367" s="4" t="str">
        <f>HYPERLINK("http://141.218.60.56/~jnz1568/getInfo.php?workbook=20_05.xlsx&amp;sheet=U0&amp;row=1367&amp;col=7&amp;number=0.000534&amp;sourceID=14","0.000534")</f>
        <v>0.000534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HYPERLINK("http://141.218.60.56/~jnz1568/getInfo.php?workbook=20_05.xlsx&amp;sheet=U0&amp;row=1368&amp;col=6&amp;number=3.4&amp;sourceID=14","3.4")</f>
        <v>3.4</v>
      </c>
      <c r="G1368" s="4" t="str">
        <f>HYPERLINK("http://141.218.60.56/~jnz1568/getInfo.php?workbook=20_05.xlsx&amp;sheet=U0&amp;row=1368&amp;col=7&amp;number=0.000534&amp;sourceID=14","0.000534")</f>
        <v>0.000534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HYPERLINK("http://141.218.60.56/~jnz1568/getInfo.php?workbook=20_05.xlsx&amp;sheet=U0&amp;row=1369&amp;col=6&amp;number=3.5&amp;sourceID=14","3.5")</f>
        <v>3.5</v>
      </c>
      <c r="G1369" s="4" t="str">
        <f>HYPERLINK("http://141.218.60.56/~jnz1568/getInfo.php?workbook=20_05.xlsx&amp;sheet=U0&amp;row=1369&amp;col=7&amp;number=0.000535&amp;sourceID=14","0.000535")</f>
        <v>0.000535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HYPERLINK("http://141.218.60.56/~jnz1568/getInfo.php?workbook=20_05.xlsx&amp;sheet=U0&amp;row=1370&amp;col=6&amp;number=3.6&amp;sourceID=14","3.6")</f>
        <v>3.6</v>
      </c>
      <c r="G1370" s="4" t="str">
        <f>HYPERLINK("http://141.218.60.56/~jnz1568/getInfo.php?workbook=20_05.xlsx&amp;sheet=U0&amp;row=1370&amp;col=7&amp;number=0.000535&amp;sourceID=14","0.000535")</f>
        <v>0.000535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HYPERLINK("http://141.218.60.56/~jnz1568/getInfo.php?workbook=20_05.xlsx&amp;sheet=U0&amp;row=1371&amp;col=6&amp;number=3.7&amp;sourceID=14","3.7")</f>
        <v>3.7</v>
      </c>
      <c r="G1371" s="4" t="str">
        <f>HYPERLINK("http://141.218.60.56/~jnz1568/getInfo.php?workbook=20_05.xlsx&amp;sheet=U0&amp;row=1371&amp;col=7&amp;number=0.000535&amp;sourceID=14","0.000535")</f>
        <v>0.000535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HYPERLINK("http://141.218.60.56/~jnz1568/getInfo.php?workbook=20_05.xlsx&amp;sheet=U0&amp;row=1372&amp;col=6&amp;number=3.8&amp;sourceID=14","3.8")</f>
        <v>3.8</v>
      </c>
      <c r="G1372" s="4" t="str">
        <f>HYPERLINK("http://141.218.60.56/~jnz1568/getInfo.php?workbook=20_05.xlsx&amp;sheet=U0&amp;row=1372&amp;col=7&amp;number=0.000535&amp;sourceID=14","0.000535")</f>
        <v>0.000535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HYPERLINK("http://141.218.60.56/~jnz1568/getInfo.php?workbook=20_05.xlsx&amp;sheet=U0&amp;row=1373&amp;col=6&amp;number=3.9&amp;sourceID=14","3.9")</f>
        <v>3.9</v>
      </c>
      <c r="G1373" s="4" t="str">
        <f>HYPERLINK("http://141.218.60.56/~jnz1568/getInfo.php?workbook=20_05.xlsx&amp;sheet=U0&amp;row=1373&amp;col=7&amp;number=0.000535&amp;sourceID=14","0.000535")</f>
        <v>0.000535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HYPERLINK("http://141.218.60.56/~jnz1568/getInfo.php?workbook=20_05.xlsx&amp;sheet=U0&amp;row=1374&amp;col=6&amp;number=4&amp;sourceID=14","4")</f>
        <v>4</v>
      </c>
      <c r="G1374" s="4" t="str">
        <f>HYPERLINK("http://141.218.60.56/~jnz1568/getInfo.php?workbook=20_05.xlsx&amp;sheet=U0&amp;row=1374&amp;col=7&amp;number=0.000536&amp;sourceID=14","0.000536")</f>
        <v>0.000536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HYPERLINK("http://141.218.60.56/~jnz1568/getInfo.php?workbook=20_05.xlsx&amp;sheet=U0&amp;row=1375&amp;col=6&amp;number=4.1&amp;sourceID=14","4.1")</f>
        <v>4.1</v>
      </c>
      <c r="G1375" s="4" t="str">
        <f>HYPERLINK("http://141.218.60.56/~jnz1568/getInfo.php?workbook=20_05.xlsx&amp;sheet=U0&amp;row=1375&amp;col=7&amp;number=0.000536&amp;sourceID=14","0.000536")</f>
        <v>0.000536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HYPERLINK("http://141.218.60.56/~jnz1568/getInfo.php?workbook=20_05.xlsx&amp;sheet=U0&amp;row=1376&amp;col=6&amp;number=4.2&amp;sourceID=14","4.2")</f>
        <v>4.2</v>
      </c>
      <c r="G1376" s="4" t="str">
        <f>HYPERLINK("http://141.218.60.56/~jnz1568/getInfo.php?workbook=20_05.xlsx&amp;sheet=U0&amp;row=1376&amp;col=7&amp;number=0.000537&amp;sourceID=14","0.000537")</f>
        <v>0.000537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HYPERLINK("http://141.218.60.56/~jnz1568/getInfo.php?workbook=20_05.xlsx&amp;sheet=U0&amp;row=1377&amp;col=6&amp;number=4.3&amp;sourceID=14","4.3")</f>
        <v>4.3</v>
      </c>
      <c r="G1377" s="4" t="str">
        <f>HYPERLINK("http://141.218.60.56/~jnz1568/getInfo.php?workbook=20_05.xlsx&amp;sheet=U0&amp;row=1377&amp;col=7&amp;number=0.000538&amp;sourceID=14","0.000538")</f>
        <v>0.000538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HYPERLINK("http://141.218.60.56/~jnz1568/getInfo.php?workbook=20_05.xlsx&amp;sheet=U0&amp;row=1378&amp;col=6&amp;number=4.4&amp;sourceID=14","4.4")</f>
        <v>4.4</v>
      </c>
      <c r="G1378" s="4" t="str">
        <f>HYPERLINK("http://141.218.60.56/~jnz1568/getInfo.php?workbook=20_05.xlsx&amp;sheet=U0&amp;row=1378&amp;col=7&amp;number=0.000539&amp;sourceID=14","0.000539")</f>
        <v>0.000539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HYPERLINK("http://141.218.60.56/~jnz1568/getInfo.php?workbook=20_05.xlsx&amp;sheet=U0&amp;row=1379&amp;col=6&amp;number=4.5&amp;sourceID=14","4.5")</f>
        <v>4.5</v>
      </c>
      <c r="G1379" s="4" t="str">
        <f>HYPERLINK("http://141.218.60.56/~jnz1568/getInfo.php?workbook=20_05.xlsx&amp;sheet=U0&amp;row=1379&amp;col=7&amp;number=0.00054&amp;sourceID=14","0.00054")</f>
        <v>0.00054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HYPERLINK("http://141.218.60.56/~jnz1568/getInfo.php?workbook=20_05.xlsx&amp;sheet=U0&amp;row=1380&amp;col=6&amp;number=4.6&amp;sourceID=14","4.6")</f>
        <v>4.6</v>
      </c>
      <c r="G1380" s="4" t="str">
        <f>HYPERLINK("http://141.218.60.56/~jnz1568/getInfo.php?workbook=20_05.xlsx&amp;sheet=U0&amp;row=1380&amp;col=7&amp;number=0.000542&amp;sourceID=14","0.000542")</f>
        <v>0.000542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HYPERLINK("http://141.218.60.56/~jnz1568/getInfo.php?workbook=20_05.xlsx&amp;sheet=U0&amp;row=1381&amp;col=6&amp;number=4.7&amp;sourceID=14","4.7")</f>
        <v>4.7</v>
      </c>
      <c r="G1381" s="4" t="str">
        <f>HYPERLINK("http://141.218.60.56/~jnz1568/getInfo.php?workbook=20_05.xlsx&amp;sheet=U0&amp;row=1381&amp;col=7&amp;number=0.000544&amp;sourceID=14","0.000544")</f>
        <v>0.000544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HYPERLINK("http://141.218.60.56/~jnz1568/getInfo.php?workbook=20_05.xlsx&amp;sheet=U0&amp;row=1382&amp;col=6&amp;number=4.8&amp;sourceID=14","4.8")</f>
        <v>4.8</v>
      </c>
      <c r="G1382" s="4" t="str">
        <f>HYPERLINK("http://141.218.60.56/~jnz1568/getInfo.php?workbook=20_05.xlsx&amp;sheet=U0&amp;row=1382&amp;col=7&amp;number=0.000546&amp;sourceID=14","0.000546")</f>
        <v>0.000546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HYPERLINK("http://141.218.60.56/~jnz1568/getInfo.php?workbook=20_05.xlsx&amp;sheet=U0&amp;row=1383&amp;col=6&amp;number=4.9&amp;sourceID=14","4.9")</f>
        <v>4.9</v>
      </c>
      <c r="G1383" s="4" t="str">
        <f>HYPERLINK("http://141.218.60.56/~jnz1568/getInfo.php?workbook=20_05.xlsx&amp;sheet=U0&amp;row=1383&amp;col=7&amp;number=0.000549&amp;sourceID=14","0.000549")</f>
        <v>0.000549</v>
      </c>
    </row>
    <row r="1384" spans="1:7">
      <c r="A1384" s="3">
        <v>20</v>
      </c>
      <c r="B1384" s="3">
        <v>5</v>
      </c>
      <c r="C1384" s="3">
        <v>1</v>
      </c>
      <c r="D1384" s="3">
        <v>25</v>
      </c>
      <c r="E1384" s="3">
        <v>1</v>
      </c>
      <c r="F1384" s="4" t="str">
        <f>HYPERLINK("http://141.218.60.56/~jnz1568/getInfo.php?workbook=20_05.xlsx&amp;sheet=U0&amp;row=1384&amp;col=6&amp;number=3&amp;sourceID=14","3")</f>
        <v>3</v>
      </c>
      <c r="G1384" s="4" t="str">
        <f>HYPERLINK("http://141.218.60.56/~jnz1568/getInfo.php?workbook=20_05.xlsx&amp;sheet=U0&amp;row=1384&amp;col=7&amp;number=8.45e-05&amp;sourceID=14","8.45e-05")</f>
        <v>8.45e-05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HYPERLINK("http://141.218.60.56/~jnz1568/getInfo.php?workbook=20_05.xlsx&amp;sheet=U0&amp;row=1385&amp;col=6&amp;number=3.1&amp;sourceID=14","3.1")</f>
        <v>3.1</v>
      </c>
      <c r="G1385" s="4" t="str">
        <f>HYPERLINK("http://141.218.60.56/~jnz1568/getInfo.php?workbook=20_05.xlsx&amp;sheet=U0&amp;row=1385&amp;col=7&amp;number=8.45e-05&amp;sourceID=14","8.45e-05")</f>
        <v>8.45e-05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HYPERLINK("http://141.218.60.56/~jnz1568/getInfo.php?workbook=20_05.xlsx&amp;sheet=U0&amp;row=1386&amp;col=6&amp;number=3.2&amp;sourceID=14","3.2")</f>
        <v>3.2</v>
      </c>
      <c r="G1386" s="4" t="str">
        <f>HYPERLINK("http://141.218.60.56/~jnz1568/getInfo.php?workbook=20_05.xlsx&amp;sheet=U0&amp;row=1386&amp;col=7&amp;number=8.45e-05&amp;sourceID=14","8.45e-05")</f>
        <v>8.45e-05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HYPERLINK("http://141.218.60.56/~jnz1568/getInfo.php?workbook=20_05.xlsx&amp;sheet=U0&amp;row=1387&amp;col=6&amp;number=3.3&amp;sourceID=14","3.3")</f>
        <v>3.3</v>
      </c>
      <c r="G1387" s="4" t="str">
        <f>HYPERLINK("http://141.218.60.56/~jnz1568/getInfo.php?workbook=20_05.xlsx&amp;sheet=U0&amp;row=1387&amp;col=7&amp;number=8.45e-05&amp;sourceID=14","8.45e-05")</f>
        <v>8.45e-05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HYPERLINK("http://141.218.60.56/~jnz1568/getInfo.php?workbook=20_05.xlsx&amp;sheet=U0&amp;row=1388&amp;col=6&amp;number=3.4&amp;sourceID=14","3.4")</f>
        <v>3.4</v>
      </c>
      <c r="G1388" s="4" t="str">
        <f>HYPERLINK("http://141.218.60.56/~jnz1568/getInfo.php?workbook=20_05.xlsx&amp;sheet=U0&amp;row=1388&amp;col=7&amp;number=8.45e-05&amp;sourceID=14","8.45e-05")</f>
        <v>8.45e-05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HYPERLINK("http://141.218.60.56/~jnz1568/getInfo.php?workbook=20_05.xlsx&amp;sheet=U0&amp;row=1389&amp;col=6&amp;number=3.5&amp;sourceID=14","3.5")</f>
        <v>3.5</v>
      </c>
      <c r="G1389" s="4" t="str">
        <f>HYPERLINK("http://141.218.60.56/~jnz1568/getInfo.php?workbook=20_05.xlsx&amp;sheet=U0&amp;row=1389&amp;col=7&amp;number=8.45e-05&amp;sourceID=14","8.45e-05")</f>
        <v>8.45e-05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HYPERLINK("http://141.218.60.56/~jnz1568/getInfo.php?workbook=20_05.xlsx&amp;sheet=U0&amp;row=1390&amp;col=6&amp;number=3.6&amp;sourceID=14","3.6")</f>
        <v>3.6</v>
      </c>
      <c r="G1390" s="4" t="str">
        <f>HYPERLINK("http://141.218.60.56/~jnz1568/getInfo.php?workbook=20_05.xlsx&amp;sheet=U0&amp;row=1390&amp;col=7&amp;number=8.45e-05&amp;sourceID=14","8.45e-05")</f>
        <v>8.45e-05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HYPERLINK("http://141.218.60.56/~jnz1568/getInfo.php?workbook=20_05.xlsx&amp;sheet=U0&amp;row=1391&amp;col=6&amp;number=3.7&amp;sourceID=14","3.7")</f>
        <v>3.7</v>
      </c>
      <c r="G1391" s="4" t="str">
        <f>HYPERLINK("http://141.218.60.56/~jnz1568/getInfo.php?workbook=20_05.xlsx&amp;sheet=U0&amp;row=1391&amp;col=7&amp;number=8.45e-05&amp;sourceID=14","8.45e-05")</f>
        <v>8.45e-05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HYPERLINK("http://141.218.60.56/~jnz1568/getInfo.php?workbook=20_05.xlsx&amp;sheet=U0&amp;row=1392&amp;col=6&amp;number=3.8&amp;sourceID=14","3.8")</f>
        <v>3.8</v>
      </c>
      <c r="G1392" s="4" t="str">
        <f>HYPERLINK("http://141.218.60.56/~jnz1568/getInfo.php?workbook=20_05.xlsx&amp;sheet=U0&amp;row=1392&amp;col=7&amp;number=8.45e-05&amp;sourceID=14","8.45e-05")</f>
        <v>8.45e-05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HYPERLINK("http://141.218.60.56/~jnz1568/getInfo.php?workbook=20_05.xlsx&amp;sheet=U0&amp;row=1393&amp;col=6&amp;number=3.9&amp;sourceID=14","3.9")</f>
        <v>3.9</v>
      </c>
      <c r="G1393" s="4" t="str">
        <f>HYPERLINK("http://141.218.60.56/~jnz1568/getInfo.php?workbook=20_05.xlsx&amp;sheet=U0&amp;row=1393&amp;col=7&amp;number=8.45e-05&amp;sourceID=14","8.45e-05")</f>
        <v>8.45e-05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HYPERLINK("http://141.218.60.56/~jnz1568/getInfo.php?workbook=20_05.xlsx&amp;sheet=U0&amp;row=1394&amp;col=6&amp;number=4&amp;sourceID=14","4")</f>
        <v>4</v>
      </c>
      <c r="G1394" s="4" t="str">
        <f>HYPERLINK("http://141.218.60.56/~jnz1568/getInfo.php?workbook=20_05.xlsx&amp;sheet=U0&amp;row=1394&amp;col=7&amp;number=8.45e-05&amp;sourceID=14","8.45e-05")</f>
        <v>8.45e-05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HYPERLINK("http://141.218.60.56/~jnz1568/getInfo.php?workbook=20_05.xlsx&amp;sheet=U0&amp;row=1395&amp;col=6&amp;number=4.1&amp;sourceID=14","4.1")</f>
        <v>4.1</v>
      </c>
      <c r="G1395" s="4" t="str">
        <f>HYPERLINK("http://141.218.60.56/~jnz1568/getInfo.php?workbook=20_05.xlsx&amp;sheet=U0&amp;row=1395&amp;col=7&amp;number=8.45e-05&amp;sourceID=14","8.45e-05")</f>
        <v>8.45e-05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HYPERLINK("http://141.218.60.56/~jnz1568/getInfo.php?workbook=20_05.xlsx&amp;sheet=U0&amp;row=1396&amp;col=6&amp;number=4.2&amp;sourceID=14","4.2")</f>
        <v>4.2</v>
      </c>
      <c r="G1396" s="4" t="str">
        <f>HYPERLINK("http://141.218.60.56/~jnz1568/getInfo.php?workbook=20_05.xlsx&amp;sheet=U0&amp;row=1396&amp;col=7&amp;number=8.44e-05&amp;sourceID=14","8.44e-05")</f>
        <v>8.44e-05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HYPERLINK("http://141.218.60.56/~jnz1568/getInfo.php?workbook=20_05.xlsx&amp;sheet=U0&amp;row=1397&amp;col=6&amp;number=4.3&amp;sourceID=14","4.3")</f>
        <v>4.3</v>
      </c>
      <c r="G1397" s="4" t="str">
        <f>HYPERLINK("http://141.218.60.56/~jnz1568/getInfo.php?workbook=20_05.xlsx&amp;sheet=U0&amp;row=1397&amp;col=7&amp;number=8.44e-05&amp;sourceID=14","8.44e-05")</f>
        <v>8.44e-05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HYPERLINK("http://141.218.60.56/~jnz1568/getInfo.php?workbook=20_05.xlsx&amp;sheet=U0&amp;row=1398&amp;col=6&amp;number=4.4&amp;sourceID=14","4.4")</f>
        <v>4.4</v>
      </c>
      <c r="G1398" s="4" t="str">
        <f>HYPERLINK("http://141.218.60.56/~jnz1568/getInfo.php?workbook=20_05.xlsx&amp;sheet=U0&amp;row=1398&amp;col=7&amp;number=8.44e-05&amp;sourceID=14","8.44e-05")</f>
        <v>8.44e-05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HYPERLINK("http://141.218.60.56/~jnz1568/getInfo.php?workbook=20_05.xlsx&amp;sheet=U0&amp;row=1399&amp;col=6&amp;number=4.5&amp;sourceID=14","4.5")</f>
        <v>4.5</v>
      </c>
      <c r="G1399" s="4" t="str">
        <f>HYPERLINK("http://141.218.60.56/~jnz1568/getInfo.php?workbook=20_05.xlsx&amp;sheet=U0&amp;row=1399&amp;col=7&amp;number=8.43e-05&amp;sourceID=14","8.43e-05")</f>
        <v>8.43e-05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HYPERLINK("http://141.218.60.56/~jnz1568/getInfo.php?workbook=20_05.xlsx&amp;sheet=U0&amp;row=1400&amp;col=6&amp;number=4.6&amp;sourceID=14","4.6")</f>
        <v>4.6</v>
      </c>
      <c r="G1400" s="4" t="str">
        <f>HYPERLINK("http://141.218.60.56/~jnz1568/getInfo.php?workbook=20_05.xlsx&amp;sheet=U0&amp;row=1400&amp;col=7&amp;number=8.42e-05&amp;sourceID=14","8.42e-05")</f>
        <v>8.42e-05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HYPERLINK("http://141.218.60.56/~jnz1568/getInfo.php?workbook=20_05.xlsx&amp;sheet=U0&amp;row=1401&amp;col=6&amp;number=4.7&amp;sourceID=14","4.7")</f>
        <v>4.7</v>
      </c>
      <c r="G1401" s="4" t="str">
        <f>HYPERLINK("http://141.218.60.56/~jnz1568/getInfo.php?workbook=20_05.xlsx&amp;sheet=U0&amp;row=1401&amp;col=7&amp;number=8.42e-05&amp;sourceID=14","8.42e-05")</f>
        <v>8.42e-05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HYPERLINK("http://141.218.60.56/~jnz1568/getInfo.php?workbook=20_05.xlsx&amp;sheet=U0&amp;row=1402&amp;col=6&amp;number=4.8&amp;sourceID=14","4.8")</f>
        <v>4.8</v>
      </c>
      <c r="G1402" s="4" t="str">
        <f>HYPERLINK("http://141.218.60.56/~jnz1568/getInfo.php?workbook=20_05.xlsx&amp;sheet=U0&amp;row=1402&amp;col=7&amp;number=8.4e-05&amp;sourceID=14","8.4e-05")</f>
        <v>8.4e-05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HYPERLINK("http://141.218.60.56/~jnz1568/getInfo.php?workbook=20_05.xlsx&amp;sheet=U0&amp;row=1403&amp;col=6&amp;number=4.9&amp;sourceID=14","4.9")</f>
        <v>4.9</v>
      </c>
      <c r="G1403" s="4" t="str">
        <f>HYPERLINK("http://141.218.60.56/~jnz1568/getInfo.php?workbook=20_05.xlsx&amp;sheet=U0&amp;row=1403&amp;col=7&amp;number=8.39e-05&amp;sourceID=14","8.39e-05")</f>
        <v>8.39e-05</v>
      </c>
    </row>
    <row r="1404" spans="1:7">
      <c r="A1404" s="3">
        <v>20</v>
      </c>
      <c r="B1404" s="3">
        <v>5</v>
      </c>
      <c r="C1404" s="3">
        <v>1</v>
      </c>
      <c r="D1404" s="3">
        <v>26</v>
      </c>
      <c r="E1404" s="3">
        <v>1</v>
      </c>
      <c r="F1404" s="4" t="str">
        <f>HYPERLINK("http://141.218.60.56/~jnz1568/getInfo.php?workbook=20_05.xlsx&amp;sheet=U0&amp;row=1404&amp;col=6&amp;number=3&amp;sourceID=14","3")</f>
        <v>3</v>
      </c>
      <c r="G1404" s="4" t="str">
        <f>HYPERLINK("http://141.218.60.56/~jnz1568/getInfo.php?workbook=20_05.xlsx&amp;sheet=U0&amp;row=1404&amp;col=7&amp;number=0.000235&amp;sourceID=14","0.000235")</f>
        <v>0.000235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HYPERLINK("http://141.218.60.56/~jnz1568/getInfo.php?workbook=20_05.xlsx&amp;sheet=U0&amp;row=1405&amp;col=6&amp;number=3.1&amp;sourceID=14","3.1")</f>
        <v>3.1</v>
      </c>
      <c r="G1405" s="4" t="str">
        <f>HYPERLINK("http://141.218.60.56/~jnz1568/getInfo.php?workbook=20_05.xlsx&amp;sheet=U0&amp;row=1405&amp;col=7&amp;number=0.000235&amp;sourceID=14","0.000235")</f>
        <v>0.000235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HYPERLINK("http://141.218.60.56/~jnz1568/getInfo.php?workbook=20_05.xlsx&amp;sheet=U0&amp;row=1406&amp;col=6&amp;number=3.2&amp;sourceID=14","3.2")</f>
        <v>3.2</v>
      </c>
      <c r="G1406" s="4" t="str">
        <f>HYPERLINK("http://141.218.60.56/~jnz1568/getInfo.php?workbook=20_05.xlsx&amp;sheet=U0&amp;row=1406&amp;col=7&amp;number=0.000235&amp;sourceID=14","0.000235")</f>
        <v>0.000235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HYPERLINK("http://141.218.60.56/~jnz1568/getInfo.php?workbook=20_05.xlsx&amp;sheet=U0&amp;row=1407&amp;col=6&amp;number=3.3&amp;sourceID=14","3.3")</f>
        <v>3.3</v>
      </c>
      <c r="G1407" s="4" t="str">
        <f>HYPERLINK("http://141.218.60.56/~jnz1568/getInfo.php?workbook=20_05.xlsx&amp;sheet=U0&amp;row=1407&amp;col=7&amp;number=0.000235&amp;sourceID=14","0.000235")</f>
        <v>0.000235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HYPERLINK("http://141.218.60.56/~jnz1568/getInfo.php?workbook=20_05.xlsx&amp;sheet=U0&amp;row=1408&amp;col=6&amp;number=3.4&amp;sourceID=14","3.4")</f>
        <v>3.4</v>
      </c>
      <c r="G1408" s="4" t="str">
        <f>HYPERLINK("http://141.218.60.56/~jnz1568/getInfo.php?workbook=20_05.xlsx&amp;sheet=U0&amp;row=1408&amp;col=7&amp;number=0.000235&amp;sourceID=14","0.000235")</f>
        <v>0.000235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HYPERLINK("http://141.218.60.56/~jnz1568/getInfo.php?workbook=20_05.xlsx&amp;sheet=U0&amp;row=1409&amp;col=6&amp;number=3.5&amp;sourceID=14","3.5")</f>
        <v>3.5</v>
      </c>
      <c r="G1409" s="4" t="str">
        <f>HYPERLINK("http://141.218.60.56/~jnz1568/getInfo.php?workbook=20_05.xlsx&amp;sheet=U0&amp;row=1409&amp;col=7&amp;number=0.000235&amp;sourceID=14","0.000235")</f>
        <v>0.000235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HYPERLINK("http://141.218.60.56/~jnz1568/getInfo.php?workbook=20_05.xlsx&amp;sheet=U0&amp;row=1410&amp;col=6&amp;number=3.6&amp;sourceID=14","3.6")</f>
        <v>3.6</v>
      </c>
      <c r="G1410" s="4" t="str">
        <f>HYPERLINK("http://141.218.60.56/~jnz1568/getInfo.php?workbook=20_05.xlsx&amp;sheet=U0&amp;row=1410&amp;col=7&amp;number=0.000235&amp;sourceID=14","0.000235")</f>
        <v>0.000235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HYPERLINK("http://141.218.60.56/~jnz1568/getInfo.php?workbook=20_05.xlsx&amp;sheet=U0&amp;row=1411&amp;col=6&amp;number=3.7&amp;sourceID=14","3.7")</f>
        <v>3.7</v>
      </c>
      <c r="G1411" s="4" t="str">
        <f>HYPERLINK("http://141.218.60.56/~jnz1568/getInfo.php?workbook=20_05.xlsx&amp;sheet=U0&amp;row=1411&amp;col=7&amp;number=0.000235&amp;sourceID=14","0.000235")</f>
        <v>0.000235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HYPERLINK("http://141.218.60.56/~jnz1568/getInfo.php?workbook=20_05.xlsx&amp;sheet=U0&amp;row=1412&amp;col=6&amp;number=3.8&amp;sourceID=14","3.8")</f>
        <v>3.8</v>
      </c>
      <c r="G1412" s="4" t="str">
        <f>HYPERLINK("http://141.218.60.56/~jnz1568/getInfo.php?workbook=20_05.xlsx&amp;sheet=U0&amp;row=1412&amp;col=7&amp;number=0.000235&amp;sourceID=14","0.000235")</f>
        <v>0.000235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HYPERLINK("http://141.218.60.56/~jnz1568/getInfo.php?workbook=20_05.xlsx&amp;sheet=U0&amp;row=1413&amp;col=6&amp;number=3.9&amp;sourceID=14","3.9")</f>
        <v>3.9</v>
      </c>
      <c r="G1413" s="4" t="str">
        <f>HYPERLINK("http://141.218.60.56/~jnz1568/getInfo.php?workbook=20_05.xlsx&amp;sheet=U0&amp;row=1413&amp;col=7&amp;number=0.000235&amp;sourceID=14","0.000235")</f>
        <v>0.000235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HYPERLINK("http://141.218.60.56/~jnz1568/getInfo.php?workbook=20_05.xlsx&amp;sheet=U0&amp;row=1414&amp;col=6&amp;number=4&amp;sourceID=14","4")</f>
        <v>4</v>
      </c>
      <c r="G1414" s="4" t="str">
        <f>HYPERLINK("http://141.218.60.56/~jnz1568/getInfo.php?workbook=20_05.xlsx&amp;sheet=U0&amp;row=1414&amp;col=7&amp;number=0.000235&amp;sourceID=14","0.000235")</f>
        <v>0.000235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HYPERLINK("http://141.218.60.56/~jnz1568/getInfo.php?workbook=20_05.xlsx&amp;sheet=U0&amp;row=1415&amp;col=6&amp;number=4.1&amp;sourceID=14","4.1")</f>
        <v>4.1</v>
      </c>
      <c r="G1415" s="4" t="str">
        <f>HYPERLINK("http://141.218.60.56/~jnz1568/getInfo.php?workbook=20_05.xlsx&amp;sheet=U0&amp;row=1415&amp;col=7&amp;number=0.000235&amp;sourceID=14","0.000235")</f>
        <v>0.000235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HYPERLINK("http://141.218.60.56/~jnz1568/getInfo.php?workbook=20_05.xlsx&amp;sheet=U0&amp;row=1416&amp;col=6&amp;number=4.2&amp;sourceID=14","4.2")</f>
        <v>4.2</v>
      </c>
      <c r="G1416" s="4" t="str">
        <f>HYPERLINK("http://141.218.60.56/~jnz1568/getInfo.php?workbook=20_05.xlsx&amp;sheet=U0&amp;row=1416&amp;col=7&amp;number=0.000236&amp;sourceID=14","0.000236")</f>
        <v>0.000236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HYPERLINK("http://141.218.60.56/~jnz1568/getInfo.php?workbook=20_05.xlsx&amp;sheet=U0&amp;row=1417&amp;col=6&amp;number=4.3&amp;sourceID=14","4.3")</f>
        <v>4.3</v>
      </c>
      <c r="G1417" s="4" t="str">
        <f>HYPERLINK("http://141.218.60.56/~jnz1568/getInfo.php?workbook=20_05.xlsx&amp;sheet=U0&amp;row=1417&amp;col=7&amp;number=0.000236&amp;sourceID=14","0.000236")</f>
        <v>0.000236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HYPERLINK("http://141.218.60.56/~jnz1568/getInfo.php?workbook=20_05.xlsx&amp;sheet=U0&amp;row=1418&amp;col=6&amp;number=4.4&amp;sourceID=14","4.4")</f>
        <v>4.4</v>
      </c>
      <c r="G1418" s="4" t="str">
        <f>HYPERLINK("http://141.218.60.56/~jnz1568/getInfo.php?workbook=20_05.xlsx&amp;sheet=U0&amp;row=1418&amp;col=7&amp;number=0.000236&amp;sourceID=14","0.000236")</f>
        <v>0.000236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HYPERLINK("http://141.218.60.56/~jnz1568/getInfo.php?workbook=20_05.xlsx&amp;sheet=U0&amp;row=1419&amp;col=6&amp;number=4.5&amp;sourceID=14","4.5")</f>
        <v>4.5</v>
      </c>
      <c r="G1419" s="4" t="str">
        <f>HYPERLINK("http://141.218.60.56/~jnz1568/getInfo.php?workbook=20_05.xlsx&amp;sheet=U0&amp;row=1419&amp;col=7&amp;number=0.000236&amp;sourceID=14","0.000236")</f>
        <v>0.000236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HYPERLINK("http://141.218.60.56/~jnz1568/getInfo.php?workbook=20_05.xlsx&amp;sheet=U0&amp;row=1420&amp;col=6&amp;number=4.6&amp;sourceID=14","4.6")</f>
        <v>4.6</v>
      </c>
      <c r="G1420" s="4" t="str">
        <f>HYPERLINK("http://141.218.60.56/~jnz1568/getInfo.php?workbook=20_05.xlsx&amp;sheet=U0&amp;row=1420&amp;col=7&amp;number=0.000237&amp;sourceID=14","0.000237")</f>
        <v>0.000237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HYPERLINK("http://141.218.60.56/~jnz1568/getInfo.php?workbook=20_05.xlsx&amp;sheet=U0&amp;row=1421&amp;col=6&amp;number=4.7&amp;sourceID=14","4.7")</f>
        <v>4.7</v>
      </c>
      <c r="G1421" s="4" t="str">
        <f>HYPERLINK("http://141.218.60.56/~jnz1568/getInfo.php?workbook=20_05.xlsx&amp;sheet=U0&amp;row=1421&amp;col=7&amp;number=0.000237&amp;sourceID=14","0.000237")</f>
        <v>0.000237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HYPERLINK("http://141.218.60.56/~jnz1568/getInfo.php?workbook=20_05.xlsx&amp;sheet=U0&amp;row=1422&amp;col=6&amp;number=4.8&amp;sourceID=14","4.8")</f>
        <v>4.8</v>
      </c>
      <c r="G1422" s="4" t="str">
        <f>HYPERLINK("http://141.218.60.56/~jnz1568/getInfo.php?workbook=20_05.xlsx&amp;sheet=U0&amp;row=1422&amp;col=7&amp;number=0.000237&amp;sourceID=14","0.000237")</f>
        <v>0.000237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HYPERLINK("http://141.218.60.56/~jnz1568/getInfo.php?workbook=20_05.xlsx&amp;sheet=U0&amp;row=1423&amp;col=6&amp;number=4.9&amp;sourceID=14","4.9")</f>
        <v>4.9</v>
      </c>
      <c r="G1423" s="4" t="str">
        <f>HYPERLINK("http://141.218.60.56/~jnz1568/getInfo.php?workbook=20_05.xlsx&amp;sheet=U0&amp;row=1423&amp;col=7&amp;number=0.000238&amp;sourceID=14","0.000238")</f>
        <v>0.000238</v>
      </c>
    </row>
    <row r="1424" spans="1:7">
      <c r="A1424" s="3">
        <v>20</v>
      </c>
      <c r="B1424" s="3">
        <v>5</v>
      </c>
      <c r="C1424" s="3">
        <v>1</v>
      </c>
      <c r="D1424" s="3">
        <v>27</v>
      </c>
      <c r="E1424" s="3">
        <v>1</v>
      </c>
      <c r="F1424" s="4" t="str">
        <f>HYPERLINK("http://141.218.60.56/~jnz1568/getInfo.php?workbook=20_05.xlsx&amp;sheet=U0&amp;row=1424&amp;col=6&amp;number=3&amp;sourceID=14","3")</f>
        <v>3</v>
      </c>
      <c r="G1424" s="4" t="str">
        <f>HYPERLINK("http://141.218.60.56/~jnz1568/getInfo.php?workbook=20_05.xlsx&amp;sheet=U0&amp;row=1424&amp;col=7&amp;number=3.83e-05&amp;sourceID=14","3.83e-05")</f>
        <v>3.83e-05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HYPERLINK("http://141.218.60.56/~jnz1568/getInfo.php?workbook=20_05.xlsx&amp;sheet=U0&amp;row=1425&amp;col=6&amp;number=3.1&amp;sourceID=14","3.1")</f>
        <v>3.1</v>
      </c>
      <c r="G1425" s="4" t="str">
        <f>HYPERLINK("http://141.218.60.56/~jnz1568/getInfo.php?workbook=20_05.xlsx&amp;sheet=U0&amp;row=1425&amp;col=7&amp;number=3.83e-05&amp;sourceID=14","3.83e-05")</f>
        <v>3.83e-05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HYPERLINK("http://141.218.60.56/~jnz1568/getInfo.php?workbook=20_05.xlsx&amp;sheet=U0&amp;row=1426&amp;col=6&amp;number=3.2&amp;sourceID=14","3.2")</f>
        <v>3.2</v>
      </c>
      <c r="G1426" s="4" t="str">
        <f>HYPERLINK("http://141.218.60.56/~jnz1568/getInfo.php?workbook=20_05.xlsx&amp;sheet=U0&amp;row=1426&amp;col=7&amp;number=3.83e-05&amp;sourceID=14","3.83e-05")</f>
        <v>3.83e-05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HYPERLINK("http://141.218.60.56/~jnz1568/getInfo.php?workbook=20_05.xlsx&amp;sheet=U0&amp;row=1427&amp;col=6&amp;number=3.3&amp;sourceID=14","3.3")</f>
        <v>3.3</v>
      </c>
      <c r="G1427" s="4" t="str">
        <f>HYPERLINK("http://141.218.60.56/~jnz1568/getInfo.php?workbook=20_05.xlsx&amp;sheet=U0&amp;row=1427&amp;col=7&amp;number=3.83e-05&amp;sourceID=14","3.83e-05")</f>
        <v>3.83e-05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HYPERLINK("http://141.218.60.56/~jnz1568/getInfo.php?workbook=20_05.xlsx&amp;sheet=U0&amp;row=1428&amp;col=6&amp;number=3.4&amp;sourceID=14","3.4")</f>
        <v>3.4</v>
      </c>
      <c r="G1428" s="4" t="str">
        <f>HYPERLINK("http://141.218.60.56/~jnz1568/getInfo.php?workbook=20_05.xlsx&amp;sheet=U0&amp;row=1428&amp;col=7&amp;number=3.83e-05&amp;sourceID=14","3.83e-05")</f>
        <v>3.83e-05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HYPERLINK("http://141.218.60.56/~jnz1568/getInfo.php?workbook=20_05.xlsx&amp;sheet=U0&amp;row=1429&amp;col=6&amp;number=3.5&amp;sourceID=14","3.5")</f>
        <v>3.5</v>
      </c>
      <c r="G1429" s="4" t="str">
        <f>HYPERLINK("http://141.218.60.56/~jnz1568/getInfo.php?workbook=20_05.xlsx&amp;sheet=U0&amp;row=1429&amp;col=7&amp;number=3.83e-05&amp;sourceID=14","3.83e-05")</f>
        <v>3.83e-05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HYPERLINK("http://141.218.60.56/~jnz1568/getInfo.php?workbook=20_05.xlsx&amp;sheet=U0&amp;row=1430&amp;col=6&amp;number=3.6&amp;sourceID=14","3.6")</f>
        <v>3.6</v>
      </c>
      <c r="G1430" s="4" t="str">
        <f>HYPERLINK("http://141.218.60.56/~jnz1568/getInfo.php?workbook=20_05.xlsx&amp;sheet=U0&amp;row=1430&amp;col=7&amp;number=3.83e-05&amp;sourceID=14","3.83e-05")</f>
        <v>3.83e-05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HYPERLINK("http://141.218.60.56/~jnz1568/getInfo.php?workbook=20_05.xlsx&amp;sheet=U0&amp;row=1431&amp;col=6&amp;number=3.7&amp;sourceID=14","3.7")</f>
        <v>3.7</v>
      </c>
      <c r="G1431" s="4" t="str">
        <f>HYPERLINK("http://141.218.60.56/~jnz1568/getInfo.php?workbook=20_05.xlsx&amp;sheet=U0&amp;row=1431&amp;col=7&amp;number=3.83e-05&amp;sourceID=14","3.83e-05")</f>
        <v>3.83e-05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HYPERLINK("http://141.218.60.56/~jnz1568/getInfo.php?workbook=20_05.xlsx&amp;sheet=U0&amp;row=1432&amp;col=6&amp;number=3.8&amp;sourceID=14","3.8")</f>
        <v>3.8</v>
      </c>
      <c r="G1432" s="4" t="str">
        <f>HYPERLINK("http://141.218.60.56/~jnz1568/getInfo.php?workbook=20_05.xlsx&amp;sheet=U0&amp;row=1432&amp;col=7&amp;number=3.83e-05&amp;sourceID=14","3.83e-05")</f>
        <v>3.83e-05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HYPERLINK("http://141.218.60.56/~jnz1568/getInfo.php?workbook=20_05.xlsx&amp;sheet=U0&amp;row=1433&amp;col=6&amp;number=3.9&amp;sourceID=14","3.9")</f>
        <v>3.9</v>
      </c>
      <c r="G1433" s="4" t="str">
        <f>HYPERLINK("http://141.218.60.56/~jnz1568/getInfo.php?workbook=20_05.xlsx&amp;sheet=U0&amp;row=1433&amp;col=7&amp;number=3.83e-05&amp;sourceID=14","3.83e-05")</f>
        <v>3.83e-05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HYPERLINK("http://141.218.60.56/~jnz1568/getInfo.php?workbook=20_05.xlsx&amp;sheet=U0&amp;row=1434&amp;col=6&amp;number=4&amp;sourceID=14","4")</f>
        <v>4</v>
      </c>
      <c r="G1434" s="4" t="str">
        <f>HYPERLINK("http://141.218.60.56/~jnz1568/getInfo.php?workbook=20_05.xlsx&amp;sheet=U0&amp;row=1434&amp;col=7&amp;number=3.83e-05&amp;sourceID=14","3.83e-05")</f>
        <v>3.83e-05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HYPERLINK("http://141.218.60.56/~jnz1568/getInfo.php?workbook=20_05.xlsx&amp;sheet=U0&amp;row=1435&amp;col=6&amp;number=4.1&amp;sourceID=14","4.1")</f>
        <v>4.1</v>
      </c>
      <c r="G1435" s="4" t="str">
        <f>HYPERLINK("http://141.218.60.56/~jnz1568/getInfo.php?workbook=20_05.xlsx&amp;sheet=U0&amp;row=1435&amp;col=7&amp;number=3.82e-05&amp;sourceID=14","3.82e-05")</f>
        <v>3.82e-05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HYPERLINK("http://141.218.60.56/~jnz1568/getInfo.php?workbook=20_05.xlsx&amp;sheet=U0&amp;row=1436&amp;col=6&amp;number=4.2&amp;sourceID=14","4.2")</f>
        <v>4.2</v>
      </c>
      <c r="G1436" s="4" t="str">
        <f>HYPERLINK("http://141.218.60.56/~jnz1568/getInfo.php?workbook=20_05.xlsx&amp;sheet=U0&amp;row=1436&amp;col=7&amp;number=3.82e-05&amp;sourceID=14","3.82e-05")</f>
        <v>3.82e-05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HYPERLINK("http://141.218.60.56/~jnz1568/getInfo.php?workbook=20_05.xlsx&amp;sheet=U0&amp;row=1437&amp;col=6&amp;number=4.3&amp;sourceID=14","4.3")</f>
        <v>4.3</v>
      </c>
      <c r="G1437" s="4" t="str">
        <f>HYPERLINK("http://141.218.60.56/~jnz1568/getInfo.php?workbook=20_05.xlsx&amp;sheet=U0&amp;row=1437&amp;col=7&amp;number=3.82e-05&amp;sourceID=14","3.82e-05")</f>
        <v>3.82e-05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HYPERLINK("http://141.218.60.56/~jnz1568/getInfo.php?workbook=20_05.xlsx&amp;sheet=U0&amp;row=1438&amp;col=6&amp;number=4.4&amp;sourceID=14","4.4")</f>
        <v>4.4</v>
      </c>
      <c r="G1438" s="4" t="str">
        <f>HYPERLINK("http://141.218.60.56/~jnz1568/getInfo.php?workbook=20_05.xlsx&amp;sheet=U0&amp;row=1438&amp;col=7&amp;number=3.82e-05&amp;sourceID=14","3.82e-05")</f>
        <v>3.82e-05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HYPERLINK("http://141.218.60.56/~jnz1568/getInfo.php?workbook=20_05.xlsx&amp;sheet=U0&amp;row=1439&amp;col=6&amp;number=4.5&amp;sourceID=14","4.5")</f>
        <v>4.5</v>
      </c>
      <c r="G1439" s="4" t="str">
        <f>HYPERLINK("http://141.218.60.56/~jnz1568/getInfo.php?workbook=20_05.xlsx&amp;sheet=U0&amp;row=1439&amp;col=7&amp;number=3.81e-05&amp;sourceID=14","3.81e-05")</f>
        <v>3.81e-05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HYPERLINK("http://141.218.60.56/~jnz1568/getInfo.php?workbook=20_05.xlsx&amp;sheet=U0&amp;row=1440&amp;col=6&amp;number=4.6&amp;sourceID=14","4.6")</f>
        <v>4.6</v>
      </c>
      <c r="G1440" s="4" t="str">
        <f>HYPERLINK("http://141.218.60.56/~jnz1568/getInfo.php?workbook=20_05.xlsx&amp;sheet=U0&amp;row=1440&amp;col=7&amp;number=3.81e-05&amp;sourceID=14","3.81e-05")</f>
        <v>3.81e-05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HYPERLINK("http://141.218.60.56/~jnz1568/getInfo.php?workbook=20_05.xlsx&amp;sheet=U0&amp;row=1441&amp;col=6&amp;number=4.7&amp;sourceID=14","4.7")</f>
        <v>4.7</v>
      </c>
      <c r="G1441" s="4" t="str">
        <f>HYPERLINK("http://141.218.60.56/~jnz1568/getInfo.php?workbook=20_05.xlsx&amp;sheet=U0&amp;row=1441&amp;col=7&amp;number=3.8e-05&amp;sourceID=14","3.8e-05")</f>
        <v>3.8e-05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HYPERLINK("http://141.218.60.56/~jnz1568/getInfo.php?workbook=20_05.xlsx&amp;sheet=U0&amp;row=1442&amp;col=6&amp;number=4.8&amp;sourceID=14","4.8")</f>
        <v>4.8</v>
      </c>
      <c r="G1442" s="4" t="str">
        <f>HYPERLINK("http://141.218.60.56/~jnz1568/getInfo.php?workbook=20_05.xlsx&amp;sheet=U0&amp;row=1442&amp;col=7&amp;number=3.79e-05&amp;sourceID=14","3.79e-05")</f>
        <v>3.79e-05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HYPERLINK("http://141.218.60.56/~jnz1568/getInfo.php?workbook=20_05.xlsx&amp;sheet=U0&amp;row=1443&amp;col=6&amp;number=4.9&amp;sourceID=14","4.9")</f>
        <v>4.9</v>
      </c>
      <c r="G1443" s="4" t="str">
        <f>HYPERLINK("http://141.218.60.56/~jnz1568/getInfo.php?workbook=20_05.xlsx&amp;sheet=U0&amp;row=1443&amp;col=7&amp;number=3.78e-05&amp;sourceID=14","3.78e-05")</f>
        <v>3.78e-05</v>
      </c>
    </row>
    <row r="1444" spans="1:7">
      <c r="A1444" s="3">
        <v>20</v>
      </c>
      <c r="B1444" s="3">
        <v>5</v>
      </c>
      <c r="C1444" s="3">
        <v>1</v>
      </c>
      <c r="D1444" s="3">
        <v>28</v>
      </c>
      <c r="E1444" s="3">
        <v>1</v>
      </c>
      <c r="F1444" s="4" t="str">
        <f>HYPERLINK("http://141.218.60.56/~jnz1568/getInfo.php?workbook=20_05.xlsx&amp;sheet=U0&amp;row=1444&amp;col=6&amp;number=3&amp;sourceID=14","3")</f>
        <v>3</v>
      </c>
      <c r="G1444" s="4" t="str">
        <f>HYPERLINK("http://141.218.60.56/~jnz1568/getInfo.php?workbook=20_05.xlsx&amp;sheet=U0&amp;row=1444&amp;col=7&amp;number=4.9e-05&amp;sourceID=14","4.9e-05")</f>
        <v>4.9e-05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HYPERLINK("http://141.218.60.56/~jnz1568/getInfo.php?workbook=20_05.xlsx&amp;sheet=U0&amp;row=1445&amp;col=6&amp;number=3.1&amp;sourceID=14","3.1")</f>
        <v>3.1</v>
      </c>
      <c r="G1445" s="4" t="str">
        <f>HYPERLINK("http://141.218.60.56/~jnz1568/getInfo.php?workbook=20_05.xlsx&amp;sheet=U0&amp;row=1445&amp;col=7&amp;number=4.9e-05&amp;sourceID=14","4.9e-05")</f>
        <v>4.9e-05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HYPERLINK("http://141.218.60.56/~jnz1568/getInfo.php?workbook=20_05.xlsx&amp;sheet=U0&amp;row=1446&amp;col=6&amp;number=3.2&amp;sourceID=14","3.2")</f>
        <v>3.2</v>
      </c>
      <c r="G1446" s="4" t="str">
        <f>HYPERLINK("http://141.218.60.56/~jnz1568/getInfo.php?workbook=20_05.xlsx&amp;sheet=U0&amp;row=1446&amp;col=7&amp;number=4.9e-05&amp;sourceID=14","4.9e-05")</f>
        <v>4.9e-05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HYPERLINK("http://141.218.60.56/~jnz1568/getInfo.php?workbook=20_05.xlsx&amp;sheet=U0&amp;row=1447&amp;col=6&amp;number=3.3&amp;sourceID=14","3.3")</f>
        <v>3.3</v>
      </c>
      <c r="G1447" s="4" t="str">
        <f>HYPERLINK("http://141.218.60.56/~jnz1568/getInfo.php?workbook=20_05.xlsx&amp;sheet=U0&amp;row=1447&amp;col=7&amp;number=4.9e-05&amp;sourceID=14","4.9e-05")</f>
        <v>4.9e-05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HYPERLINK("http://141.218.60.56/~jnz1568/getInfo.php?workbook=20_05.xlsx&amp;sheet=U0&amp;row=1448&amp;col=6&amp;number=3.4&amp;sourceID=14","3.4")</f>
        <v>3.4</v>
      </c>
      <c r="G1448" s="4" t="str">
        <f>HYPERLINK("http://141.218.60.56/~jnz1568/getInfo.php?workbook=20_05.xlsx&amp;sheet=U0&amp;row=1448&amp;col=7&amp;number=4.9e-05&amp;sourceID=14","4.9e-05")</f>
        <v>4.9e-05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HYPERLINK("http://141.218.60.56/~jnz1568/getInfo.php?workbook=20_05.xlsx&amp;sheet=U0&amp;row=1449&amp;col=6&amp;number=3.5&amp;sourceID=14","3.5")</f>
        <v>3.5</v>
      </c>
      <c r="G1449" s="4" t="str">
        <f>HYPERLINK("http://141.218.60.56/~jnz1568/getInfo.php?workbook=20_05.xlsx&amp;sheet=U0&amp;row=1449&amp;col=7&amp;number=4.9e-05&amp;sourceID=14","4.9e-05")</f>
        <v>4.9e-05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HYPERLINK("http://141.218.60.56/~jnz1568/getInfo.php?workbook=20_05.xlsx&amp;sheet=U0&amp;row=1450&amp;col=6&amp;number=3.6&amp;sourceID=14","3.6")</f>
        <v>3.6</v>
      </c>
      <c r="G1450" s="4" t="str">
        <f>HYPERLINK("http://141.218.60.56/~jnz1568/getInfo.php?workbook=20_05.xlsx&amp;sheet=U0&amp;row=1450&amp;col=7&amp;number=4.9e-05&amp;sourceID=14","4.9e-05")</f>
        <v>4.9e-05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HYPERLINK("http://141.218.60.56/~jnz1568/getInfo.php?workbook=20_05.xlsx&amp;sheet=U0&amp;row=1451&amp;col=6&amp;number=3.7&amp;sourceID=14","3.7")</f>
        <v>3.7</v>
      </c>
      <c r="G1451" s="4" t="str">
        <f>HYPERLINK("http://141.218.60.56/~jnz1568/getInfo.php?workbook=20_05.xlsx&amp;sheet=U0&amp;row=1451&amp;col=7&amp;number=4.9e-05&amp;sourceID=14","4.9e-05")</f>
        <v>4.9e-05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HYPERLINK("http://141.218.60.56/~jnz1568/getInfo.php?workbook=20_05.xlsx&amp;sheet=U0&amp;row=1452&amp;col=6&amp;number=3.8&amp;sourceID=14","3.8")</f>
        <v>3.8</v>
      </c>
      <c r="G1452" s="4" t="str">
        <f>HYPERLINK("http://141.218.60.56/~jnz1568/getInfo.php?workbook=20_05.xlsx&amp;sheet=U0&amp;row=1452&amp;col=7&amp;number=4.9e-05&amp;sourceID=14","4.9e-05")</f>
        <v>4.9e-05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HYPERLINK("http://141.218.60.56/~jnz1568/getInfo.php?workbook=20_05.xlsx&amp;sheet=U0&amp;row=1453&amp;col=6&amp;number=3.9&amp;sourceID=14","3.9")</f>
        <v>3.9</v>
      </c>
      <c r="G1453" s="4" t="str">
        <f>HYPERLINK("http://141.218.60.56/~jnz1568/getInfo.php?workbook=20_05.xlsx&amp;sheet=U0&amp;row=1453&amp;col=7&amp;number=4.9e-05&amp;sourceID=14","4.9e-05")</f>
        <v>4.9e-05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HYPERLINK("http://141.218.60.56/~jnz1568/getInfo.php?workbook=20_05.xlsx&amp;sheet=U0&amp;row=1454&amp;col=6&amp;number=4&amp;sourceID=14","4")</f>
        <v>4</v>
      </c>
      <c r="G1454" s="4" t="str">
        <f>HYPERLINK("http://141.218.60.56/~jnz1568/getInfo.php?workbook=20_05.xlsx&amp;sheet=U0&amp;row=1454&amp;col=7&amp;number=4.9e-05&amp;sourceID=14","4.9e-05")</f>
        <v>4.9e-05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HYPERLINK("http://141.218.60.56/~jnz1568/getInfo.php?workbook=20_05.xlsx&amp;sheet=U0&amp;row=1455&amp;col=6&amp;number=4.1&amp;sourceID=14","4.1")</f>
        <v>4.1</v>
      </c>
      <c r="G1455" s="4" t="str">
        <f>HYPERLINK("http://141.218.60.56/~jnz1568/getInfo.php?workbook=20_05.xlsx&amp;sheet=U0&amp;row=1455&amp;col=7&amp;number=4.91e-05&amp;sourceID=14","4.91e-05")</f>
        <v>4.91e-05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HYPERLINK("http://141.218.60.56/~jnz1568/getInfo.php?workbook=20_05.xlsx&amp;sheet=U0&amp;row=1456&amp;col=6&amp;number=4.2&amp;sourceID=14","4.2")</f>
        <v>4.2</v>
      </c>
      <c r="G1456" s="4" t="str">
        <f>HYPERLINK("http://141.218.60.56/~jnz1568/getInfo.php?workbook=20_05.xlsx&amp;sheet=U0&amp;row=1456&amp;col=7&amp;number=4.91e-05&amp;sourceID=14","4.91e-05")</f>
        <v>4.91e-05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HYPERLINK("http://141.218.60.56/~jnz1568/getInfo.php?workbook=20_05.xlsx&amp;sheet=U0&amp;row=1457&amp;col=6&amp;number=4.3&amp;sourceID=14","4.3")</f>
        <v>4.3</v>
      </c>
      <c r="G1457" s="4" t="str">
        <f>HYPERLINK("http://141.218.60.56/~jnz1568/getInfo.php?workbook=20_05.xlsx&amp;sheet=U0&amp;row=1457&amp;col=7&amp;number=4.91e-05&amp;sourceID=14","4.91e-05")</f>
        <v>4.91e-05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HYPERLINK("http://141.218.60.56/~jnz1568/getInfo.php?workbook=20_05.xlsx&amp;sheet=U0&amp;row=1458&amp;col=6&amp;number=4.4&amp;sourceID=14","4.4")</f>
        <v>4.4</v>
      </c>
      <c r="G1458" s="4" t="str">
        <f>HYPERLINK("http://141.218.60.56/~jnz1568/getInfo.php?workbook=20_05.xlsx&amp;sheet=U0&amp;row=1458&amp;col=7&amp;number=4.92e-05&amp;sourceID=14","4.92e-05")</f>
        <v>4.92e-05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HYPERLINK("http://141.218.60.56/~jnz1568/getInfo.php?workbook=20_05.xlsx&amp;sheet=U0&amp;row=1459&amp;col=6&amp;number=4.5&amp;sourceID=14","4.5")</f>
        <v>4.5</v>
      </c>
      <c r="G1459" s="4" t="str">
        <f>HYPERLINK("http://141.218.60.56/~jnz1568/getInfo.php?workbook=20_05.xlsx&amp;sheet=U0&amp;row=1459&amp;col=7&amp;number=4.92e-05&amp;sourceID=14","4.92e-05")</f>
        <v>4.92e-05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HYPERLINK("http://141.218.60.56/~jnz1568/getInfo.php?workbook=20_05.xlsx&amp;sheet=U0&amp;row=1460&amp;col=6&amp;number=4.6&amp;sourceID=14","4.6")</f>
        <v>4.6</v>
      </c>
      <c r="G1460" s="4" t="str">
        <f>HYPERLINK("http://141.218.60.56/~jnz1568/getInfo.php?workbook=20_05.xlsx&amp;sheet=U0&amp;row=1460&amp;col=7&amp;number=4.93e-05&amp;sourceID=14","4.93e-05")</f>
        <v>4.93e-05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HYPERLINK("http://141.218.60.56/~jnz1568/getInfo.php?workbook=20_05.xlsx&amp;sheet=U0&amp;row=1461&amp;col=6&amp;number=4.7&amp;sourceID=14","4.7")</f>
        <v>4.7</v>
      </c>
      <c r="G1461" s="4" t="str">
        <f>HYPERLINK("http://141.218.60.56/~jnz1568/getInfo.php?workbook=20_05.xlsx&amp;sheet=U0&amp;row=1461&amp;col=7&amp;number=4.93e-05&amp;sourceID=14","4.93e-05")</f>
        <v>4.93e-05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HYPERLINK("http://141.218.60.56/~jnz1568/getInfo.php?workbook=20_05.xlsx&amp;sheet=U0&amp;row=1462&amp;col=6&amp;number=4.8&amp;sourceID=14","4.8")</f>
        <v>4.8</v>
      </c>
      <c r="G1462" s="4" t="str">
        <f>HYPERLINK("http://141.218.60.56/~jnz1568/getInfo.php?workbook=20_05.xlsx&amp;sheet=U0&amp;row=1462&amp;col=7&amp;number=4.94e-05&amp;sourceID=14","4.94e-05")</f>
        <v>4.94e-05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HYPERLINK("http://141.218.60.56/~jnz1568/getInfo.php?workbook=20_05.xlsx&amp;sheet=U0&amp;row=1463&amp;col=6&amp;number=4.9&amp;sourceID=14","4.9")</f>
        <v>4.9</v>
      </c>
      <c r="G1463" s="4" t="str">
        <f>HYPERLINK("http://141.218.60.56/~jnz1568/getInfo.php?workbook=20_05.xlsx&amp;sheet=U0&amp;row=1463&amp;col=7&amp;number=4.95e-05&amp;sourceID=14","4.95e-05")</f>
        <v>4.95e-05</v>
      </c>
    </row>
    <row r="1464" spans="1:7">
      <c r="A1464" s="3">
        <v>20</v>
      </c>
      <c r="B1464" s="3">
        <v>5</v>
      </c>
      <c r="C1464" s="3">
        <v>1</v>
      </c>
      <c r="D1464" s="3">
        <v>29</v>
      </c>
      <c r="E1464" s="3">
        <v>1</v>
      </c>
      <c r="F1464" s="4" t="str">
        <f>HYPERLINK("http://141.218.60.56/~jnz1568/getInfo.php?workbook=20_05.xlsx&amp;sheet=U0&amp;row=1464&amp;col=6&amp;number=3&amp;sourceID=14","3")</f>
        <v>3</v>
      </c>
      <c r="G1464" s="4" t="str">
        <f>HYPERLINK("http://141.218.60.56/~jnz1568/getInfo.php?workbook=20_05.xlsx&amp;sheet=U0&amp;row=1464&amp;col=7&amp;number=0.000388&amp;sourceID=14","0.000388")</f>
        <v>0.000388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HYPERLINK("http://141.218.60.56/~jnz1568/getInfo.php?workbook=20_05.xlsx&amp;sheet=U0&amp;row=1465&amp;col=6&amp;number=3.1&amp;sourceID=14","3.1")</f>
        <v>3.1</v>
      </c>
      <c r="G1465" s="4" t="str">
        <f>HYPERLINK("http://141.218.60.56/~jnz1568/getInfo.php?workbook=20_05.xlsx&amp;sheet=U0&amp;row=1465&amp;col=7&amp;number=0.000388&amp;sourceID=14","0.000388")</f>
        <v>0.000388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HYPERLINK("http://141.218.60.56/~jnz1568/getInfo.php?workbook=20_05.xlsx&amp;sheet=U0&amp;row=1466&amp;col=6&amp;number=3.2&amp;sourceID=14","3.2")</f>
        <v>3.2</v>
      </c>
      <c r="G1466" s="4" t="str">
        <f>HYPERLINK("http://141.218.60.56/~jnz1568/getInfo.php?workbook=20_05.xlsx&amp;sheet=U0&amp;row=1466&amp;col=7&amp;number=0.000388&amp;sourceID=14","0.000388")</f>
        <v>0.000388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HYPERLINK("http://141.218.60.56/~jnz1568/getInfo.php?workbook=20_05.xlsx&amp;sheet=U0&amp;row=1467&amp;col=6&amp;number=3.3&amp;sourceID=14","3.3")</f>
        <v>3.3</v>
      </c>
      <c r="G1467" s="4" t="str">
        <f>HYPERLINK("http://141.218.60.56/~jnz1568/getInfo.php?workbook=20_05.xlsx&amp;sheet=U0&amp;row=1467&amp;col=7&amp;number=0.000388&amp;sourceID=14","0.000388")</f>
        <v>0.000388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HYPERLINK("http://141.218.60.56/~jnz1568/getInfo.php?workbook=20_05.xlsx&amp;sheet=U0&amp;row=1468&amp;col=6&amp;number=3.4&amp;sourceID=14","3.4")</f>
        <v>3.4</v>
      </c>
      <c r="G1468" s="4" t="str">
        <f>HYPERLINK("http://141.218.60.56/~jnz1568/getInfo.php?workbook=20_05.xlsx&amp;sheet=U0&amp;row=1468&amp;col=7&amp;number=0.000388&amp;sourceID=14","0.000388")</f>
        <v>0.000388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HYPERLINK("http://141.218.60.56/~jnz1568/getInfo.php?workbook=20_05.xlsx&amp;sheet=U0&amp;row=1469&amp;col=6&amp;number=3.5&amp;sourceID=14","3.5")</f>
        <v>3.5</v>
      </c>
      <c r="G1469" s="4" t="str">
        <f>HYPERLINK("http://141.218.60.56/~jnz1568/getInfo.php?workbook=20_05.xlsx&amp;sheet=U0&amp;row=1469&amp;col=7&amp;number=0.000388&amp;sourceID=14","0.000388")</f>
        <v>0.000388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HYPERLINK("http://141.218.60.56/~jnz1568/getInfo.php?workbook=20_05.xlsx&amp;sheet=U0&amp;row=1470&amp;col=6&amp;number=3.6&amp;sourceID=14","3.6")</f>
        <v>3.6</v>
      </c>
      <c r="G1470" s="4" t="str">
        <f>HYPERLINK("http://141.218.60.56/~jnz1568/getInfo.php?workbook=20_05.xlsx&amp;sheet=U0&amp;row=1470&amp;col=7&amp;number=0.000388&amp;sourceID=14","0.000388")</f>
        <v>0.000388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HYPERLINK("http://141.218.60.56/~jnz1568/getInfo.php?workbook=20_05.xlsx&amp;sheet=U0&amp;row=1471&amp;col=6&amp;number=3.7&amp;sourceID=14","3.7")</f>
        <v>3.7</v>
      </c>
      <c r="G1471" s="4" t="str">
        <f>HYPERLINK("http://141.218.60.56/~jnz1568/getInfo.php?workbook=20_05.xlsx&amp;sheet=U0&amp;row=1471&amp;col=7&amp;number=0.000388&amp;sourceID=14","0.000388")</f>
        <v>0.000388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HYPERLINK("http://141.218.60.56/~jnz1568/getInfo.php?workbook=20_05.xlsx&amp;sheet=U0&amp;row=1472&amp;col=6&amp;number=3.8&amp;sourceID=14","3.8")</f>
        <v>3.8</v>
      </c>
      <c r="G1472" s="4" t="str">
        <f>HYPERLINK("http://141.218.60.56/~jnz1568/getInfo.php?workbook=20_05.xlsx&amp;sheet=U0&amp;row=1472&amp;col=7&amp;number=0.000388&amp;sourceID=14","0.000388")</f>
        <v>0.000388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HYPERLINK("http://141.218.60.56/~jnz1568/getInfo.php?workbook=20_05.xlsx&amp;sheet=U0&amp;row=1473&amp;col=6&amp;number=3.9&amp;sourceID=14","3.9")</f>
        <v>3.9</v>
      </c>
      <c r="G1473" s="4" t="str">
        <f>HYPERLINK("http://141.218.60.56/~jnz1568/getInfo.php?workbook=20_05.xlsx&amp;sheet=U0&amp;row=1473&amp;col=7&amp;number=0.000388&amp;sourceID=14","0.000388")</f>
        <v>0.000388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HYPERLINK("http://141.218.60.56/~jnz1568/getInfo.php?workbook=20_05.xlsx&amp;sheet=U0&amp;row=1474&amp;col=6&amp;number=4&amp;sourceID=14","4")</f>
        <v>4</v>
      </c>
      <c r="G1474" s="4" t="str">
        <f>HYPERLINK("http://141.218.60.56/~jnz1568/getInfo.php?workbook=20_05.xlsx&amp;sheet=U0&amp;row=1474&amp;col=7&amp;number=0.000388&amp;sourceID=14","0.000388")</f>
        <v>0.000388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HYPERLINK("http://141.218.60.56/~jnz1568/getInfo.php?workbook=20_05.xlsx&amp;sheet=U0&amp;row=1475&amp;col=6&amp;number=4.1&amp;sourceID=14","4.1")</f>
        <v>4.1</v>
      </c>
      <c r="G1475" s="4" t="str">
        <f>HYPERLINK("http://141.218.60.56/~jnz1568/getInfo.php?workbook=20_05.xlsx&amp;sheet=U0&amp;row=1475&amp;col=7&amp;number=0.000389&amp;sourceID=14","0.000389")</f>
        <v>0.000389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HYPERLINK("http://141.218.60.56/~jnz1568/getInfo.php?workbook=20_05.xlsx&amp;sheet=U0&amp;row=1476&amp;col=6&amp;number=4.2&amp;sourceID=14","4.2")</f>
        <v>4.2</v>
      </c>
      <c r="G1476" s="4" t="str">
        <f>HYPERLINK("http://141.218.60.56/~jnz1568/getInfo.php?workbook=20_05.xlsx&amp;sheet=U0&amp;row=1476&amp;col=7&amp;number=0.000389&amp;sourceID=14","0.000389")</f>
        <v>0.000389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HYPERLINK("http://141.218.60.56/~jnz1568/getInfo.php?workbook=20_05.xlsx&amp;sheet=U0&amp;row=1477&amp;col=6&amp;number=4.3&amp;sourceID=14","4.3")</f>
        <v>4.3</v>
      </c>
      <c r="G1477" s="4" t="str">
        <f>HYPERLINK("http://141.218.60.56/~jnz1568/getInfo.php?workbook=20_05.xlsx&amp;sheet=U0&amp;row=1477&amp;col=7&amp;number=0.000389&amp;sourceID=14","0.000389")</f>
        <v>0.000389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HYPERLINK("http://141.218.60.56/~jnz1568/getInfo.php?workbook=20_05.xlsx&amp;sheet=U0&amp;row=1478&amp;col=6&amp;number=4.4&amp;sourceID=14","4.4")</f>
        <v>4.4</v>
      </c>
      <c r="G1478" s="4" t="str">
        <f>HYPERLINK("http://141.218.60.56/~jnz1568/getInfo.php?workbook=20_05.xlsx&amp;sheet=U0&amp;row=1478&amp;col=7&amp;number=0.000389&amp;sourceID=14","0.000389")</f>
        <v>0.000389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HYPERLINK("http://141.218.60.56/~jnz1568/getInfo.php?workbook=20_05.xlsx&amp;sheet=U0&amp;row=1479&amp;col=6&amp;number=4.5&amp;sourceID=14","4.5")</f>
        <v>4.5</v>
      </c>
      <c r="G1479" s="4" t="str">
        <f>HYPERLINK("http://141.218.60.56/~jnz1568/getInfo.php?workbook=20_05.xlsx&amp;sheet=U0&amp;row=1479&amp;col=7&amp;number=0.00039&amp;sourceID=14","0.00039")</f>
        <v>0.00039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HYPERLINK("http://141.218.60.56/~jnz1568/getInfo.php?workbook=20_05.xlsx&amp;sheet=U0&amp;row=1480&amp;col=6&amp;number=4.6&amp;sourceID=14","4.6")</f>
        <v>4.6</v>
      </c>
      <c r="G1480" s="4" t="str">
        <f>HYPERLINK("http://141.218.60.56/~jnz1568/getInfo.php?workbook=20_05.xlsx&amp;sheet=U0&amp;row=1480&amp;col=7&amp;number=0.00039&amp;sourceID=14","0.00039")</f>
        <v>0.00039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HYPERLINK("http://141.218.60.56/~jnz1568/getInfo.php?workbook=20_05.xlsx&amp;sheet=U0&amp;row=1481&amp;col=6&amp;number=4.7&amp;sourceID=14","4.7")</f>
        <v>4.7</v>
      </c>
      <c r="G1481" s="4" t="str">
        <f>HYPERLINK("http://141.218.60.56/~jnz1568/getInfo.php?workbook=20_05.xlsx&amp;sheet=U0&amp;row=1481&amp;col=7&amp;number=0.000391&amp;sourceID=14","0.000391")</f>
        <v>0.000391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HYPERLINK("http://141.218.60.56/~jnz1568/getInfo.php?workbook=20_05.xlsx&amp;sheet=U0&amp;row=1482&amp;col=6&amp;number=4.8&amp;sourceID=14","4.8")</f>
        <v>4.8</v>
      </c>
      <c r="G1482" s="4" t="str">
        <f>HYPERLINK("http://141.218.60.56/~jnz1568/getInfo.php?workbook=20_05.xlsx&amp;sheet=U0&amp;row=1482&amp;col=7&amp;number=0.000392&amp;sourceID=14","0.000392")</f>
        <v>0.000392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HYPERLINK("http://141.218.60.56/~jnz1568/getInfo.php?workbook=20_05.xlsx&amp;sheet=U0&amp;row=1483&amp;col=6&amp;number=4.9&amp;sourceID=14","4.9")</f>
        <v>4.9</v>
      </c>
      <c r="G1483" s="4" t="str">
        <f>HYPERLINK("http://141.218.60.56/~jnz1568/getInfo.php?workbook=20_05.xlsx&amp;sheet=U0&amp;row=1483&amp;col=7&amp;number=0.000393&amp;sourceID=14","0.000393")</f>
        <v>0.000393</v>
      </c>
    </row>
    <row r="1484" spans="1:7">
      <c r="A1484" s="3">
        <v>20</v>
      </c>
      <c r="B1484" s="3">
        <v>5</v>
      </c>
      <c r="C1484" s="3">
        <v>1</v>
      </c>
      <c r="D1484" s="3">
        <v>30</v>
      </c>
      <c r="E1484" s="3">
        <v>1</v>
      </c>
      <c r="F1484" s="4" t="str">
        <f>HYPERLINK("http://141.218.60.56/~jnz1568/getInfo.php?workbook=20_05.xlsx&amp;sheet=U0&amp;row=1484&amp;col=6&amp;number=3&amp;sourceID=14","3")</f>
        <v>3</v>
      </c>
      <c r="G1484" s="4" t="str">
        <f>HYPERLINK("http://141.218.60.56/~jnz1568/getInfo.php?workbook=20_05.xlsx&amp;sheet=U0&amp;row=1484&amp;col=7&amp;number=0.000114&amp;sourceID=14","0.000114")</f>
        <v>0.000114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HYPERLINK("http://141.218.60.56/~jnz1568/getInfo.php?workbook=20_05.xlsx&amp;sheet=U0&amp;row=1485&amp;col=6&amp;number=3.1&amp;sourceID=14","3.1")</f>
        <v>3.1</v>
      </c>
      <c r="G1485" s="4" t="str">
        <f>HYPERLINK("http://141.218.60.56/~jnz1568/getInfo.php?workbook=20_05.xlsx&amp;sheet=U0&amp;row=1485&amp;col=7&amp;number=0.000114&amp;sourceID=14","0.000114")</f>
        <v>0.000114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HYPERLINK("http://141.218.60.56/~jnz1568/getInfo.php?workbook=20_05.xlsx&amp;sheet=U0&amp;row=1486&amp;col=6&amp;number=3.2&amp;sourceID=14","3.2")</f>
        <v>3.2</v>
      </c>
      <c r="G1486" s="4" t="str">
        <f>HYPERLINK("http://141.218.60.56/~jnz1568/getInfo.php?workbook=20_05.xlsx&amp;sheet=U0&amp;row=1486&amp;col=7&amp;number=0.000114&amp;sourceID=14","0.000114")</f>
        <v>0.000114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HYPERLINK("http://141.218.60.56/~jnz1568/getInfo.php?workbook=20_05.xlsx&amp;sheet=U0&amp;row=1487&amp;col=6&amp;number=3.3&amp;sourceID=14","3.3")</f>
        <v>3.3</v>
      </c>
      <c r="G1487" s="4" t="str">
        <f>HYPERLINK("http://141.218.60.56/~jnz1568/getInfo.php?workbook=20_05.xlsx&amp;sheet=U0&amp;row=1487&amp;col=7&amp;number=0.000114&amp;sourceID=14","0.000114")</f>
        <v>0.000114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HYPERLINK("http://141.218.60.56/~jnz1568/getInfo.php?workbook=20_05.xlsx&amp;sheet=U0&amp;row=1488&amp;col=6&amp;number=3.4&amp;sourceID=14","3.4")</f>
        <v>3.4</v>
      </c>
      <c r="G1488" s="4" t="str">
        <f>HYPERLINK("http://141.218.60.56/~jnz1568/getInfo.php?workbook=20_05.xlsx&amp;sheet=U0&amp;row=1488&amp;col=7&amp;number=0.000114&amp;sourceID=14","0.000114")</f>
        <v>0.000114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HYPERLINK("http://141.218.60.56/~jnz1568/getInfo.php?workbook=20_05.xlsx&amp;sheet=U0&amp;row=1489&amp;col=6&amp;number=3.5&amp;sourceID=14","3.5")</f>
        <v>3.5</v>
      </c>
      <c r="G1489" s="4" t="str">
        <f>HYPERLINK("http://141.218.60.56/~jnz1568/getInfo.php?workbook=20_05.xlsx&amp;sheet=U0&amp;row=1489&amp;col=7&amp;number=0.000114&amp;sourceID=14","0.000114")</f>
        <v>0.000114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HYPERLINK("http://141.218.60.56/~jnz1568/getInfo.php?workbook=20_05.xlsx&amp;sheet=U0&amp;row=1490&amp;col=6&amp;number=3.6&amp;sourceID=14","3.6")</f>
        <v>3.6</v>
      </c>
      <c r="G1490" s="4" t="str">
        <f>HYPERLINK("http://141.218.60.56/~jnz1568/getInfo.php?workbook=20_05.xlsx&amp;sheet=U0&amp;row=1490&amp;col=7&amp;number=0.000114&amp;sourceID=14","0.000114")</f>
        <v>0.000114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HYPERLINK("http://141.218.60.56/~jnz1568/getInfo.php?workbook=20_05.xlsx&amp;sheet=U0&amp;row=1491&amp;col=6&amp;number=3.7&amp;sourceID=14","3.7")</f>
        <v>3.7</v>
      </c>
      <c r="G1491" s="4" t="str">
        <f>HYPERLINK("http://141.218.60.56/~jnz1568/getInfo.php?workbook=20_05.xlsx&amp;sheet=U0&amp;row=1491&amp;col=7&amp;number=0.000114&amp;sourceID=14","0.000114")</f>
        <v>0.000114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HYPERLINK("http://141.218.60.56/~jnz1568/getInfo.php?workbook=20_05.xlsx&amp;sheet=U0&amp;row=1492&amp;col=6&amp;number=3.8&amp;sourceID=14","3.8")</f>
        <v>3.8</v>
      </c>
      <c r="G1492" s="4" t="str">
        <f>HYPERLINK("http://141.218.60.56/~jnz1568/getInfo.php?workbook=20_05.xlsx&amp;sheet=U0&amp;row=1492&amp;col=7&amp;number=0.000114&amp;sourceID=14","0.000114")</f>
        <v>0.000114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HYPERLINK("http://141.218.60.56/~jnz1568/getInfo.php?workbook=20_05.xlsx&amp;sheet=U0&amp;row=1493&amp;col=6&amp;number=3.9&amp;sourceID=14","3.9")</f>
        <v>3.9</v>
      </c>
      <c r="G1493" s="4" t="str">
        <f>HYPERLINK("http://141.218.60.56/~jnz1568/getInfo.php?workbook=20_05.xlsx&amp;sheet=U0&amp;row=1493&amp;col=7&amp;number=0.000114&amp;sourceID=14","0.000114")</f>
        <v>0.000114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HYPERLINK("http://141.218.60.56/~jnz1568/getInfo.php?workbook=20_05.xlsx&amp;sheet=U0&amp;row=1494&amp;col=6&amp;number=4&amp;sourceID=14","4")</f>
        <v>4</v>
      </c>
      <c r="G1494" s="4" t="str">
        <f>HYPERLINK("http://141.218.60.56/~jnz1568/getInfo.php?workbook=20_05.xlsx&amp;sheet=U0&amp;row=1494&amp;col=7&amp;number=0.000114&amp;sourceID=14","0.000114")</f>
        <v>0.000114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HYPERLINK("http://141.218.60.56/~jnz1568/getInfo.php?workbook=20_05.xlsx&amp;sheet=U0&amp;row=1495&amp;col=6&amp;number=4.1&amp;sourceID=14","4.1")</f>
        <v>4.1</v>
      </c>
      <c r="G1495" s="4" t="str">
        <f>HYPERLINK("http://141.218.60.56/~jnz1568/getInfo.php?workbook=20_05.xlsx&amp;sheet=U0&amp;row=1495&amp;col=7&amp;number=0.000114&amp;sourceID=14","0.000114")</f>
        <v>0.000114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HYPERLINK("http://141.218.60.56/~jnz1568/getInfo.php?workbook=20_05.xlsx&amp;sheet=U0&amp;row=1496&amp;col=6&amp;number=4.2&amp;sourceID=14","4.2")</f>
        <v>4.2</v>
      </c>
      <c r="G1496" s="4" t="str">
        <f>HYPERLINK("http://141.218.60.56/~jnz1568/getInfo.php?workbook=20_05.xlsx&amp;sheet=U0&amp;row=1496&amp;col=7&amp;number=0.000114&amp;sourceID=14","0.000114")</f>
        <v>0.000114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HYPERLINK("http://141.218.60.56/~jnz1568/getInfo.php?workbook=20_05.xlsx&amp;sheet=U0&amp;row=1497&amp;col=6&amp;number=4.3&amp;sourceID=14","4.3")</f>
        <v>4.3</v>
      </c>
      <c r="G1497" s="4" t="str">
        <f>HYPERLINK("http://141.218.60.56/~jnz1568/getInfo.php?workbook=20_05.xlsx&amp;sheet=U0&amp;row=1497&amp;col=7&amp;number=0.000115&amp;sourceID=14","0.000115")</f>
        <v>0.000115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HYPERLINK("http://141.218.60.56/~jnz1568/getInfo.php?workbook=20_05.xlsx&amp;sheet=U0&amp;row=1498&amp;col=6&amp;number=4.4&amp;sourceID=14","4.4")</f>
        <v>4.4</v>
      </c>
      <c r="G1498" s="4" t="str">
        <f>HYPERLINK("http://141.218.60.56/~jnz1568/getInfo.php?workbook=20_05.xlsx&amp;sheet=U0&amp;row=1498&amp;col=7&amp;number=0.000115&amp;sourceID=14","0.000115")</f>
        <v>0.000115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HYPERLINK("http://141.218.60.56/~jnz1568/getInfo.php?workbook=20_05.xlsx&amp;sheet=U0&amp;row=1499&amp;col=6&amp;number=4.5&amp;sourceID=14","4.5")</f>
        <v>4.5</v>
      </c>
      <c r="G1499" s="4" t="str">
        <f>HYPERLINK("http://141.218.60.56/~jnz1568/getInfo.php?workbook=20_05.xlsx&amp;sheet=U0&amp;row=1499&amp;col=7&amp;number=0.000115&amp;sourceID=14","0.000115")</f>
        <v>0.000115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HYPERLINK("http://141.218.60.56/~jnz1568/getInfo.php?workbook=20_05.xlsx&amp;sheet=U0&amp;row=1500&amp;col=6&amp;number=4.6&amp;sourceID=14","4.6")</f>
        <v>4.6</v>
      </c>
      <c r="G1500" s="4" t="str">
        <f>HYPERLINK("http://141.218.60.56/~jnz1568/getInfo.php?workbook=20_05.xlsx&amp;sheet=U0&amp;row=1500&amp;col=7&amp;number=0.000115&amp;sourceID=14","0.000115")</f>
        <v>0.000115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HYPERLINK("http://141.218.60.56/~jnz1568/getInfo.php?workbook=20_05.xlsx&amp;sheet=U0&amp;row=1501&amp;col=6&amp;number=4.7&amp;sourceID=14","4.7")</f>
        <v>4.7</v>
      </c>
      <c r="G1501" s="4" t="str">
        <f>HYPERLINK("http://141.218.60.56/~jnz1568/getInfo.php?workbook=20_05.xlsx&amp;sheet=U0&amp;row=1501&amp;col=7&amp;number=0.000115&amp;sourceID=14","0.000115")</f>
        <v>0.000115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HYPERLINK("http://141.218.60.56/~jnz1568/getInfo.php?workbook=20_05.xlsx&amp;sheet=U0&amp;row=1502&amp;col=6&amp;number=4.8&amp;sourceID=14","4.8")</f>
        <v>4.8</v>
      </c>
      <c r="G1502" s="4" t="str">
        <f>HYPERLINK("http://141.218.60.56/~jnz1568/getInfo.php?workbook=20_05.xlsx&amp;sheet=U0&amp;row=1502&amp;col=7&amp;number=0.000115&amp;sourceID=14","0.000115")</f>
        <v>0.000115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HYPERLINK("http://141.218.60.56/~jnz1568/getInfo.php?workbook=20_05.xlsx&amp;sheet=U0&amp;row=1503&amp;col=6&amp;number=4.9&amp;sourceID=14","4.9")</f>
        <v>4.9</v>
      </c>
      <c r="G1503" s="4" t="str">
        <f>HYPERLINK("http://141.218.60.56/~jnz1568/getInfo.php?workbook=20_05.xlsx&amp;sheet=U0&amp;row=1503&amp;col=7&amp;number=0.000115&amp;sourceID=14","0.000115")</f>
        <v>0.000115</v>
      </c>
    </row>
    <row r="1504" spans="1:7">
      <c r="A1504" s="3">
        <v>20</v>
      </c>
      <c r="B1504" s="3">
        <v>5</v>
      </c>
      <c r="C1504" s="3">
        <v>1</v>
      </c>
      <c r="D1504" s="3">
        <v>31</v>
      </c>
      <c r="E1504" s="3">
        <v>1</v>
      </c>
      <c r="F1504" s="4" t="str">
        <f>HYPERLINK("http://141.218.60.56/~jnz1568/getInfo.php?workbook=20_05.xlsx&amp;sheet=U0&amp;row=1504&amp;col=6&amp;number=3&amp;sourceID=14","3")</f>
        <v>3</v>
      </c>
      <c r="G1504" s="4" t="str">
        <f>HYPERLINK("http://141.218.60.56/~jnz1568/getInfo.php?workbook=20_05.xlsx&amp;sheet=U0&amp;row=1504&amp;col=7&amp;number=0.078&amp;sourceID=14","0.078")</f>
        <v>0.078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HYPERLINK("http://141.218.60.56/~jnz1568/getInfo.php?workbook=20_05.xlsx&amp;sheet=U0&amp;row=1505&amp;col=6&amp;number=3.1&amp;sourceID=14","3.1")</f>
        <v>3.1</v>
      </c>
      <c r="G1505" s="4" t="str">
        <f>HYPERLINK("http://141.218.60.56/~jnz1568/getInfo.php?workbook=20_05.xlsx&amp;sheet=U0&amp;row=1505&amp;col=7&amp;number=0.078&amp;sourceID=14","0.078")</f>
        <v>0.078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HYPERLINK("http://141.218.60.56/~jnz1568/getInfo.php?workbook=20_05.xlsx&amp;sheet=U0&amp;row=1506&amp;col=6&amp;number=3.2&amp;sourceID=14","3.2")</f>
        <v>3.2</v>
      </c>
      <c r="G1506" s="4" t="str">
        <f>HYPERLINK("http://141.218.60.56/~jnz1568/getInfo.php?workbook=20_05.xlsx&amp;sheet=U0&amp;row=1506&amp;col=7&amp;number=0.078&amp;sourceID=14","0.078")</f>
        <v>0.078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HYPERLINK("http://141.218.60.56/~jnz1568/getInfo.php?workbook=20_05.xlsx&amp;sheet=U0&amp;row=1507&amp;col=6&amp;number=3.3&amp;sourceID=14","3.3")</f>
        <v>3.3</v>
      </c>
      <c r="G1507" s="4" t="str">
        <f>HYPERLINK("http://141.218.60.56/~jnz1568/getInfo.php?workbook=20_05.xlsx&amp;sheet=U0&amp;row=1507&amp;col=7&amp;number=0.078&amp;sourceID=14","0.078")</f>
        <v>0.078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HYPERLINK("http://141.218.60.56/~jnz1568/getInfo.php?workbook=20_05.xlsx&amp;sheet=U0&amp;row=1508&amp;col=6&amp;number=3.4&amp;sourceID=14","3.4")</f>
        <v>3.4</v>
      </c>
      <c r="G1508" s="4" t="str">
        <f>HYPERLINK("http://141.218.60.56/~jnz1568/getInfo.php?workbook=20_05.xlsx&amp;sheet=U0&amp;row=1508&amp;col=7&amp;number=0.078&amp;sourceID=14","0.078")</f>
        <v>0.078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HYPERLINK("http://141.218.60.56/~jnz1568/getInfo.php?workbook=20_05.xlsx&amp;sheet=U0&amp;row=1509&amp;col=6&amp;number=3.5&amp;sourceID=14","3.5")</f>
        <v>3.5</v>
      </c>
      <c r="G1509" s="4" t="str">
        <f>HYPERLINK("http://141.218.60.56/~jnz1568/getInfo.php?workbook=20_05.xlsx&amp;sheet=U0&amp;row=1509&amp;col=7&amp;number=0.078&amp;sourceID=14","0.078")</f>
        <v>0.078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HYPERLINK("http://141.218.60.56/~jnz1568/getInfo.php?workbook=20_05.xlsx&amp;sheet=U0&amp;row=1510&amp;col=6&amp;number=3.6&amp;sourceID=14","3.6")</f>
        <v>3.6</v>
      </c>
      <c r="G1510" s="4" t="str">
        <f>HYPERLINK("http://141.218.60.56/~jnz1568/getInfo.php?workbook=20_05.xlsx&amp;sheet=U0&amp;row=1510&amp;col=7&amp;number=0.0781&amp;sourceID=14","0.0781")</f>
        <v>0.0781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HYPERLINK("http://141.218.60.56/~jnz1568/getInfo.php?workbook=20_05.xlsx&amp;sheet=U0&amp;row=1511&amp;col=6&amp;number=3.7&amp;sourceID=14","3.7")</f>
        <v>3.7</v>
      </c>
      <c r="G1511" s="4" t="str">
        <f>HYPERLINK("http://141.218.60.56/~jnz1568/getInfo.php?workbook=20_05.xlsx&amp;sheet=U0&amp;row=1511&amp;col=7&amp;number=0.0781&amp;sourceID=14","0.0781")</f>
        <v>0.0781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HYPERLINK("http://141.218.60.56/~jnz1568/getInfo.php?workbook=20_05.xlsx&amp;sheet=U0&amp;row=1512&amp;col=6&amp;number=3.8&amp;sourceID=14","3.8")</f>
        <v>3.8</v>
      </c>
      <c r="G1512" s="4" t="str">
        <f>HYPERLINK("http://141.218.60.56/~jnz1568/getInfo.php?workbook=20_05.xlsx&amp;sheet=U0&amp;row=1512&amp;col=7&amp;number=0.0781&amp;sourceID=14","0.0781")</f>
        <v>0.0781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HYPERLINK("http://141.218.60.56/~jnz1568/getInfo.php?workbook=20_05.xlsx&amp;sheet=U0&amp;row=1513&amp;col=6&amp;number=3.9&amp;sourceID=14","3.9")</f>
        <v>3.9</v>
      </c>
      <c r="G1513" s="4" t="str">
        <f>HYPERLINK("http://141.218.60.56/~jnz1568/getInfo.php?workbook=20_05.xlsx&amp;sheet=U0&amp;row=1513&amp;col=7&amp;number=0.0781&amp;sourceID=14","0.0781")</f>
        <v>0.0781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HYPERLINK("http://141.218.60.56/~jnz1568/getInfo.php?workbook=20_05.xlsx&amp;sheet=U0&amp;row=1514&amp;col=6&amp;number=4&amp;sourceID=14","4")</f>
        <v>4</v>
      </c>
      <c r="G1514" s="4" t="str">
        <f>HYPERLINK("http://141.218.60.56/~jnz1568/getInfo.php?workbook=20_05.xlsx&amp;sheet=U0&amp;row=1514&amp;col=7&amp;number=0.0781&amp;sourceID=14","0.0781")</f>
        <v>0.0781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HYPERLINK("http://141.218.60.56/~jnz1568/getInfo.php?workbook=20_05.xlsx&amp;sheet=U0&amp;row=1515&amp;col=6&amp;number=4.1&amp;sourceID=14","4.1")</f>
        <v>4.1</v>
      </c>
      <c r="G1515" s="4" t="str">
        <f>HYPERLINK("http://141.218.60.56/~jnz1568/getInfo.php?workbook=20_05.xlsx&amp;sheet=U0&amp;row=1515&amp;col=7&amp;number=0.0782&amp;sourceID=14","0.0782")</f>
        <v>0.0782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HYPERLINK("http://141.218.60.56/~jnz1568/getInfo.php?workbook=20_05.xlsx&amp;sheet=U0&amp;row=1516&amp;col=6&amp;number=4.2&amp;sourceID=14","4.2")</f>
        <v>4.2</v>
      </c>
      <c r="G1516" s="4" t="str">
        <f>HYPERLINK("http://141.218.60.56/~jnz1568/getInfo.php?workbook=20_05.xlsx&amp;sheet=U0&amp;row=1516&amp;col=7&amp;number=0.0782&amp;sourceID=14","0.0782")</f>
        <v>0.0782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HYPERLINK("http://141.218.60.56/~jnz1568/getInfo.php?workbook=20_05.xlsx&amp;sheet=U0&amp;row=1517&amp;col=6&amp;number=4.3&amp;sourceID=14","4.3")</f>
        <v>4.3</v>
      </c>
      <c r="G1517" s="4" t="str">
        <f>HYPERLINK("http://141.218.60.56/~jnz1568/getInfo.php?workbook=20_05.xlsx&amp;sheet=U0&amp;row=1517&amp;col=7&amp;number=0.0783&amp;sourceID=14","0.0783")</f>
        <v>0.0783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HYPERLINK("http://141.218.60.56/~jnz1568/getInfo.php?workbook=20_05.xlsx&amp;sheet=U0&amp;row=1518&amp;col=6&amp;number=4.4&amp;sourceID=14","4.4")</f>
        <v>4.4</v>
      </c>
      <c r="G1518" s="4" t="str">
        <f>HYPERLINK("http://141.218.60.56/~jnz1568/getInfo.php?workbook=20_05.xlsx&amp;sheet=U0&amp;row=1518&amp;col=7&amp;number=0.0783&amp;sourceID=14","0.0783")</f>
        <v>0.0783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HYPERLINK("http://141.218.60.56/~jnz1568/getInfo.php?workbook=20_05.xlsx&amp;sheet=U0&amp;row=1519&amp;col=6&amp;number=4.5&amp;sourceID=14","4.5")</f>
        <v>4.5</v>
      </c>
      <c r="G1519" s="4" t="str">
        <f>HYPERLINK("http://141.218.60.56/~jnz1568/getInfo.php?workbook=20_05.xlsx&amp;sheet=U0&amp;row=1519&amp;col=7&amp;number=0.0784&amp;sourceID=14","0.0784")</f>
        <v>0.0784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HYPERLINK("http://141.218.60.56/~jnz1568/getInfo.php?workbook=20_05.xlsx&amp;sheet=U0&amp;row=1520&amp;col=6&amp;number=4.6&amp;sourceID=14","4.6")</f>
        <v>4.6</v>
      </c>
      <c r="G1520" s="4" t="str">
        <f>HYPERLINK("http://141.218.60.56/~jnz1568/getInfo.php?workbook=20_05.xlsx&amp;sheet=U0&amp;row=1520&amp;col=7&amp;number=0.0785&amp;sourceID=14","0.0785")</f>
        <v>0.0785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HYPERLINK("http://141.218.60.56/~jnz1568/getInfo.php?workbook=20_05.xlsx&amp;sheet=U0&amp;row=1521&amp;col=6&amp;number=4.7&amp;sourceID=14","4.7")</f>
        <v>4.7</v>
      </c>
      <c r="G1521" s="4" t="str">
        <f>HYPERLINK("http://141.218.60.56/~jnz1568/getInfo.php?workbook=20_05.xlsx&amp;sheet=U0&amp;row=1521&amp;col=7&amp;number=0.0786&amp;sourceID=14","0.0786")</f>
        <v>0.0786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HYPERLINK("http://141.218.60.56/~jnz1568/getInfo.php?workbook=20_05.xlsx&amp;sheet=U0&amp;row=1522&amp;col=6&amp;number=4.8&amp;sourceID=14","4.8")</f>
        <v>4.8</v>
      </c>
      <c r="G1522" s="4" t="str">
        <f>HYPERLINK("http://141.218.60.56/~jnz1568/getInfo.php?workbook=20_05.xlsx&amp;sheet=U0&amp;row=1522&amp;col=7&amp;number=0.0788&amp;sourceID=14","0.0788")</f>
        <v>0.0788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HYPERLINK("http://141.218.60.56/~jnz1568/getInfo.php?workbook=20_05.xlsx&amp;sheet=U0&amp;row=1523&amp;col=6&amp;number=4.9&amp;sourceID=14","4.9")</f>
        <v>4.9</v>
      </c>
      <c r="G1523" s="4" t="str">
        <f>HYPERLINK("http://141.218.60.56/~jnz1568/getInfo.php?workbook=20_05.xlsx&amp;sheet=U0&amp;row=1523&amp;col=7&amp;number=0.079&amp;sourceID=14","0.079")</f>
        <v>0.079</v>
      </c>
    </row>
    <row r="1524" spans="1:7">
      <c r="A1524" s="3">
        <v>20</v>
      </c>
      <c r="B1524" s="3">
        <v>5</v>
      </c>
      <c r="C1524" s="3">
        <v>1</v>
      </c>
      <c r="D1524" s="3">
        <v>32</v>
      </c>
      <c r="E1524" s="3">
        <v>1</v>
      </c>
      <c r="F1524" s="4" t="str">
        <f>HYPERLINK("http://141.218.60.56/~jnz1568/getInfo.php?workbook=20_05.xlsx&amp;sheet=U0&amp;row=1524&amp;col=6&amp;number=3&amp;sourceID=14","3")</f>
        <v>3</v>
      </c>
      <c r="G1524" s="4" t="str">
        <f>HYPERLINK("http://141.218.60.56/~jnz1568/getInfo.php?workbook=20_05.xlsx&amp;sheet=U0&amp;row=1524&amp;col=7&amp;number=0.00207&amp;sourceID=14","0.00207")</f>
        <v>0.00207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HYPERLINK("http://141.218.60.56/~jnz1568/getInfo.php?workbook=20_05.xlsx&amp;sheet=U0&amp;row=1525&amp;col=6&amp;number=3.1&amp;sourceID=14","3.1")</f>
        <v>3.1</v>
      </c>
      <c r="G1525" s="4" t="str">
        <f>HYPERLINK("http://141.218.60.56/~jnz1568/getInfo.php?workbook=20_05.xlsx&amp;sheet=U0&amp;row=1525&amp;col=7&amp;number=0.00207&amp;sourceID=14","0.00207")</f>
        <v>0.00207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HYPERLINK("http://141.218.60.56/~jnz1568/getInfo.php?workbook=20_05.xlsx&amp;sheet=U0&amp;row=1526&amp;col=6&amp;number=3.2&amp;sourceID=14","3.2")</f>
        <v>3.2</v>
      </c>
      <c r="G1526" s="4" t="str">
        <f>HYPERLINK("http://141.218.60.56/~jnz1568/getInfo.php?workbook=20_05.xlsx&amp;sheet=U0&amp;row=1526&amp;col=7&amp;number=0.00207&amp;sourceID=14","0.00207")</f>
        <v>0.00207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HYPERLINK("http://141.218.60.56/~jnz1568/getInfo.php?workbook=20_05.xlsx&amp;sheet=U0&amp;row=1527&amp;col=6&amp;number=3.3&amp;sourceID=14","3.3")</f>
        <v>3.3</v>
      </c>
      <c r="G1527" s="4" t="str">
        <f>HYPERLINK("http://141.218.60.56/~jnz1568/getInfo.php?workbook=20_05.xlsx&amp;sheet=U0&amp;row=1527&amp;col=7&amp;number=0.00207&amp;sourceID=14","0.00207")</f>
        <v>0.00207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HYPERLINK("http://141.218.60.56/~jnz1568/getInfo.php?workbook=20_05.xlsx&amp;sheet=U0&amp;row=1528&amp;col=6&amp;number=3.4&amp;sourceID=14","3.4")</f>
        <v>3.4</v>
      </c>
      <c r="G1528" s="4" t="str">
        <f>HYPERLINK("http://141.218.60.56/~jnz1568/getInfo.php?workbook=20_05.xlsx&amp;sheet=U0&amp;row=1528&amp;col=7&amp;number=0.00207&amp;sourceID=14","0.00207")</f>
        <v>0.00207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HYPERLINK("http://141.218.60.56/~jnz1568/getInfo.php?workbook=20_05.xlsx&amp;sheet=U0&amp;row=1529&amp;col=6&amp;number=3.5&amp;sourceID=14","3.5")</f>
        <v>3.5</v>
      </c>
      <c r="G1529" s="4" t="str">
        <f>HYPERLINK("http://141.218.60.56/~jnz1568/getInfo.php?workbook=20_05.xlsx&amp;sheet=U0&amp;row=1529&amp;col=7&amp;number=0.00207&amp;sourceID=14","0.00207")</f>
        <v>0.00207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HYPERLINK("http://141.218.60.56/~jnz1568/getInfo.php?workbook=20_05.xlsx&amp;sheet=U0&amp;row=1530&amp;col=6&amp;number=3.6&amp;sourceID=14","3.6")</f>
        <v>3.6</v>
      </c>
      <c r="G1530" s="4" t="str">
        <f>HYPERLINK("http://141.218.60.56/~jnz1568/getInfo.php?workbook=20_05.xlsx&amp;sheet=U0&amp;row=1530&amp;col=7&amp;number=0.00207&amp;sourceID=14","0.00207")</f>
        <v>0.00207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HYPERLINK("http://141.218.60.56/~jnz1568/getInfo.php?workbook=20_05.xlsx&amp;sheet=U0&amp;row=1531&amp;col=6&amp;number=3.7&amp;sourceID=14","3.7")</f>
        <v>3.7</v>
      </c>
      <c r="G1531" s="4" t="str">
        <f>HYPERLINK("http://141.218.60.56/~jnz1568/getInfo.php?workbook=20_05.xlsx&amp;sheet=U0&amp;row=1531&amp;col=7&amp;number=0.00207&amp;sourceID=14","0.00207")</f>
        <v>0.00207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HYPERLINK("http://141.218.60.56/~jnz1568/getInfo.php?workbook=20_05.xlsx&amp;sheet=U0&amp;row=1532&amp;col=6&amp;number=3.8&amp;sourceID=14","3.8")</f>
        <v>3.8</v>
      </c>
      <c r="G1532" s="4" t="str">
        <f>HYPERLINK("http://141.218.60.56/~jnz1568/getInfo.php?workbook=20_05.xlsx&amp;sheet=U0&amp;row=1532&amp;col=7&amp;number=0.00207&amp;sourceID=14","0.00207")</f>
        <v>0.00207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HYPERLINK("http://141.218.60.56/~jnz1568/getInfo.php?workbook=20_05.xlsx&amp;sheet=U0&amp;row=1533&amp;col=6&amp;number=3.9&amp;sourceID=14","3.9")</f>
        <v>3.9</v>
      </c>
      <c r="G1533" s="4" t="str">
        <f>HYPERLINK("http://141.218.60.56/~jnz1568/getInfo.php?workbook=20_05.xlsx&amp;sheet=U0&amp;row=1533&amp;col=7&amp;number=0.00207&amp;sourceID=14","0.00207")</f>
        <v>0.00207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HYPERLINK("http://141.218.60.56/~jnz1568/getInfo.php?workbook=20_05.xlsx&amp;sheet=U0&amp;row=1534&amp;col=6&amp;number=4&amp;sourceID=14","4")</f>
        <v>4</v>
      </c>
      <c r="G1534" s="4" t="str">
        <f>HYPERLINK("http://141.218.60.56/~jnz1568/getInfo.php?workbook=20_05.xlsx&amp;sheet=U0&amp;row=1534&amp;col=7&amp;number=0.00207&amp;sourceID=14","0.00207")</f>
        <v>0.00207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HYPERLINK("http://141.218.60.56/~jnz1568/getInfo.php?workbook=20_05.xlsx&amp;sheet=U0&amp;row=1535&amp;col=6&amp;number=4.1&amp;sourceID=14","4.1")</f>
        <v>4.1</v>
      </c>
      <c r="G1535" s="4" t="str">
        <f>HYPERLINK("http://141.218.60.56/~jnz1568/getInfo.php?workbook=20_05.xlsx&amp;sheet=U0&amp;row=1535&amp;col=7&amp;number=0.00207&amp;sourceID=14","0.00207")</f>
        <v>0.00207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HYPERLINK("http://141.218.60.56/~jnz1568/getInfo.php?workbook=20_05.xlsx&amp;sheet=U0&amp;row=1536&amp;col=6&amp;number=4.2&amp;sourceID=14","4.2")</f>
        <v>4.2</v>
      </c>
      <c r="G1536" s="4" t="str">
        <f>HYPERLINK("http://141.218.60.56/~jnz1568/getInfo.php?workbook=20_05.xlsx&amp;sheet=U0&amp;row=1536&amp;col=7&amp;number=0.00207&amp;sourceID=14","0.00207")</f>
        <v>0.00207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HYPERLINK("http://141.218.60.56/~jnz1568/getInfo.php?workbook=20_05.xlsx&amp;sheet=U0&amp;row=1537&amp;col=6&amp;number=4.3&amp;sourceID=14","4.3")</f>
        <v>4.3</v>
      </c>
      <c r="G1537" s="4" t="str">
        <f>HYPERLINK("http://141.218.60.56/~jnz1568/getInfo.php?workbook=20_05.xlsx&amp;sheet=U0&amp;row=1537&amp;col=7&amp;number=0.00207&amp;sourceID=14","0.00207")</f>
        <v>0.00207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HYPERLINK("http://141.218.60.56/~jnz1568/getInfo.php?workbook=20_05.xlsx&amp;sheet=U0&amp;row=1538&amp;col=6&amp;number=4.4&amp;sourceID=14","4.4")</f>
        <v>4.4</v>
      </c>
      <c r="G1538" s="4" t="str">
        <f>HYPERLINK("http://141.218.60.56/~jnz1568/getInfo.php?workbook=20_05.xlsx&amp;sheet=U0&amp;row=1538&amp;col=7&amp;number=0.00207&amp;sourceID=14","0.00207")</f>
        <v>0.00207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HYPERLINK("http://141.218.60.56/~jnz1568/getInfo.php?workbook=20_05.xlsx&amp;sheet=U0&amp;row=1539&amp;col=6&amp;number=4.5&amp;sourceID=14","4.5")</f>
        <v>4.5</v>
      </c>
      <c r="G1539" s="4" t="str">
        <f>HYPERLINK("http://141.218.60.56/~jnz1568/getInfo.php?workbook=20_05.xlsx&amp;sheet=U0&amp;row=1539&amp;col=7&amp;number=0.00207&amp;sourceID=14","0.00207")</f>
        <v>0.00207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HYPERLINK("http://141.218.60.56/~jnz1568/getInfo.php?workbook=20_05.xlsx&amp;sheet=U0&amp;row=1540&amp;col=6&amp;number=4.6&amp;sourceID=14","4.6")</f>
        <v>4.6</v>
      </c>
      <c r="G1540" s="4" t="str">
        <f>HYPERLINK("http://141.218.60.56/~jnz1568/getInfo.php?workbook=20_05.xlsx&amp;sheet=U0&amp;row=1540&amp;col=7&amp;number=0.00206&amp;sourceID=14","0.00206")</f>
        <v>0.00206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HYPERLINK("http://141.218.60.56/~jnz1568/getInfo.php?workbook=20_05.xlsx&amp;sheet=U0&amp;row=1541&amp;col=6&amp;number=4.7&amp;sourceID=14","4.7")</f>
        <v>4.7</v>
      </c>
      <c r="G1541" s="4" t="str">
        <f>HYPERLINK("http://141.218.60.56/~jnz1568/getInfo.php?workbook=20_05.xlsx&amp;sheet=U0&amp;row=1541&amp;col=7&amp;number=0.00206&amp;sourceID=14","0.00206")</f>
        <v>0.00206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HYPERLINK("http://141.218.60.56/~jnz1568/getInfo.php?workbook=20_05.xlsx&amp;sheet=U0&amp;row=1542&amp;col=6&amp;number=4.8&amp;sourceID=14","4.8")</f>
        <v>4.8</v>
      </c>
      <c r="G1542" s="4" t="str">
        <f>HYPERLINK("http://141.218.60.56/~jnz1568/getInfo.php?workbook=20_05.xlsx&amp;sheet=U0&amp;row=1542&amp;col=7&amp;number=0.00206&amp;sourceID=14","0.00206")</f>
        <v>0.00206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HYPERLINK("http://141.218.60.56/~jnz1568/getInfo.php?workbook=20_05.xlsx&amp;sheet=U0&amp;row=1543&amp;col=6&amp;number=4.9&amp;sourceID=14","4.9")</f>
        <v>4.9</v>
      </c>
      <c r="G1543" s="4" t="str">
        <f>HYPERLINK("http://141.218.60.56/~jnz1568/getInfo.php?workbook=20_05.xlsx&amp;sheet=U0&amp;row=1543&amp;col=7&amp;number=0.00206&amp;sourceID=14","0.00206")</f>
        <v>0.00206</v>
      </c>
    </row>
    <row r="1544" spans="1:7">
      <c r="A1544" s="3">
        <v>20</v>
      </c>
      <c r="B1544" s="3">
        <v>5</v>
      </c>
      <c r="C1544" s="3">
        <v>1</v>
      </c>
      <c r="D1544" s="3">
        <v>33</v>
      </c>
      <c r="E1544" s="3">
        <v>1</v>
      </c>
      <c r="F1544" s="4" t="str">
        <f>HYPERLINK("http://141.218.60.56/~jnz1568/getInfo.php?workbook=20_05.xlsx&amp;sheet=U0&amp;row=1544&amp;col=6&amp;number=3&amp;sourceID=14","3")</f>
        <v>3</v>
      </c>
      <c r="G1544" s="4" t="str">
        <f>HYPERLINK("http://141.218.60.56/~jnz1568/getInfo.php?workbook=20_05.xlsx&amp;sheet=U0&amp;row=1544&amp;col=7&amp;number=0.00327&amp;sourceID=14","0.00327")</f>
        <v>0.00327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HYPERLINK("http://141.218.60.56/~jnz1568/getInfo.php?workbook=20_05.xlsx&amp;sheet=U0&amp;row=1545&amp;col=6&amp;number=3.1&amp;sourceID=14","3.1")</f>
        <v>3.1</v>
      </c>
      <c r="G1545" s="4" t="str">
        <f>HYPERLINK("http://141.218.60.56/~jnz1568/getInfo.php?workbook=20_05.xlsx&amp;sheet=U0&amp;row=1545&amp;col=7&amp;number=0.00327&amp;sourceID=14","0.00327")</f>
        <v>0.00327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HYPERLINK("http://141.218.60.56/~jnz1568/getInfo.php?workbook=20_05.xlsx&amp;sheet=U0&amp;row=1546&amp;col=6&amp;number=3.2&amp;sourceID=14","3.2")</f>
        <v>3.2</v>
      </c>
      <c r="G1546" s="4" t="str">
        <f>HYPERLINK("http://141.218.60.56/~jnz1568/getInfo.php?workbook=20_05.xlsx&amp;sheet=U0&amp;row=1546&amp;col=7&amp;number=0.00327&amp;sourceID=14","0.00327")</f>
        <v>0.00327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HYPERLINK("http://141.218.60.56/~jnz1568/getInfo.php?workbook=20_05.xlsx&amp;sheet=U0&amp;row=1547&amp;col=6&amp;number=3.3&amp;sourceID=14","3.3")</f>
        <v>3.3</v>
      </c>
      <c r="G1547" s="4" t="str">
        <f>HYPERLINK("http://141.218.60.56/~jnz1568/getInfo.php?workbook=20_05.xlsx&amp;sheet=U0&amp;row=1547&amp;col=7&amp;number=0.00327&amp;sourceID=14","0.00327")</f>
        <v>0.00327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HYPERLINK("http://141.218.60.56/~jnz1568/getInfo.php?workbook=20_05.xlsx&amp;sheet=U0&amp;row=1548&amp;col=6&amp;number=3.4&amp;sourceID=14","3.4")</f>
        <v>3.4</v>
      </c>
      <c r="G1548" s="4" t="str">
        <f>HYPERLINK("http://141.218.60.56/~jnz1568/getInfo.php?workbook=20_05.xlsx&amp;sheet=U0&amp;row=1548&amp;col=7&amp;number=0.00327&amp;sourceID=14","0.00327")</f>
        <v>0.00327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HYPERLINK("http://141.218.60.56/~jnz1568/getInfo.php?workbook=20_05.xlsx&amp;sheet=U0&amp;row=1549&amp;col=6&amp;number=3.5&amp;sourceID=14","3.5")</f>
        <v>3.5</v>
      </c>
      <c r="G1549" s="4" t="str">
        <f>HYPERLINK("http://141.218.60.56/~jnz1568/getInfo.php?workbook=20_05.xlsx&amp;sheet=U0&amp;row=1549&amp;col=7&amp;number=0.00327&amp;sourceID=14","0.00327")</f>
        <v>0.00327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HYPERLINK("http://141.218.60.56/~jnz1568/getInfo.php?workbook=20_05.xlsx&amp;sheet=U0&amp;row=1550&amp;col=6&amp;number=3.6&amp;sourceID=14","3.6")</f>
        <v>3.6</v>
      </c>
      <c r="G1550" s="4" t="str">
        <f>HYPERLINK("http://141.218.60.56/~jnz1568/getInfo.php?workbook=20_05.xlsx&amp;sheet=U0&amp;row=1550&amp;col=7&amp;number=0.00327&amp;sourceID=14","0.00327")</f>
        <v>0.00327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HYPERLINK("http://141.218.60.56/~jnz1568/getInfo.php?workbook=20_05.xlsx&amp;sheet=U0&amp;row=1551&amp;col=6&amp;number=3.7&amp;sourceID=14","3.7")</f>
        <v>3.7</v>
      </c>
      <c r="G1551" s="4" t="str">
        <f>HYPERLINK("http://141.218.60.56/~jnz1568/getInfo.php?workbook=20_05.xlsx&amp;sheet=U0&amp;row=1551&amp;col=7&amp;number=0.00327&amp;sourceID=14","0.00327")</f>
        <v>0.00327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HYPERLINK("http://141.218.60.56/~jnz1568/getInfo.php?workbook=20_05.xlsx&amp;sheet=U0&amp;row=1552&amp;col=6&amp;number=3.8&amp;sourceID=14","3.8")</f>
        <v>3.8</v>
      </c>
      <c r="G1552" s="4" t="str">
        <f>HYPERLINK("http://141.218.60.56/~jnz1568/getInfo.php?workbook=20_05.xlsx&amp;sheet=U0&amp;row=1552&amp;col=7&amp;number=0.00328&amp;sourceID=14","0.00328")</f>
        <v>0.00328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HYPERLINK("http://141.218.60.56/~jnz1568/getInfo.php?workbook=20_05.xlsx&amp;sheet=U0&amp;row=1553&amp;col=6&amp;number=3.9&amp;sourceID=14","3.9")</f>
        <v>3.9</v>
      </c>
      <c r="G1553" s="4" t="str">
        <f>HYPERLINK("http://141.218.60.56/~jnz1568/getInfo.php?workbook=20_05.xlsx&amp;sheet=U0&amp;row=1553&amp;col=7&amp;number=0.00328&amp;sourceID=14","0.00328")</f>
        <v>0.00328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HYPERLINK("http://141.218.60.56/~jnz1568/getInfo.php?workbook=20_05.xlsx&amp;sheet=U0&amp;row=1554&amp;col=6&amp;number=4&amp;sourceID=14","4")</f>
        <v>4</v>
      </c>
      <c r="G1554" s="4" t="str">
        <f>HYPERLINK("http://141.218.60.56/~jnz1568/getInfo.php?workbook=20_05.xlsx&amp;sheet=U0&amp;row=1554&amp;col=7&amp;number=0.00328&amp;sourceID=14","0.00328")</f>
        <v>0.00328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HYPERLINK("http://141.218.60.56/~jnz1568/getInfo.php?workbook=20_05.xlsx&amp;sheet=U0&amp;row=1555&amp;col=6&amp;number=4.1&amp;sourceID=14","4.1")</f>
        <v>4.1</v>
      </c>
      <c r="G1555" s="4" t="str">
        <f>HYPERLINK("http://141.218.60.56/~jnz1568/getInfo.php?workbook=20_05.xlsx&amp;sheet=U0&amp;row=1555&amp;col=7&amp;number=0.00328&amp;sourceID=14","0.00328")</f>
        <v>0.00328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HYPERLINK("http://141.218.60.56/~jnz1568/getInfo.php?workbook=20_05.xlsx&amp;sheet=U0&amp;row=1556&amp;col=6&amp;number=4.2&amp;sourceID=14","4.2")</f>
        <v>4.2</v>
      </c>
      <c r="G1556" s="4" t="str">
        <f>HYPERLINK("http://141.218.60.56/~jnz1568/getInfo.php?workbook=20_05.xlsx&amp;sheet=U0&amp;row=1556&amp;col=7&amp;number=0.00329&amp;sourceID=14","0.00329")</f>
        <v>0.00329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HYPERLINK("http://141.218.60.56/~jnz1568/getInfo.php?workbook=20_05.xlsx&amp;sheet=U0&amp;row=1557&amp;col=6&amp;number=4.3&amp;sourceID=14","4.3")</f>
        <v>4.3</v>
      </c>
      <c r="G1557" s="4" t="str">
        <f>HYPERLINK("http://141.218.60.56/~jnz1568/getInfo.php?workbook=20_05.xlsx&amp;sheet=U0&amp;row=1557&amp;col=7&amp;number=0.00329&amp;sourceID=14","0.00329")</f>
        <v>0.00329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HYPERLINK("http://141.218.60.56/~jnz1568/getInfo.php?workbook=20_05.xlsx&amp;sheet=U0&amp;row=1558&amp;col=6&amp;number=4.4&amp;sourceID=14","4.4")</f>
        <v>4.4</v>
      </c>
      <c r="G1558" s="4" t="str">
        <f>HYPERLINK("http://141.218.60.56/~jnz1568/getInfo.php?workbook=20_05.xlsx&amp;sheet=U0&amp;row=1558&amp;col=7&amp;number=0.00329&amp;sourceID=14","0.00329")</f>
        <v>0.00329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HYPERLINK("http://141.218.60.56/~jnz1568/getInfo.php?workbook=20_05.xlsx&amp;sheet=U0&amp;row=1559&amp;col=6&amp;number=4.5&amp;sourceID=14","4.5")</f>
        <v>4.5</v>
      </c>
      <c r="G1559" s="4" t="str">
        <f>HYPERLINK("http://141.218.60.56/~jnz1568/getInfo.php?workbook=20_05.xlsx&amp;sheet=U0&amp;row=1559&amp;col=7&amp;number=0.0033&amp;sourceID=14","0.0033")</f>
        <v>0.0033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HYPERLINK("http://141.218.60.56/~jnz1568/getInfo.php?workbook=20_05.xlsx&amp;sheet=U0&amp;row=1560&amp;col=6&amp;number=4.6&amp;sourceID=14","4.6")</f>
        <v>4.6</v>
      </c>
      <c r="G1560" s="4" t="str">
        <f>HYPERLINK("http://141.218.60.56/~jnz1568/getInfo.php?workbook=20_05.xlsx&amp;sheet=U0&amp;row=1560&amp;col=7&amp;number=0.00331&amp;sourceID=14","0.00331")</f>
        <v>0.00331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HYPERLINK("http://141.218.60.56/~jnz1568/getInfo.php?workbook=20_05.xlsx&amp;sheet=U0&amp;row=1561&amp;col=6&amp;number=4.7&amp;sourceID=14","4.7")</f>
        <v>4.7</v>
      </c>
      <c r="G1561" s="4" t="str">
        <f>HYPERLINK("http://141.218.60.56/~jnz1568/getInfo.php?workbook=20_05.xlsx&amp;sheet=U0&amp;row=1561&amp;col=7&amp;number=0.00332&amp;sourceID=14","0.00332")</f>
        <v>0.00332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HYPERLINK("http://141.218.60.56/~jnz1568/getInfo.php?workbook=20_05.xlsx&amp;sheet=U0&amp;row=1562&amp;col=6&amp;number=4.8&amp;sourceID=14","4.8")</f>
        <v>4.8</v>
      </c>
      <c r="G1562" s="4" t="str">
        <f>HYPERLINK("http://141.218.60.56/~jnz1568/getInfo.php?workbook=20_05.xlsx&amp;sheet=U0&amp;row=1562&amp;col=7&amp;number=0.00333&amp;sourceID=14","0.00333")</f>
        <v>0.00333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HYPERLINK("http://141.218.60.56/~jnz1568/getInfo.php?workbook=20_05.xlsx&amp;sheet=U0&amp;row=1563&amp;col=6&amp;number=4.9&amp;sourceID=14","4.9")</f>
        <v>4.9</v>
      </c>
      <c r="G1563" s="4" t="str">
        <f>HYPERLINK("http://141.218.60.56/~jnz1568/getInfo.php?workbook=20_05.xlsx&amp;sheet=U0&amp;row=1563&amp;col=7&amp;number=0.00335&amp;sourceID=14","0.00335")</f>
        <v>0.00335</v>
      </c>
    </row>
    <row r="1564" spans="1:7">
      <c r="A1564" s="3">
        <v>20</v>
      </c>
      <c r="B1564" s="3">
        <v>5</v>
      </c>
      <c r="C1564" s="3">
        <v>1</v>
      </c>
      <c r="D1564" s="3">
        <v>34</v>
      </c>
      <c r="E1564" s="3">
        <v>1</v>
      </c>
      <c r="F1564" s="4" t="str">
        <f>HYPERLINK("http://141.218.60.56/~jnz1568/getInfo.php?workbook=20_05.xlsx&amp;sheet=U0&amp;row=1564&amp;col=6&amp;number=3&amp;sourceID=14","3")</f>
        <v>3</v>
      </c>
      <c r="G1564" s="4" t="str">
        <f>HYPERLINK("http://141.218.60.56/~jnz1568/getInfo.php?workbook=20_05.xlsx&amp;sheet=U0&amp;row=1564&amp;col=7&amp;number=0.00177&amp;sourceID=14","0.00177")</f>
        <v>0.00177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HYPERLINK("http://141.218.60.56/~jnz1568/getInfo.php?workbook=20_05.xlsx&amp;sheet=U0&amp;row=1565&amp;col=6&amp;number=3.1&amp;sourceID=14","3.1")</f>
        <v>3.1</v>
      </c>
      <c r="G1565" s="4" t="str">
        <f>HYPERLINK("http://141.218.60.56/~jnz1568/getInfo.php?workbook=20_05.xlsx&amp;sheet=U0&amp;row=1565&amp;col=7&amp;number=0.00177&amp;sourceID=14","0.00177")</f>
        <v>0.00177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HYPERLINK("http://141.218.60.56/~jnz1568/getInfo.php?workbook=20_05.xlsx&amp;sheet=U0&amp;row=1566&amp;col=6&amp;number=3.2&amp;sourceID=14","3.2")</f>
        <v>3.2</v>
      </c>
      <c r="G1566" s="4" t="str">
        <f>HYPERLINK("http://141.218.60.56/~jnz1568/getInfo.php?workbook=20_05.xlsx&amp;sheet=U0&amp;row=1566&amp;col=7&amp;number=0.00177&amp;sourceID=14","0.00177")</f>
        <v>0.00177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HYPERLINK("http://141.218.60.56/~jnz1568/getInfo.php?workbook=20_05.xlsx&amp;sheet=U0&amp;row=1567&amp;col=6&amp;number=3.3&amp;sourceID=14","3.3")</f>
        <v>3.3</v>
      </c>
      <c r="G1567" s="4" t="str">
        <f>HYPERLINK("http://141.218.60.56/~jnz1568/getInfo.php?workbook=20_05.xlsx&amp;sheet=U0&amp;row=1567&amp;col=7&amp;number=0.00177&amp;sourceID=14","0.00177")</f>
        <v>0.00177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HYPERLINK("http://141.218.60.56/~jnz1568/getInfo.php?workbook=20_05.xlsx&amp;sheet=U0&amp;row=1568&amp;col=6&amp;number=3.4&amp;sourceID=14","3.4")</f>
        <v>3.4</v>
      </c>
      <c r="G1568" s="4" t="str">
        <f>HYPERLINK("http://141.218.60.56/~jnz1568/getInfo.php?workbook=20_05.xlsx&amp;sheet=U0&amp;row=1568&amp;col=7&amp;number=0.00177&amp;sourceID=14","0.00177")</f>
        <v>0.00177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HYPERLINK("http://141.218.60.56/~jnz1568/getInfo.php?workbook=20_05.xlsx&amp;sheet=U0&amp;row=1569&amp;col=6&amp;number=3.5&amp;sourceID=14","3.5")</f>
        <v>3.5</v>
      </c>
      <c r="G1569" s="4" t="str">
        <f>HYPERLINK("http://141.218.60.56/~jnz1568/getInfo.php?workbook=20_05.xlsx&amp;sheet=U0&amp;row=1569&amp;col=7&amp;number=0.00177&amp;sourceID=14","0.00177")</f>
        <v>0.00177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HYPERLINK("http://141.218.60.56/~jnz1568/getInfo.php?workbook=20_05.xlsx&amp;sheet=U0&amp;row=1570&amp;col=6&amp;number=3.6&amp;sourceID=14","3.6")</f>
        <v>3.6</v>
      </c>
      <c r="G1570" s="4" t="str">
        <f>HYPERLINK("http://141.218.60.56/~jnz1568/getInfo.php?workbook=20_05.xlsx&amp;sheet=U0&amp;row=1570&amp;col=7&amp;number=0.00177&amp;sourceID=14","0.00177")</f>
        <v>0.00177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HYPERLINK("http://141.218.60.56/~jnz1568/getInfo.php?workbook=20_05.xlsx&amp;sheet=U0&amp;row=1571&amp;col=6&amp;number=3.7&amp;sourceID=14","3.7")</f>
        <v>3.7</v>
      </c>
      <c r="G1571" s="4" t="str">
        <f>HYPERLINK("http://141.218.60.56/~jnz1568/getInfo.php?workbook=20_05.xlsx&amp;sheet=U0&amp;row=1571&amp;col=7&amp;number=0.00177&amp;sourceID=14","0.00177")</f>
        <v>0.00177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HYPERLINK("http://141.218.60.56/~jnz1568/getInfo.php?workbook=20_05.xlsx&amp;sheet=U0&amp;row=1572&amp;col=6&amp;number=3.8&amp;sourceID=14","3.8")</f>
        <v>3.8</v>
      </c>
      <c r="G1572" s="4" t="str">
        <f>HYPERLINK("http://141.218.60.56/~jnz1568/getInfo.php?workbook=20_05.xlsx&amp;sheet=U0&amp;row=1572&amp;col=7&amp;number=0.00177&amp;sourceID=14","0.00177")</f>
        <v>0.00177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HYPERLINK("http://141.218.60.56/~jnz1568/getInfo.php?workbook=20_05.xlsx&amp;sheet=U0&amp;row=1573&amp;col=6&amp;number=3.9&amp;sourceID=14","3.9")</f>
        <v>3.9</v>
      </c>
      <c r="G1573" s="4" t="str">
        <f>HYPERLINK("http://141.218.60.56/~jnz1568/getInfo.php?workbook=20_05.xlsx&amp;sheet=U0&amp;row=1573&amp;col=7&amp;number=0.00177&amp;sourceID=14","0.00177")</f>
        <v>0.00177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HYPERLINK("http://141.218.60.56/~jnz1568/getInfo.php?workbook=20_05.xlsx&amp;sheet=U0&amp;row=1574&amp;col=6&amp;number=4&amp;sourceID=14","4")</f>
        <v>4</v>
      </c>
      <c r="G1574" s="4" t="str">
        <f>HYPERLINK("http://141.218.60.56/~jnz1568/getInfo.php?workbook=20_05.xlsx&amp;sheet=U0&amp;row=1574&amp;col=7&amp;number=0.00177&amp;sourceID=14","0.00177")</f>
        <v>0.00177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HYPERLINK("http://141.218.60.56/~jnz1568/getInfo.php?workbook=20_05.xlsx&amp;sheet=U0&amp;row=1575&amp;col=6&amp;number=4.1&amp;sourceID=14","4.1")</f>
        <v>4.1</v>
      </c>
      <c r="G1575" s="4" t="str">
        <f>HYPERLINK("http://141.218.60.56/~jnz1568/getInfo.php?workbook=20_05.xlsx&amp;sheet=U0&amp;row=1575&amp;col=7&amp;number=0.00177&amp;sourceID=14","0.00177")</f>
        <v>0.00177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HYPERLINK("http://141.218.60.56/~jnz1568/getInfo.php?workbook=20_05.xlsx&amp;sheet=U0&amp;row=1576&amp;col=6&amp;number=4.2&amp;sourceID=14","4.2")</f>
        <v>4.2</v>
      </c>
      <c r="G1576" s="4" t="str">
        <f>HYPERLINK("http://141.218.60.56/~jnz1568/getInfo.php?workbook=20_05.xlsx&amp;sheet=U0&amp;row=1576&amp;col=7&amp;number=0.00177&amp;sourceID=14","0.00177")</f>
        <v>0.00177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HYPERLINK("http://141.218.60.56/~jnz1568/getInfo.php?workbook=20_05.xlsx&amp;sheet=U0&amp;row=1577&amp;col=6&amp;number=4.3&amp;sourceID=14","4.3")</f>
        <v>4.3</v>
      </c>
      <c r="G1577" s="4" t="str">
        <f>HYPERLINK("http://141.218.60.56/~jnz1568/getInfo.php?workbook=20_05.xlsx&amp;sheet=U0&amp;row=1577&amp;col=7&amp;number=0.00177&amp;sourceID=14","0.00177")</f>
        <v>0.00177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HYPERLINK("http://141.218.60.56/~jnz1568/getInfo.php?workbook=20_05.xlsx&amp;sheet=U0&amp;row=1578&amp;col=6&amp;number=4.4&amp;sourceID=14","4.4")</f>
        <v>4.4</v>
      </c>
      <c r="G1578" s="4" t="str">
        <f>HYPERLINK("http://141.218.60.56/~jnz1568/getInfo.php?workbook=20_05.xlsx&amp;sheet=U0&amp;row=1578&amp;col=7&amp;number=0.00178&amp;sourceID=14","0.00178")</f>
        <v>0.00178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HYPERLINK("http://141.218.60.56/~jnz1568/getInfo.php?workbook=20_05.xlsx&amp;sheet=U0&amp;row=1579&amp;col=6&amp;number=4.5&amp;sourceID=14","4.5")</f>
        <v>4.5</v>
      </c>
      <c r="G1579" s="4" t="str">
        <f>HYPERLINK("http://141.218.60.56/~jnz1568/getInfo.php?workbook=20_05.xlsx&amp;sheet=U0&amp;row=1579&amp;col=7&amp;number=0.00178&amp;sourceID=14","0.00178")</f>
        <v>0.00178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HYPERLINK("http://141.218.60.56/~jnz1568/getInfo.php?workbook=20_05.xlsx&amp;sheet=U0&amp;row=1580&amp;col=6&amp;number=4.6&amp;sourceID=14","4.6")</f>
        <v>4.6</v>
      </c>
      <c r="G1580" s="4" t="str">
        <f>HYPERLINK("http://141.218.60.56/~jnz1568/getInfo.php?workbook=20_05.xlsx&amp;sheet=U0&amp;row=1580&amp;col=7&amp;number=0.00178&amp;sourceID=14","0.00178")</f>
        <v>0.00178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HYPERLINK("http://141.218.60.56/~jnz1568/getInfo.php?workbook=20_05.xlsx&amp;sheet=U0&amp;row=1581&amp;col=6&amp;number=4.7&amp;sourceID=14","4.7")</f>
        <v>4.7</v>
      </c>
      <c r="G1581" s="4" t="str">
        <f>HYPERLINK("http://141.218.60.56/~jnz1568/getInfo.php?workbook=20_05.xlsx&amp;sheet=U0&amp;row=1581&amp;col=7&amp;number=0.00178&amp;sourceID=14","0.00178")</f>
        <v>0.00178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HYPERLINK("http://141.218.60.56/~jnz1568/getInfo.php?workbook=20_05.xlsx&amp;sheet=U0&amp;row=1582&amp;col=6&amp;number=4.8&amp;sourceID=14","4.8")</f>
        <v>4.8</v>
      </c>
      <c r="G1582" s="4" t="str">
        <f>HYPERLINK("http://141.218.60.56/~jnz1568/getInfo.php?workbook=20_05.xlsx&amp;sheet=U0&amp;row=1582&amp;col=7&amp;number=0.00179&amp;sourceID=14","0.00179")</f>
        <v>0.00179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HYPERLINK("http://141.218.60.56/~jnz1568/getInfo.php?workbook=20_05.xlsx&amp;sheet=U0&amp;row=1583&amp;col=6&amp;number=4.9&amp;sourceID=14","4.9")</f>
        <v>4.9</v>
      </c>
      <c r="G1583" s="4" t="str">
        <f>HYPERLINK("http://141.218.60.56/~jnz1568/getInfo.php?workbook=20_05.xlsx&amp;sheet=U0&amp;row=1583&amp;col=7&amp;number=0.00179&amp;sourceID=14","0.00179")</f>
        <v>0.00179</v>
      </c>
    </row>
    <row r="1584" spans="1:7">
      <c r="A1584" s="3">
        <v>20</v>
      </c>
      <c r="B1584" s="3">
        <v>5</v>
      </c>
      <c r="C1584" s="3">
        <v>1</v>
      </c>
      <c r="D1584" s="3">
        <v>35</v>
      </c>
      <c r="E1584" s="3">
        <v>1</v>
      </c>
      <c r="F1584" s="4" t="str">
        <f>HYPERLINK("http://141.218.60.56/~jnz1568/getInfo.php?workbook=20_05.xlsx&amp;sheet=U0&amp;row=1584&amp;col=6&amp;number=3&amp;sourceID=14","3")</f>
        <v>3</v>
      </c>
      <c r="G1584" s="4" t="str">
        <f>HYPERLINK("http://141.218.60.56/~jnz1568/getInfo.php?workbook=20_05.xlsx&amp;sheet=U0&amp;row=1584&amp;col=7&amp;number=0.000711&amp;sourceID=14","0.000711")</f>
        <v>0.000711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HYPERLINK("http://141.218.60.56/~jnz1568/getInfo.php?workbook=20_05.xlsx&amp;sheet=U0&amp;row=1585&amp;col=6&amp;number=3.1&amp;sourceID=14","3.1")</f>
        <v>3.1</v>
      </c>
      <c r="G1585" s="4" t="str">
        <f>HYPERLINK("http://141.218.60.56/~jnz1568/getInfo.php?workbook=20_05.xlsx&amp;sheet=U0&amp;row=1585&amp;col=7&amp;number=0.000711&amp;sourceID=14","0.000711")</f>
        <v>0.000711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HYPERLINK("http://141.218.60.56/~jnz1568/getInfo.php?workbook=20_05.xlsx&amp;sheet=U0&amp;row=1586&amp;col=6&amp;number=3.2&amp;sourceID=14","3.2")</f>
        <v>3.2</v>
      </c>
      <c r="G1586" s="4" t="str">
        <f>HYPERLINK("http://141.218.60.56/~jnz1568/getInfo.php?workbook=20_05.xlsx&amp;sheet=U0&amp;row=1586&amp;col=7&amp;number=0.000711&amp;sourceID=14","0.000711")</f>
        <v>0.000711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HYPERLINK("http://141.218.60.56/~jnz1568/getInfo.php?workbook=20_05.xlsx&amp;sheet=U0&amp;row=1587&amp;col=6&amp;number=3.3&amp;sourceID=14","3.3")</f>
        <v>3.3</v>
      </c>
      <c r="G1587" s="4" t="str">
        <f>HYPERLINK("http://141.218.60.56/~jnz1568/getInfo.php?workbook=20_05.xlsx&amp;sheet=U0&amp;row=1587&amp;col=7&amp;number=0.000711&amp;sourceID=14","0.000711")</f>
        <v>0.000711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HYPERLINK("http://141.218.60.56/~jnz1568/getInfo.php?workbook=20_05.xlsx&amp;sheet=U0&amp;row=1588&amp;col=6&amp;number=3.4&amp;sourceID=14","3.4")</f>
        <v>3.4</v>
      </c>
      <c r="G1588" s="4" t="str">
        <f>HYPERLINK("http://141.218.60.56/~jnz1568/getInfo.php?workbook=20_05.xlsx&amp;sheet=U0&amp;row=1588&amp;col=7&amp;number=0.000711&amp;sourceID=14","0.000711")</f>
        <v>0.000711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HYPERLINK("http://141.218.60.56/~jnz1568/getInfo.php?workbook=20_05.xlsx&amp;sheet=U0&amp;row=1589&amp;col=6&amp;number=3.5&amp;sourceID=14","3.5")</f>
        <v>3.5</v>
      </c>
      <c r="G1589" s="4" t="str">
        <f>HYPERLINK("http://141.218.60.56/~jnz1568/getInfo.php?workbook=20_05.xlsx&amp;sheet=U0&amp;row=1589&amp;col=7&amp;number=0.000711&amp;sourceID=14","0.000711")</f>
        <v>0.000711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HYPERLINK("http://141.218.60.56/~jnz1568/getInfo.php?workbook=20_05.xlsx&amp;sheet=U0&amp;row=1590&amp;col=6&amp;number=3.6&amp;sourceID=14","3.6")</f>
        <v>3.6</v>
      </c>
      <c r="G1590" s="4" t="str">
        <f>HYPERLINK("http://141.218.60.56/~jnz1568/getInfo.php?workbook=20_05.xlsx&amp;sheet=U0&amp;row=1590&amp;col=7&amp;number=0.000711&amp;sourceID=14","0.000711")</f>
        <v>0.000711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HYPERLINK("http://141.218.60.56/~jnz1568/getInfo.php?workbook=20_05.xlsx&amp;sheet=U0&amp;row=1591&amp;col=6&amp;number=3.7&amp;sourceID=14","3.7")</f>
        <v>3.7</v>
      </c>
      <c r="G1591" s="4" t="str">
        <f>HYPERLINK("http://141.218.60.56/~jnz1568/getInfo.php?workbook=20_05.xlsx&amp;sheet=U0&amp;row=1591&amp;col=7&amp;number=0.000711&amp;sourceID=14","0.000711")</f>
        <v>0.000711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HYPERLINK("http://141.218.60.56/~jnz1568/getInfo.php?workbook=20_05.xlsx&amp;sheet=U0&amp;row=1592&amp;col=6&amp;number=3.8&amp;sourceID=14","3.8")</f>
        <v>3.8</v>
      </c>
      <c r="G1592" s="4" t="str">
        <f>HYPERLINK("http://141.218.60.56/~jnz1568/getInfo.php?workbook=20_05.xlsx&amp;sheet=U0&amp;row=1592&amp;col=7&amp;number=0.000712&amp;sourceID=14","0.000712")</f>
        <v>0.000712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HYPERLINK("http://141.218.60.56/~jnz1568/getInfo.php?workbook=20_05.xlsx&amp;sheet=U0&amp;row=1593&amp;col=6&amp;number=3.9&amp;sourceID=14","3.9")</f>
        <v>3.9</v>
      </c>
      <c r="G1593" s="4" t="str">
        <f>HYPERLINK("http://141.218.60.56/~jnz1568/getInfo.php?workbook=20_05.xlsx&amp;sheet=U0&amp;row=1593&amp;col=7&amp;number=0.000712&amp;sourceID=14","0.000712")</f>
        <v>0.000712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HYPERLINK("http://141.218.60.56/~jnz1568/getInfo.php?workbook=20_05.xlsx&amp;sheet=U0&amp;row=1594&amp;col=6&amp;number=4&amp;sourceID=14","4")</f>
        <v>4</v>
      </c>
      <c r="G1594" s="4" t="str">
        <f>HYPERLINK("http://141.218.60.56/~jnz1568/getInfo.php?workbook=20_05.xlsx&amp;sheet=U0&amp;row=1594&amp;col=7&amp;number=0.000712&amp;sourceID=14","0.000712")</f>
        <v>0.000712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HYPERLINK("http://141.218.60.56/~jnz1568/getInfo.php?workbook=20_05.xlsx&amp;sheet=U0&amp;row=1595&amp;col=6&amp;number=4.1&amp;sourceID=14","4.1")</f>
        <v>4.1</v>
      </c>
      <c r="G1595" s="4" t="str">
        <f>HYPERLINK("http://141.218.60.56/~jnz1568/getInfo.php?workbook=20_05.xlsx&amp;sheet=U0&amp;row=1595&amp;col=7&amp;number=0.000713&amp;sourceID=14","0.000713")</f>
        <v>0.000713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HYPERLINK("http://141.218.60.56/~jnz1568/getInfo.php?workbook=20_05.xlsx&amp;sheet=U0&amp;row=1596&amp;col=6&amp;number=4.2&amp;sourceID=14","4.2")</f>
        <v>4.2</v>
      </c>
      <c r="G1596" s="4" t="str">
        <f>HYPERLINK("http://141.218.60.56/~jnz1568/getInfo.php?workbook=20_05.xlsx&amp;sheet=U0&amp;row=1596&amp;col=7&amp;number=0.000713&amp;sourceID=14","0.000713")</f>
        <v>0.000713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HYPERLINK("http://141.218.60.56/~jnz1568/getInfo.php?workbook=20_05.xlsx&amp;sheet=U0&amp;row=1597&amp;col=6&amp;number=4.3&amp;sourceID=14","4.3")</f>
        <v>4.3</v>
      </c>
      <c r="G1597" s="4" t="str">
        <f>HYPERLINK("http://141.218.60.56/~jnz1568/getInfo.php?workbook=20_05.xlsx&amp;sheet=U0&amp;row=1597&amp;col=7&amp;number=0.000714&amp;sourceID=14","0.000714")</f>
        <v>0.000714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HYPERLINK("http://141.218.60.56/~jnz1568/getInfo.php?workbook=20_05.xlsx&amp;sheet=U0&amp;row=1598&amp;col=6&amp;number=4.4&amp;sourceID=14","4.4")</f>
        <v>4.4</v>
      </c>
      <c r="G1598" s="4" t="str">
        <f>HYPERLINK("http://141.218.60.56/~jnz1568/getInfo.php?workbook=20_05.xlsx&amp;sheet=U0&amp;row=1598&amp;col=7&amp;number=0.000715&amp;sourceID=14","0.000715")</f>
        <v>0.000715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HYPERLINK("http://141.218.60.56/~jnz1568/getInfo.php?workbook=20_05.xlsx&amp;sheet=U0&amp;row=1599&amp;col=6&amp;number=4.5&amp;sourceID=14","4.5")</f>
        <v>4.5</v>
      </c>
      <c r="G1599" s="4" t="str">
        <f>HYPERLINK("http://141.218.60.56/~jnz1568/getInfo.php?workbook=20_05.xlsx&amp;sheet=U0&amp;row=1599&amp;col=7&amp;number=0.000716&amp;sourceID=14","0.000716")</f>
        <v>0.000716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HYPERLINK("http://141.218.60.56/~jnz1568/getInfo.php?workbook=20_05.xlsx&amp;sheet=U0&amp;row=1600&amp;col=6&amp;number=4.6&amp;sourceID=14","4.6")</f>
        <v>4.6</v>
      </c>
      <c r="G1600" s="4" t="str">
        <f>HYPERLINK("http://141.218.60.56/~jnz1568/getInfo.php?workbook=20_05.xlsx&amp;sheet=U0&amp;row=1600&amp;col=7&amp;number=0.000717&amp;sourceID=14","0.000717")</f>
        <v>0.000717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HYPERLINK("http://141.218.60.56/~jnz1568/getInfo.php?workbook=20_05.xlsx&amp;sheet=U0&amp;row=1601&amp;col=6&amp;number=4.7&amp;sourceID=14","4.7")</f>
        <v>4.7</v>
      </c>
      <c r="G1601" s="4" t="str">
        <f>HYPERLINK("http://141.218.60.56/~jnz1568/getInfo.php?workbook=20_05.xlsx&amp;sheet=U0&amp;row=1601&amp;col=7&amp;number=0.000719&amp;sourceID=14","0.000719")</f>
        <v>0.000719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HYPERLINK("http://141.218.60.56/~jnz1568/getInfo.php?workbook=20_05.xlsx&amp;sheet=U0&amp;row=1602&amp;col=6&amp;number=4.8&amp;sourceID=14","4.8")</f>
        <v>4.8</v>
      </c>
      <c r="G1602" s="4" t="str">
        <f>HYPERLINK("http://141.218.60.56/~jnz1568/getInfo.php?workbook=20_05.xlsx&amp;sheet=U0&amp;row=1602&amp;col=7&amp;number=0.000721&amp;sourceID=14","0.000721")</f>
        <v>0.000721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HYPERLINK("http://141.218.60.56/~jnz1568/getInfo.php?workbook=20_05.xlsx&amp;sheet=U0&amp;row=1603&amp;col=6&amp;number=4.9&amp;sourceID=14","4.9")</f>
        <v>4.9</v>
      </c>
      <c r="G1603" s="4" t="str">
        <f>HYPERLINK("http://141.218.60.56/~jnz1568/getInfo.php?workbook=20_05.xlsx&amp;sheet=U0&amp;row=1603&amp;col=7&amp;number=0.000724&amp;sourceID=14","0.000724")</f>
        <v>0.000724</v>
      </c>
    </row>
    <row r="1604" spans="1:7">
      <c r="A1604" s="3">
        <v>20</v>
      </c>
      <c r="B1604" s="3">
        <v>5</v>
      </c>
      <c r="C1604" s="3">
        <v>1</v>
      </c>
      <c r="D1604" s="3">
        <v>36</v>
      </c>
      <c r="E1604" s="3">
        <v>1</v>
      </c>
      <c r="F1604" s="4" t="str">
        <f>HYPERLINK("http://141.218.60.56/~jnz1568/getInfo.php?workbook=20_05.xlsx&amp;sheet=U0&amp;row=1604&amp;col=6&amp;number=3&amp;sourceID=14","3")</f>
        <v>3</v>
      </c>
      <c r="G1604" s="4" t="str">
        <f>HYPERLINK("http://141.218.60.56/~jnz1568/getInfo.php?workbook=20_05.xlsx&amp;sheet=U0&amp;row=1604&amp;col=7&amp;number=0.00724&amp;sourceID=14","0.00724")</f>
        <v>0.00724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HYPERLINK("http://141.218.60.56/~jnz1568/getInfo.php?workbook=20_05.xlsx&amp;sheet=U0&amp;row=1605&amp;col=6&amp;number=3.1&amp;sourceID=14","3.1")</f>
        <v>3.1</v>
      </c>
      <c r="G1605" s="4" t="str">
        <f>HYPERLINK("http://141.218.60.56/~jnz1568/getInfo.php?workbook=20_05.xlsx&amp;sheet=U0&amp;row=1605&amp;col=7&amp;number=0.00724&amp;sourceID=14","0.00724")</f>
        <v>0.00724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HYPERLINK("http://141.218.60.56/~jnz1568/getInfo.php?workbook=20_05.xlsx&amp;sheet=U0&amp;row=1606&amp;col=6&amp;number=3.2&amp;sourceID=14","3.2")</f>
        <v>3.2</v>
      </c>
      <c r="G1606" s="4" t="str">
        <f>HYPERLINK("http://141.218.60.56/~jnz1568/getInfo.php?workbook=20_05.xlsx&amp;sheet=U0&amp;row=1606&amp;col=7&amp;number=0.00724&amp;sourceID=14","0.00724")</f>
        <v>0.00724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HYPERLINK("http://141.218.60.56/~jnz1568/getInfo.php?workbook=20_05.xlsx&amp;sheet=U0&amp;row=1607&amp;col=6&amp;number=3.3&amp;sourceID=14","3.3")</f>
        <v>3.3</v>
      </c>
      <c r="G1607" s="4" t="str">
        <f>HYPERLINK("http://141.218.60.56/~jnz1568/getInfo.php?workbook=20_05.xlsx&amp;sheet=U0&amp;row=1607&amp;col=7&amp;number=0.00724&amp;sourceID=14","0.00724")</f>
        <v>0.00724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HYPERLINK("http://141.218.60.56/~jnz1568/getInfo.php?workbook=20_05.xlsx&amp;sheet=U0&amp;row=1608&amp;col=6&amp;number=3.4&amp;sourceID=14","3.4")</f>
        <v>3.4</v>
      </c>
      <c r="G1608" s="4" t="str">
        <f>HYPERLINK("http://141.218.60.56/~jnz1568/getInfo.php?workbook=20_05.xlsx&amp;sheet=U0&amp;row=1608&amp;col=7&amp;number=0.00724&amp;sourceID=14","0.00724")</f>
        <v>0.00724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HYPERLINK("http://141.218.60.56/~jnz1568/getInfo.php?workbook=20_05.xlsx&amp;sheet=U0&amp;row=1609&amp;col=6&amp;number=3.5&amp;sourceID=14","3.5")</f>
        <v>3.5</v>
      </c>
      <c r="G1609" s="4" t="str">
        <f>HYPERLINK("http://141.218.60.56/~jnz1568/getInfo.php?workbook=20_05.xlsx&amp;sheet=U0&amp;row=1609&amp;col=7&amp;number=0.00725&amp;sourceID=14","0.00725")</f>
        <v>0.00725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HYPERLINK("http://141.218.60.56/~jnz1568/getInfo.php?workbook=20_05.xlsx&amp;sheet=U0&amp;row=1610&amp;col=6&amp;number=3.6&amp;sourceID=14","3.6")</f>
        <v>3.6</v>
      </c>
      <c r="G1610" s="4" t="str">
        <f>HYPERLINK("http://141.218.60.56/~jnz1568/getInfo.php?workbook=20_05.xlsx&amp;sheet=U0&amp;row=1610&amp;col=7&amp;number=0.00725&amp;sourceID=14","0.00725")</f>
        <v>0.00725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HYPERLINK("http://141.218.60.56/~jnz1568/getInfo.php?workbook=20_05.xlsx&amp;sheet=U0&amp;row=1611&amp;col=6&amp;number=3.7&amp;sourceID=14","3.7")</f>
        <v>3.7</v>
      </c>
      <c r="G1611" s="4" t="str">
        <f>HYPERLINK("http://141.218.60.56/~jnz1568/getInfo.php?workbook=20_05.xlsx&amp;sheet=U0&amp;row=1611&amp;col=7&amp;number=0.00725&amp;sourceID=14","0.00725")</f>
        <v>0.00725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HYPERLINK("http://141.218.60.56/~jnz1568/getInfo.php?workbook=20_05.xlsx&amp;sheet=U0&amp;row=1612&amp;col=6&amp;number=3.8&amp;sourceID=14","3.8")</f>
        <v>3.8</v>
      </c>
      <c r="G1612" s="4" t="str">
        <f>HYPERLINK("http://141.218.60.56/~jnz1568/getInfo.php?workbook=20_05.xlsx&amp;sheet=U0&amp;row=1612&amp;col=7&amp;number=0.00726&amp;sourceID=14","0.00726")</f>
        <v>0.00726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HYPERLINK("http://141.218.60.56/~jnz1568/getInfo.php?workbook=20_05.xlsx&amp;sheet=U0&amp;row=1613&amp;col=6&amp;number=3.9&amp;sourceID=14","3.9")</f>
        <v>3.9</v>
      </c>
      <c r="G1613" s="4" t="str">
        <f>HYPERLINK("http://141.218.60.56/~jnz1568/getInfo.php?workbook=20_05.xlsx&amp;sheet=U0&amp;row=1613&amp;col=7&amp;number=0.00726&amp;sourceID=14","0.00726")</f>
        <v>0.00726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HYPERLINK("http://141.218.60.56/~jnz1568/getInfo.php?workbook=20_05.xlsx&amp;sheet=U0&amp;row=1614&amp;col=6&amp;number=4&amp;sourceID=14","4")</f>
        <v>4</v>
      </c>
      <c r="G1614" s="4" t="str">
        <f>HYPERLINK("http://141.218.60.56/~jnz1568/getInfo.php?workbook=20_05.xlsx&amp;sheet=U0&amp;row=1614&amp;col=7&amp;number=0.00727&amp;sourceID=14","0.00727")</f>
        <v>0.00727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HYPERLINK("http://141.218.60.56/~jnz1568/getInfo.php?workbook=20_05.xlsx&amp;sheet=U0&amp;row=1615&amp;col=6&amp;number=4.1&amp;sourceID=14","4.1")</f>
        <v>4.1</v>
      </c>
      <c r="G1615" s="4" t="str">
        <f>HYPERLINK("http://141.218.60.56/~jnz1568/getInfo.php?workbook=20_05.xlsx&amp;sheet=U0&amp;row=1615&amp;col=7&amp;number=0.00728&amp;sourceID=14","0.00728")</f>
        <v>0.00728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HYPERLINK("http://141.218.60.56/~jnz1568/getInfo.php?workbook=20_05.xlsx&amp;sheet=U0&amp;row=1616&amp;col=6&amp;number=4.2&amp;sourceID=14","4.2")</f>
        <v>4.2</v>
      </c>
      <c r="G1616" s="4" t="str">
        <f>HYPERLINK("http://141.218.60.56/~jnz1568/getInfo.php?workbook=20_05.xlsx&amp;sheet=U0&amp;row=1616&amp;col=7&amp;number=0.00729&amp;sourceID=14","0.00729")</f>
        <v>0.00729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HYPERLINK("http://141.218.60.56/~jnz1568/getInfo.php?workbook=20_05.xlsx&amp;sheet=U0&amp;row=1617&amp;col=6&amp;number=4.3&amp;sourceID=14","4.3")</f>
        <v>4.3</v>
      </c>
      <c r="G1617" s="4" t="str">
        <f>HYPERLINK("http://141.218.60.56/~jnz1568/getInfo.php?workbook=20_05.xlsx&amp;sheet=U0&amp;row=1617&amp;col=7&amp;number=0.00731&amp;sourceID=14","0.00731")</f>
        <v>0.00731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HYPERLINK("http://141.218.60.56/~jnz1568/getInfo.php?workbook=20_05.xlsx&amp;sheet=U0&amp;row=1618&amp;col=6&amp;number=4.4&amp;sourceID=14","4.4")</f>
        <v>4.4</v>
      </c>
      <c r="G1618" s="4" t="str">
        <f>HYPERLINK("http://141.218.60.56/~jnz1568/getInfo.php?workbook=20_05.xlsx&amp;sheet=U0&amp;row=1618&amp;col=7&amp;number=0.00733&amp;sourceID=14","0.00733")</f>
        <v>0.00733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HYPERLINK("http://141.218.60.56/~jnz1568/getInfo.php?workbook=20_05.xlsx&amp;sheet=U0&amp;row=1619&amp;col=6&amp;number=4.5&amp;sourceID=14","4.5")</f>
        <v>4.5</v>
      </c>
      <c r="G1619" s="4" t="str">
        <f>HYPERLINK("http://141.218.60.56/~jnz1568/getInfo.php?workbook=20_05.xlsx&amp;sheet=U0&amp;row=1619&amp;col=7&amp;number=0.00735&amp;sourceID=14","0.00735")</f>
        <v>0.00735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HYPERLINK("http://141.218.60.56/~jnz1568/getInfo.php?workbook=20_05.xlsx&amp;sheet=U0&amp;row=1620&amp;col=6&amp;number=4.6&amp;sourceID=14","4.6")</f>
        <v>4.6</v>
      </c>
      <c r="G1620" s="4" t="str">
        <f>HYPERLINK("http://141.218.60.56/~jnz1568/getInfo.php?workbook=20_05.xlsx&amp;sheet=U0&amp;row=1620&amp;col=7&amp;number=0.00738&amp;sourceID=14","0.00738")</f>
        <v>0.00738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HYPERLINK("http://141.218.60.56/~jnz1568/getInfo.php?workbook=20_05.xlsx&amp;sheet=U0&amp;row=1621&amp;col=6&amp;number=4.7&amp;sourceID=14","4.7")</f>
        <v>4.7</v>
      </c>
      <c r="G1621" s="4" t="str">
        <f>HYPERLINK("http://141.218.60.56/~jnz1568/getInfo.php?workbook=20_05.xlsx&amp;sheet=U0&amp;row=1621&amp;col=7&amp;number=0.00742&amp;sourceID=14","0.00742")</f>
        <v>0.00742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HYPERLINK("http://141.218.60.56/~jnz1568/getInfo.php?workbook=20_05.xlsx&amp;sheet=U0&amp;row=1622&amp;col=6&amp;number=4.8&amp;sourceID=14","4.8")</f>
        <v>4.8</v>
      </c>
      <c r="G1622" s="4" t="str">
        <f>HYPERLINK("http://141.218.60.56/~jnz1568/getInfo.php?workbook=20_05.xlsx&amp;sheet=U0&amp;row=1622&amp;col=7&amp;number=0.00746&amp;sourceID=14","0.00746")</f>
        <v>0.00746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HYPERLINK("http://141.218.60.56/~jnz1568/getInfo.php?workbook=20_05.xlsx&amp;sheet=U0&amp;row=1623&amp;col=6&amp;number=4.9&amp;sourceID=14","4.9")</f>
        <v>4.9</v>
      </c>
      <c r="G1623" s="4" t="str">
        <f>HYPERLINK("http://141.218.60.56/~jnz1568/getInfo.php?workbook=20_05.xlsx&amp;sheet=U0&amp;row=1623&amp;col=7&amp;number=0.00752&amp;sourceID=14","0.00752")</f>
        <v>0.00752</v>
      </c>
    </row>
    <row r="1624" spans="1:7">
      <c r="A1624" s="3">
        <v>20</v>
      </c>
      <c r="B1624" s="3">
        <v>5</v>
      </c>
      <c r="C1624" s="3">
        <v>1</v>
      </c>
      <c r="D1624" s="3">
        <v>37</v>
      </c>
      <c r="E1624" s="3">
        <v>1</v>
      </c>
      <c r="F1624" s="4" t="str">
        <f>HYPERLINK("http://141.218.60.56/~jnz1568/getInfo.php?workbook=20_05.xlsx&amp;sheet=U0&amp;row=1624&amp;col=6&amp;number=3&amp;sourceID=14","3")</f>
        <v>3</v>
      </c>
      <c r="G1624" s="4" t="str">
        <f>HYPERLINK("http://141.218.60.56/~jnz1568/getInfo.php?workbook=20_05.xlsx&amp;sheet=U0&amp;row=1624&amp;col=7&amp;number=0.000489&amp;sourceID=14","0.000489")</f>
        <v>0.000489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HYPERLINK("http://141.218.60.56/~jnz1568/getInfo.php?workbook=20_05.xlsx&amp;sheet=U0&amp;row=1625&amp;col=6&amp;number=3.1&amp;sourceID=14","3.1")</f>
        <v>3.1</v>
      </c>
      <c r="G1625" s="4" t="str">
        <f>HYPERLINK("http://141.218.60.56/~jnz1568/getInfo.php?workbook=20_05.xlsx&amp;sheet=U0&amp;row=1625&amp;col=7&amp;number=0.000489&amp;sourceID=14","0.000489")</f>
        <v>0.000489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HYPERLINK("http://141.218.60.56/~jnz1568/getInfo.php?workbook=20_05.xlsx&amp;sheet=U0&amp;row=1626&amp;col=6&amp;number=3.2&amp;sourceID=14","3.2")</f>
        <v>3.2</v>
      </c>
      <c r="G1626" s="4" t="str">
        <f>HYPERLINK("http://141.218.60.56/~jnz1568/getInfo.php?workbook=20_05.xlsx&amp;sheet=U0&amp;row=1626&amp;col=7&amp;number=0.000489&amp;sourceID=14","0.000489")</f>
        <v>0.000489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HYPERLINK("http://141.218.60.56/~jnz1568/getInfo.php?workbook=20_05.xlsx&amp;sheet=U0&amp;row=1627&amp;col=6&amp;number=3.3&amp;sourceID=14","3.3")</f>
        <v>3.3</v>
      </c>
      <c r="G1627" s="4" t="str">
        <f>HYPERLINK("http://141.218.60.56/~jnz1568/getInfo.php?workbook=20_05.xlsx&amp;sheet=U0&amp;row=1627&amp;col=7&amp;number=0.000489&amp;sourceID=14","0.000489")</f>
        <v>0.000489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HYPERLINK("http://141.218.60.56/~jnz1568/getInfo.php?workbook=20_05.xlsx&amp;sheet=U0&amp;row=1628&amp;col=6&amp;number=3.4&amp;sourceID=14","3.4")</f>
        <v>3.4</v>
      </c>
      <c r="G1628" s="4" t="str">
        <f>HYPERLINK("http://141.218.60.56/~jnz1568/getInfo.php?workbook=20_05.xlsx&amp;sheet=U0&amp;row=1628&amp;col=7&amp;number=0.000489&amp;sourceID=14","0.000489")</f>
        <v>0.000489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HYPERLINK("http://141.218.60.56/~jnz1568/getInfo.php?workbook=20_05.xlsx&amp;sheet=U0&amp;row=1629&amp;col=6&amp;number=3.5&amp;sourceID=14","3.5")</f>
        <v>3.5</v>
      </c>
      <c r="G1629" s="4" t="str">
        <f>HYPERLINK("http://141.218.60.56/~jnz1568/getInfo.php?workbook=20_05.xlsx&amp;sheet=U0&amp;row=1629&amp;col=7&amp;number=0.000489&amp;sourceID=14","0.000489")</f>
        <v>0.000489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HYPERLINK("http://141.218.60.56/~jnz1568/getInfo.php?workbook=20_05.xlsx&amp;sheet=U0&amp;row=1630&amp;col=6&amp;number=3.6&amp;sourceID=14","3.6")</f>
        <v>3.6</v>
      </c>
      <c r="G1630" s="4" t="str">
        <f>HYPERLINK("http://141.218.60.56/~jnz1568/getInfo.php?workbook=20_05.xlsx&amp;sheet=U0&amp;row=1630&amp;col=7&amp;number=0.000489&amp;sourceID=14","0.000489")</f>
        <v>0.000489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HYPERLINK("http://141.218.60.56/~jnz1568/getInfo.php?workbook=20_05.xlsx&amp;sheet=U0&amp;row=1631&amp;col=6&amp;number=3.7&amp;sourceID=14","3.7")</f>
        <v>3.7</v>
      </c>
      <c r="G1631" s="4" t="str">
        <f>HYPERLINK("http://141.218.60.56/~jnz1568/getInfo.php?workbook=20_05.xlsx&amp;sheet=U0&amp;row=1631&amp;col=7&amp;number=0.000489&amp;sourceID=14","0.000489")</f>
        <v>0.000489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HYPERLINK("http://141.218.60.56/~jnz1568/getInfo.php?workbook=20_05.xlsx&amp;sheet=U0&amp;row=1632&amp;col=6&amp;number=3.8&amp;sourceID=14","3.8")</f>
        <v>3.8</v>
      </c>
      <c r="G1632" s="4" t="str">
        <f>HYPERLINK("http://141.218.60.56/~jnz1568/getInfo.php?workbook=20_05.xlsx&amp;sheet=U0&amp;row=1632&amp;col=7&amp;number=0.000489&amp;sourceID=14","0.000489")</f>
        <v>0.000489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HYPERLINK("http://141.218.60.56/~jnz1568/getInfo.php?workbook=20_05.xlsx&amp;sheet=U0&amp;row=1633&amp;col=6&amp;number=3.9&amp;sourceID=14","3.9")</f>
        <v>3.9</v>
      </c>
      <c r="G1633" s="4" t="str">
        <f>HYPERLINK("http://141.218.60.56/~jnz1568/getInfo.php?workbook=20_05.xlsx&amp;sheet=U0&amp;row=1633&amp;col=7&amp;number=0.000488&amp;sourceID=14","0.000488")</f>
        <v>0.000488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HYPERLINK("http://141.218.60.56/~jnz1568/getInfo.php?workbook=20_05.xlsx&amp;sheet=U0&amp;row=1634&amp;col=6&amp;number=4&amp;sourceID=14","4")</f>
        <v>4</v>
      </c>
      <c r="G1634" s="4" t="str">
        <f>HYPERLINK("http://141.218.60.56/~jnz1568/getInfo.php?workbook=20_05.xlsx&amp;sheet=U0&amp;row=1634&amp;col=7&amp;number=0.000488&amp;sourceID=14","0.000488")</f>
        <v>0.000488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HYPERLINK("http://141.218.60.56/~jnz1568/getInfo.php?workbook=20_05.xlsx&amp;sheet=U0&amp;row=1635&amp;col=6&amp;number=4.1&amp;sourceID=14","4.1")</f>
        <v>4.1</v>
      </c>
      <c r="G1635" s="4" t="str">
        <f>HYPERLINK("http://141.218.60.56/~jnz1568/getInfo.php?workbook=20_05.xlsx&amp;sheet=U0&amp;row=1635&amp;col=7&amp;number=0.000488&amp;sourceID=14","0.000488")</f>
        <v>0.000488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HYPERLINK("http://141.218.60.56/~jnz1568/getInfo.php?workbook=20_05.xlsx&amp;sheet=U0&amp;row=1636&amp;col=6&amp;number=4.2&amp;sourceID=14","4.2")</f>
        <v>4.2</v>
      </c>
      <c r="G1636" s="4" t="str">
        <f>HYPERLINK("http://141.218.60.56/~jnz1568/getInfo.php?workbook=20_05.xlsx&amp;sheet=U0&amp;row=1636&amp;col=7&amp;number=0.000488&amp;sourceID=14","0.000488")</f>
        <v>0.000488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HYPERLINK("http://141.218.60.56/~jnz1568/getInfo.php?workbook=20_05.xlsx&amp;sheet=U0&amp;row=1637&amp;col=6&amp;number=4.3&amp;sourceID=14","4.3")</f>
        <v>4.3</v>
      </c>
      <c r="G1637" s="4" t="str">
        <f>HYPERLINK("http://141.218.60.56/~jnz1568/getInfo.php?workbook=20_05.xlsx&amp;sheet=U0&amp;row=1637&amp;col=7&amp;number=0.000487&amp;sourceID=14","0.000487")</f>
        <v>0.000487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HYPERLINK("http://141.218.60.56/~jnz1568/getInfo.php?workbook=20_05.xlsx&amp;sheet=U0&amp;row=1638&amp;col=6&amp;number=4.4&amp;sourceID=14","4.4")</f>
        <v>4.4</v>
      </c>
      <c r="G1638" s="4" t="str">
        <f>HYPERLINK("http://141.218.60.56/~jnz1568/getInfo.php?workbook=20_05.xlsx&amp;sheet=U0&amp;row=1638&amp;col=7&amp;number=0.000487&amp;sourceID=14","0.000487")</f>
        <v>0.000487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HYPERLINK("http://141.218.60.56/~jnz1568/getInfo.php?workbook=20_05.xlsx&amp;sheet=U0&amp;row=1639&amp;col=6&amp;number=4.5&amp;sourceID=14","4.5")</f>
        <v>4.5</v>
      </c>
      <c r="G1639" s="4" t="str">
        <f>HYPERLINK("http://141.218.60.56/~jnz1568/getInfo.php?workbook=20_05.xlsx&amp;sheet=U0&amp;row=1639&amp;col=7&amp;number=0.000486&amp;sourceID=14","0.000486")</f>
        <v>0.000486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HYPERLINK("http://141.218.60.56/~jnz1568/getInfo.php?workbook=20_05.xlsx&amp;sheet=U0&amp;row=1640&amp;col=6&amp;number=4.6&amp;sourceID=14","4.6")</f>
        <v>4.6</v>
      </c>
      <c r="G1640" s="4" t="str">
        <f>HYPERLINK("http://141.218.60.56/~jnz1568/getInfo.php?workbook=20_05.xlsx&amp;sheet=U0&amp;row=1640&amp;col=7&amp;number=0.000485&amp;sourceID=14","0.000485")</f>
        <v>0.000485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HYPERLINK("http://141.218.60.56/~jnz1568/getInfo.php?workbook=20_05.xlsx&amp;sheet=U0&amp;row=1641&amp;col=6&amp;number=4.7&amp;sourceID=14","4.7")</f>
        <v>4.7</v>
      </c>
      <c r="G1641" s="4" t="str">
        <f>HYPERLINK("http://141.218.60.56/~jnz1568/getInfo.php?workbook=20_05.xlsx&amp;sheet=U0&amp;row=1641&amp;col=7&amp;number=0.000484&amp;sourceID=14","0.000484")</f>
        <v>0.000484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HYPERLINK("http://141.218.60.56/~jnz1568/getInfo.php?workbook=20_05.xlsx&amp;sheet=U0&amp;row=1642&amp;col=6&amp;number=4.8&amp;sourceID=14","4.8")</f>
        <v>4.8</v>
      </c>
      <c r="G1642" s="4" t="str">
        <f>HYPERLINK("http://141.218.60.56/~jnz1568/getInfo.php?workbook=20_05.xlsx&amp;sheet=U0&amp;row=1642&amp;col=7&amp;number=0.000483&amp;sourceID=14","0.000483")</f>
        <v>0.000483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HYPERLINK("http://141.218.60.56/~jnz1568/getInfo.php?workbook=20_05.xlsx&amp;sheet=U0&amp;row=1643&amp;col=6&amp;number=4.9&amp;sourceID=14","4.9")</f>
        <v>4.9</v>
      </c>
      <c r="G1643" s="4" t="str">
        <f>HYPERLINK("http://141.218.60.56/~jnz1568/getInfo.php?workbook=20_05.xlsx&amp;sheet=U0&amp;row=1643&amp;col=7&amp;number=0.000481&amp;sourceID=14","0.000481")</f>
        <v>0.000481</v>
      </c>
    </row>
    <row r="1644" spans="1:7">
      <c r="A1644" s="3">
        <v>20</v>
      </c>
      <c r="B1644" s="3">
        <v>5</v>
      </c>
      <c r="C1644" s="3">
        <v>1</v>
      </c>
      <c r="D1644" s="3">
        <v>38</v>
      </c>
      <c r="E1644" s="3">
        <v>1</v>
      </c>
      <c r="F1644" s="4" t="str">
        <f>HYPERLINK("http://141.218.60.56/~jnz1568/getInfo.php?workbook=20_05.xlsx&amp;sheet=U0&amp;row=1644&amp;col=6&amp;number=3&amp;sourceID=14","3")</f>
        <v>3</v>
      </c>
      <c r="G1644" s="4" t="str">
        <f>HYPERLINK("http://141.218.60.56/~jnz1568/getInfo.php?workbook=20_05.xlsx&amp;sheet=U0&amp;row=1644&amp;col=7&amp;number=0.000735&amp;sourceID=14","0.000735")</f>
        <v>0.000735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HYPERLINK("http://141.218.60.56/~jnz1568/getInfo.php?workbook=20_05.xlsx&amp;sheet=U0&amp;row=1645&amp;col=6&amp;number=3.1&amp;sourceID=14","3.1")</f>
        <v>3.1</v>
      </c>
      <c r="G1645" s="4" t="str">
        <f>HYPERLINK("http://141.218.60.56/~jnz1568/getInfo.php?workbook=20_05.xlsx&amp;sheet=U0&amp;row=1645&amp;col=7&amp;number=0.000735&amp;sourceID=14","0.000735")</f>
        <v>0.000735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HYPERLINK("http://141.218.60.56/~jnz1568/getInfo.php?workbook=20_05.xlsx&amp;sheet=U0&amp;row=1646&amp;col=6&amp;number=3.2&amp;sourceID=14","3.2")</f>
        <v>3.2</v>
      </c>
      <c r="G1646" s="4" t="str">
        <f>HYPERLINK("http://141.218.60.56/~jnz1568/getInfo.php?workbook=20_05.xlsx&amp;sheet=U0&amp;row=1646&amp;col=7&amp;number=0.000735&amp;sourceID=14","0.000735")</f>
        <v>0.000735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HYPERLINK("http://141.218.60.56/~jnz1568/getInfo.php?workbook=20_05.xlsx&amp;sheet=U0&amp;row=1647&amp;col=6&amp;number=3.3&amp;sourceID=14","3.3")</f>
        <v>3.3</v>
      </c>
      <c r="G1647" s="4" t="str">
        <f>HYPERLINK("http://141.218.60.56/~jnz1568/getInfo.php?workbook=20_05.xlsx&amp;sheet=U0&amp;row=1647&amp;col=7&amp;number=0.000735&amp;sourceID=14","0.000735")</f>
        <v>0.000735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HYPERLINK("http://141.218.60.56/~jnz1568/getInfo.php?workbook=20_05.xlsx&amp;sheet=U0&amp;row=1648&amp;col=6&amp;number=3.4&amp;sourceID=14","3.4")</f>
        <v>3.4</v>
      </c>
      <c r="G1648" s="4" t="str">
        <f>HYPERLINK("http://141.218.60.56/~jnz1568/getInfo.php?workbook=20_05.xlsx&amp;sheet=U0&amp;row=1648&amp;col=7&amp;number=0.000736&amp;sourceID=14","0.000736")</f>
        <v>0.000736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HYPERLINK("http://141.218.60.56/~jnz1568/getInfo.php?workbook=20_05.xlsx&amp;sheet=U0&amp;row=1649&amp;col=6&amp;number=3.5&amp;sourceID=14","3.5")</f>
        <v>3.5</v>
      </c>
      <c r="G1649" s="4" t="str">
        <f>HYPERLINK("http://141.218.60.56/~jnz1568/getInfo.php?workbook=20_05.xlsx&amp;sheet=U0&amp;row=1649&amp;col=7&amp;number=0.000736&amp;sourceID=14","0.000736")</f>
        <v>0.000736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HYPERLINK("http://141.218.60.56/~jnz1568/getInfo.php?workbook=20_05.xlsx&amp;sheet=U0&amp;row=1650&amp;col=6&amp;number=3.6&amp;sourceID=14","3.6")</f>
        <v>3.6</v>
      </c>
      <c r="G1650" s="4" t="str">
        <f>HYPERLINK("http://141.218.60.56/~jnz1568/getInfo.php?workbook=20_05.xlsx&amp;sheet=U0&amp;row=1650&amp;col=7&amp;number=0.000736&amp;sourceID=14","0.000736")</f>
        <v>0.000736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HYPERLINK("http://141.218.60.56/~jnz1568/getInfo.php?workbook=20_05.xlsx&amp;sheet=U0&amp;row=1651&amp;col=6&amp;number=3.7&amp;sourceID=14","3.7")</f>
        <v>3.7</v>
      </c>
      <c r="G1651" s="4" t="str">
        <f>HYPERLINK("http://141.218.60.56/~jnz1568/getInfo.php?workbook=20_05.xlsx&amp;sheet=U0&amp;row=1651&amp;col=7&amp;number=0.000736&amp;sourceID=14","0.000736")</f>
        <v>0.000736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HYPERLINK("http://141.218.60.56/~jnz1568/getInfo.php?workbook=20_05.xlsx&amp;sheet=U0&amp;row=1652&amp;col=6&amp;number=3.8&amp;sourceID=14","3.8")</f>
        <v>3.8</v>
      </c>
      <c r="G1652" s="4" t="str">
        <f>HYPERLINK("http://141.218.60.56/~jnz1568/getInfo.php?workbook=20_05.xlsx&amp;sheet=U0&amp;row=1652&amp;col=7&amp;number=0.000737&amp;sourceID=14","0.000737")</f>
        <v>0.000737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HYPERLINK("http://141.218.60.56/~jnz1568/getInfo.php?workbook=20_05.xlsx&amp;sheet=U0&amp;row=1653&amp;col=6&amp;number=3.9&amp;sourceID=14","3.9")</f>
        <v>3.9</v>
      </c>
      <c r="G1653" s="4" t="str">
        <f>HYPERLINK("http://141.218.60.56/~jnz1568/getInfo.php?workbook=20_05.xlsx&amp;sheet=U0&amp;row=1653&amp;col=7&amp;number=0.000737&amp;sourceID=14","0.000737")</f>
        <v>0.000737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HYPERLINK("http://141.218.60.56/~jnz1568/getInfo.php?workbook=20_05.xlsx&amp;sheet=U0&amp;row=1654&amp;col=6&amp;number=4&amp;sourceID=14","4")</f>
        <v>4</v>
      </c>
      <c r="G1654" s="4" t="str">
        <f>HYPERLINK("http://141.218.60.56/~jnz1568/getInfo.php?workbook=20_05.xlsx&amp;sheet=U0&amp;row=1654&amp;col=7&amp;number=0.000738&amp;sourceID=14","0.000738")</f>
        <v>0.000738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HYPERLINK("http://141.218.60.56/~jnz1568/getInfo.php?workbook=20_05.xlsx&amp;sheet=U0&amp;row=1655&amp;col=6&amp;number=4.1&amp;sourceID=14","4.1")</f>
        <v>4.1</v>
      </c>
      <c r="G1655" s="4" t="str">
        <f>HYPERLINK("http://141.218.60.56/~jnz1568/getInfo.php?workbook=20_05.xlsx&amp;sheet=U0&amp;row=1655&amp;col=7&amp;number=0.000739&amp;sourceID=14","0.000739")</f>
        <v>0.000739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HYPERLINK("http://141.218.60.56/~jnz1568/getInfo.php?workbook=20_05.xlsx&amp;sheet=U0&amp;row=1656&amp;col=6&amp;number=4.2&amp;sourceID=14","4.2")</f>
        <v>4.2</v>
      </c>
      <c r="G1656" s="4" t="str">
        <f>HYPERLINK("http://141.218.60.56/~jnz1568/getInfo.php?workbook=20_05.xlsx&amp;sheet=U0&amp;row=1656&amp;col=7&amp;number=0.00074&amp;sourceID=14","0.00074")</f>
        <v>0.00074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HYPERLINK("http://141.218.60.56/~jnz1568/getInfo.php?workbook=20_05.xlsx&amp;sheet=U0&amp;row=1657&amp;col=6&amp;number=4.3&amp;sourceID=14","4.3")</f>
        <v>4.3</v>
      </c>
      <c r="G1657" s="4" t="str">
        <f>HYPERLINK("http://141.218.60.56/~jnz1568/getInfo.php?workbook=20_05.xlsx&amp;sheet=U0&amp;row=1657&amp;col=7&amp;number=0.000741&amp;sourceID=14","0.000741")</f>
        <v>0.000741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HYPERLINK("http://141.218.60.56/~jnz1568/getInfo.php?workbook=20_05.xlsx&amp;sheet=U0&amp;row=1658&amp;col=6&amp;number=4.4&amp;sourceID=14","4.4")</f>
        <v>4.4</v>
      </c>
      <c r="G1658" s="4" t="str">
        <f>HYPERLINK("http://141.218.60.56/~jnz1568/getInfo.php?workbook=20_05.xlsx&amp;sheet=U0&amp;row=1658&amp;col=7&amp;number=0.000743&amp;sourceID=14","0.000743")</f>
        <v>0.000743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HYPERLINK("http://141.218.60.56/~jnz1568/getInfo.php?workbook=20_05.xlsx&amp;sheet=U0&amp;row=1659&amp;col=6&amp;number=4.5&amp;sourceID=14","4.5")</f>
        <v>4.5</v>
      </c>
      <c r="G1659" s="4" t="str">
        <f>HYPERLINK("http://141.218.60.56/~jnz1568/getInfo.php?workbook=20_05.xlsx&amp;sheet=U0&amp;row=1659&amp;col=7&amp;number=0.000745&amp;sourceID=14","0.000745")</f>
        <v>0.000745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HYPERLINK("http://141.218.60.56/~jnz1568/getInfo.php?workbook=20_05.xlsx&amp;sheet=U0&amp;row=1660&amp;col=6&amp;number=4.6&amp;sourceID=14","4.6")</f>
        <v>4.6</v>
      </c>
      <c r="G1660" s="4" t="str">
        <f>HYPERLINK("http://141.218.60.56/~jnz1568/getInfo.php?workbook=20_05.xlsx&amp;sheet=U0&amp;row=1660&amp;col=7&amp;number=0.000747&amp;sourceID=14","0.000747")</f>
        <v>0.000747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HYPERLINK("http://141.218.60.56/~jnz1568/getInfo.php?workbook=20_05.xlsx&amp;sheet=U0&amp;row=1661&amp;col=6&amp;number=4.7&amp;sourceID=14","4.7")</f>
        <v>4.7</v>
      </c>
      <c r="G1661" s="4" t="str">
        <f>HYPERLINK("http://141.218.60.56/~jnz1568/getInfo.php?workbook=20_05.xlsx&amp;sheet=U0&amp;row=1661&amp;col=7&amp;number=0.000751&amp;sourceID=14","0.000751")</f>
        <v>0.000751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HYPERLINK("http://141.218.60.56/~jnz1568/getInfo.php?workbook=20_05.xlsx&amp;sheet=U0&amp;row=1662&amp;col=6&amp;number=4.8&amp;sourceID=14","4.8")</f>
        <v>4.8</v>
      </c>
      <c r="G1662" s="4" t="str">
        <f>HYPERLINK("http://141.218.60.56/~jnz1568/getInfo.php?workbook=20_05.xlsx&amp;sheet=U0&amp;row=1662&amp;col=7&amp;number=0.000755&amp;sourceID=14","0.000755")</f>
        <v>0.000755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HYPERLINK("http://141.218.60.56/~jnz1568/getInfo.php?workbook=20_05.xlsx&amp;sheet=U0&amp;row=1663&amp;col=6&amp;number=4.9&amp;sourceID=14","4.9")</f>
        <v>4.9</v>
      </c>
      <c r="G1663" s="4" t="str">
        <f>HYPERLINK("http://141.218.60.56/~jnz1568/getInfo.php?workbook=20_05.xlsx&amp;sheet=U0&amp;row=1663&amp;col=7&amp;number=0.00076&amp;sourceID=14","0.00076")</f>
        <v>0.00076</v>
      </c>
    </row>
    <row r="1664" spans="1:7">
      <c r="A1664" s="3">
        <v>20</v>
      </c>
      <c r="B1664" s="3">
        <v>5</v>
      </c>
      <c r="C1664" s="3">
        <v>1</v>
      </c>
      <c r="D1664" s="3">
        <v>39</v>
      </c>
      <c r="E1664" s="3">
        <v>1</v>
      </c>
      <c r="F1664" s="4" t="str">
        <f>HYPERLINK("http://141.218.60.56/~jnz1568/getInfo.php?workbook=20_05.xlsx&amp;sheet=U0&amp;row=1664&amp;col=6&amp;number=3&amp;sourceID=14","3")</f>
        <v>3</v>
      </c>
      <c r="G1664" s="4" t="str">
        <f>HYPERLINK("http://141.218.60.56/~jnz1568/getInfo.php?workbook=20_05.xlsx&amp;sheet=U0&amp;row=1664&amp;col=7&amp;number=2.01e-05&amp;sourceID=14","2.01e-05")</f>
        <v>2.01e-05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HYPERLINK("http://141.218.60.56/~jnz1568/getInfo.php?workbook=20_05.xlsx&amp;sheet=U0&amp;row=1665&amp;col=6&amp;number=3.1&amp;sourceID=14","3.1")</f>
        <v>3.1</v>
      </c>
      <c r="G1665" s="4" t="str">
        <f>HYPERLINK("http://141.218.60.56/~jnz1568/getInfo.php?workbook=20_05.xlsx&amp;sheet=U0&amp;row=1665&amp;col=7&amp;number=2.01e-05&amp;sourceID=14","2.01e-05")</f>
        <v>2.01e-05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HYPERLINK("http://141.218.60.56/~jnz1568/getInfo.php?workbook=20_05.xlsx&amp;sheet=U0&amp;row=1666&amp;col=6&amp;number=3.2&amp;sourceID=14","3.2")</f>
        <v>3.2</v>
      </c>
      <c r="G1666" s="4" t="str">
        <f>HYPERLINK("http://141.218.60.56/~jnz1568/getInfo.php?workbook=20_05.xlsx&amp;sheet=U0&amp;row=1666&amp;col=7&amp;number=2.01e-05&amp;sourceID=14","2.01e-05")</f>
        <v>2.01e-05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HYPERLINK("http://141.218.60.56/~jnz1568/getInfo.php?workbook=20_05.xlsx&amp;sheet=U0&amp;row=1667&amp;col=6&amp;number=3.3&amp;sourceID=14","3.3")</f>
        <v>3.3</v>
      </c>
      <c r="G1667" s="4" t="str">
        <f>HYPERLINK("http://141.218.60.56/~jnz1568/getInfo.php?workbook=20_05.xlsx&amp;sheet=U0&amp;row=1667&amp;col=7&amp;number=2.01e-05&amp;sourceID=14","2.01e-05")</f>
        <v>2.01e-05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HYPERLINK("http://141.218.60.56/~jnz1568/getInfo.php?workbook=20_05.xlsx&amp;sheet=U0&amp;row=1668&amp;col=6&amp;number=3.4&amp;sourceID=14","3.4")</f>
        <v>3.4</v>
      </c>
      <c r="G1668" s="4" t="str">
        <f>HYPERLINK("http://141.218.60.56/~jnz1568/getInfo.php?workbook=20_05.xlsx&amp;sheet=U0&amp;row=1668&amp;col=7&amp;number=2.01e-05&amp;sourceID=14","2.01e-05")</f>
        <v>2.01e-05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HYPERLINK("http://141.218.60.56/~jnz1568/getInfo.php?workbook=20_05.xlsx&amp;sheet=U0&amp;row=1669&amp;col=6&amp;number=3.5&amp;sourceID=14","3.5")</f>
        <v>3.5</v>
      </c>
      <c r="G1669" s="4" t="str">
        <f>HYPERLINK("http://141.218.60.56/~jnz1568/getInfo.php?workbook=20_05.xlsx&amp;sheet=U0&amp;row=1669&amp;col=7&amp;number=2.01e-05&amp;sourceID=14","2.01e-05")</f>
        <v>2.01e-05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HYPERLINK("http://141.218.60.56/~jnz1568/getInfo.php?workbook=20_05.xlsx&amp;sheet=U0&amp;row=1670&amp;col=6&amp;number=3.6&amp;sourceID=14","3.6")</f>
        <v>3.6</v>
      </c>
      <c r="G1670" s="4" t="str">
        <f>HYPERLINK("http://141.218.60.56/~jnz1568/getInfo.php?workbook=20_05.xlsx&amp;sheet=U0&amp;row=1670&amp;col=7&amp;number=2.01e-05&amp;sourceID=14","2.01e-05")</f>
        <v>2.01e-05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HYPERLINK("http://141.218.60.56/~jnz1568/getInfo.php?workbook=20_05.xlsx&amp;sheet=U0&amp;row=1671&amp;col=6&amp;number=3.7&amp;sourceID=14","3.7")</f>
        <v>3.7</v>
      </c>
      <c r="G1671" s="4" t="str">
        <f>HYPERLINK("http://141.218.60.56/~jnz1568/getInfo.php?workbook=20_05.xlsx&amp;sheet=U0&amp;row=1671&amp;col=7&amp;number=2.01e-05&amp;sourceID=14","2.01e-05")</f>
        <v>2.01e-05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HYPERLINK("http://141.218.60.56/~jnz1568/getInfo.php?workbook=20_05.xlsx&amp;sheet=U0&amp;row=1672&amp;col=6&amp;number=3.8&amp;sourceID=14","3.8")</f>
        <v>3.8</v>
      </c>
      <c r="G1672" s="4" t="str">
        <f>HYPERLINK("http://141.218.60.56/~jnz1568/getInfo.php?workbook=20_05.xlsx&amp;sheet=U0&amp;row=1672&amp;col=7&amp;number=2.01e-05&amp;sourceID=14","2.01e-05")</f>
        <v>2.01e-05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HYPERLINK("http://141.218.60.56/~jnz1568/getInfo.php?workbook=20_05.xlsx&amp;sheet=U0&amp;row=1673&amp;col=6&amp;number=3.9&amp;sourceID=14","3.9")</f>
        <v>3.9</v>
      </c>
      <c r="G1673" s="4" t="str">
        <f>HYPERLINK("http://141.218.60.56/~jnz1568/getInfo.php?workbook=20_05.xlsx&amp;sheet=U0&amp;row=1673&amp;col=7&amp;number=2.01e-05&amp;sourceID=14","2.01e-05")</f>
        <v>2.01e-05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HYPERLINK("http://141.218.60.56/~jnz1568/getInfo.php?workbook=20_05.xlsx&amp;sheet=U0&amp;row=1674&amp;col=6&amp;number=4&amp;sourceID=14","4")</f>
        <v>4</v>
      </c>
      <c r="G1674" s="4" t="str">
        <f>HYPERLINK("http://141.218.60.56/~jnz1568/getInfo.php?workbook=20_05.xlsx&amp;sheet=U0&amp;row=1674&amp;col=7&amp;number=2.01e-05&amp;sourceID=14","2.01e-05")</f>
        <v>2.01e-05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HYPERLINK("http://141.218.60.56/~jnz1568/getInfo.php?workbook=20_05.xlsx&amp;sheet=U0&amp;row=1675&amp;col=6&amp;number=4.1&amp;sourceID=14","4.1")</f>
        <v>4.1</v>
      </c>
      <c r="G1675" s="4" t="str">
        <f>HYPERLINK("http://141.218.60.56/~jnz1568/getInfo.php?workbook=20_05.xlsx&amp;sheet=U0&amp;row=1675&amp;col=7&amp;number=2.01e-05&amp;sourceID=14","2.01e-05")</f>
        <v>2.01e-05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HYPERLINK("http://141.218.60.56/~jnz1568/getInfo.php?workbook=20_05.xlsx&amp;sheet=U0&amp;row=1676&amp;col=6&amp;number=4.2&amp;sourceID=14","4.2")</f>
        <v>4.2</v>
      </c>
      <c r="G1676" s="4" t="str">
        <f>HYPERLINK("http://141.218.60.56/~jnz1568/getInfo.php?workbook=20_05.xlsx&amp;sheet=U0&amp;row=1676&amp;col=7&amp;number=2.01e-05&amp;sourceID=14","2.01e-05")</f>
        <v>2.01e-05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HYPERLINK("http://141.218.60.56/~jnz1568/getInfo.php?workbook=20_05.xlsx&amp;sheet=U0&amp;row=1677&amp;col=6&amp;number=4.3&amp;sourceID=14","4.3")</f>
        <v>4.3</v>
      </c>
      <c r="G1677" s="4" t="str">
        <f>HYPERLINK("http://141.218.60.56/~jnz1568/getInfo.php?workbook=20_05.xlsx&amp;sheet=U0&amp;row=1677&amp;col=7&amp;number=2.01e-05&amp;sourceID=14","2.01e-05")</f>
        <v>2.01e-05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HYPERLINK("http://141.218.60.56/~jnz1568/getInfo.php?workbook=20_05.xlsx&amp;sheet=U0&amp;row=1678&amp;col=6&amp;number=4.4&amp;sourceID=14","4.4")</f>
        <v>4.4</v>
      </c>
      <c r="G1678" s="4" t="str">
        <f>HYPERLINK("http://141.218.60.56/~jnz1568/getInfo.php?workbook=20_05.xlsx&amp;sheet=U0&amp;row=1678&amp;col=7&amp;number=2e-05&amp;sourceID=14","2e-05")</f>
        <v>2e-05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HYPERLINK("http://141.218.60.56/~jnz1568/getInfo.php?workbook=20_05.xlsx&amp;sheet=U0&amp;row=1679&amp;col=6&amp;number=4.5&amp;sourceID=14","4.5")</f>
        <v>4.5</v>
      </c>
      <c r="G1679" s="4" t="str">
        <f>HYPERLINK("http://141.218.60.56/~jnz1568/getInfo.php?workbook=20_05.xlsx&amp;sheet=U0&amp;row=1679&amp;col=7&amp;number=2e-05&amp;sourceID=14","2e-05")</f>
        <v>2e-05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HYPERLINK("http://141.218.60.56/~jnz1568/getInfo.php?workbook=20_05.xlsx&amp;sheet=U0&amp;row=1680&amp;col=6&amp;number=4.6&amp;sourceID=14","4.6")</f>
        <v>4.6</v>
      </c>
      <c r="G1680" s="4" t="str">
        <f>HYPERLINK("http://141.218.60.56/~jnz1568/getInfo.php?workbook=20_05.xlsx&amp;sheet=U0&amp;row=1680&amp;col=7&amp;number=2e-05&amp;sourceID=14","2e-05")</f>
        <v>2e-05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HYPERLINK("http://141.218.60.56/~jnz1568/getInfo.php?workbook=20_05.xlsx&amp;sheet=U0&amp;row=1681&amp;col=6&amp;number=4.7&amp;sourceID=14","4.7")</f>
        <v>4.7</v>
      </c>
      <c r="G1681" s="4" t="str">
        <f>HYPERLINK("http://141.218.60.56/~jnz1568/getInfo.php?workbook=20_05.xlsx&amp;sheet=U0&amp;row=1681&amp;col=7&amp;number=2e-05&amp;sourceID=14","2e-05")</f>
        <v>2e-05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HYPERLINK("http://141.218.60.56/~jnz1568/getInfo.php?workbook=20_05.xlsx&amp;sheet=U0&amp;row=1682&amp;col=6&amp;number=4.8&amp;sourceID=14","4.8")</f>
        <v>4.8</v>
      </c>
      <c r="G1682" s="4" t="str">
        <f>HYPERLINK("http://141.218.60.56/~jnz1568/getInfo.php?workbook=20_05.xlsx&amp;sheet=U0&amp;row=1682&amp;col=7&amp;number=1.99e-05&amp;sourceID=14","1.99e-05")</f>
        <v>1.99e-05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HYPERLINK("http://141.218.60.56/~jnz1568/getInfo.php?workbook=20_05.xlsx&amp;sheet=U0&amp;row=1683&amp;col=6&amp;number=4.9&amp;sourceID=14","4.9")</f>
        <v>4.9</v>
      </c>
      <c r="G1683" s="4" t="str">
        <f>HYPERLINK("http://141.218.60.56/~jnz1568/getInfo.php?workbook=20_05.xlsx&amp;sheet=U0&amp;row=1683&amp;col=7&amp;number=1.99e-05&amp;sourceID=14","1.99e-05")</f>
        <v>1.99e-05</v>
      </c>
    </row>
    <row r="1684" spans="1:7">
      <c r="A1684" s="3">
        <v>20</v>
      </c>
      <c r="B1684" s="3">
        <v>5</v>
      </c>
      <c r="C1684" s="3">
        <v>1</v>
      </c>
      <c r="D1684" s="3">
        <v>40</v>
      </c>
      <c r="E1684" s="3">
        <v>1</v>
      </c>
      <c r="F1684" s="4" t="str">
        <f>HYPERLINK("http://141.218.60.56/~jnz1568/getInfo.php?workbook=20_05.xlsx&amp;sheet=U0&amp;row=1684&amp;col=6&amp;number=3&amp;sourceID=14","3")</f>
        <v>3</v>
      </c>
      <c r="G1684" s="4" t="str">
        <f>HYPERLINK("http://141.218.60.56/~jnz1568/getInfo.php?workbook=20_05.xlsx&amp;sheet=U0&amp;row=1684&amp;col=7&amp;number=0.000424&amp;sourceID=14","0.000424")</f>
        <v>0.000424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HYPERLINK("http://141.218.60.56/~jnz1568/getInfo.php?workbook=20_05.xlsx&amp;sheet=U0&amp;row=1685&amp;col=6&amp;number=3.1&amp;sourceID=14","3.1")</f>
        <v>3.1</v>
      </c>
      <c r="G1685" s="4" t="str">
        <f>HYPERLINK("http://141.218.60.56/~jnz1568/getInfo.php?workbook=20_05.xlsx&amp;sheet=U0&amp;row=1685&amp;col=7&amp;number=0.000424&amp;sourceID=14","0.000424")</f>
        <v>0.000424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HYPERLINK("http://141.218.60.56/~jnz1568/getInfo.php?workbook=20_05.xlsx&amp;sheet=U0&amp;row=1686&amp;col=6&amp;number=3.2&amp;sourceID=14","3.2")</f>
        <v>3.2</v>
      </c>
      <c r="G1686" s="4" t="str">
        <f>HYPERLINK("http://141.218.60.56/~jnz1568/getInfo.php?workbook=20_05.xlsx&amp;sheet=U0&amp;row=1686&amp;col=7&amp;number=0.000424&amp;sourceID=14","0.000424")</f>
        <v>0.000424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HYPERLINK("http://141.218.60.56/~jnz1568/getInfo.php?workbook=20_05.xlsx&amp;sheet=U0&amp;row=1687&amp;col=6&amp;number=3.3&amp;sourceID=14","3.3")</f>
        <v>3.3</v>
      </c>
      <c r="G1687" s="4" t="str">
        <f>HYPERLINK("http://141.218.60.56/~jnz1568/getInfo.php?workbook=20_05.xlsx&amp;sheet=U0&amp;row=1687&amp;col=7&amp;number=0.000424&amp;sourceID=14","0.000424")</f>
        <v>0.000424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HYPERLINK("http://141.218.60.56/~jnz1568/getInfo.php?workbook=20_05.xlsx&amp;sheet=U0&amp;row=1688&amp;col=6&amp;number=3.4&amp;sourceID=14","3.4")</f>
        <v>3.4</v>
      </c>
      <c r="G1688" s="4" t="str">
        <f>HYPERLINK("http://141.218.60.56/~jnz1568/getInfo.php?workbook=20_05.xlsx&amp;sheet=U0&amp;row=1688&amp;col=7&amp;number=0.000424&amp;sourceID=14","0.000424")</f>
        <v>0.000424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HYPERLINK("http://141.218.60.56/~jnz1568/getInfo.php?workbook=20_05.xlsx&amp;sheet=U0&amp;row=1689&amp;col=6&amp;number=3.5&amp;sourceID=14","3.5")</f>
        <v>3.5</v>
      </c>
      <c r="G1689" s="4" t="str">
        <f>HYPERLINK("http://141.218.60.56/~jnz1568/getInfo.php?workbook=20_05.xlsx&amp;sheet=U0&amp;row=1689&amp;col=7&amp;number=0.000424&amp;sourceID=14","0.000424")</f>
        <v>0.000424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HYPERLINK("http://141.218.60.56/~jnz1568/getInfo.php?workbook=20_05.xlsx&amp;sheet=U0&amp;row=1690&amp;col=6&amp;number=3.6&amp;sourceID=14","3.6")</f>
        <v>3.6</v>
      </c>
      <c r="G1690" s="4" t="str">
        <f>HYPERLINK("http://141.218.60.56/~jnz1568/getInfo.php?workbook=20_05.xlsx&amp;sheet=U0&amp;row=1690&amp;col=7&amp;number=0.000424&amp;sourceID=14","0.000424")</f>
        <v>0.000424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HYPERLINK("http://141.218.60.56/~jnz1568/getInfo.php?workbook=20_05.xlsx&amp;sheet=U0&amp;row=1691&amp;col=6&amp;number=3.7&amp;sourceID=14","3.7")</f>
        <v>3.7</v>
      </c>
      <c r="G1691" s="4" t="str">
        <f>HYPERLINK("http://141.218.60.56/~jnz1568/getInfo.php?workbook=20_05.xlsx&amp;sheet=U0&amp;row=1691&amp;col=7&amp;number=0.000424&amp;sourceID=14","0.000424")</f>
        <v>0.000424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HYPERLINK("http://141.218.60.56/~jnz1568/getInfo.php?workbook=20_05.xlsx&amp;sheet=U0&amp;row=1692&amp;col=6&amp;number=3.8&amp;sourceID=14","3.8")</f>
        <v>3.8</v>
      </c>
      <c r="G1692" s="4" t="str">
        <f>HYPERLINK("http://141.218.60.56/~jnz1568/getInfo.php?workbook=20_05.xlsx&amp;sheet=U0&amp;row=1692&amp;col=7&amp;number=0.000425&amp;sourceID=14","0.000425")</f>
        <v>0.000425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HYPERLINK("http://141.218.60.56/~jnz1568/getInfo.php?workbook=20_05.xlsx&amp;sheet=U0&amp;row=1693&amp;col=6&amp;number=3.9&amp;sourceID=14","3.9")</f>
        <v>3.9</v>
      </c>
      <c r="G1693" s="4" t="str">
        <f>HYPERLINK("http://141.218.60.56/~jnz1568/getInfo.php?workbook=20_05.xlsx&amp;sheet=U0&amp;row=1693&amp;col=7&amp;number=0.000425&amp;sourceID=14","0.000425")</f>
        <v>0.000425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HYPERLINK("http://141.218.60.56/~jnz1568/getInfo.php?workbook=20_05.xlsx&amp;sheet=U0&amp;row=1694&amp;col=6&amp;number=4&amp;sourceID=14","4")</f>
        <v>4</v>
      </c>
      <c r="G1694" s="4" t="str">
        <f>HYPERLINK("http://141.218.60.56/~jnz1568/getInfo.php?workbook=20_05.xlsx&amp;sheet=U0&amp;row=1694&amp;col=7&amp;number=0.000425&amp;sourceID=14","0.000425")</f>
        <v>0.000425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HYPERLINK("http://141.218.60.56/~jnz1568/getInfo.php?workbook=20_05.xlsx&amp;sheet=U0&amp;row=1695&amp;col=6&amp;number=4.1&amp;sourceID=14","4.1")</f>
        <v>4.1</v>
      </c>
      <c r="G1695" s="4" t="str">
        <f>HYPERLINK("http://141.218.60.56/~jnz1568/getInfo.php?workbook=20_05.xlsx&amp;sheet=U0&amp;row=1695&amp;col=7&amp;number=0.000425&amp;sourceID=14","0.000425")</f>
        <v>0.000425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HYPERLINK("http://141.218.60.56/~jnz1568/getInfo.php?workbook=20_05.xlsx&amp;sheet=U0&amp;row=1696&amp;col=6&amp;number=4.2&amp;sourceID=14","4.2")</f>
        <v>4.2</v>
      </c>
      <c r="G1696" s="4" t="str">
        <f>HYPERLINK("http://141.218.60.56/~jnz1568/getInfo.php?workbook=20_05.xlsx&amp;sheet=U0&amp;row=1696&amp;col=7&amp;number=0.000426&amp;sourceID=14","0.000426")</f>
        <v>0.000426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HYPERLINK("http://141.218.60.56/~jnz1568/getInfo.php?workbook=20_05.xlsx&amp;sheet=U0&amp;row=1697&amp;col=6&amp;number=4.3&amp;sourceID=14","4.3")</f>
        <v>4.3</v>
      </c>
      <c r="G1697" s="4" t="str">
        <f>HYPERLINK("http://141.218.60.56/~jnz1568/getInfo.php?workbook=20_05.xlsx&amp;sheet=U0&amp;row=1697&amp;col=7&amp;number=0.000427&amp;sourceID=14","0.000427")</f>
        <v>0.000427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HYPERLINK("http://141.218.60.56/~jnz1568/getInfo.php?workbook=20_05.xlsx&amp;sheet=U0&amp;row=1698&amp;col=6&amp;number=4.4&amp;sourceID=14","4.4")</f>
        <v>4.4</v>
      </c>
      <c r="G1698" s="4" t="str">
        <f>HYPERLINK("http://141.218.60.56/~jnz1568/getInfo.php?workbook=20_05.xlsx&amp;sheet=U0&amp;row=1698&amp;col=7&amp;number=0.000427&amp;sourceID=14","0.000427")</f>
        <v>0.000427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HYPERLINK("http://141.218.60.56/~jnz1568/getInfo.php?workbook=20_05.xlsx&amp;sheet=U0&amp;row=1699&amp;col=6&amp;number=4.5&amp;sourceID=14","4.5")</f>
        <v>4.5</v>
      </c>
      <c r="G1699" s="4" t="str">
        <f>HYPERLINK("http://141.218.60.56/~jnz1568/getInfo.php?workbook=20_05.xlsx&amp;sheet=U0&amp;row=1699&amp;col=7&amp;number=0.000428&amp;sourceID=14","0.000428")</f>
        <v>0.000428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HYPERLINK("http://141.218.60.56/~jnz1568/getInfo.php?workbook=20_05.xlsx&amp;sheet=U0&amp;row=1700&amp;col=6&amp;number=4.6&amp;sourceID=14","4.6")</f>
        <v>4.6</v>
      </c>
      <c r="G1700" s="4" t="str">
        <f>HYPERLINK("http://141.218.60.56/~jnz1568/getInfo.php?workbook=20_05.xlsx&amp;sheet=U0&amp;row=1700&amp;col=7&amp;number=0.000429&amp;sourceID=14","0.000429")</f>
        <v>0.000429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HYPERLINK("http://141.218.60.56/~jnz1568/getInfo.php?workbook=20_05.xlsx&amp;sheet=U0&amp;row=1701&amp;col=6&amp;number=4.7&amp;sourceID=14","4.7")</f>
        <v>4.7</v>
      </c>
      <c r="G1701" s="4" t="str">
        <f>HYPERLINK("http://141.218.60.56/~jnz1568/getInfo.php?workbook=20_05.xlsx&amp;sheet=U0&amp;row=1701&amp;col=7&amp;number=0.000431&amp;sourceID=14","0.000431")</f>
        <v>0.000431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HYPERLINK("http://141.218.60.56/~jnz1568/getInfo.php?workbook=20_05.xlsx&amp;sheet=U0&amp;row=1702&amp;col=6&amp;number=4.8&amp;sourceID=14","4.8")</f>
        <v>4.8</v>
      </c>
      <c r="G1702" s="4" t="str">
        <f>HYPERLINK("http://141.218.60.56/~jnz1568/getInfo.php?workbook=20_05.xlsx&amp;sheet=U0&amp;row=1702&amp;col=7&amp;number=0.000433&amp;sourceID=14","0.000433")</f>
        <v>0.000433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HYPERLINK("http://141.218.60.56/~jnz1568/getInfo.php?workbook=20_05.xlsx&amp;sheet=U0&amp;row=1703&amp;col=6&amp;number=4.9&amp;sourceID=14","4.9")</f>
        <v>4.9</v>
      </c>
      <c r="G1703" s="4" t="str">
        <f>HYPERLINK("http://141.218.60.56/~jnz1568/getInfo.php?workbook=20_05.xlsx&amp;sheet=U0&amp;row=1703&amp;col=7&amp;number=0.000435&amp;sourceID=14","0.000435")</f>
        <v>0.000435</v>
      </c>
    </row>
    <row r="1704" spans="1:7">
      <c r="A1704" s="3">
        <v>20</v>
      </c>
      <c r="B1704" s="3">
        <v>5</v>
      </c>
      <c r="C1704" s="3">
        <v>1</v>
      </c>
      <c r="D1704" s="3">
        <v>41</v>
      </c>
      <c r="E1704" s="3">
        <v>1</v>
      </c>
      <c r="F1704" s="4" t="str">
        <f>HYPERLINK("http://141.218.60.56/~jnz1568/getInfo.php?workbook=20_05.xlsx&amp;sheet=U0&amp;row=1704&amp;col=6&amp;number=3&amp;sourceID=14","3")</f>
        <v>3</v>
      </c>
      <c r="G1704" s="4" t="str">
        <f>HYPERLINK("http://141.218.60.56/~jnz1568/getInfo.php?workbook=20_05.xlsx&amp;sheet=U0&amp;row=1704&amp;col=7&amp;number=6.62e-05&amp;sourceID=14","6.62e-05")</f>
        <v>6.62e-05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HYPERLINK("http://141.218.60.56/~jnz1568/getInfo.php?workbook=20_05.xlsx&amp;sheet=U0&amp;row=1705&amp;col=6&amp;number=3.1&amp;sourceID=14","3.1")</f>
        <v>3.1</v>
      </c>
      <c r="G1705" s="4" t="str">
        <f>HYPERLINK("http://141.218.60.56/~jnz1568/getInfo.php?workbook=20_05.xlsx&amp;sheet=U0&amp;row=1705&amp;col=7&amp;number=6.62e-05&amp;sourceID=14","6.62e-05")</f>
        <v>6.62e-05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HYPERLINK("http://141.218.60.56/~jnz1568/getInfo.php?workbook=20_05.xlsx&amp;sheet=U0&amp;row=1706&amp;col=6&amp;number=3.2&amp;sourceID=14","3.2")</f>
        <v>3.2</v>
      </c>
      <c r="G1706" s="4" t="str">
        <f>HYPERLINK("http://141.218.60.56/~jnz1568/getInfo.php?workbook=20_05.xlsx&amp;sheet=U0&amp;row=1706&amp;col=7&amp;number=6.62e-05&amp;sourceID=14","6.62e-05")</f>
        <v>6.62e-05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HYPERLINK("http://141.218.60.56/~jnz1568/getInfo.php?workbook=20_05.xlsx&amp;sheet=U0&amp;row=1707&amp;col=6&amp;number=3.3&amp;sourceID=14","3.3")</f>
        <v>3.3</v>
      </c>
      <c r="G1707" s="4" t="str">
        <f>HYPERLINK("http://141.218.60.56/~jnz1568/getInfo.php?workbook=20_05.xlsx&amp;sheet=U0&amp;row=1707&amp;col=7&amp;number=6.62e-05&amp;sourceID=14","6.62e-05")</f>
        <v>6.62e-05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HYPERLINK("http://141.218.60.56/~jnz1568/getInfo.php?workbook=20_05.xlsx&amp;sheet=U0&amp;row=1708&amp;col=6&amp;number=3.4&amp;sourceID=14","3.4")</f>
        <v>3.4</v>
      </c>
      <c r="G1708" s="4" t="str">
        <f>HYPERLINK("http://141.218.60.56/~jnz1568/getInfo.php?workbook=20_05.xlsx&amp;sheet=U0&amp;row=1708&amp;col=7&amp;number=6.62e-05&amp;sourceID=14","6.62e-05")</f>
        <v>6.62e-05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HYPERLINK("http://141.218.60.56/~jnz1568/getInfo.php?workbook=20_05.xlsx&amp;sheet=U0&amp;row=1709&amp;col=6&amp;number=3.5&amp;sourceID=14","3.5")</f>
        <v>3.5</v>
      </c>
      <c r="G1709" s="4" t="str">
        <f>HYPERLINK("http://141.218.60.56/~jnz1568/getInfo.php?workbook=20_05.xlsx&amp;sheet=U0&amp;row=1709&amp;col=7&amp;number=6.63e-05&amp;sourceID=14","6.63e-05")</f>
        <v>6.63e-05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HYPERLINK("http://141.218.60.56/~jnz1568/getInfo.php?workbook=20_05.xlsx&amp;sheet=U0&amp;row=1710&amp;col=6&amp;number=3.6&amp;sourceID=14","3.6")</f>
        <v>3.6</v>
      </c>
      <c r="G1710" s="4" t="str">
        <f>HYPERLINK("http://141.218.60.56/~jnz1568/getInfo.php?workbook=20_05.xlsx&amp;sheet=U0&amp;row=1710&amp;col=7&amp;number=6.63e-05&amp;sourceID=14","6.63e-05")</f>
        <v>6.63e-05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HYPERLINK("http://141.218.60.56/~jnz1568/getInfo.php?workbook=20_05.xlsx&amp;sheet=U0&amp;row=1711&amp;col=6&amp;number=3.7&amp;sourceID=14","3.7")</f>
        <v>3.7</v>
      </c>
      <c r="G1711" s="4" t="str">
        <f>HYPERLINK("http://141.218.60.56/~jnz1568/getInfo.php?workbook=20_05.xlsx&amp;sheet=U0&amp;row=1711&amp;col=7&amp;number=6.63e-05&amp;sourceID=14","6.63e-05")</f>
        <v>6.63e-05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HYPERLINK("http://141.218.60.56/~jnz1568/getInfo.php?workbook=20_05.xlsx&amp;sheet=U0&amp;row=1712&amp;col=6&amp;number=3.8&amp;sourceID=14","3.8")</f>
        <v>3.8</v>
      </c>
      <c r="G1712" s="4" t="str">
        <f>HYPERLINK("http://141.218.60.56/~jnz1568/getInfo.php?workbook=20_05.xlsx&amp;sheet=U0&amp;row=1712&amp;col=7&amp;number=6.63e-05&amp;sourceID=14","6.63e-05")</f>
        <v>6.63e-05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HYPERLINK("http://141.218.60.56/~jnz1568/getInfo.php?workbook=20_05.xlsx&amp;sheet=U0&amp;row=1713&amp;col=6&amp;number=3.9&amp;sourceID=14","3.9")</f>
        <v>3.9</v>
      </c>
      <c r="G1713" s="4" t="str">
        <f>HYPERLINK("http://141.218.60.56/~jnz1568/getInfo.php?workbook=20_05.xlsx&amp;sheet=U0&amp;row=1713&amp;col=7&amp;number=6.63e-05&amp;sourceID=14","6.63e-05")</f>
        <v>6.63e-05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HYPERLINK("http://141.218.60.56/~jnz1568/getInfo.php?workbook=20_05.xlsx&amp;sheet=U0&amp;row=1714&amp;col=6&amp;number=4&amp;sourceID=14","4")</f>
        <v>4</v>
      </c>
      <c r="G1714" s="4" t="str">
        <f>HYPERLINK("http://141.218.60.56/~jnz1568/getInfo.php?workbook=20_05.xlsx&amp;sheet=U0&amp;row=1714&amp;col=7&amp;number=6.64e-05&amp;sourceID=14","6.64e-05")</f>
        <v>6.64e-05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HYPERLINK("http://141.218.60.56/~jnz1568/getInfo.php?workbook=20_05.xlsx&amp;sheet=U0&amp;row=1715&amp;col=6&amp;number=4.1&amp;sourceID=14","4.1")</f>
        <v>4.1</v>
      </c>
      <c r="G1715" s="4" t="str">
        <f>HYPERLINK("http://141.218.60.56/~jnz1568/getInfo.php?workbook=20_05.xlsx&amp;sheet=U0&amp;row=1715&amp;col=7&amp;number=6.64e-05&amp;sourceID=14","6.64e-05")</f>
        <v>6.64e-05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HYPERLINK("http://141.218.60.56/~jnz1568/getInfo.php?workbook=20_05.xlsx&amp;sheet=U0&amp;row=1716&amp;col=6&amp;number=4.2&amp;sourceID=14","4.2")</f>
        <v>4.2</v>
      </c>
      <c r="G1716" s="4" t="str">
        <f>HYPERLINK("http://141.218.60.56/~jnz1568/getInfo.php?workbook=20_05.xlsx&amp;sheet=U0&amp;row=1716&amp;col=7&amp;number=6.65e-05&amp;sourceID=14","6.65e-05")</f>
        <v>6.65e-05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HYPERLINK("http://141.218.60.56/~jnz1568/getInfo.php?workbook=20_05.xlsx&amp;sheet=U0&amp;row=1717&amp;col=6&amp;number=4.3&amp;sourceID=14","4.3")</f>
        <v>4.3</v>
      </c>
      <c r="G1717" s="4" t="str">
        <f>HYPERLINK("http://141.218.60.56/~jnz1568/getInfo.php?workbook=20_05.xlsx&amp;sheet=U0&amp;row=1717&amp;col=7&amp;number=6.66e-05&amp;sourceID=14","6.66e-05")</f>
        <v>6.66e-05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HYPERLINK("http://141.218.60.56/~jnz1568/getInfo.php?workbook=20_05.xlsx&amp;sheet=U0&amp;row=1718&amp;col=6&amp;number=4.4&amp;sourceID=14","4.4")</f>
        <v>4.4</v>
      </c>
      <c r="G1718" s="4" t="str">
        <f>HYPERLINK("http://141.218.60.56/~jnz1568/getInfo.php?workbook=20_05.xlsx&amp;sheet=U0&amp;row=1718&amp;col=7&amp;number=6.67e-05&amp;sourceID=14","6.67e-05")</f>
        <v>6.67e-05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HYPERLINK("http://141.218.60.56/~jnz1568/getInfo.php?workbook=20_05.xlsx&amp;sheet=U0&amp;row=1719&amp;col=6&amp;number=4.5&amp;sourceID=14","4.5")</f>
        <v>4.5</v>
      </c>
      <c r="G1719" s="4" t="str">
        <f>HYPERLINK("http://141.218.60.56/~jnz1568/getInfo.php?workbook=20_05.xlsx&amp;sheet=U0&amp;row=1719&amp;col=7&amp;number=6.68e-05&amp;sourceID=14","6.68e-05")</f>
        <v>6.68e-05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HYPERLINK("http://141.218.60.56/~jnz1568/getInfo.php?workbook=20_05.xlsx&amp;sheet=U0&amp;row=1720&amp;col=6&amp;number=4.6&amp;sourceID=14","4.6")</f>
        <v>4.6</v>
      </c>
      <c r="G1720" s="4" t="str">
        <f>HYPERLINK("http://141.218.60.56/~jnz1568/getInfo.php?workbook=20_05.xlsx&amp;sheet=U0&amp;row=1720&amp;col=7&amp;number=6.69e-05&amp;sourceID=14","6.69e-05")</f>
        <v>6.69e-05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HYPERLINK("http://141.218.60.56/~jnz1568/getInfo.php?workbook=20_05.xlsx&amp;sheet=U0&amp;row=1721&amp;col=6&amp;number=4.7&amp;sourceID=14","4.7")</f>
        <v>4.7</v>
      </c>
      <c r="G1721" s="4" t="str">
        <f>HYPERLINK("http://141.218.60.56/~jnz1568/getInfo.php?workbook=20_05.xlsx&amp;sheet=U0&amp;row=1721&amp;col=7&amp;number=6.71e-05&amp;sourceID=14","6.71e-05")</f>
        <v>6.71e-05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HYPERLINK("http://141.218.60.56/~jnz1568/getInfo.php?workbook=20_05.xlsx&amp;sheet=U0&amp;row=1722&amp;col=6&amp;number=4.8&amp;sourceID=14","4.8")</f>
        <v>4.8</v>
      </c>
      <c r="G1722" s="4" t="str">
        <f>HYPERLINK("http://141.218.60.56/~jnz1568/getInfo.php?workbook=20_05.xlsx&amp;sheet=U0&amp;row=1722&amp;col=7&amp;number=6.74e-05&amp;sourceID=14","6.74e-05")</f>
        <v>6.74e-05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HYPERLINK("http://141.218.60.56/~jnz1568/getInfo.php?workbook=20_05.xlsx&amp;sheet=U0&amp;row=1723&amp;col=6&amp;number=4.9&amp;sourceID=14","4.9")</f>
        <v>4.9</v>
      </c>
      <c r="G1723" s="4" t="str">
        <f>HYPERLINK("http://141.218.60.56/~jnz1568/getInfo.php?workbook=20_05.xlsx&amp;sheet=U0&amp;row=1723&amp;col=7&amp;number=6.77e-05&amp;sourceID=14","6.77e-05")</f>
        <v>6.77e-05</v>
      </c>
    </row>
    <row r="1724" spans="1:7">
      <c r="A1724" s="3">
        <v>20</v>
      </c>
      <c r="B1724" s="3">
        <v>5</v>
      </c>
      <c r="C1724" s="3">
        <v>1</v>
      </c>
      <c r="D1724" s="3">
        <v>42</v>
      </c>
      <c r="E1724" s="3">
        <v>1</v>
      </c>
      <c r="F1724" s="4" t="str">
        <f>HYPERLINK("http://141.218.60.56/~jnz1568/getInfo.php?workbook=20_05.xlsx&amp;sheet=U0&amp;row=1724&amp;col=6&amp;number=3&amp;sourceID=14","3")</f>
        <v>3</v>
      </c>
      <c r="G1724" s="4" t="str">
        <f>HYPERLINK("http://141.218.60.56/~jnz1568/getInfo.php?workbook=20_05.xlsx&amp;sheet=U0&amp;row=1724&amp;col=7&amp;number=0.000162&amp;sourceID=14","0.000162")</f>
        <v>0.000162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HYPERLINK("http://141.218.60.56/~jnz1568/getInfo.php?workbook=20_05.xlsx&amp;sheet=U0&amp;row=1725&amp;col=6&amp;number=3.1&amp;sourceID=14","3.1")</f>
        <v>3.1</v>
      </c>
      <c r="G1725" s="4" t="str">
        <f>HYPERLINK("http://141.218.60.56/~jnz1568/getInfo.php?workbook=20_05.xlsx&amp;sheet=U0&amp;row=1725&amp;col=7&amp;number=0.000162&amp;sourceID=14","0.000162")</f>
        <v>0.000162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HYPERLINK("http://141.218.60.56/~jnz1568/getInfo.php?workbook=20_05.xlsx&amp;sheet=U0&amp;row=1726&amp;col=6&amp;number=3.2&amp;sourceID=14","3.2")</f>
        <v>3.2</v>
      </c>
      <c r="G1726" s="4" t="str">
        <f>HYPERLINK("http://141.218.60.56/~jnz1568/getInfo.php?workbook=20_05.xlsx&amp;sheet=U0&amp;row=1726&amp;col=7&amp;number=0.000162&amp;sourceID=14","0.000162")</f>
        <v>0.000162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HYPERLINK("http://141.218.60.56/~jnz1568/getInfo.php?workbook=20_05.xlsx&amp;sheet=U0&amp;row=1727&amp;col=6&amp;number=3.3&amp;sourceID=14","3.3")</f>
        <v>3.3</v>
      </c>
      <c r="G1727" s="4" t="str">
        <f>HYPERLINK("http://141.218.60.56/~jnz1568/getInfo.php?workbook=20_05.xlsx&amp;sheet=U0&amp;row=1727&amp;col=7&amp;number=0.000162&amp;sourceID=14","0.000162")</f>
        <v>0.000162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HYPERLINK("http://141.218.60.56/~jnz1568/getInfo.php?workbook=20_05.xlsx&amp;sheet=U0&amp;row=1728&amp;col=6&amp;number=3.4&amp;sourceID=14","3.4")</f>
        <v>3.4</v>
      </c>
      <c r="G1728" s="4" t="str">
        <f>HYPERLINK("http://141.218.60.56/~jnz1568/getInfo.php?workbook=20_05.xlsx&amp;sheet=U0&amp;row=1728&amp;col=7&amp;number=0.000162&amp;sourceID=14","0.000162")</f>
        <v>0.000162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HYPERLINK("http://141.218.60.56/~jnz1568/getInfo.php?workbook=20_05.xlsx&amp;sheet=U0&amp;row=1729&amp;col=6&amp;number=3.5&amp;sourceID=14","3.5")</f>
        <v>3.5</v>
      </c>
      <c r="G1729" s="4" t="str">
        <f>HYPERLINK("http://141.218.60.56/~jnz1568/getInfo.php?workbook=20_05.xlsx&amp;sheet=U0&amp;row=1729&amp;col=7&amp;number=0.000162&amp;sourceID=14","0.000162")</f>
        <v>0.000162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HYPERLINK("http://141.218.60.56/~jnz1568/getInfo.php?workbook=20_05.xlsx&amp;sheet=U0&amp;row=1730&amp;col=6&amp;number=3.6&amp;sourceID=14","3.6")</f>
        <v>3.6</v>
      </c>
      <c r="G1730" s="4" t="str">
        <f>HYPERLINK("http://141.218.60.56/~jnz1568/getInfo.php?workbook=20_05.xlsx&amp;sheet=U0&amp;row=1730&amp;col=7&amp;number=0.000162&amp;sourceID=14","0.000162")</f>
        <v>0.000162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HYPERLINK("http://141.218.60.56/~jnz1568/getInfo.php?workbook=20_05.xlsx&amp;sheet=U0&amp;row=1731&amp;col=6&amp;number=3.7&amp;sourceID=14","3.7")</f>
        <v>3.7</v>
      </c>
      <c r="G1731" s="4" t="str">
        <f>HYPERLINK("http://141.218.60.56/~jnz1568/getInfo.php?workbook=20_05.xlsx&amp;sheet=U0&amp;row=1731&amp;col=7&amp;number=0.000162&amp;sourceID=14","0.000162")</f>
        <v>0.000162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HYPERLINK("http://141.218.60.56/~jnz1568/getInfo.php?workbook=20_05.xlsx&amp;sheet=U0&amp;row=1732&amp;col=6&amp;number=3.8&amp;sourceID=14","3.8")</f>
        <v>3.8</v>
      </c>
      <c r="G1732" s="4" t="str">
        <f>HYPERLINK("http://141.218.60.56/~jnz1568/getInfo.php?workbook=20_05.xlsx&amp;sheet=U0&amp;row=1732&amp;col=7&amp;number=0.000162&amp;sourceID=14","0.000162")</f>
        <v>0.000162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HYPERLINK("http://141.218.60.56/~jnz1568/getInfo.php?workbook=20_05.xlsx&amp;sheet=U0&amp;row=1733&amp;col=6&amp;number=3.9&amp;sourceID=14","3.9")</f>
        <v>3.9</v>
      </c>
      <c r="G1733" s="4" t="str">
        <f>HYPERLINK("http://141.218.60.56/~jnz1568/getInfo.php?workbook=20_05.xlsx&amp;sheet=U0&amp;row=1733&amp;col=7&amp;number=0.000162&amp;sourceID=14","0.000162")</f>
        <v>0.000162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HYPERLINK("http://141.218.60.56/~jnz1568/getInfo.php?workbook=20_05.xlsx&amp;sheet=U0&amp;row=1734&amp;col=6&amp;number=4&amp;sourceID=14","4")</f>
        <v>4</v>
      </c>
      <c r="G1734" s="4" t="str">
        <f>HYPERLINK("http://141.218.60.56/~jnz1568/getInfo.php?workbook=20_05.xlsx&amp;sheet=U0&amp;row=1734&amp;col=7&amp;number=0.000162&amp;sourceID=14","0.000162")</f>
        <v>0.000162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HYPERLINK("http://141.218.60.56/~jnz1568/getInfo.php?workbook=20_05.xlsx&amp;sheet=U0&amp;row=1735&amp;col=6&amp;number=4.1&amp;sourceID=14","4.1")</f>
        <v>4.1</v>
      </c>
      <c r="G1735" s="4" t="str">
        <f>HYPERLINK("http://141.218.60.56/~jnz1568/getInfo.php?workbook=20_05.xlsx&amp;sheet=U0&amp;row=1735&amp;col=7&amp;number=0.000162&amp;sourceID=14","0.000162")</f>
        <v>0.000162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HYPERLINK("http://141.218.60.56/~jnz1568/getInfo.php?workbook=20_05.xlsx&amp;sheet=U0&amp;row=1736&amp;col=6&amp;number=4.2&amp;sourceID=14","4.2")</f>
        <v>4.2</v>
      </c>
      <c r="G1736" s="4" t="str">
        <f>HYPERLINK("http://141.218.60.56/~jnz1568/getInfo.php?workbook=20_05.xlsx&amp;sheet=U0&amp;row=1736&amp;col=7&amp;number=0.000162&amp;sourceID=14","0.000162")</f>
        <v>0.000162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HYPERLINK("http://141.218.60.56/~jnz1568/getInfo.php?workbook=20_05.xlsx&amp;sheet=U0&amp;row=1737&amp;col=6&amp;number=4.3&amp;sourceID=14","4.3")</f>
        <v>4.3</v>
      </c>
      <c r="G1737" s="4" t="str">
        <f>HYPERLINK("http://141.218.60.56/~jnz1568/getInfo.php?workbook=20_05.xlsx&amp;sheet=U0&amp;row=1737&amp;col=7&amp;number=0.000162&amp;sourceID=14","0.000162")</f>
        <v>0.000162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HYPERLINK("http://141.218.60.56/~jnz1568/getInfo.php?workbook=20_05.xlsx&amp;sheet=U0&amp;row=1738&amp;col=6&amp;number=4.4&amp;sourceID=14","4.4")</f>
        <v>4.4</v>
      </c>
      <c r="G1738" s="4" t="str">
        <f>HYPERLINK("http://141.218.60.56/~jnz1568/getInfo.php?workbook=20_05.xlsx&amp;sheet=U0&amp;row=1738&amp;col=7&amp;number=0.000162&amp;sourceID=14","0.000162")</f>
        <v>0.000162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HYPERLINK("http://141.218.60.56/~jnz1568/getInfo.php?workbook=20_05.xlsx&amp;sheet=U0&amp;row=1739&amp;col=6&amp;number=4.5&amp;sourceID=14","4.5")</f>
        <v>4.5</v>
      </c>
      <c r="G1739" s="4" t="str">
        <f>HYPERLINK("http://141.218.60.56/~jnz1568/getInfo.php?workbook=20_05.xlsx&amp;sheet=U0&amp;row=1739&amp;col=7&amp;number=0.000161&amp;sourceID=14","0.000161")</f>
        <v>0.000161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HYPERLINK("http://141.218.60.56/~jnz1568/getInfo.php?workbook=20_05.xlsx&amp;sheet=U0&amp;row=1740&amp;col=6&amp;number=4.6&amp;sourceID=14","4.6")</f>
        <v>4.6</v>
      </c>
      <c r="G1740" s="4" t="str">
        <f>HYPERLINK("http://141.218.60.56/~jnz1568/getInfo.php?workbook=20_05.xlsx&amp;sheet=U0&amp;row=1740&amp;col=7&amp;number=0.000161&amp;sourceID=14","0.000161")</f>
        <v>0.000161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HYPERLINK("http://141.218.60.56/~jnz1568/getInfo.php?workbook=20_05.xlsx&amp;sheet=U0&amp;row=1741&amp;col=6&amp;number=4.7&amp;sourceID=14","4.7")</f>
        <v>4.7</v>
      </c>
      <c r="G1741" s="4" t="str">
        <f>HYPERLINK("http://141.218.60.56/~jnz1568/getInfo.php?workbook=20_05.xlsx&amp;sheet=U0&amp;row=1741&amp;col=7&amp;number=0.000161&amp;sourceID=14","0.000161")</f>
        <v>0.000161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HYPERLINK("http://141.218.60.56/~jnz1568/getInfo.php?workbook=20_05.xlsx&amp;sheet=U0&amp;row=1742&amp;col=6&amp;number=4.8&amp;sourceID=14","4.8")</f>
        <v>4.8</v>
      </c>
      <c r="G1742" s="4" t="str">
        <f>HYPERLINK("http://141.218.60.56/~jnz1568/getInfo.php?workbook=20_05.xlsx&amp;sheet=U0&amp;row=1742&amp;col=7&amp;number=0.000161&amp;sourceID=14","0.000161")</f>
        <v>0.000161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HYPERLINK("http://141.218.60.56/~jnz1568/getInfo.php?workbook=20_05.xlsx&amp;sheet=U0&amp;row=1743&amp;col=6&amp;number=4.9&amp;sourceID=14","4.9")</f>
        <v>4.9</v>
      </c>
      <c r="G1743" s="4" t="str">
        <f>HYPERLINK("http://141.218.60.56/~jnz1568/getInfo.php?workbook=20_05.xlsx&amp;sheet=U0&amp;row=1743&amp;col=7&amp;number=0.000161&amp;sourceID=14","0.000161")</f>
        <v>0.000161</v>
      </c>
    </row>
    <row r="1744" spans="1:7">
      <c r="A1744" s="3">
        <v>20</v>
      </c>
      <c r="B1744" s="3">
        <v>5</v>
      </c>
      <c r="C1744" s="3">
        <v>1</v>
      </c>
      <c r="D1744" s="3">
        <v>43</v>
      </c>
      <c r="E1744" s="3">
        <v>1</v>
      </c>
      <c r="F1744" s="4" t="str">
        <f>HYPERLINK("http://141.218.60.56/~jnz1568/getInfo.php?workbook=20_05.xlsx&amp;sheet=U0&amp;row=1744&amp;col=6&amp;number=3&amp;sourceID=14","3")</f>
        <v>3</v>
      </c>
      <c r="G1744" s="4" t="str">
        <f>HYPERLINK("http://141.218.60.56/~jnz1568/getInfo.php?workbook=20_05.xlsx&amp;sheet=U0&amp;row=1744&amp;col=7&amp;number=0.000206&amp;sourceID=14","0.000206")</f>
        <v>0.000206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HYPERLINK("http://141.218.60.56/~jnz1568/getInfo.php?workbook=20_05.xlsx&amp;sheet=U0&amp;row=1745&amp;col=6&amp;number=3.1&amp;sourceID=14","3.1")</f>
        <v>3.1</v>
      </c>
      <c r="G1745" s="4" t="str">
        <f>HYPERLINK("http://141.218.60.56/~jnz1568/getInfo.php?workbook=20_05.xlsx&amp;sheet=U0&amp;row=1745&amp;col=7&amp;number=0.000206&amp;sourceID=14","0.000206")</f>
        <v>0.000206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HYPERLINK("http://141.218.60.56/~jnz1568/getInfo.php?workbook=20_05.xlsx&amp;sheet=U0&amp;row=1746&amp;col=6&amp;number=3.2&amp;sourceID=14","3.2")</f>
        <v>3.2</v>
      </c>
      <c r="G1746" s="4" t="str">
        <f>HYPERLINK("http://141.218.60.56/~jnz1568/getInfo.php?workbook=20_05.xlsx&amp;sheet=U0&amp;row=1746&amp;col=7&amp;number=0.000206&amp;sourceID=14","0.000206")</f>
        <v>0.000206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HYPERLINK("http://141.218.60.56/~jnz1568/getInfo.php?workbook=20_05.xlsx&amp;sheet=U0&amp;row=1747&amp;col=6&amp;number=3.3&amp;sourceID=14","3.3")</f>
        <v>3.3</v>
      </c>
      <c r="G1747" s="4" t="str">
        <f>HYPERLINK("http://141.218.60.56/~jnz1568/getInfo.php?workbook=20_05.xlsx&amp;sheet=U0&amp;row=1747&amp;col=7&amp;number=0.000206&amp;sourceID=14","0.000206")</f>
        <v>0.000206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HYPERLINK("http://141.218.60.56/~jnz1568/getInfo.php?workbook=20_05.xlsx&amp;sheet=U0&amp;row=1748&amp;col=6&amp;number=3.4&amp;sourceID=14","3.4")</f>
        <v>3.4</v>
      </c>
      <c r="G1748" s="4" t="str">
        <f>HYPERLINK("http://141.218.60.56/~jnz1568/getInfo.php?workbook=20_05.xlsx&amp;sheet=U0&amp;row=1748&amp;col=7&amp;number=0.000206&amp;sourceID=14","0.000206")</f>
        <v>0.000206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HYPERLINK("http://141.218.60.56/~jnz1568/getInfo.php?workbook=20_05.xlsx&amp;sheet=U0&amp;row=1749&amp;col=6&amp;number=3.5&amp;sourceID=14","3.5")</f>
        <v>3.5</v>
      </c>
      <c r="G1749" s="4" t="str">
        <f>HYPERLINK("http://141.218.60.56/~jnz1568/getInfo.php?workbook=20_05.xlsx&amp;sheet=U0&amp;row=1749&amp;col=7&amp;number=0.000206&amp;sourceID=14","0.000206")</f>
        <v>0.000206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HYPERLINK("http://141.218.60.56/~jnz1568/getInfo.php?workbook=20_05.xlsx&amp;sheet=U0&amp;row=1750&amp;col=6&amp;number=3.6&amp;sourceID=14","3.6")</f>
        <v>3.6</v>
      </c>
      <c r="G1750" s="4" t="str">
        <f>HYPERLINK("http://141.218.60.56/~jnz1568/getInfo.php?workbook=20_05.xlsx&amp;sheet=U0&amp;row=1750&amp;col=7&amp;number=0.000206&amp;sourceID=14","0.000206")</f>
        <v>0.000206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HYPERLINK("http://141.218.60.56/~jnz1568/getInfo.php?workbook=20_05.xlsx&amp;sheet=U0&amp;row=1751&amp;col=6&amp;number=3.7&amp;sourceID=14","3.7")</f>
        <v>3.7</v>
      </c>
      <c r="G1751" s="4" t="str">
        <f>HYPERLINK("http://141.218.60.56/~jnz1568/getInfo.php?workbook=20_05.xlsx&amp;sheet=U0&amp;row=1751&amp;col=7&amp;number=0.000206&amp;sourceID=14","0.000206")</f>
        <v>0.000206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HYPERLINK("http://141.218.60.56/~jnz1568/getInfo.php?workbook=20_05.xlsx&amp;sheet=U0&amp;row=1752&amp;col=6&amp;number=3.8&amp;sourceID=14","3.8")</f>
        <v>3.8</v>
      </c>
      <c r="G1752" s="4" t="str">
        <f>HYPERLINK("http://141.218.60.56/~jnz1568/getInfo.php?workbook=20_05.xlsx&amp;sheet=U0&amp;row=1752&amp;col=7&amp;number=0.000206&amp;sourceID=14","0.000206")</f>
        <v>0.000206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HYPERLINK("http://141.218.60.56/~jnz1568/getInfo.php?workbook=20_05.xlsx&amp;sheet=U0&amp;row=1753&amp;col=6&amp;number=3.9&amp;sourceID=14","3.9")</f>
        <v>3.9</v>
      </c>
      <c r="G1753" s="4" t="str">
        <f>HYPERLINK("http://141.218.60.56/~jnz1568/getInfo.php?workbook=20_05.xlsx&amp;sheet=U0&amp;row=1753&amp;col=7&amp;number=0.000206&amp;sourceID=14","0.000206")</f>
        <v>0.000206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HYPERLINK("http://141.218.60.56/~jnz1568/getInfo.php?workbook=20_05.xlsx&amp;sheet=U0&amp;row=1754&amp;col=6&amp;number=4&amp;sourceID=14","4")</f>
        <v>4</v>
      </c>
      <c r="G1754" s="4" t="str">
        <f>HYPERLINK("http://141.218.60.56/~jnz1568/getInfo.php?workbook=20_05.xlsx&amp;sheet=U0&amp;row=1754&amp;col=7&amp;number=0.000206&amp;sourceID=14","0.000206")</f>
        <v>0.000206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HYPERLINK("http://141.218.60.56/~jnz1568/getInfo.php?workbook=20_05.xlsx&amp;sheet=U0&amp;row=1755&amp;col=6&amp;number=4.1&amp;sourceID=14","4.1")</f>
        <v>4.1</v>
      </c>
      <c r="G1755" s="4" t="str">
        <f>HYPERLINK("http://141.218.60.56/~jnz1568/getInfo.php?workbook=20_05.xlsx&amp;sheet=U0&amp;row=1755&amp;col=7&amp;number=0.000206&amp;sourceID=14","0.000206")</f>
        <v>0.000206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HYPERLINK("http://141.218.60.56/~jnz1568/getInfo.php?workbook=20_05.xlsx&amp;sheet=U0&amp;row=1756&amp;col=6&amp;number=4.2&amp;sourceID=14","4.2")</f>
        <v>4.2</v>
      </c>
      <c r="G1756" s="4" t="str">
        <f>HYPERLINK("http://141.218.60.56/~jnz1568/getInfo.php?workbook=20_05.xlsx&amp;sheet=U0&amp;row=1756&amp;col=7&amp;number=0.000206&amp;sourceID=14","0.000206")</f>
        <v>0.000206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HYPERLINK("http://141.218.60.56/~jnz1568/getInfo.php?workbook=20_05.xlsx&amp;sheet=U0&amp;row=1757&amp;col=6&amp;number=4.3&amp;sourceID=14","4.3")</f>
        <v>4.3</v>
      </c>
      <c r="G1757" s="4" t="str">
        <f>HYPERLINK("http://141.218.60.56/~jnz1568/getInfo.php?workbook=20_05.xlsx&amp;sheet=U0&amp;row=1757&amp;col=7&amp;number=0.000206&amp;sourceID=14","0.000206")</f>
        <v>0.000206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HYPERLINK("http://141.218.60.56/~jnz1568/getInfo.php?workbook=20_05.xlsx&amp;sheet=U0&amp;row=1758&amp;col=6&amp;number=4.4&amp;sourceID=14","4.4")</f>
        <v>4.4</v>
      </c>
      <c r="G1758" s="4" t="str">
        <f>HYPERLINK("http://141.218.60.56/~jnz1568/getInfo.php?workbook=20_05.xlsx&amp;sheet=U0&amp;row=1758&amp;col=7&amp;number=0.000206&amp;sourceID=14","0.000206")</f>
        <v>0.000206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HYPERLINK("http://141.218.60.56/~jnz1568/getInfo.php?workbook=20_05.xlsx&amp;sheet=U0&amp;row=1759&amp;col=6&amp;number=4.5&amp;sourceID=14","4.5")</f>
        <v>4.5</v>
      </c>
      <c r="G1759" s="4" t="str">
        <f>HYPERLINK("http://141.218.60.56/~jnz1568/getInfo.php?workbook=20_05.xlsx&amp;sheet=U0&amp;row=1759&amp;col=7&amp;number=0.000206&amp;sourceID=14","0.000206")</f>
        <v>0.000206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HYPERLINK("http://141.218.60.56/~jnz1568/getInfo.php?workbook=20_05.xlsx&amp;sheet=U0&amp;row=1760&amp;col=6&amp;number=4.6&amp;sourceID=14","4.6")</f>
        <v>4.6</v>
      </c>
      <c r="G1760" s="4" t="str">
        <f>HYPERLINK("http://141.218.60.56/~jnz1568/getInfo.php?workbook=20_05.xlsx&amp;sheet=U0&amp;row=1760&amp;col=7&amp;number=0.000206&amp;sourceID=14","0.000206")</f>
        <v>0.000206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HYPERLINK("http://141.218.60.56/~jnz1568/getInfo.php?workbook=20_05.xlsx&amp;sheet=U0&amp;row=1761&amp;col=6&amp;number=4.7&amp;sourceID=14","4.7")</f>
        <v>4.7</v>
      </c>
      <c r="G1761" s="4" t="str">
        <f>HYPERLINK("http://141.218.60.56/~jnz1568/getInfo.php?workbook=20_05.xlsx&amp;sheet=U0&amp;row=1761&amp;col=7&amp;number=0.000206&amp;sourceID=14","0.000206")</f>
        <v>0.000206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HYPERLINK("http://141.218.60.56/~jnz1568/getInfo.php?workbook=20_05.xlsx&amp;sheet=U0&amp;row=1762&amp;col=6&amp;number=4.8&amp;sourceID=14","4.8")</f>
        <v>4.8</v>
      </c>
      <c r="G1762" s="4" t="str">
        <f>HYPERLINK("http://141.218.60.56/~jnz1568/getInfo.php?workbook=20_05.xlsx&amp;sheet=U0&amp;row=1762&amp;col=7&amp;number=0.000206&amp;sourceID=14","0.000206")</f>
        <v>0.000206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HYPERLINK("http://141.218.60.56/~jnz1568/getInfo.php?workbook=20_05.xlsx&amp;sheet=U0&amp;row=1763&amp;col=6&amp;number=4.9&amp;sourceID=14","4.9")</f>
        <v>4.9</v>
      </c>
      <c r="G1763" s="4" t="str">
        <f>HYPERLINK("http://141.218.60.56/~jnz1568/getInfo.php?workbook=20_05.xlsx&amp;sheet=U0&amp;row=1763&amp;col=7&amp;number=0.000207&amp;sourceID=14","0.000207")</f>
        <v>0.000207</v>
      </c>
    </row>
    <row r="1764" spans="1:7">
      <c r="A1764" s="3">
        <v>20</v>
      </c>
      <c r="B1764" s="3">
        <v>5</v>
      </c>
      <c r="C1764" s="3">
        <v>1</v>
      </c>
      <c r="D1764" s="3">
        <v>44</v>
      </c>
      <c r="E1764" s="3">
        <v>1</v>
      </c>
      <c r="F1764" s="4" t="str">
        <f>HYPERLINK("http://141.218.60.56/~jnz1568/getInfo.php?workbook=20_05.xlsx&amp;sheet=U0&amp;row=1764&amp;col=6&amp;number=3&amp;sourceID=14","3")</f>
        <v>3</v>
      </c>
      <c r="G1764" s="4" t="str">
        <f>HYPERLINK("http://141.218.60.56/~jnz1568/getInfo.php?workbook=20_05.xlsx&amp;sheet=U0&amp;row=1764&amp;col=7&amp;number=0.00013&amp;sourceID=14","0.00013")</f>
        <v>0.00013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HYPERLINK("http://141.218.60.56/~jnz1568/getInfo.php?workbook=20_05.xlsx&amp;sheet=U0&amp;row=1765&amp;col=6&amp;number=3.1&amp;sourceID=14","3.1")</f>
        <v>3.1</v>
      </c>
      <c r="G1765" s="4" t="str">
        <f>HYPERLINK("http://141.218.60.56/~jnz1568/getInfo.php?workbook=20_05.xlsx&amp;sheet=U0&amp;row=1765&amp;col=7&amp;number=0.00013&amp;sourceID=14","0.00013")</f>
        <v>0.00013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HYPERLINK("http://141.218.60.56/~jnz1568/getInfo.php?workbook=20_05.xlsx&amp;sheet=U0&amp;row=1766&amp;col=6&amp;number=3.2&amp;sourceID=14","3.2")</f>
        <v>3.2</v>
      </c>
      <c r="G1766" s="4" t="str">
        <f>HYPERLINK("http://141.218.60.56/~jnz1568/getInfo.php?workbook=20_05.xlsx&amp;sheet=U0&amp;row=1766&amp;col=7&amp;number=0.00013&amp;sourceID=14","0.00013")</f>
        <v>0.00013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HYPERLINK("http://141.218.60.56/~jnz1568/getInfo.php?workbook=20_05.xlsx&amp;sheet=U0&amp;row=1767&amp;col=6&amp;number=3.3&amp;sourceID=14","3.3")</f>
        <v>3.3</v>
      </c>
      <c r="G1767" s="4" t="str">
        <f>HYPERLINK("http://141.218.60.56/~jnz1568/getInfo.php?workbook=20_05.xlsx&amp;sheet=U0&amp;row=1767&amp;col=7&amp;number=0.00013&amp;sourceID=14","0.00013")</f>
        <v>0.00013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HYPERLINK("http://141.218.60.56/~jnz1568/getInfo.php?workbook=20_05.xlsx&amp;sheet=U0&amp;row=1768&amp;col=6&amp;number=3.4&amp;sourceID=14","3.4")</f>
        <v>3.4</v>
      </c>
      <c r="G1768" s="4" t="str">
        <f>HYPERLINK("http://141.218.60.56/~jnz1568/getInfo.php?workbook=20_05.xlsx&amp;sheet=U0&amp;row=1768&amp;col=7&amp;number=0.00013&amp;sourceID=14","0.00013")</f>
        <v>0.00013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HYPERLINK("http://141.218.60.56/~jnz1568/getInfo.php?workbook=20_05.xlsx&amp;sheet=U0&amp;row=1769&amp;col=6&amp;number=3.5&amp;sourceID=14","3.5")</f>
        <v>3.5</v>
      </c>
      <c r="G1769" s="4" t="str">
        <f>HYPERLINK("http://141.218.60.56/~jnz1568/getInfo.php?workbook=20_05.xlsx&amp;sheet=U0&amp;row=1769&amp;col=7&amp;number=0.00013&amp;sourceID=14","0.00013")</f>
        <v>0.00013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HYPERLINK("http://141.218.60.56/~jnz1568/getInfo.php?workbook=20_05.xlsx&amp;sheet=U0&amp;row=1770&amp;col=6&amp;number=3.6&amp;sourceID=14","3.6")</f>
        <v>3.6</v>
      </c>
      <c r="G1770" s="4" t="str">
        <f>HYPERLINK("http://141.218.60.56/~jnz1568/getInfo.php?workbook=20_05.xlsx&amp;sheet=U0&amp;row=1770&amp;col=7&amp;number=0.00013&amp;sourceID=14","0.00013")</f>
        <v>0.00013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HYPERLINK("http://141.218.60.56/~jnz1568/getInfo.php?workbook=20_05.xlsx&amp;sheet=U0&amp;row=1771&amp;col=6&amp;number=3.7&amp;sourceID=14","3.7")</f>
        <v>3.7</v>
      </c>
      <c r="G1771" s="4" t="str">
        <f>HYPERLINK("http://141.218.60.56/~jnz1568/getInfo.php?workbook=20_05.xlsx&amp;sheet=U0&amp;row=1771&amp;col=7&amp;number=0.00013&amp;sourceID=14","0.00013")</f>
        <v>0.00013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HYPERLINK("http://141.218.60.56/~jnz1568/getInfo.php?workbook=20_05.xlsx&amp;sheet=U0&amp;row=1772&amp;col=6&amp;number=3.8&amp;sourceID=14","3.8")</f>
        <v>3.8</v>
      </c>
      <c r="G1772" s="4" t="str">
        <f>HYPERLINK("http://141.218.60.56/~jnz1568/getInfo.php?workbook=20_05.xlsx&amp;sheet=U0&amp;row=1772&amp;col=7&amp;number=0.00013&amp;sourceID=14","0.00013")</f>
        <v>0.00013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HYPERLINK("http://141.218.60.56/~jnz1568/getInfo.php?workbook=20_05.xlsx&amp;sheet=U0&amp;row=1773&amp;col=6&amp;number=3.9&amp;sourceID=14","3.9")</f>
        <v>3.9</v>
      </c>
      <c r="G1773" s="4" t="str">
        <f>HYPERLINK("http://141.218.60.56/~jnz1568/getInfo.php?workbook=20_05.xlsx&amp;sheet=U0&amp;row=1773&amp;col=7&amp;number=0.00013&amp;sourceID=14","0.00013")</f>
        <v>0.00013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HYPERLINK("http://141.218.60.56/~jnz1568/getInfo.php?workbook=20_05.xlsx&amp;sheet=U0&amp;row=1774&amp;col=6&amp;number=4&amp;sourceID=14","4")</f>
        <v>4</v>
      </c>
      <c r="G1774" s="4" t="str">
        <f>HYPERLINK("http://141.218.60.56/~jnz1568/getInfo.php?workbook=20_05.xlsx&amp;sheet=U0&amp;row=1774&amp;col=7&amp;number=0.00013&amp;sourceID=14","0.00013")</f>
        <v>0.00013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HYPERLINK("http://141.218.60.56/~jnz1568/getInfo.php?workbook=20_05.xlsx&amp;sheet=U0&amp;row=1775&amp;col=6&amp;number=4.1&amp;sourceID=14","4.1")</f>
        <v>4.1</v>
      </c>
      <c r="G1775" s="4" t="str">
        <f>HYPERLINK("http://141.218.60.56/~jnz1568/getInfo.php?workbook=20_05.xlsx&amp;sheet=U0&amp;row=1775&amp;col=7&amp;number=0.00013&amp;sourceID=14","0.00013")</f>
        <v>0.00013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HYPERLINK("http://141.218.60.56/~jnz1568/getInfo.php?workbook=20_05.xlsx&amp;sheet=U0&amp;row=1776&amp;col=6&amp;number=4.2&amp;sourceID=14","4.2")</f>
        <v>4.2</v>
      </c>
      <c r="G1776" s="4" t="str">
        <f>HYPERLINK("http://141.218.60.56/~jnz1568/getInfo.php?workbook=20_05.xlsx&amp;sheet=U0&amp;row=1776&amp;col=7&amp;number=0.000129&amp;sourceID=14","0.000129")</f>
        <v>0.000129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HYPERLINK("http://141.218.60.56/~jnz1568/getInfo.php?workbook=20_05.xlsx&amp;sheet=U0&amp;row=1777&amp;col=6&amp;number=4.3&amp;sourceID=14","4.3")</f>
        <v>4.3</v>
      </c>
      <c r="G1777" s="4" t="str">
        <f>HYPERLINK("http://141.218.60.56/~jnz1568/getInfo.php?workbook=20_05.xlsx&amp;sheet=U0&amp;row=1777&amp;col=7&amp;number=0.000129&amp;sourceID=14","0.000129")</f>
        <v>0.000129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HYPERLINK("http://141.218.60.56/~jnz1568/getInfo.php?workbook=20_05.xlsx&amp;sheet=U0&amp;row=1778&amp;col=6&amp;number=4.4&amp;sourceID=14","4.4")</f>
        <v>4.4</v>
      </c>
      <c r="G1778" s="4" t="str">
        <f>HYPERLINK("http://141.218.60.56/~jnz1568/getInfo.php?workbook=20_05.xlsx&amp;sheet=U0&amp;row=1778&amp;col=7&amp;number=0.000129&amp;sourceID=14","0.000129")</f>
        <v>0.000129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HYPERLINK("http://141.218.60.56/~jnz1568/getInfo.php?workbook=20_05.xlsx&amp;sheet=U0&amp;row=1779&amp;col=6&amp;number=4.5&amp;sourceID=14","4.5")</f>
        <v>4.5</v>
      </c>
      <c r="G1779" s="4" t="str">
        <f>HYPERLINK("http://141.218.60.56/~jnz1568/getInfo.php?workbook=20_05.xlsx&amp;sheet=U0&amp;row=1779&amp;col=7&amp;number=0.000129&amp;sourceID=14","0.000129")</f>
        <v>0.000129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HYPERLINK("http://141.218.60.56/~jnz1568/getInfo.php?workbook=20_05.xlsx&amp;sheet=U0&amp;row=1780&amp;col=6&amp;number=4.6&amp;sourceID=14","4.6")</f>
        <v>4.6</v>
      </c>
      <c r="G1780" s="4" t="str">
        <f>HYPERLINK("http://141.218.60.56/~jnz1568/getInfo.php?workbook=20_05.xlsx&amp;sheet=U0&amp;row=1780&amp;col=7&amp;number=0.000129&amp;sourceID=14","0.000129")</f>
        <v>0.000129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HYPERLINK("http://141.218.60.56/~jnz1568/getInfo.php?workbook=20_05.xlsx&amp;sheet=U0&amp;row=1781&amp;col=6&amp;number=4.7&amp;sourceID=14","4.7")</f>
        <v>4.7</v>
      </c>
      <c r="G1781" s="4" t="str">
        <f>HYPERLINK("http://141.218.60.56/~jnz1568/getInfo.php?workbook=20_05.xlsx&amp;sheet=U0&amp;row=1781&amp;col=7&amp;number=0.000129&amp;sourceID=14","0.000129")</f>
        <v>0.000129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HYPERLINK("http://141.218.60.56/~jnz1568/getInfo.php?workbook=20_05.xlsx&amp;sheet=U0&amp;row=1782&amp;col=6&amp;number=4.8&amp;sourceID=14","4.8")</f>
        <v>4.8</v>
      </c>
      <c r="G1782" s="4" t="str">
        <f>HYPERLINK("http://141.218.60.56/~jnz1568/getInfo.php?workbook=20_05.xlsx&amp;sheet=U0&amp;row=1782&amp;col=7&amp;number=0.000129&amp;sourceID=14","0.000129")</f>
        <v>0.000129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HYPERLINK("http://141.218.60.56/~jnz1568/getInfo.php?workbook=20_05.xlsx&amp;sheet=U0&amp;row=1783&amp;col=6&amp;number=4.9&amp;sourceID=14","4.9")</f>
        <v>4.9</v>
      </c>
      <c r="G1783" s="4" t="str">
        <f>HYPERLINK("http://141.218.60.56/~jnz1568/getInfo.php?workbook=20_05.xlsx&amp;sheet=U0&amp;row=1783&amp;col=7&amp;number=0.000129&amp;sourceID=14","0.000129")</f>
        <v>0.000129</v>
      </c>
    </row>
    <row r="1784" spans="1:7">
      <c r="A1784" s="3">
        <v>20</v>
      </c>
      <c r="B1784" s="3">
        <v>5</v>
      </c>
      <c r="C1784" s="3">
        <v>1</v>
      </c>
      <c r="D1784" s="3">
        <v>45</v>
      </c>
      <c r="E1784" s="3">
        <v>1</v>
      </c>
      <c r="F1784" s="4" t="str">
        <f>HYPERLINK("http://141.218.60.56/~jnz1568/getInfo.php?workbook=20_05.xlsx&amp;sheet=U0&amp;row=1784&amp;col=6&amp;number=3&amp;sourceID=14","3")</f>
        <v>3</v>
      </c>
      <c r="G1784" s="4" t="str">
        <f>HYPERLINK("http://141.218.60.56/~jnz1568/getInfo.php?workbook=20_05.xlsx&amp;sheet=U0&amp;row=1784&amp;col=7&amp;number=4.54e-05&amp;sourceID=14","4.54e-05")</f>
        <v>4.54e-05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HYPERLINK("http://141.218.60.56/~jnz1568/getInfo.php?workbook=20_05.xlsx&amp;sheet=U0&amp;row=1785&amp;col=6&amp;number=3.1&amp;sourceID=14","3.1")</f>
        <v>3.1</v>
      </c>
      <c r="G1785" s="4" t="str">
        <f>HYPERLINK("http://141.218.60.56/~jnz1568/getInfo.php?workbook=20_05.xlsx&amp;sheet=U0&amp;row=1785&amp;col=7&amp;number=4.54e-05&amp;sourceID=14","4.54e-05")</f>
        <v>4.54e-05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HYPERLINK("http://141.218.60.56/~jnz1568/getInfo.php?workbook=20_05.xlsx&amp;sheet=U0&amp;row=1786&amp;col=6&amp;number=3.2&amp;sourceID=14","3.2")</f>
        <v>3.2</v>
      </c>
      <c r="G1786" s="4" t="str">
        <f>HYPERLINK("http://141.218.60.56/~jnz1568/getInfo.php?workbook=20_05.xlsx&amp;sheet=U0&amp;row=1786&amp;col=7&amp;number=4.53e-05&amp;sourceID=14","4.53e-05")</f>
        <v>4.53e-05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HYPERLINK("http://141.218.60.56/~jnz1568/getInfo.php?workbook=20_05.xlsx&amp;sheet=U0&amp;row=1787&amp;col=6&amp;number=3.3&amp;sourceID=14","3.3")</f>
        <v>3.3</v>
      </c>
      <c r="G1787" s="4" t="str">
        <f>HYPERLINK("http://141.218.60.56/~jnz1568/getInfo.php?workbook=20_05.xlsx&amp;sheet=U0&amp;row=1787&amp;col=7&amp;number=4.53e-05&amp;sourceID=14","4.53e-05")</f>
        <v>4.53e-05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HYPERLINK("http://141.218.60.56/~jnz1568/getInfo.php?workbook=20_05.xlsx&amp;sheet=U0&amp;row=1788&amp;col=6&amp;number=3.4&amp;sourceID=14","3.4")</f>
        <v>3.4</v>
      </c>
      <c r="G1788" s="4" t="str">
        <f>HYPERLINK("http://141.218.60.56/~jnz1568/getInfo.php?workbook=20_05.xlsx&amp;sheet=U0&amp;row=1788&amp;col=7&amp;number=4.53e-05&amp;sourceID=14","4.53e-05")</f>
        <v>4.53e-05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HYPERLINK("http://141.218.60.56/~jnz1568/getInfo.php?workbook=20_05.xlsx&amp;sheet=U0&amp;row=1789&amp;col=6&amp;number=3.5&amp;sourceID=14","3.5")</f>
        <v>3.5</v>
      </c>
      <c r="G1789" s="4" t="str">
        <f>HYPERLINK("http://141.218.60.56/~jnz1568/getInfo.php?workbook=20_05.xlsx&amp;sheet=U0&amp;row=1789&amp;col=7&amp;number=4.53e-05&amp;sourceID=14","4.53e-05")</f>
        <v>4.53e-05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HYPERLINK("http://141.218.60.56/~jnz1568/getInfo.php?workbook=20_05.xlsx&amp;sheet=U0&amp;row=1790&amp;col=6&amp;number=3.6&amp;sourceID=14","3.6")</f>
        <v>3.6</v>
      </c>
      <c r="G1790" s="4" t="str">
        <f>HYPERLINK("http://141.218.60.56/~jnz1568/getInfo.php?workbook=20_05.xlsx&amp;sheet=U0&amp;row=1790&amp;col=7&amp;number=4.53e-05&amp;sourceID=14","4.53e-05")</f>
        <v>4.53e-05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HYPERLINK("http://141.218.60.56/~jnz1568/getInfo.php?workbook=20_05.xlsx&amp;sheet=U0&amp;row=1791&amp;col=6&amp;number=3.7&amp;sourceID=14","3.7")</f>
        <v>3.7</v>
      </c>
      <c r="G1791" s="4" t="str">
        <f>HYPERLINK("http://141.218.60.56/~jnz1568/getInfo.php?workbook=20_05.xlsx&amp;sheet=U0&amp;row=1791&amp;col=7&amp;number=4.53e-05&amp;sourceID=14","4.53e-05")</f>
        <v>4.53e-05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HYPERLINK("http://141.218.60.56/~jnz1568/getInfo.php?workbook=20_05.xlsx&amp;sheet=U0&amp;row=1792&amp;col=6&amp;number=3.8&amp;sourceID=14","3.8")</f>
        <v>3.8</v>
      </c>
      <c r="G1792" s="4" t="str">
        <f>HYPERLINK("http://141.218.60.56/~jnz1568/getInfo.php?workbook=20_05.xlsx&amp;sheet=U0&amp;row=1792&amp;col=7&amp;number=4.53e-05&amp;sourceID=14","4.53e-05")</f>
        <v>4.53e-05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HYPERLINK("http://141.218.60.56/~jnz1568/getInfo.php?workbook=20_05.xlsx&amp;sheet=U0&amp;row=1793&amp;col=6&amp;number=3.9&amp;sourceID=14","3.9")</f>
        <v>3.9</v>
      </c>
      <c r="G1793" s="4" t="str">
        <f>HYPERLINK("http://141.218.60.56/~jnz1568/getInfo.php?workbook=20_05.xlsx&amp;sheet=U0&amp;row=1793&amp;col=7&amp;number=4.53e-05&amp;sourceID=14","4.53e-05")</f>
        <v>4.53e-05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HYPERLINK("http://141.218.60.56/~jnz1568/getInfo.php?workbook=20_05.xlsx&amp;sheet=U0&amp;row=1794&amp;col=6&amp;number=4&amp;sourceID=14","4")</f>
        <v>4</v>
      </c>
      <c r="G1794" s="4" t="str">
        <f>HYPERLINK("http://141.218.60.56/~jnz1568/getInfo.php?workbook=20_05.xlsx&amp;sheet=U0&amp;row=1794&amp;col=7&amp;number=4.52e-05&amp;sourceID=14","4.52e-05")</f>
        <v>4.52e-05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HYPERLINK("http://141.218.60.56/~jnz1568/getInfo.php?workbook=20_05.xlsx&amp;sheet=U0&amp;row=1795&amp;col=6&amp;number=4.1&amp;sourceID=14","4.1")</f>
        <v>4.1</v>
      </c>
      <c r="G1795" s="4" t="str">
        <f>HYPERLINK("http://141.218.60.56/~jnz1568/getInfo.php?workbook=20_05.xlsx&amp;sheet=U0&amp;row=1795&amp;col=7&amp;number=4.52e-05&amp;sourceID=14","4.52e-05")</f>
        <v>4.52e-05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HYPERLINK("http://141.218.60.56/~jnz1568/getInfo.php?workbook=20_05.xlsx&amp;sheet=U0&amp;row=1796&amp;col=6&amp;number=4.2&amp;sourceID=14","4.2")</f>
        <v>4.2</v>
      </c>
      <c r="G1796" s="4" t="str">
        <f>HYPERLINK("http://141.218.60.56/~jnz1568/getInfo.php?workbook=20_05.xlsx&amp;sheet=U0&amp;row=1796&amp;col=7&amp;number=4.52e-05&amp;sourceID=14","4.52e-05")</f>
        <v>4.52e-05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HYPERLINK("http://141.218.60.56/~jnz1568/getInfo.php?workbook=20_05.xlsx&amp;sheet=U0&amp;row=1797&amp;col=6&amp;number=4.3&amp;sourceID=14","4.3")</f>
        <v>4.3</v>
      </c>
      <c r="G1797" s="4" t="str">
        <f>HYPERLINK("http://141.218.60.56/~jnz1568/getInfo.php?workbook=20_05.xlsx&amp;sheet=U0&amp;row=1797&amp;col=7&amp;number=4.51e-05&amp;sourceID=14","4.51e-05")</f>
        <v>4.51e-05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HYPERLINK("http://141.218.60.56/~jnz1568/getInfo.php?workbook=20_05.xlsx&amp;sheet=U0&amp;row=1798&amp;col=6&amp;number=4.4&amp;sourceID=14","4.4")</f>
        <v>4.4</v>
      </c>
      <c r="G1798" s="4" t="str">
        <f>HYPERLINK("http://141.218.60.56/~jnz1568/getInfo.php?workbook=20_05.xlsx&amp;sheet=U0&amp;row=1798&amp;col=7&amp;number=4.5e-05&amp;sourceID=14","4.5e-05")</f>
        <v>4.5e-05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HYPERLINK("http://141.218.60.56/~jnz1568/getInfo.php?workbook=20_05.xlsx&amp;sheet=U0&amp;row=1799&amp;col=6&amp;number=4.5&amp;sourceID=14","4.5")</f>
        <v>4.5</v>
      </c>
      <c r="G1799" s="4" t="str">
        <f>HYPERLINK("http://141.218.60.56/~jnz1568/getInfo.php?workbook=20_05.xlsx&amp;sheet=U0&amp;row=1799&amp;col=7&amp;number=4.49e-05&amp;sourceID=14","4.49e-05")</f>
        <v>4.49e-05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HYPERLINK("http://141.218.60.56/~jnz1568/getInfo.php?workbook=20_05.xlsx&amp;sheet=U0&amp;row=1800&amp;col=6&amp;number=4.6&amp;sourceID=14","4.6")</f>
        <v>4.6</v>
      </c>
      <c r="G1800" s="4" t="str">
        <f>HYPERLINK("http://141.218.60.56/~jnz1568/getInfo.php?workbook=20_05.xlsx&amp;sheet=U0&amp;row=1800&amp;col=7&amp;number=4.48e-05&amp;sourceID=14","4.48e-05")</f>
        <v>4.48e-05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HYPERLINK("http://141.218.60.56/~jnz1568/getInfo.php?workbook=20_05.xlsx&amp;sheet=U0&amp;row=1801&amp;col=6&amp;number=4.7&amp;sourceID=14","4.7")</f>
        <v>4.7</v>
      </c>
      <c r="G1801" s="4" t="str">
        <f>HYPERLINK("http://141.218.60.56/~jnz1568/getInfo.php?workbook=20_05.xlsx&amp;sheet=U0&amp;row=1801&amp;col=7&amp;number=4.47e-05&amp;sourceID=14","4.47e-05")</f>
        <v>4.47e-05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HYPERLINK("http://141.218.60.56/~jnz1568/getInfo.php?workbook=20_05.xlsx&amp;sheet=U0&amp;row=1802&amp;col=6&amp;number=4.8&amp;sourceID=14","4.8")</f>
        <v>4.8</v>
      </c>
      <c r="G1802" s="4" t="str">
        <f>HYPERLINK("http://141.218.60.56/~jnz1568/getInfo.php?workbook=20_05.xlsx&amp;sheet=U0&amp;row=1802&amp;col=7&amp;number=4.45e-05&amp;sourceID=14","4.45e-05")</f>
        <v>4.45e-05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HYPERLINK("http://141.218.60.56/~jnz1568/getInfo.php?workbook=20_05.xlsx&amp;sheet=U0&amp;row=1803&amp;col=6&amp;number=4.9&amp;sourceID=14","4.9")</f>
        <v>4.9</v>
      </c>
      <c r="G1803" s="4" t="str">
        <f>HYPERLINK("http://141.218.60.56/~jnz1568/getInfo.php?workbook=20_05.xlsx&amp;sheet=U0&amp;row=1803&amp;col=7&amp;number=4.43e-05&amp;sourceID=14","4.43e-05")</f>
        <v>4.43e-05</v>
      </c>
    </row>
    <row r="1804" spans="1:7">
      <c r="A1804" s="3">
        <v>20</v>
      </c>
      <c r="B1804" s="3">
        <v>5</v>
      </c>
      <c r="C1804" s="3">
        <v>1</v>
      </c>
      <c r="D1804" s="3">
        <v>46</v>
      </c>
      <c r="E1804" s="3">
        <v>1</v>
      </c>
      <c r="F1804" s="4" t="str">
        <f>HYPERLINK("http://141.218.60.56/~jnz1568/getInfo.php?workbook=20_05.xlsx&amp;sheet=U0&amp;row=1804&amp;col=6&amp;number=3&amp;sourceID=14","3")</f>
        <v>3</v>
      </c>
      <c r="G1804" s="4" t="str">
        <f>HYPERLINK("http://141.218.60.56/~jnz1568/getInfo.php?workbook=20_05.xlsx&amp;sheet=U0&amp;row=1804&amp;col=7&amp;number=0.00173&amp;sourceID=14","0.00173")</f>
        <v>0.00173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HYPERLINK("http://141.218.60.56/~jnz1568/getInfo.php?workbook=20_05.xlsx&amp;sheet=U0&amp;row=1805&amp;col=6&amp;number=3.1&amp;sourceID=14","3.1")</f>
        <v>3.1</v>
      </c>
      <c r="G1805" s="4" t="str">
        <f>HYPERLINK("http://141.218.60.56/~jnz1568/getInfo.php?workbook=20_05.xlsx&amp;sheet=U0&amp;row=1805&amp;col=7&amp;number=0.00173&amp;sourceID=14","0.00173")</f>
        <v>0.00173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HYPERLINK("http://141.218.60.56/~jnz1568/getInfo.php?workbook=20_05.xlsx&amp;sheet=U0&amp;row=1806&amp;col=6&amp;number=3.2&amp;sourceID=14","3.2")</f>
        <v>3.2</v>
      </c>
      <c r="G1806" s="4" t="str">
        <f>HYPERLINK("http://141.218.60.56/~jnz1568/getInfo.php?workbook=20_05.xlsx&amp;sheet=U0&amp;row=1806&amp;col=7&amp;number=0.00173&amp;sourceID=14","0.00173")</f>
        <v>0.00173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HYPERLINK("http://141.218.60.56/~jnz1568/getInfo.php?workbook=20_05.xlsx&amp;sheet=U0&amp;row=1807&amp;col=6&amp;number=3.3&amp;sourceID=14","3.3")</f>
        <v>3.3</v>
      </c>
      <c r="G1807" s="4" t="str">
        <f>HYPERLINK("http://141.218.60.56/~jnz1568/getInfo.php?workbook=20_05.xlsx&amp;sheet=U0&amp;row=1807&amp;col=7&amp;number=0.00173&amp;sourceID=14","0.00173")</f>
        <v>0.00173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HYPERLINK("http://141.218.60.56/~jnz1568/getInfo.php?workbook=20_05.xlsx&amp;sheet=U0&amp;row=1808&amp;col=6&amp;number=3.4&amp;sourceID=14","3.4")</f>
        <v>3.4</v>
      </c>
      <c r="G1808" s="4" t="str">
        <f>HYPERLINK("http://141.218.60.56/~jnz1568/getInfo.php?workbook=20_05.xlsx&amp;sheet=U0&amp;row=1808&amp;col=7&amp;number=0.00173&amp;sourceID=14","0.00173")</f>
        <v>0.00173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HYPERLINK("http://141.218.60.56/~jnz1568/getInfo.php?workbook=20_05.xlsx&amp;sheet=U0&amp;row=1809&amp;col=6&amp;number=3.5&amp;sourceID=14","3.5")</f>
        <v>3.5</v>
      </c>
      <c r="G1809" s="4" t="str">
        <f>HYPERLINK("http://141.218.60.56/~jnz1568/getInfo.php?workbook=20_05.xlsx&amp;sheet=U0&amp;row=1809&amp;col=7&amp;number=0.00173&amp;sourceID=14","0.00173")</f>
        <v>0.00173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HYPERLINK("http://141.218.60.56/~jnz1568/getInfo.php?workbook=20_05.xlsx&amp;sheet=U0&amp;row=1810&amp;col=6&amp;number=3.6&amp;sourceID=14","3.6")</f>
        <v>3.6</v>
      </c>
      <c r="G1810" s="4" t="str">
        <f>HYPERLINK("http://141.218.60.56/~jnz1568/getInfo.php?workbook=20_05.xlsx&amp;sheet=U0&amp;row=1810&amp;col=7&amp;number=0.00173&amp;sourceID=14","0.00173")</f>
        <v>0.00173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HYPERLINK("http://141.218.60.56/~jnz1568/getInfo.php?workbook=20_05.xlsx&amp;sheet=U0&amp;row=1811&amp;col=6&amp;number=3.7&amp;sourceID=14","3.7")</f>
        <v>3.7</v>
      </c>
      <c r="G1811" s="4" t="str">
        <f>HYPERLINK("http://141.218.60.56/~jnz1568/getInfo.php?workbook=20_05.xlsx&amp;sheet=U0&amp;row=1811&amp;col=7&amp;number=0.00173&amp;sourceID=14","0.00173")</f>
        <v>0.00173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HYPERLINK("http://141.218.60.56/~jnz1568/getInfo.php?workbook=20_05.xlsx&amp;sheet=U0&amp;row=1812&amp;col=6&amp;number=3.8&amp;sourceID=14","3.8")</f>
        <v>3.8</v>
      </c>
      <c r="G1812" s="4" t="str">
        <f>HYPERLINK("http://141.218.60.56/~jnz1568/getInfo.php?workbook=20_05.xlsx&amp;sheet=U0&amp;row=1812&amp;col=7&amp;number=0.00173&amp;sourceID=14","0.00173")</f>
        <v>0.00173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HYPERLINK("http://141.218.60.56/~jnz1568/getInfo.php?workbook=20_05.xlsx&amp;sheet=U0&amp;row=1813&amp;col=6&amp;number=3.9&amp;sourceID=14","3.9")</f>
        <v>3.9</v>
      </c>
      <c r="G1813" s="4" t="str">
        <f>HYPERLINK("http://141.218.60.56/~jnz1568/getInfo.php?workbook=20_05.xlsx&amp;sheet=U0&amp;row=1813&amp;col=7&amp;number=0.00173&amp;sourceID=14","0.00173")</f>
        <v>0.00173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HYPERLINK("http://141.218.60.56/~jnz1568/getInfo.php?workbook=20_05.xlsx&amp;sheet=U0&amp;row=1814&amp;col=6&amp;number=4&amp;sourceID=14","4")</f>
        <v>4</v>
      </c>
      <c r="G1814" s="4" t="str">
        <f>HYPERLINK("http://141.218.60.56/~jnz1568/getInfo.php?workbook=20_05.xlsx&amp;sheet=U0&amp;row=1814&amp;col=7&amp;number=0.00173&amp;sourceID=14","0.00173")</f>
        <v>0.00173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HYPERLINK("http://141.218.60.56/~jnz1568/getInfo.php?workbook=20_05.xlsx&amp;sheet=U0&amp;row=1815&amp;col=6&amp;number=4.1&amp;sourceID=14","4.1")</f>
        <v>4.1</v>
      </c>
      <c r="G1815" s="4" t="str">
        <f>HYPERLINK("http://141.218.60.56/~jnz1568/getInfo.php?workbook=20_05.xlsx&amp;sheet=U0&amp;row=1815&amp;col=7&amp;number=0.00174&amp;sourceID=14","0.00174")</f>
        <v>0.00174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HYPERLINK("http://141.218.60.56/~jnz1568/getInfo.php?workbook=20_05.xlsx&amp;sheet=U0&amp;row=1816&amp;col=6&amp;number=4.2&amp;sourceID=14","4.2")</f>
        <v>4.2</v>
      </c>
      <c r="G1816" s="4" t="str">
        <f>HYPERLINK("http://141.218.60.56/~jnz1568/getInfo.php?workbook=20_05.xlsx&amp;sheet=U0&amp;row=1816&amp;col=7&amp;number=0.00174&amp;sourceID=14","0.00174")</f>
        <v>0.00174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HYPERLINK("http://141.218.60.56/~jnz1568/getInfo.php?workbook=20_05.xlsx&amp;sheet=U0&amp;row=1817&amp;col=6&amp;number=4.3&amp;sourceID=14","4.3")</f>
        <v>4.3</v>
      </c>
      <c r="G1817" s="4" t="str">
        <f>HYPERLINK("http://141.218.60.56/~jnz1568/getInfo.php?workbook=20_05.xlsx&amp;sheet=U0&amp;row=1817&amp;col=7&amp;number=0.00174&amp;sourceID=14","0.00174")</f>
        <v>0.00174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HYPERLINK("http://141.218.60.56/~jnz1568/getInfo.php?workbook=20_05.xlsx&amp;sheet=U0&amp;row=1818&amp;col=6&amp;number=4.4&amp;sourceID=14","4.4")</f>
        <v>4.4</v>
      </c>
      <c r="G1818" s="4" t="str">
        <f>HYPERLINK("http://141.218.60.56/~jnz1568/getInfo.php?workbook=20_05.xlsx&amp;sheet=U0&amp;row=1818&amp;col=7&amp;number=0.00174&amp;sourceID=14","0.00174")</f>
        <v>0.00174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HYPERLINK("http://141.218.60.56/~jnz1568/getInfo.php?workbook=20_05.xlsx&amp;sheet=U0&amp;row=1819&amp;col=6&amp;number=4.5&amp;sourceID=14","4.5")</f>
        <v>4.5</v>
      </c>
      <c r="G1819" s="4" t="str">
        <f>HYPERLINK("http://141.218.60.56/~jnz1568/getInfo.php?workbook=20_05.xlsx&amp;sheet=U0&amp;row=1819&amp;col=7&amp;number=0.00174&amp;sourceID=14","0.00174")</f>
        <v>0.00174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HYPERLINK("http://141.218.60.56/~jnz1568/getInfo.php?workbook=20_05.xlsx&amp;sheet=U0&amp;row=1820&amp;col=6&amp;number=4.6&amp;sourceID=14","4.6")</f>
        <v>4.6</v>
      </c>
      <c r="G1820" s="4" t="str">
        <f>HYPERLINK("http://141.218.60.56/~jnz1568/getInfo.php?workbook=20_05.xlsx&amp;sheet=U0&amp;row=1820&amp;col=7&amp;number=0.00174&amp;sourceID=14","0.00174")</f>
        <v>0.00174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HYPERLINK("http://141.218.60.56/~jnz1568/getInfo.php?workbook=20_05.xlsx&amp;sheet=U0&amp;row=1821&amp;col=6&amp;number=4.7&amp;sourceID=14","4.7")</f>
        <v>4.7</v>
      </c>
      <c r="G1821" s="4" t="str">
        <f>HYPERLINK("http://141.218.60.56/~jnz1568/getInfo.php?workbook=20_05.xlsx&amp;sheet=U0&amp;row=1821&amp;col=7&amp;number=0.00175&amp;sourceID=14","0.00175")</f>
        <v>0.00175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HYPERLINK("http://141.218.60.56/~jnz1568/getInfo.php?workbook=20_05.xlsx&amp;sheet=U0&amp;row=1822&amp;col=6&amp;number=4.8&amp;sourceID=14","4.8")</f>
        <v>4.8</v>
      </c>
      <c r="G1822" s="4" t="str">
        <f>HYPERLINK("http://141.218.60.56/~jnz1568/getInfo.php?workbook=20_05.xlsx&amp;sheet=U0&amp;row=1822&amp;col=7&amp;number=0.00175&amp;sourceID=14","0.00175")</f>
        <v>0.00175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HYPERLINK("http://141.218.60.56/~jnz1568/getInfo.php?workbook=20_05.xlsx&amp;sheet=U0&amp;row=1823&amp;col=6&amp;number=4.9&amp;sourceID=14","4.9")</f>
        <v>4.9</v>
      </c>
      <c r="G1823" s="4" t="str">
        <f>HYPERLINK("http://141.218.60.56/~jnz1568/getInfo.php?workbook=20_05.xlsx&amp;sheet=U0&amp;row=1823&amp;col=7&amp;number=0.00176&amp;sourceID=14","0.00176")</f>
        <v>0.00176</v>
      </c>
    </row>
    <row r="1824" spans="1:7">
      <c r="A1824" s="3">
        <v>20</v>
      </c>
      <c r="B1824" s="3">
        <v>5</v>
      </c>
      <c r="C1824" s="3">
        <v>1</v>
      </c>
      <c r="D1824" s="3">
        <v>47</v>
      </c>
      <c r="E1824" s="3">
        <v>1</v>
      </c>
      <c r="F1824" s="4" t="str">
        <f>HYPERLINK("http://141.218.60.56/~jnz1568/getInfo.php?workbook=20_05.xlsx&amp;sheet=U0&amp;row=1824&amp;col=6&amp;number=3&amp;sourceID=14","3")</f>
        <v>3</v>
      </c>
      <c r="G1824" s="4" t="str">
        <f>HYPERLINK("http://141.218.60.56/~jnz1568/getInfo.php?workbook=20_05.xlsx&amp;sheet=U0&amp;row=1824&amp;col=7&amp;number=0.000394&amp;sourceID=14","0.000394")</f>
        <v>0.000394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HYPERLINK("http://141.218.60.56/~jnz1568/getInfo.php?workbook=20_05.xlsx&amp;sheet=U0&amp;row=1825&amp;col=6&amp;number=3.1&amp;sourceID=14","3.1")</f>
        <v>3.1</v>
      </c>
      <c r="G1825" s="4" t="str">
        <f>HYPERLINK("http://141.218.60.56/~jnz1568/getInfo.php?workbook=20_05.xlsx&amp;sheet=U0&amp;row=1825&amp;col=7&amp;number=0.000394&amp;sourceID=14","0.000394")</f>
        <v>0.000394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HYPERLINK("http://141.218.60.56/~jnz1568/getInfo.php?workbook=20_05.xlsx&amp;sheet=U0&amp;row=1826&amp;col=6&amp;number=3.2&amp;sourceID=14","3.2")</f>
        <v>3.2</v>
      </c>
      <c r="G1826" s="4" t="str">
        <f>HYPERLINK("http://141.218.60.56/~jnz1568/getInfo.php?workbook=20_05.xlsx&amp;sheet=U0&amp;row=1826&amp;col=7&amp;number=0.000394&amp;sourceID=14","0.000394")</f>
        <v>0.000394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HYPERLINK("http://141.218.60.56/~jnz1568/getInfo.php?workbook=20_05.xlsx&amp;sheet=U0&amp;row=1827&amp;col=6&amp;number=3.3&amp;sourceID=14","3.3")</f>
        <v>3.3</v>
      </c>
      <c r="G1827" s="4" t="str">
        <f>HYPERLINK("http://141.218.60.56/~jnz1568/getInfo.php?workbook=20_05.xlsx&amp;sheet=U0&amp;row=1827&amp;col=7&amp;number=0.000394&amp;sourceID=14","0.000394")</f>
        <v>0.000394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HYPERLINK("http://141.218.60.56/~jnz1568/getInfo.php?workbook=20_05.xlsx&amp;sheet=U0&amp;row=1828&amp;col=6&amp;number=3.4&amp;sourceID=14","3.4")</f>
        <v>3.4</v>
      </c>
      <c r="G1828" s="4" t="str">
        <f>HYPERLINK("http://141.218.60.56/~jnz1568/getInfo.php?workbook=20_05.xlsx&amp;sheet=U0&amp;row=1828&amp;col=7&amp;number=0.000394&amp;sourceID=14","0.000394")</f>
        <v>0.000394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HYPERLINK("http://141.218.60.56/~jnz1568/getInfo.php?workbook=20_05.xlsx&amp;sheet=U0&amp;row=1829&amp;col=6&amp;number=3.5&amp;sourceID=14","3.5")</f>
        <v>3.5</v>
      </c>
      <c r="G1829" s="4" t="str">
        <f>HYPERLINK("http://141.218.60.56/~jnz1568/getInfo.php?workbook=20_05.xlsx&amp;sheet=U0&amp;row=1829&amp;col=7&amp;number=0.000394&amp;sourceID=14","0.000394")</f>
        <v>0.000394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HYPERLINK("http://141.218.60.56/~jnz1568/getInfo.php?workbook=20_05.xlsx&amp;sheet=U0&amp;row=1830&amp;col=6&amp;number=3.6&amp;sourceID=14","3.6")</f>
        <v>3.6</v>
      </c>
      <c r="G1830" s="4" t="str">
        <f>HYPERLINK("http://141.218.60.56/~jnz1568/getInfo.php?workbook=20_05.xlsx&amp;sheet=U0&amp;row=1830&amp;col=7&amp;number=0.000394&amp;sourceID=14","0.000394")</f>
        <v>0.000394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HYPERLINK("http://141.218.60.56/~jnz1568/getInfo.php?workbook=20_05.xlsx&amp;sheet=U0&amp;row=1831&amp;col=6&amp;number=3.7&amp;sourceID=14","3.7")</f>
        <v>3.7</v>
      </c>
      <c r="G1831" s="4" t="str">
        <f>HYPERLINK("http://141.218.60.56/~jnz1568/getInfo.php?workbook=20_05.xlsx&amp;sheet=U0&amp;row=1831&amp;col=7&amp;number=0.000394&amp;sourceID=14","0.000394")</f>
        <v>0.000394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HYPERLINK("http://141.218.60.56/~jnz1568/getInfo.php?workbook=20_05.xlsx&amp;sheet=U0&amp;row=1832&amp;col=6&amp;number=3.8&amp;sourceID=14","3.8")</f>
        <v>3.8</v>
      </c>
      <c r="G1832" s="4" t="str">
        <f>HYPERLINK("http://141.218.60.56/~jnz1568/getInfo.php?workbook=20_05.xlsx&amp;sheet=U0&amp;row=1832&amp;col=7&amp;number=0.000394&amp;sourceID=14","0.000394")</f>
        <v>0.000394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HYPERLINK("http://141.218.60.56/~jnz1568/getInfo.php?workbook=20_05.xlsx&amp;sheet=U0&amp;row=1833&amp;col=6&amp;number=3.9&amp;sourceID=14","3.9")</f>
        <v>3.9</v>
      </c>
      <c r="G1833" s="4" t="str">
        <f>HYPERLINK("http://141.218.60.56/~jnz1568/getInfo.php?workbook=20_05.xlsx&amp;sheet=U0&amp;row=1833&amp;col=7&amp;number=0.000394&amp;sourceID=14","0.000394")</f>
        <v>0.000394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HYPERLINK("http://141.218.60.56/~jnz1568/getInfo.php?workbook=20_05.xlsx&amp;sheet=U0&amp;row=1834&amp;col=6&amp;number=4&amp;sourceID=14","4")</f>
        <v>4</v>
      </c>
      <c r="G1834" s="4" t="str">
        <f>HYPERLINK("http://141.218.60.56/~jnz1568/getInfo.php?workbook=20_05.xlsx&amp;sheet=U0&amp;row=1834&amp;col=7&amp;number=0.000395&amp;sourceID=14","0.000395")</f>
        <v>0.000395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HYPERLINK("http://141.218.60.56/~jnz1568/getInfo.php?workbook=20_05.xlsx&amp;sheet=U0&amp;row=1835&amp;col=6&amp;number=4.1&amp;sourceID=14","4.1")</f>
        <v>4.1</v>
      </c>
      <c r="G1835" s="4" t="str">
        <f>HYPERLINK("http://141.218.60.56/~jnz1568/getInfo.php?workbook=20_05.xlsx&amp;sheet=U0&amp;row=1835&amp;col=7&amp;number=0.000395&amp;sourceID=14","0.000395")</f>
        <v>0.000395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HYPERLINK("http://141.218.60.56/~jnz1568/getInfo.php?workbook=20_05.xlsx&amp;sheet=U0&amp;row=1836&amp;col=6&amp;number=4.2&amp;sourceID=14","4.2")</f>
        <v>4.2</v>
      </c>
      <c r="G1836" s="4" t="str">
        <f>HYPERLINK("http://141.218.60.56/~jnz1568/getInfo.php?workbook=20_05.xlsx&amp;sheet=U0&amp;row=1836&amp;col=7&amp;number=0.000395&amp;sourceID=14","0.000395")</f>
        <v>0.000395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HYPERLINK("http://141.218.60.56/~jnz1568/getInfo.php?workbook=20_05.xlsx&amp;sheet=U0&amp;row=1837&amp;col=6&amp;number=4.3&amp;sourceID=14","4.3")</f>
        <v>4.3</v>
      </c>
      <c r="G1837" s="4" t="str">
        <f>HYPERLINK("http://141.218.60.56/~jnz1568/getInfo.php?workbook=20_05.xlsx&amp;sheet=U0&amp;row=1837&amp;col=7&amp;number=0.000395&amp;sourceID=14","0.000395")</f>
        <v>0.000395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HYPERLINK("http://141.218.60.56/~jnz1568/getInfo.php?workbook=20_05.xlsx&amp;sheet=U0&amp;row=1838&amp;col=6&amp;number=4.4&amp;sourceID=14","4.4")</f>
        <v>4.4</v>
      </c>
      <c r="G1838" s="4" t="str">
        <f>HYPERLINK("http://141.218.60.56/~jnz1568/getInfo.php?workbook=20_05.xlsx&amp;sheet=U0&amp;row=1838&amp;col=7&amp;number=0.000395&amp;sourceID=14","0.000395")</f>
        <v>0.000395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HYPERLINK("http://141.218.60.56/~jnz1568/getInfo.php?workbook=20_05.xlsx&amp;sheet=U0&amp;row=1839&amp;col=6&amp;number=4.5&amp;sourceID=14","4.5")</f>
        <v>4.5</v>
      </c>
      <c r="G1839" s="4" t="str">
        <f>HYPERLINK("http://141.218.60.56/~jnz1568/getInfo.php?workbook=20_05.xlsx&amp;sheet=U0&amp;row=1839&amp;col=7&amp;number=0.000396&amp;sourceID=14","0.000396")</f>
        <v>0.000396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HYPERLINK("http://141.218.60.56/~jnz1568/getInfo.php?workbook=20_05.xlsx&amp;sheet=U0&amp;row=1840&amp;col=6&amp;number=4.6&amp;sourceID=14","4.6")</f>
        <v>4.6</v>
      </c>
      <c r="G1840" s="4" t="str">
        <f>HYPERLINK("http://141.218.60.56/~jnz1568/getInfo.php?workbook=20_05.xlsx&amp;sheet=U0&amp;row=1840&amp;col=7&amp;number=0.000396&amp;sourceID=14","0.000396")</f>
        <v>0.000396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HYPERLINK("http://141.218.60.56/~jnz1568/getInfo.php?workbook=20_05.xlsx&amp;sheet=U0&amp;row=1841&amp;col=6&amp;number=4.7&amp;sourceID=14","4.7")</f>
        <v>4.7</v>
      </c>
      <c r="G1841" s="4" t="str">
        <f>HYPERLINK("http://141.218.60.56/~jnz1568/getInfo.php?workbook=20_05.xlsx&amp;sheet=U0&amp;row=1841&amp;col=7&amp;number=0.000397&amp;sourceID=14","0.000397")</f>
        <v>0.000397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HYPERLINK("http://141.218.60.56/~jnz1568/getInfo.php?workbook=20_05.xlsx&amp;sheet=U0&amp;row=1842&amp;col=6&amp;number=4.8&amp;sourceID=14","4.8")</f>
        <v>4.8</v>
      </c>
      <c r="G1842" s="4" t="str">
        <f>HYPERLINK("http://141.218.60.56/~jnz1568/getInfo.php?workbook=20_05.xlsx&amp;sheet=U0&amp;row=1842&amp;col=7&amp;number=0.000398&amp;sourceID=14","0.000398")</f>
        <v>0.000398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HYPERLINK("http://141.218.60.56/~jnz1568/getInfo.php?workbook=20_05.xlsx&amp;sheet=U0&amp;row=1843&amp;col=6&amp;number=4.9&amp;sourceID=14","4.9")</f>
        <v>4.9</v>
      </c>
      <c r="G1843" s="4" t="str">
        <f>HYPERLINK("http://141.218.60.56/~jnz1568/getInfo.php?workbook=20_05.xlsx&amp;sheet=U0&amp;row=1843&amp;col=7&amp;number=0.000399&amp;sourceID=14","0.000399")</f>
        <v>0.000399</v>
      </c>
    </row>
    <row r="1844" spans="1:7">
      <c r="A1844" s="3">
        <v>20</v>
      </c>
      <c r="B1844" s="3">
        <v>5</v>
      </c>
      <c r="C1844" s="3">
        <v>1</v>
      </c>
      <c r="D1844" s="3">
        <v>48</v>
      </c>
      <c r="E1844" s="3">
        <v>1</v>
      </c>
      <c r="F1844" s="4" t="str">
        <f>HYPERLINK("http://141.218.60.56/~jnz1568/getInfo.php?workbook=20_05.xlsx&amp;sheet=U0&amp;row=1844&amp;col=6&amp;number=3&amp;sourceID=14","3")</f>
        <v>3</v>
      </c>
      <c r="G1844" s="4" t="str">
        <f>HYPERLINK("http://141.218.60.56/~jnz1568/getInfo.php?workbook=20_05.xlsx&amp;sheet=U0&amp;row=1844&amp;col=7&amp;number=0.000116&amp;sourceID=14","0.000116")</f>
        <v>0.000116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HYPERLINK("http://141.218.60.56/~jnz1568/getInfo.php?workbook=20_05.xlsx&amp;sheet=U0&amp;row=1845&amp;col=6&amp;number=3.1&amp;sourceID=14","3.1")</f>
        <v>3.1</v>
      </c>
      <c r="G1845" s="4" t="str">
        <f>HYPERLINK("http://141.218.60.56/~jnz1568/getInfo.php?workbook=20_05.xlsx&amp;sheet=U0&amp;row=1845&amp;col=7&amp;number=0.000116&amp;sourceID=14","0.000116")</f>
        <v>0.000116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HYPERLINK("http://141.218.60.56/~jnz1568/getInfo.php?workbook=20_05.xlsx&amp;sheet=U0&amp;row=1846&amp;col=6&amp;number=3.2&amp;sourceID=14","3.2")</f>
        <v>3.2</v>
      </c>
      <c r="G1846" s="4" t="str">
        <f>HYPERLINK("http://141.218.60.56/~jnz1568/getInfo.php?workbook=20_05.xlsx&amp;sheet=U0&amp;row=1846&amp;col=7&amp;number=0.000116&amp;sourceID=14","0.000116")</f>
        <v>0.000116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HYPERLINK("http://141.218.60.56/~jnz1568/getInfo.php?workbook=20_05.xlsx&amp;sheet=U0&amp;row=1847&amp;col=6&amp;number=3.3&amp;sourceID=14","3.3")</f>
        <v>3.3</v>
      </c>
      <c r="G1847" s="4" t="str">
        <f>HYPERLINK("http://141.218.60.56/~jnz1568/getInfo.php?workbook=20_05.xlsx&amp;sheet=U0&amp;row=1847&amp;col=7&amp;number=0.000116&amp;sourceID=14","0.000116")</f>
        <v>0.000116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HYPERLINK("http://141.218.60.56/~jnz1568/getInfo.php?workbook=20_05.xlsx&amp;sheet=U0&amp;row=1848&amp;col=6&amp;number=3.4&amp;sourceID=14","3.4")</f>
        <v>3.4</v>
      </c>
      <c r="G1848" s="4" t="str">
        <f>HYPERLINK("http://141.218.60.56/~jnz1568/getInfo.php?workbook=20_05.xlsx&amp;sheet=U0&amp;row=1848&amp;col=7&amp;number=0.000116&amp;sourceID=14","0.000116")</f>
        <v>0.000116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HYPERLINK("http://141.218.60.56/~jnz1568/getInfo.php?workbook=20_05.xlsx&amp;sheet=U0&amp;row=1849&amp;col=6&amp;number=3.5&amp;sourceID=14","3.5")</f>
        <v>3.5</v>
      </c>
      <c r="G1849" s="4" t="str">
        <f>HYPERLINK("http://141.218.60.56/~jnz1568/getInfo.php?workbook=20_05.xlsx&amp;sheet=U0&amp;row=1849&amp;col=7&amp;number=0.000116&amp;sourceID=14","0.000116")</f>
        <v>0.000116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HYPERLINK("http://141.218.60.56/~jnz1568/getInfo.php?workbook=20_05.xlsx&amp;sheet=U0&amp;row=1850&amp;col=6&amp;number=3.6&amp;sourceID=14","3.6")</f>
        <v>3.6</v>
      </c>
      <c r="G1850" s="4" t="str">
        <f>HYPERLINK("http://141.218.60.56/~jnz1568/getInfo.php?workbook=20_05.xlsx&amp;sheet=U0&amp;row=1850&amp;col=7&amp;number=0.000116&amp;sourceID=14","0.000116")</f>
        <v>0.000116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HYPERLINK("http://141.218.60.56/~jnz1568/getInfo.php?workbook=20_05.xlsx&amp;sheet=U0&amp;row=1851&amp;col=6&amp;number=3.7&amp;sourceID=14","3.7")</f>
        <v>3.7</v>
      </c>
      <c r="G1851" s="4" t="str">
        <f>HYPERLINK("http://141.218.60.56/~jnz1568/getInfo.php?workbook=20_05.xlsx&amp;sheet=U0&amp;row=1851&amp;col=7&amp;number=0.000116&amp;sourceID=14","0.000116")</f>
        <v>0.000116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HYPERLINK("http://141.218.60.56/~jnz1568/getInfo.php?workbook=20_05.xlsx&amp;sheet=U0&amp;row=1852&amp;col=6&amp;number=3.8&amp;sourceID=14","3.8")</f>
        <v>3.8</v>
      </c>
      <c r="G1852" s="4" t="str">
        <f>HYPERLINK("http://141.218.60.56/~jnz1568/getInfo.php?workbook=20_05.xlsx&amp;sheet=U0&amp;row=1852&amp;col=7&amp;number=0.000116&amp;sourceID=14","0.000116")</f>
        <v>0.000116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HYPERLINK("http://141.218.60.56/~jnz1568/getInfo.php?workbook=20_05.xlsx&amp;sheet=U0&amp;row=1853&amp;col=6&amp;number=3.9&amp;sourceID=14","3.9")</f>
        <v>3.9</v>
      </c>
      <c r="G1853" s="4" t="str">
        <f>HYPERLINK("http://141.218.60.56/~jnz1568/getInfo.php?workbook=20_05.xlsx&amp;sheet=U0&amp;row=1853&amp;col=7&amp;number=0.000116&amp;sourceID=14","0.000116")</f>
        <v>0.000116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HYPERLINK("http://141.218.60.56/~jnz1568/getInfo.php?workbook=20_05.xlsx&amp;sheet=U0&amp;row=1854&amp;col=6&amp;number=4&amp;sourceID=14","4")</f>
        <v>4</v>
      </c>
      <c r="G1854" s="4" t="str">
        <f>HYPERLINK("http://141.218.60.56/~jnz1568/getInfo.php?workbook=20_05.xlsx&amp;sheet=U0&amp;row=1854&amp;col=7&amp;number=0.000116&amp;sourceID=14","0.000116")</f>
        <v>0.000116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HYPERLINK("http://141.218.60.56/~jnz1568/getInfo.php?workbook=20_05.xlsx&amp;sheet=U0&amp;row=1855&amp;col=6&amp;number=4.1&amp;sourceID=14","4.1")</f>
        <v>4.1</v>
      </c>
      <c r="G1855" s="4" t="str">
        <f>HYPERLINK("http://141.218.60.56/~jnz1568/getInfo.php?workbook=20_05.xlsx&amp;sheet=U0&amp;row=1855&amp;col=7&amp;number=0.000116&amp;sourceID=14","0.000116")</f>
        <v>0.000116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HYPERLINK("http://141.218.60.56/~jnz1568/getInfo.php?workbook=20_05.xlsx&amp;sheet=U0&amp;row=1856&amp;col=6&amp;number=4.2&amp;sourceID=14","4.2")</f>
        <v>4.2</v>
      </c>
      <c r="G1856" s="4" t="str">
        <f>HYPERLINK("http://141.218.60.56/~jnz1568/getInfo.php?workbook=20_05.xlsx&amp;sheet=U0&amp;row=1856&amp;col=7&amp;number=0.000116&amp;sourceID=14","0.000116")</f>
        <v>0.000116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HYPERLINK("http://141.218.60.56/~jnz1568/getInfo.php?workbook=20_05.xlsx&amp;sheet=U0&amp;row=1857&amp;col=6&amp;number=4.3&amp;sourceID=14","4.3")</f>
        <v>4.3</v>
      </c>
      <c r="G1857" s="4" t="str">
        <f>HYPERLINK("http://141.218.60.56/~jnz1568/getInfo.php?workbook=20_05.xlsx&amp;sheet=U0&amp;row=1857&amp;col=7&amp;number=0.000116&amp;sourceID=14","0.000116")</f>
        <v>0.000116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HYPERLINK("http://141.218.60.56/~jnz1568/getInfo.php?workbook=20_05.xlsx&amp;sheet=U0&amp;row=1858&amp;col=6&amp;number=4.4&amp;sourceID=14","4.4")</f>
        <v>4.4</v>
      </c>
      <c r="G1858" s="4" t="str">
        <f>HYPERLINK("http://141.218.60.56/~jnz1568/getInfo.php?workbook=20_05.xlsx&amp;sheet=U0&amp;row=1858&amp;col=7&amp;number=0.000116&amp;sourceID=14","0.000116")</f>
        <v>0.000116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HYPERLINK("http://141.218.60.56/~jnz1568/getInfo.php?workbook=20_05.xlsx&amp;sheet=U0&amp;row=1859&amp;col=6&amp;number=4.5&amp;sourceID=14","4.5")</f>
        <v>4.5</v>
      </c>
      <c r="G1859" s="4" t="str">
        <f>HYPERLINK("http://141.218.60.56/~jnz1568/getInfo.php?workbook=20_05.xlsx&amp;sheet=U0&amp;row=1859&amp;col=7&amp;number=0.000116&amp;sourceID=14","0.000116")</f>
        <v>0.000116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HYPERLINK("http://141.218.60.56/~jnz1568/getInfo.php?workbook=20_05.xlsx&amp;sheet=U0&amp;row=1860&amp;col=6&amp;number=4.6&amp;sourceID=14","4.6")</f>
        <v>4.6</v>
      </c>
      <c r="G1860" s="4" t="str">
        <f>HYPERLINK("http://141.218.60.56/~jnz1568/getInfo.php?workbook=20_05.xlsx&amp;sheet=U0&amp;row=1860&amp;col=7&amp;number=0.000116&amp;sourceID=14","0.000116")</f>
        <v>0.000116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HYPERLINK("http://141.218.60.56/~jnz1568/getInfo.php?workbook=20_05.xlsx&amp;sheet=U0&amp;row=1861&amp;col=6&amp;number=4.7&amp;sourceID=14","4.7")</f>
        <v>4.7</v>
      </c>
      <c r="G1861" s="4" t="str">
        <f>HYPERLINK("http://141.218.60.56/~jnz1568/getInfo.php?workbook=20_05.xlsx&amp;sheet=U0&amp;row=1861&amp;col=7&amp;number=0.000116&amp;sourceID=14","0.000116")</f>
        <v>0.000116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HYPERLINK("http://141.218.60.56/~jnz1568/getInfo.php?workbook=20_05.xlsx&amp;sheet=U0&amp;row=1862&amp;col=6&amp;number=4.8&amp;sourceID=14","4.8")</f>
        <v>4.8</v>
      </c>
      <c r="G1862" s="4" t="str">
        <f>HYPERLINK("http://141.218.60.56/~jnz1568/getInfo.php?workbook=20_05.xlsx&amp;sheet=U0&amp;row=1862&amp;col=7&amp;number=0.000116&amp;sourceID=14","0.000116")</f>
        <v>0.000116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HYPERLINK("http://141.218.60.56/~jnz1568/getInfo.php?workbook=20_05.xlsx&amp;sheet=U0&amp;row=1863&amp;col=6&amp;number=4.9&amp;sourceID=14","4.9")</f>
        <v>4.9</v>
      </c>
      <c r="G1863" s="4" t="str">
        <f>HYPERLINK("http://141.218.60.56/~jnz1568/getInfo.php?workbook=20_05.xlsx&amp;sheet=U0&amp;row=1863&amp;col=7&amp;number=0.000116&amp;sourceID=14","0.000116")</f>
        <v>0.000116</v>
      </c>
    </row>
    <row r="1864" spans="1:7">
      <c r="A1864" s="3">
        <v>20</v>
      </c>
      <c r="B1864" s="3">
        <v>5</v>
      </c>
      <c r="C1864" s="3">
        <v>1</v>
      </c>
      <c r="D1864" s="3">
        <v>49</v>
      </c>
      <c r="E1864" s="3">
        <v>1</v>
      </c>
      <c r="F1864" s="4" t="str">
        <f>HYPERLINK("http://141.218.60.56/~jnz1568/getInfo.php?workbook=20_05.xlsx&amp;sheet=U0&amp;row=1864&amp;col=6&amp;number=3&amp;sourceID=14","3")</f>
        <v>3</v>
      </c>
      <c r="G1864" s="4" t="str">
        <f>HYPERLINK("http://141.218.60.56/~jnz1568/getInfo.php?workbook=20_05.xlsx&amp;sheet=U0&amp;row=1864&amp;col=7&amp;number=0.000138&amp;sourceID=14","0.000138")</f>
        <v>0.000138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HYPERLINK("http://141.218.60.56/~jnz1568/getInfo.php?workbook=20_05.xlsx&amp;sheet=U0&amp;row=1865&amp;col=6&amp;number=3.1&amp;sourceID=14","3.1")</f>
        <v>3.1</v>
      </c>
      <c r="G1865" s="4" t="str">
        <f>HYPERLINK("http://141.218.60.56/~jnz1568/getInfo.php?workbook=20_05.xlsx&amp;sheet=U0&amp;row=1865&amp;col=7&amp;number=0.000138&amp;sourceID=14","0.000138")</f>
        <v>0.000138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HYPERLINK("http://141.218.60.56/~jnz1568/getInfo.php?workbook=20_05.xlsx&amp;sheet=U0&amp;row=1866&amp;col=6&amp;number=3.2&amp;sourceID=14","3.2")</f>
        <v>3.2</v>
      </c>
      <c r="G1866" s="4" t="str">
        <f>HYPERLINK("http://141.218.60.56/~jnz1568/getInfo.php?workbook=20_05.xlsx&amp;sheet=U0&amp;row=1866&amp;col=7&amp;number=0.000138&amp;sourceID=14","0.000138")</f>
        <v>0.000138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HYPERLINK("http://141.218.60.56/~jnz1568/getInfo.php?workbook=20_05.xlsx&amp;sheet=U0&amp;row=1867&amp;col=6&amp;number=3.3&amp;sourceID=14","3.3")</f>
        <v>3.3</v>
      </c>
      <c r="G1867" s="4" t="str">
        <f>HYPERLINK("http://141.218.60.56/~jnz1568/getInfo.php?workbook=20_05.xlsx&amp;sheet=U0&amp;row=1867&amp;col=7&amp;number=0.000138&amp;sourceID=14","0.000138")</f>
        <v>0.000138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HYPERLINK("http://141.218.60.56/~jnz1568/getInfo.php?workbook=20_05.xlsx&amp;sheet=U0&amp;row=1868&amp;col=6&amp;number=3.4&amp;sourceID=14","3.4")</f>
        <v>3.4</v>
      </c>
      <c r="G1868" s="4" t="str">
        <f>HYPERLINK("http://141.218.60.56/~jnz1568/getInfo.php?workbook=20_05.xlsx&amp;sheet=U0&amp;row=1868&amp;col=7&amp;number=0.000138&amp;sourceID=14","0.000138")</f>
        <v>0.000138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HYPERLINK("http://141.218.60.56/~jnz1568/getInfo.php?workbook=20_05.xlsx&amp;sheet=U0&amp;row=1869&amp;col=6&amp;number=3.5&amp;sourceID=14","3.5")</f>
        <v>3.5</v>
      </c>
      <c r="G1869" s="4" t="str">
        <f>HYPERLINK("http://141.218.60.56/~jnz1568/getInfo.php?workbook=20_05.xlsx&amp;sheet=U0&amp;row=1869&amp;col=7&amp;number=0.000138&amp;sourceID=14","0.000138")</f>
        <v>0.000138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HYPERLINK("http://141.218.60.56/~jnz1568/getInfo.php?workbook=20_05.xlsx&amp;sheet=U0&amp;row=1870&amp;col=6&amp;number=3.6&amp;sourceID=14","3.6")</f>
        <v>3.6</v>
      </c>
      <c r="G1870" s="4" t="str">
        <f>HYPERLINK("http://141.218.60.56/~jnz1568/getInfo.php?workbook=20_05.xlsx&amp;sheet=U0&amp;row=1870&amp;col=7&amp;number=0.000138&amp;sourceID=14","0.000138")</f>
        <v>0.000138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HYPERLINK("http://141.218.60.56/~jnz1568/getInfo.php?workbook=20_05.xlsx&amp;sheet=U0&amp;row=1871&amp;col=6&amp;number=3.7&amp;sourceID=14","3.7")</f>
        <v>3.7</v>
      </c>
      <c r="G1871" s="4" t="str">
        <f>HYPERLINK("http://141.218.60.56/~jnz1568/getInfo.php?workbook=20_05.xlsx&amp;sheet=U0&amp;row=1871&amp;col=7&amp;number=0.000138&amp;sourceID=14","0.000138")</f>
        <v>0.000138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HYPERLINK("http://141.218.60.56/~jnz1568/getInfo.php?workbook=20_05.xlsx&amp;sheet=U0&amp;row=1872&amp;col=6&amp;number=3.8&amp;sourceID=14","3.8")</f>
        <v>3.8</v>
      </c>
      <c r="G1872" s="4" t="str">
        <f>HYPERLINK("http://141.218.60.56/~jnz1568/getInfo.php?workbook=20_05.xlsx&amp;sheet=U0&amp;row=1872&amp;col=7&amp;number=0.000138&amp;sourceID=14","0.000138")</f>
        <v>0.000138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HYPERLINK("http://141.218.60.56/~jnz1568/getInfo.php?workbook=20_05.xlsx&amp;sheet=U0&amp;row=1873&amp;col=6&amp;number=3.9&amp;sourceID=14","3.9")</f>
        <v>3.9</v>
      </c>
      <c r="G1873" s="4" t="str">
        <f>HYPERLINK("http://141.218.60.56/~jnz1568/getInfo.php?workbook=20_05.xlsx&amp;sheet=U0&amp;row=1873&amp;col=7&amp;number=0.000138&amp;sourceID=14","0.000138")</f>
        <v>0.000138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HYPERLINK("http://141.218.60.56/~jnz1568/getInfo.php?workbook=20_05.xlsx&amp;sheet=U0&amp;row=1874&amp;col=6&amp;number=4&amp;sourceID=14","4")</f>
        <v>4</v>
      </c>
      <c r="G1874" s="4" t="str">
        <f>HYPERLINK("http://141.218.60.56/~jnz1568/getInfo.php?workbook=20_05.xlsx&amp;sheet=U0&amp;row=1874&amp;col=7&amp;number=0.000138&amp;sourceID=14","0.000138")</f>
        <v>0.000138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HYPERLINK("http://141.218.60.56/~jnz1568/getInfo.php?workbook=20_05.xlsx&amp;sheet=U0&amp;row=1875&amp;col=6&amp;number=4.1&amp;sourceID=14","4.1")</f>
        <v>4.1</v>
      </c>
      <c r="G1875" s="4" t="str">
        <f>HYPERLINK("http://141.218.60.56/~jnz1568/getInfo.php?workbook=20_05.xlsx&amp;sheet=U0&amp;row=1875&amp;col=7&amp;number=0.000138&amp;sourceID=14","0.000138")</f>
        <v>0.000138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HYPERLINK("http://141.218.60.56/~jnz1568/getInfo.php?workbook=20_05.xlsx&amp;sheet=U0&amp;row=1876&amp;col=6&amp;number=4.2&amp;sourceID=14","4.2")</f>
        <v>4.2</v>
      </c>
      <c r="G1876" s="4" t="str">
        <f>HYPERLINK("http://141.218.60.56/~jnz1568/getInfo.php?workbook=20_05.xlsx&amp;sheet=U0&amp;row=1876&amp;col=7&amp;number=0.000138&amp;sourceID=14","0.000138")</f>
        <v>0.000138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HYPERLINK("http://141.218.60.56/~jnz1568/getInfo.php?workbook=20_05.xlsx&amp;sheet=U0&amp;row=1877&amp;col=6&amp;number=4.3&amp;sourceID=14","4.3")</f>
        <v>4.3</v>
      </c>
      <c r="G1877" s="4" t="str">
        <f>HYPERLINK("http://141.218.60.56/~jnz1568/getInfo.php?workbook=20_05.xlsx&amp;sheet=U0&amp;row=1877&amp;col=7&amp;number=0.000138&amp;sourceID=14","0.000138")</f>
        <v>0.000138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HYPERLINK("http://141.218.60.56/~jnz1568/getInfo.php?workbook=20_05.xlsx&amp;sheet=U0&amp;row=1878&amp;col=6&amp;number=4.4&amp;sourceID=14","4.4")</f>
        <v>4.4</v>
      </c>
      <c r="G1878" s="4" t="str">
        <f>HYPERLINK("http://141.218.60.56/~jnz1568/getInfo.php?workbook=20_05.xlsx&amp;sheet=U0&amp;row=1878&amp;col=7&amp;number=0.000138&amp;sourceID=14","0.000138")</f>
        <v>0.000138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HYPERLINK("http://141.218.60.56/~jnz1568/getInfo.php?workbook=20_05.xlsx&amp;sheet=U0&amp;row=1879&amp;col=6&amp;number=4.5&amp;sourceID=14","4.5")</f>
        <v>4.5</v>
      </c>
      <c r="G1879" s="4" t="str">
        <f>HYPERLINK("http://141.218.60.56/~jnz1568/getInfo.php?workbook=20_05.xlsx&amp;sheet=U0&amp;row=1879&amp;col=7&amp;number=0.000138&amp;sourceID=14","0.000138")</f>
        <v>0.000138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HYPERLINK("http://141.218.60.56/~jnz1568/getInfo.php?workbook=20_05.xlsx&amp;sheet=U0&amp;row=1880&amp;col=6&amp;number=4.6&amp;sourceID=14","4.6")</f>
        <v>4.6</v>
      </c>
      <c r="G1880" s="4" t="str">
        <f>HYPERLINK("http://141.218.60.56/~jnz1568/getInfo.php?workbook=20_05.xlsx&amp;sheet=U0&amp;row=1880&amp;col=7&amp;number=0.000138&amp;sourceID=14","0.000138")</f>
        <v>0.000138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HYPERLINK("http://141.218.60.56/~jnz1568/getInfo.php?workbook=20_05.xlsx&amp;sheet=U0&amp;row=1881&amp;col=6&amp;number=4.7&amp;sourceID=14","4.7")</f>
        <v>4.7</v>
      </c>
      <c r="G1881" s="4" t="str">
        <f>HYPERLINK("http://141.218.60.56/~jnz1568/getInfo.php?workbook=20_05.xlsx&amp;sheet=U0&amp;row=1881&amp;col=7&amp;number=0.000138&amp;sourceID=14","0.000138")</f>
        <v>0.000138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HYPERLINK("http://141.218.60.56/~jnz1568/getInfo.php?workbook=20_05.xlsx&amp;sheet=U0&amp;row=1882&amp;col=6&amp;number=4.8&amp;sourceID=14","4.8")</f>
        <v>4.8</v>
      </c>
      <c r="G1882" s="4" t="str">
        <f>HYPERLINK("http://141.218.60.56/~jnz1568/getInfo.php?workbook=20_05.xlsx&amp;sheet=U0&amp;row=1882&amp;col=7&amp;number=0.000139&amp;sourceID=14","0.000139")</f>
        <v>0.000139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HYPERLINK("http://141.218.60.56/~jnz1568/getInfo.php?workbook=20_05.xlsx&amp;sheet=U0&amp;row=1883&amp;col=6&amp;number=4.9&amp;sourceID=14","4.9")</f>
        <v>4.9</v>
      </c>
      <c r="G1883" s="4" t="str">
        <f>HYPERLINK("http://141.218.60.56/~jnz1568/getInfo.php?workbook=20_05.xlsx&amp;sheet=U0&amp;row=1883&amp;col=7&amp;number=0.000139&amp;sourceID=14","0.000139")</f>
        <v>0.000139</v>
      </c>
    </row>
    <row r="1884" spans="1:7">
      <c r="A1884" s="3">
        <v>20</v>
      </c>
      <c r="B1884" s="3">
        <v>5</v>
      </c>
      <c r="C1884" s="3">
        <v>1</v>
      </c>
      <c r="D1884" s="3">
        <v>50</v>
      </c>
      <c r="E1884" s="3">
        <v>1</v>
      </c>
      <c r="F1884" s="4" t="str">
        <f>HYPERLINK("http://141.218.60.56/~jnz1568/getInfo.php?workbook=20_05.xlsx&amp;sheet=U0&amp;row=1884&amp;col=6&amp;number=3&amp;sourceID=14","3")</f>
        <v>3</v>
      </c>
      <c r="G1884" s="4" t="str">
        <f>HYPERLINK("http://141.218.60.56/~jnz1568/getInfo.php?workbook=20_05.xlsx&amp;sheet=U0&amp;row=1884&amp;col=7&amp;number=0.0173&amp;sourceID=14","0.0173")</f>
        <v>0.0173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HYPERLINK("http://141.218.60.56/~jnz1568/getInfo.php?workbook=20_05.xlsx&amp;sheet=U0&amp;row=1885&amp;col=6&amp;number=3.1&amp;sourceID=14","3.1")</f>
        <v>3.1</v>
      </c>
      <c r="G1885" s="4" t="str">
        <f>HYPERLINK("http://141.218.60.56/~jnz1568/getInfo.php?workbook=20_05.xlsx&amp;sheet=U0&amp;row=1885&amp;col=7&amp;number=0.0173&amp;sourceID=14","0.0173")</f>
        <v>0.0173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HYPERLINK("http://141.218.60.56/~jnz1568/getInfo.php?workbook=20_05.xlsx&amp;sheet=U0&amp;row=1886&amp;col=6&amp;number=3.2&amp;sourceID=14","3.2")</f>
        <v>3.2</v>
      </c>
      <c r="G1886" s="4" t="str">
        <f>HYPERLINK("http://141.218.60.56/~jnz1568/getInfo.php?workbook=20_05.xlsx&amp;sheet=U0&amp;row=1886&amp;col=7&amp;number=0.0173&amp;sourceID=14","0.0173")</f>
        <v>0.0173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HYPERLINK("http://141.218.60.56/~jnz1568/getInfo.php?workbook=20_05.xlsx&amp;sheet=U0&amp;row=1887&amp;col=6&amp;number=3.3&amp;sourceID=14","3.3")</f>
        <v>3.3</v>
      </c>
      <c r="G1887" s="4" t="str">
        <f>HYPERLINK("http://141.218.60.56/~jnz1568/getInfo.php?workbook=20_05.xlsx&amp;sheet=U0&amp;row=1887&amp;col=7&amp;number=0.0173&amp;sourceID=14","0.0173")</f>
        <v>0.0173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HYPERLINK("http://141.218.60.56/~jnz1568/getInfo.php?workbook=20_05.xlsx&amp;sheet=U0&amp;row=1888&amp;col=6&amp;number=3.4&amp;sourceID=14","3.4")</f>
        <v>3.4</v>
      </c>
      <c r="G1888" s="4" t="str">
        <f>HYPERLINK("http://141.218.60.56/~jnz1568/getInfo.php?workbook=20_05.xlsx&amp;sheet=U0&amp;row=1888&amp;col=7&amp;number=0.0173&amp;sourceID=14","0.0173")</f>
        <v>0.0173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HYPERLINK("http://141.218.60.56/~jnz1568/getInfo.php?workbook=20_05.xlsx&amp;sheet=U0&amp;row=1889&amp;col=6&amp;number=3.5&amp;sourceID=14","3.5")</f>
        <v>3.5</v>
      </c>
      <c r="G1889" s="4" t="str">
        <f>HYPERLINK("http://141.218.60.56/~jnz1568/getInfo.php?workbook=20_05.xlsx&amp;sheet=U0&amp;row=1889&amp;col=7&amp;number=0.0173&amp;sourceID=14","0.0173")</f>
        <v>0.0173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HYPERLINK("http://141.218.60.56/~jnz1568/getInfo.php?workbook=20_05.xlsx&amp;sheet=U0&amp;row=1890&amp;col=6&amp;number=3.6&amp;sourceID=14","3.6")</f>
        <v>3.6</v>
      </c>
      <c r="G1890" s="4" t="str">
        <f>HYPERLINK("http://141.218.60.56/~jnz1568/getInfo.php?workbook=20_05.xlsx&amp;sheet=U0&amp;row=1890&amp;col=7&amp;number=0.0173&amp;sourceID=14","0.0173")</f>
        <v>0.0173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HYPERLINK("http://141.218.60.56/~jnz1568/getInfo.php?workbook=20_05.xlsx&amp;sheet=U0&amp;row=1891&amp;col=6&amp;number=3.7&amp;sourceID=14","3.7")</f>
        <v>3.7</v>
      </c>
      <c r="G1891" s="4" t="str">
        <f>HYPERLINK("http://141.218.60.56/~jnz1568/getInfo.php?workbook=20_05.xlsx&amp;sheet=U0&amp;row=1891&amp;col=7&amp;number=0.0173&amp;sourceID=14","0.0173")</f>
        <v>0.0173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HYPERLINK("http://141.218.60.56/~jnz1568/getInfo.php?workbook=20_05.xlsx&amp;sheet=U0&amp;row=1892&amp;col=6&amp;number=3.8&amp;sourceID=14","3.8")</f>
        <v>3.8</v>
      </c>
      <c r="G1892" s="4" t="str">
        <f>HYPERLINK("http://141.218.60.56/~jnz1568/getInfo.php?workbook=20_05.xlsx&amp;sheet=U0&amp;row=1892&amp;col=7&amp;number=0.0173&amp;sourceID=14","0.0173")</f>
        <v>0.0173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HYPERLINK("http://141.218.60.56/~jnz1568/getInfo.php?workbook=20_05.xlsx&amp;sheet=U0&amp;row=1893&amp;col=6&amp;number=3.9&amp;sourceID=14","3.9")</f>
        <v>3.9</v>
      </c>
      <c r="G1893" s="4" t="str">
        <f>HYPERLINK("http://141.218.60.56/~jnz1568/getInfo.php?workbook=20_05.xlsx&amp;sheet=U0&amp;row=1893&amp;col=7&amp;number=0.0173&amp;sourceID=14","0.0173")</f>
        <v>0.0173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HYPERLINK("http://141.218.60.56/~jnz1568/getInfo.php?workbook=20_05.xlsx&amp;sheet=U0&amp;row=1894&amp;col=6&amp;number=4&amp;sourceID=14","4")</f>
        <v>4</v>
      </c>
      <c r="G1894" s="4" t="str">
        <f>HYPERLINK("http://141.218.60.56/~jnz1568/getInfo.php?workbook=20_05.xlsx&amp;sheet=U0&amp;row=1894&amp;col=7&amp;number=0.0172&amp;sourceID=14","0.0172")</f>
        <v>0.0172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HYPERLINK("http://141.218.60.56/~jnz1568/getInfo.php?workbook=20_05.xlsx&amp;sheet=U0&amp;row=1895&amp;col=6&amp;number=4.1&amp;sourceID=14","4.1")</f>
        <v>4.1</v>
      </c>
      <c r="G1895" s="4" t="str">
        <f>HYPERLINK("http://141.218.60.56/~jnz1568/getInfo.php?workbook=20_05.xlsx&amp;sheet=U0&amp;row=1895&amp;col=7&amp;number=0.0172&amp;sourceID=14","0.0172")</f>
        <v>0.0172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HYPERLINK("http://141.218.60.56/~jnz1568/getInfo.php?workbook=20_05.xlsx&amp;sheet=U0&amp;row=1896&amp;col=6&amp;number=4.2&amp;sourceID=14","4.2")</f>
        <v>4.2</v>
      </c>
      <c r="G1896" s="4" t="str">
        <f>HYPERLINK("http://141.218.60.56/~jnz1568/getInfo.php?workbook=20_05.xlsx&amp;sheet=U0&amp;row=1896&amp;col=7&amp;number=0.0172&amp;sourceID=14","0.0172")</f>
        <v>0.0172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HYPERLINK("http://141.218.60.56/~jnz1568/getInfo.php?workbook=20_05.xlsx&amp;sheet=U0&amp;row=1897&amp;col=6&amp;number=4.3&amp;sourceID=14","4.3")</f>
        <v>4.3</v>
      </c>
      <c r="G1897" s="4" t="str">
        <f>HYPERLINK("http://141.218.60.56/~jnz1568/getInfo.php?workbook=20_05.xlsx&amp;sheet=U0&amp;row=1897&amp;col=7&amp;number=0.0172&amp;sourceID=14","0.0172")</f>
        <v>0.0172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HYPERLINK("http://141.218.60.56/~jnz1568/getInfo.php?workbook=20_05.xlsx&amp;sheet=U0&amp;row=1898&amp;col=6&amp;number=4.4&amp;sourceID=14","4.4")</f>
        <v>4.4</v>
      </c>
      <c r="G1898" s="4" t="str">
        <f>HYPERLINK("http://141.218.60.56/~jnz1568/getInfo.php?workbook=20_05.xlsx&amp;sheet=U0&amp;row=1898&amp;col=7&amp;number=0.0172&amp;sourceID=14","0.0172")</f>
        <v>0.0172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HYPERLINK("http://141.218.60.56/~jnz1568/getInfo.php?workbook=20_05.xlsx&amp;sheet=U0&amp;row=1899&amp;col=6&amp;number=4.5&amp;sourceID=14","4.5")</f>
        <v>4.5</v>
      </c>
      <c r="G1899" s="4" t="str">
        <f>HYPERLINK("http://141.218.60.56/~jnz1568/getInfo.php?workbook=20_05.xlsx&amp;sheet=U0&amp;row=1899&amp;col=7&amp;number=0.0171&amp;sourceID=14","0.0171")</f>
        <v>0.0171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HYPERLINK("http://141.218.60.56/~jnz1568/getInfo.php?workbook=20_05.xlsx&amp;sheet=U0&amp;row=1900&amp;col=6&amp;number=4.6&amp;sourceID=14","4.6")</f>
        <v>4.6</v>
      </c>
      <c r="G1900" s="4" t="str">
        <f>HYPERLINK("http://141.218.60.56/~jnz1568/getInfo.php?workbook=20_05.xlsx&amp;sheet=U0&amp;row=1900&amp;col=7&amp;number=0.0171&amp;sourceID=14","0.0171")</f>
        <v>0.0171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HYPERLINK("http://141.218.60.56/~jnz1568/getInfo.php?workbook=20_05.xlsx&amp;sheet=U0&amp;row=1901&amp;col=6&amp;number=4.7&amp;sourceID=14","4.7")</f>
        <v>4.7</v>
      </c>
      <c r="G1901" s="4" t="str">
        <f>HYPERLINK("http://141.218.60.56/~jnz1568/getInfo.php?workbook=20_05.xlsx&amp;sheet=U0&amp;row=1901&amp;col=7&amp;number=0.0171&amp;sourceID=14","0.0171")</f>
        <v>0.0171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HYPERLINK("http://141.218.60.56/~jnz1568/getInfo.php?workbook=20_05.xlsx&amp;sheet=U0&amp;row=1902&amp;col=6&amp;number=4.8&amp;sourceID=14","4.8")</f>
        <v>4.8</v>
      </c>
      <c r="G1902" s="4" t="str">
        <f>HYPERLINK("http://141.218.60.56/~jnz1568/getInfo.php?workbook=20_05.xlsx&amp;sheet=U0&amp;row=1902&amp;col=7&amp;number=0.017&amp;sourceID=14","0.017")</f>
        <v>0.017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HYPERLINK("http://141.218.60.56/~jnz1568/getInfo.php?workbook=20_05.xlsx&amp;sheet=U0&amp;row=1903&amp;col=6&amp;number=4.9&amp;sourceID=14","4.9")</f>
        <v>4.9</v>
      </c>
      <c r="G1903" s="4" t="str">
        <f>HYPERLINK("http://141.218.60.56/~jnz1568/getInfo.php?workbook=20_05.xlsx&amp;sheet=U0&amp;row=1903&amp;col=7&amp;number=0.0169&amp;sourceID=14","0.0169")</f>
        <v>0.0169</v>
      </c>
    </row>
    <row r="1904" spans="1:7">
      <c r="A1904" s="3">
        <v>20</v>
      </c>
      <c r="B1904" s="3">
        <v>5</v>
      </c>
      <c r="C1904" s="3">
        <v>1</v>
      </c>
      <c r="D1904" s="3">
        <v>51</v>
      </c>
      <c r="E1904" s="3">
        <v>1</v>
      </c>
      <c r="F1904" s="4" t="str">
        <f>HYPERLINK("http://141.218.60.56/~jnz1568/getInfo.php?workbook=20_05.xlsx&amp;sheet=U0&amp;row=1904&amp;col=6&amp;number=3&amp;sourceID=14","3")</f>
        <v>3</v>
      </c>
      <c r="G1904" s="4" t="str">
        <f>HYPERLINK("http://141.218.60.56/~jnz1568/getInfo.php?workbook=20_05.xlsx&amp;sheet=U0&amp;row=1904&amp;col=7&amp;number=0.00159&amp;sourceID=14","0.00159")</f>
        <v>0.00159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HYPERLINK("http://141.218.60.56/~jnz1568/getInfo.php?workbook=20_05.xlsx&amp;sheet=U0&amp;row=1905&amp;col=6&amp;number=3.1&amp;sourceID=14","3.1")</f>
        <v>3.1</v>
      </c>
      <c r="G1905" s="4" t="str">
        <f>HYPERLINK("http://141.218.60.56/~jnz1568/getInfo.php?workbook=20_05.xlsx&amp;sheet=U0&amp;row=1905&amp;col=7&amp;number=0.00159&amp;sourceID=14","0.00159")</f>
        <v>0.00159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HYPERLINK("http://141.218.60.56/~jnz1568/getInfo.php?workbook=20_05.xlsx&amp;sheet=U0&amp;row=1906&amp;col=6&amp;number=3.2&amp;sourceID=14","3.2")</f>
        <v>3.2</v>
      </c>
      <c r="G1906" s="4" t="str">
        <f>HYPERLINK("http://141.218.60.56/~jnz1568/getInfo.php?workbook=20_05.xlsx&amp;sheet=U0&amp;row=1906&amp;col=7&amp;number=0.00159&amp;sourceID=14","0.00159")</f>
        <v>0.00159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HYPERLINK("http://141.218.60.56/~jnz1568/getInfo.php?workbook=20_05.xlsx&amp;sheet=U0&amp;row=1907&amp;col=6&amp;number=3.3&amp;sourceID=14","3.3")</f>
        <v>3.3</v>
      </c>
      <c r="G1907" s="4" t="str">
        <f>HYPERLINK("http://141.218.60.56/~jnz1568/getInfo.php?workbook=20_05.xlsx&amp;sheet=U0&amp;row=1907&amp;col=7&amp;number=0.00159&amp;sourceID=14","0.00159")</f>
        <v>0.00159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HYPERLINK("http://141.218.60.56/~jnz1568/getInfo.php?workbook=20_05.xlsx&amp;sheet=U0&amp;row=1908&amp;col=6&amp;number=3.4&amp;sourceID=14","3.4")</f>
        <v>3.4</v>
      </c>
      <c r="G1908" s="4" t="str">
        <f>HYPERLINK("http://141.218.60.56/~jnz1568/getInfo.php?workbook=20_05.xlsx&amp;sheet=U0&amp;row=1908&amp;col=7&amp;number=0.00159&amp;sourceID=14","0.00159")</f>
        <v>0.00159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HYPERLINK("http://141.218.60.56/~jnz1568/getInfo.php?workbook=20_05.xlsx&amp;sheet=U0&amp;row=1909&amp;col=6&amp;number=3.5&amp;sourceID=14","3.5")</f>
        <v>3.5</v>
      </c>
      <c r="G1909" s="4" t="str">
        <f>HYPERLINK("http://141.218.60.56/~jnz1568/getInfo.php?workbook=20_05.xlsx&amp;sheet=U0&amp;row=1909&amp;col=7&amp;number=0.00159&amp;sourceID=14","0.00159")</f>
        <v>0.00159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HYPERLINK("http://141.218.60.56/~jnz1568/getInfo.php?workbook=20_05.xlsx&amp;sheet=U0&amp;row=1910&amp;col=6&amp;number=3.6&amp;sourceID=14","3.6")</f>
        <v>3.6</v>
      </c>
      <c r="G1910" s="4" t="str">
        <f>HYPERLINK("http://141.218.60.56/~jnz1568/getInfo.php?workbook=20_05.xlsx&amp;sheet=U0&amp;row=1910&amp;col=7&amp;number=0.00159&amp;sourceID=14","0.00159")</f>
        <v>0.00159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HYPERLINK("http://141.218.60.56/~jnz1568/getInfo.php?workbook=20_05.xlsx&amp;sheet=U0&amp;row=1911&amp;col=6&amp;number=3.7&amp;sourceID=14","3.7")</f>
        <v>3.7</v>
      </c>
      <c r="G1911" s="4" t="str">
        <f>HYPERLINK("http://141.218.60.56/~jnz1568/getInfo.php?workbook=20_05.xlsx&amp;sheet=U0&amp;row=1911&amp;col=7&amp;number=0.00159&amp;sourceID=14","0.00159")</f>
        <v>0.00159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HYPERLINK("http://141.218.60.56/~jnz1568/getInfo.php?workbook=20_05.xlsx&amp;sheet=U0&amp;row=1912&amp;col=6&amp;number=3.8&amp;sourceID=14","3.8")</f>
        <v>3.8</v>
      </c>
      <c r="G1912" s="4" t="str">
        <f>HYPERLINK("http://141.218.60.56/~jnz1568/getInfo.php?workbook=20_05.xlsx&amp;sheet=U0&amp;row=1912&amp;col=7&amp;number=0.00159&amp;sourceID=14","0.00159")</f>
        <v>0.00159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HYPERLINK("http://141.218.60.56/~jnz1568/getInfo.php?workbook=20_05.xlsx&amp;sheet=U0&amp;row=1913&amp;col=6&amp;number=3.9&amp;sourceID=14","3.9")</f>
        <v>3.9</v>
      </c>
      <c r="G1913" s="4" t="str">
        <f>HYPERLINK("http://141.218.60.56/~jnz1568/getInfo.php?workbook=20_05.xlsx&amp;sheet=U0&amp;row=1913&amp;col=7&amp;number=0.00158&amp;sourceID=14","0.00158")</f>
        <v>0.00158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HYPERLINK("http://141.218.60.56/~jnz1568/getInfo.php?workbook=20_05.xlsx&amp;sheet=U0&amp;row=1914&amp;col=6&amp;number=4&amp;sourceID=14","4")</f>
        <v>4</v>
      </c>
      <c r="G1914" s="4" t="str">
        <f>HYPERLINK("http://141.218.60.56/~jnz1568/getInfo.php?workbook=20_05.xlsx&amp;sheet=U0&amp;row=1914&amp;col=7&amp;number=0.00158&amp;sourceID=14","0.00158")</f>
        <v>0.00158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HYPERLINK("http://141.218.60.56/~jnz1568/getInfo.php?workbook=20_05.xlsx&amp;sheet=U0&amp;row=1915&amp;col=6&amp;number=4.1&amp;sourceID=14","4.1")</f>
        <v>4.1</v>
      </c>
      <c r="G1915" s="4" t="str">
        <f>HYPERLINK("http://141.218.60.56/~jnz1568/getInfo.php?workbook=20_05.xlsx&amp;sheet=U0&amp;row=1915&amp;col=7&amp;number=0.00158&amp;sourceID=14","0.00158")</f>
        <v>0.00158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HYPERLINK("http://141.218.60.56/~jnz1568/getInfo.php?workbook=20_05.xlsx&amp;sheet=U0&amp;row=1916&amp;col=6&amp;number=4.2&amp;sourceID=14","4.2")</f>
        <v>4.2</v>
      </c>
      <c r="G1916" s="4" t="str">
        <f>HYPERLINK("http://141.218.60.56/~jnz1568/getInfo.php?workbook=20_05.xlsx&amp;sheet=U0&amp;row=1916&amp;col=7&amp;number=0.00158&amp;sourceID=14","0.00158")</f>
        <v>0.00158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HYPERLINK("http://141.218.60.56/~jnz1568/getInfo.php?workbook=20_05.xlsx&amp;sheet=U0&amp;row=1917&amp;col=6&amp;number=4.3&amp;sourceID=14","4.3")</f>
        <v>4.3</v>
      </c>
      <c r="G1917" s="4" t="str">
        <f>HYPERLINK("http://141.218.60.56/~jnz1568/getInfo.php?workbook=20_05.xlsx&amp;sheet=U0&amp;row=1917&amp;col=7&amp;number=0.00158&amp;sourceID=14","0.00158")</f>
        <v>0.00158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HYPERLINK("http://141.218.60.56/~jnz1568/getInfo.php?workbook=20_05.xlsx&amp;sheet=U0&amp;row=1918&amp;col=6&amp;number=4.4&amp;sourceID=14","4.4")</f>
        <v>4.4</v>
      </c>
      <c r="G1918" s="4" t="str">
        <f>HYPERLINK("http://141.218.60.56/~jnz1568/getInfo.php?workbook=20_05.xlsx&amp;sheet=U0&amp;row=1918&amp;col=7&amp;number=0.00158&amp;sourceID=14","0.00158")</f>
        <v>0.00158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HYPERLINK("http://141.218.60.56/~jnz1568/getInfo.php?workbook=20_05.xlsx&amp;sheet=U0&amp;row=1919&amp;col=6&amp;number=4.5&amp;sourceID=14","4.5")</f>
        <v>4.5</v>
      </c>
      <c r="G1919" s="4" t="str">
        <f>HYPERLINK("http://141.218.60.56/~jnz1568/getInfo.php?workbook=20_05.xlsx&amp;sheet=U0&amp;row=1919&amp;col=7&amp;number=0.00158&amp;sourceID=14","0.00158")</f>
        <v>0.00158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HYPERLINK("http://141.218.60.56/~jnz1568/getInfo.php?workbook=20_05.xlsx&amp;sheet=U0&amp;row=1920&amp;col=6&amp;number=4.6&amp;sourceID=14","4.6")</f>
        <v>4.6</v>
      </c>
      <c r="G1920" s="4" t="str">
        <f>HYPERLINK("http://141.218.60.56/~jnz1568/getInfo.php?workbook=20_05.xlsx&amp;sheet=U0&amp;row=1920&amp;col=7&amp;number=0.00157&amp;sourceID=14","0.00157")</f>
        <v>0.00157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HYPERLINK("http://141.218.60.56/~jnz1568/getInfo.php?workbook=20_05.xlsx&amp;sheet=U0&amp;row=1921&amp;col=6&amp;number=4.7&amp;sourceID=14","4.7")</f>
        <v>4.7</v>
      </c>
      <c r="G1921" s="4" t="str">
        <f>HYPERLINK("http://141.218.60.56/~jnz1568/getInfo.php?workbook=20_05.xlsx&amp;sheet=U0&amp;row=1921&amp;col=7&amp;number=0.00157&amp;sourceID=14","0.00157")</f>
        <v>0.00157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HYPERLINK("http://141.218.60.56/~jnz1568/getInfo.php?workbook=20_05.xlsx&amp;sheet=U0&amp;row=1922&amp;col=6&amp;number=4.8&amp;sourceID=14","4.8")</f>
        <v>4.8</v>
      </c>
      <c r="G1922" s="4" t="str">
        <f>HYPERLINK("http://141.218.60.56/~jnz1568/getInfo.php?workbook=20_05.xlsx&amp;sheet=U0&amp;row=1922&amp;col=7&amp;number=0.00156&amp;sourceID=14","0.00156")</f>
        <v>0.00156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HYPERLINK("http://141.218.60.56/~jnz1568/getInfo.php?workbook=20_05.xlsx&amp;sheet=U0&amp;row=1923&amp;col=6&amp;number=4.9&amp;sourceID=14","4.9")</f>
        <v>4.9</v>
      </c>
      <c r="G1923" s="4" t="str">
        <f>HYPERLINK("http://141.218.60.56/~jnz1568/getInfo.php?workbook=20_05.xlsx&amp;sheet=U0&amp;row=1923&amp;col=7&amp;number=0.00156&amp;sourceID=14","0.00156")</f>
        <v>0.00156</v>
      </c>
    </row>
    <row r="1924" spans="1:7">
      <c r="A1924" s="3">
        <v>20</v>
      </c>
      <c r="B1924" s="3">
        <v>5</v>
      </c>
      <c r="C1924" s="3">
        <v>1</v>
      </c>
      <c r="D1924" s="3">
        <v>52</v>
      </c>
      <c r="E1924" s="3">
        <v>1</v>
      </c>
      <c r="F1924" s="4" t="str">
        <f>HYPERLINK("http://141.218.60.56/~jnz1568/getInfo.php?workbook=20_05.xlsx&amp;sheet=U0&amp;row=1924&amp;col=6&amp;number=3&amp;sourceID=14","3")</f>
        <v>3</v>
      </c>
      <c r="G1924" s="4" t="str">
        <f>HYPERLINK("http://141.218.60.56/~jnz1568/getInfo.php?workbook=20_05.xlsx&amp;sheet=U0&amp;row=1924&amp;col=7&amp;number=0.00044&amp;sourceID=14","0.00044")</f>
        <v>0.00044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HYPERLINK("http://141.218.60.56/~jnz1568/getInfo.php?workbook=20_05.xlsx&amp;sheet=U0&amp;row=1925&amp;col=6&amp;number=3.1&amp;sourceID=14","3.1")</f>
        <v>3.1</v>
      </c>
      <c r="G1925" s="4" t="str">
        <f>HYPERLINK("http://141.218.60.56/~jnz1568/getInfo.php?workbook=20_05.xlsx&amp;sheet=U0&amp;row=1925&amp;col=7&amp;number=0.00044&amp;sourceID=14","0.00044")</f>
        <v>0.00044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HYPERLINK("http://141.218.60.56/~jnz1568/getInfo.php?workbook=20_05.xlsx&amp;sheet=U0&amp;row=1926&amp;col=6&amp;number=3.2&amp;sourceID=14","3.2")</f>
        <v>3.2</v>
      </c>
      <c r="G1926" s="4" t="str">
        <f>HYPERLINK("http://141.218.60.56/~jnz1568/getInfo.php?workbook=20_05.xlsx&amp;sheet=U0&amp;row=1926&amp;col=7&amp;number=0.00044&amp;sourceID=14","0.00044")</f>
        <v>0.00044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HYPERLINK("http://141.218.60.56/~jnz1568/getInfo.php?workbook=20_05.xlsx&amp;sheet=U0&amp;row=1927&amp;col=6&amp;number=3.3&amp;sourceID=14","3.3")</f>
        <v>3.3</v>
      </c>
      <c r="G1927" s="4" t="str">
        <f>HYPERLINK("http://141.218.60.56/~jnz1568/getInfo.php?workbook=20_05.xlsx&amp;sheet=U0&amp;row=1927&amp;col=7&amp;number=0.00044&amp;sourceID=14","0.00044")</f>
        <v>0.00044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HYPERLINK("http://141.218.60.56/~jnz1568/getInfo.php?workbook=20_05.xlsx&amp;sheet=U0&amp;row=1928&amp;col=6&amp;number=3.4&amp;sourceID=14","3.4")</f>
        <v>3.4</v>
      </c>
      <c r="G1928" s="4" t="str">
        <f>HYPERLINK("http://141.218.60.56/~jnz1568/getInfo.php?workbook=20_05.xlsx&amp;sheet=U0&amp;row=1928&amp;col=7&amp;number=0.00044&amp;sourceID=14","0.00044")</f>
        <v>0.00044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HYPERLINK("http://141.218.60.56/~jnz1568/getInfo.php?workbook=20_05.xlsx&amp;sheet=U0&amp;row=1929&amp;col=6&amp;number=3.5&amp;sourceID=14","3.5")</f>
        <v>3.5</v>
      </c>
      <c r="G1929" s="4" t="str">
        <f>HYPERLINK("http://141.218.60.56/~jnz1568/getInfo.php?workbook=20_05.xlsx&amp;sheet=U0&amp;row=1929&amp;col=7&amp;number=0.00044&amp;sourceID=14","0.00044")</f>
        <v>0.00044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HYPERLINK("http://141.218.60.56/~jnz1568/getInfo.php?workbook=20_05.xlsx&amp;sheet=U0&amp;row=1930&amp;col=6&amp;number=3.6&amp;sourceID=14","3.6")</f>
        <v>3.6</v>
      </c>
      <c r="G1930" s="4" t="str">
        <f>HYPERLINK("http://141.218.60.56/~jnz1568/getInfo.php?workbook=20_05.xlsx&amp;sheet=U0&amp;row=1930&amp;col=7&amp;number=0.00044&amp;sourceID=14","0.00044")</f>
        <v>0.00044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HYPERLINK("http://141.218.60.56/~jnz1568/getInfo.php?workbook=20_05.xlsx&amp;sheet=U0&amp;row=1931&amp;col=6&amp;number=3.7&amp;sourceID=14","3.7")</f>
        <v>3.7</v>
      </c>
      <c r="G1931" s="4" t="str">
        <f>HYPERLINK("http://141.218.60.56/~jnz1568/getInfo.php?workbook=20_05.xlsx&amp;sheet=U0&amp;row=1931&amp;col=7&amp;number=0.00044&amp;sourceID=14","0.00044")</f>
        <v>0.00044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HYPERLINK("http://141.218.60.56/~jnz1568/getInfo.php?workbook=20_05.xlsx&amp;sheet=U0&amp;row=1932&amp;col=6&amp;number=3.8&amp;sourceID=14","3.8")</f>
        <v>3.8</v>
      </c>
      <c r="G1932" s="4" t="str">
        <f>HYPERLINK("http://141.218.60.56/~jnz1568/getInfo.php?workbook=20_05.xlsx&amp;sheet=U0&amp;row=1932&amp;col=7&amp;number=0.00044&amp;sourceID=14","0.00044")</f>
        <v>0.00044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HYPERLINK("http://141.218.60.56/~jnz1568/getInfo.php?workbook=20_05.xlsx&amp;sheet=U0&amp;row=1933&amp;col=6&amp;number=3.9&amp;sourceID=14","3.9")</f>
        <v>3.9</v>
      </c>
      <c r="G1933" s="4" t="str">
        <f>HYPERLINK("http://141.218.60.56/~jnz1568/getInfo.php?workbook=20_05.xlsx&amp;sheet=U0&amp;row=1933&amp;col=7&amp;number=0.00044&amp;sourceID=14","0.00044")</f>
        <v>0.00044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HYPERLINK("http://141.218.60.56/~jnz1568/getInfo.php?workbook=20_05.xlsx&amp;sheet=U0&amp;row=1934&amp;col=6&amp;number=4&amp;sourceID=14","4")</f>
        <v>4</v>
      </c>
      <c r="G1934" s="4" t="str">
        <f>HYPERLINK("http://141.218.60.56/~jnz1568/getInfo.php?workbook=20_05.xlsx&amp;sheet=U0&amp;row=1934&amp;col=7&amp;number=0.000439&amp;sourceID=14","0.000439")</f>
        <v>0.000439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HYPERLINK("http://141.218.60.56/~jnz1568/getInfo.php?workbook=20_05.xlsx&amp;sheet=U0&amp;row=1935&amp;col=6&amp;number=4.1&amp;sourceID=14","4.1")</f>
        <v>4.1</v>
      </c>
      <c r="G1935" s="4" t="str">
        <f>HYPERLINK("http://141.218.60.56/~jnz1568/getInfo.php?workbook=20_05.xlsx&amp;sheet=U0&amp;row=1935&amp;col=7&amp;number=0.000439&amp;sourceID=14","0.000439")</f>
        <v>0.000439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HYPERLINK("http://141.218.60.56/~jnz1568/getInfo.php?workbook=20_05.xlsx&amp;sheet=U0&amp;row=1936&amp;col=6&amp;number=4.2&amp;sourceID=14","4.2")</f>
        <v>4.2</v>
      </c>
      <c r="G1936" s="4" t="str">
        <f>HYPERLINK("http://141.218.60.56/~jnz1568/getInfo.php?workbook=20_05.xlsx&amp;sheet=U0&amp;row=1936&amp;col=7&amp;number=0.000439&amp;sourceID=14","0.000439")</f>
        <v>0.000439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HYPERLINK("http://141.218.60.56/~jnz1568/getInfo.php?workbook=20_05.xlsx&amp;sheet=U0&amp;row=1937&amp;col=6&amp;number=4.3&amp;sourceID=14","4.3")</f>
        <v>4.3</v>
      </c>
      <c r="G1937" s="4" t="str">
        <f>HYPERLINK("http://141.218.60.56/~jnz1568/getInfo.php?workbook=20_05.xlsx&amp;sheet=U0&amp;row=1937&amp;col=7&amp;number=0.000438&amp;sourceID=14","0.000438")</f>
        <v>0.000438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HYPERLINK("http://141.218.60.56/~jnz1568/getInfo.php?workbook=20_05.xlsx&amp;sheet=U0&amp;row=1938&amp;col=6&amp;number=4.4&amp;sourceID=14","4.4")</f>
        <v>4.4</v>
      </c>
      <c r="G1938" s="4" t="str">
        <f>HYPERLINK("http://141.218.60.56/~jnz1568/getInfo.php?workbook=20_05.xlsx&amp;sheet=U0&amp;row=1938&amp;col=7&amp;number=0.000438&amp;sourceID=14","0.000438")</f>
        <v>0.000438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HYPERLINK("http://141.218.60.56/~jnz1568/getInfo.php?workbook=20_05.xlsx&amp;sheet=U0&amp;row=1939&amp;col=6&amp;number=4.5&amp;sourceID=14","4.5")</f>
        <v>4.5</v>
      </c>
      <c r="G1939" s="4" t="str">
        <f>HYPERLINK("http://141.218.60.56/~jnz1568/getInfo.php?workbook=20_05.xlsx&amp;sheet=U0&amp;row=1939&amp;col=7&amp;number=0.000437&amp;sourceID=14","0.000437")</f>
        <v>0.000437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HYPERLINK("http://141.218.60.56/~jnz1568/getInfo.php?workbook=20_05.xlsx&amp;sheet=U0&amp;row=1940&amp;col=6&amp;number=4.6&amp;sourceID=14","4.6")</f>
        <v>4.6</v>
      </c>
      <c r="G1940" s="4" t="str">
        <f>HYPERLINK("http://141.218.60.56/~jnz1568/getInfo.php?workbook=20_05.xlsx&amp;sheet=U0&amp;row=1940&amp;col=7&amp;number=0.000436&amp;sourceID=14","0.000436")</f>
        <v>0.000436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HYPERLINK("http://141.218.60.56/~jnz1568/getInfo.php?workbook=20_05.xlsx&amp;sheet=U0&amp;row=1941&amp;col=6&amp;number=4.7&amp;sourceID=14","4.7")</f>
        <v>4.7</v>
      </c>
      <c r="G1941" s="4" t="str">
        <f>HYPERLINK("http://141.218.60.56/~jnz1568/getInfo.php?workbook=20_05.xlsx&amp;sheet=U0&amp;row=1941&amp;col=7&amp;number=0.000435&amp;sourceID=14","0.000435")</f>
        <v>0.000435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HYPERLINK("http://141.218.60.56/~jnz1568/getInfo.php?workbook=20_05.xlsx&amp;sheet=U0&amp;row=1942&amp;col=6&amp;number=4.8&amp;sourceID=14","4.8")</f>
        <v>4.8</v>
      </c>
      <c r="G1942" s="4" t="str">
        <f>HYPERLINK("http://141.218.60.56/~jnz1568/getInfo.php?workbook=20_05.xlsx&amp;sheet=U0&amp;row=1942&amp;col=7&amp;number=0.000434&amp;sourceID=14","0.000434")</f>
        <v>0.000434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HYPERLINK("http://141.218.60.56/~jnz1568/getInfo.php?workbook=20_05.xlsx&amp;sheet=U0&amp;row=1943&amp;col=6&amp;number=4.9&amp;sourceID=14","4.9")</f>
        <v>4.9</v>
      </c>
      <c r="G1943" s="4" t="str">
        <f>HYPERLINK("http://141.218.60.56/~jnz1568/getInfo.php?workbook=20_05.xlsx&amp;sheet=U0&amp;row=1943&amp;col=7&amp;number=0.000432&amp;sourceID=14","0.000432")</f>
        <v>0.000432</v>
      </c>
    </row>
    <row r="1944" spans="1:7">
      <c r="A1944" s="3">
        <v>20</v>
      </c>
      <c r="B1944" s="3">
        <v>5</v>
      </c>
      <c r="C1944" s="3">
        <v>1</v>
      </c>
      <c r="D1944" s="3">
        <v>53</v>
      </c>
      <c r="E1944" s="3">
        <v>1</v>
      </c>
      <c r="F1944" s="4" t="str">
        <f>HYPERLINK("http://141.218.60.56/~jnz1568/getInfo.php?workbook=20_05.xlsx&amp;sheet=U0&amp;row=1944&amp;col=6&amp;number=3&amp;sourceID=14","3")</f>
        <v>3</v>
      </c>
      <c r="G1944" s="4" t="str">
        <f>HYPERLINK("http://141.218.60.56/~jnz1568/getInfo.php?workbook=20_05.xlsx&amp;sheet=U0&amp;row=1944&amp;col=7&amp;number=5.7e-05&amp;sourceID=14","5.7e-05")</f>
        <v>5.7e-05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HYPERLINK("http://141.218.60.56/~jnz1568/getInfo.php?workbook=20_05.xlsx&amp;sheet=U0&amp;row=1945&amp;col=6&amp;number=3.1&amp;sourceID=14","3.1")</f>
        <v>3.1</v>
      </c>
      <c r="G1945" s="4" t="str">
        <f>HYPERLINK("http://141.218.60.56/~jnz1568/getInfo.php?workbook=20_05.xlsx&amp;sheet=U0&amp;row=1945&amp;col=7&amp;number=5.7e-05&amp;sourceID=14","5.7e-05")</f>
        <v>5.7e-05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HYPERLINK("http://141.218.60.56/~jnz1568/getInfo.php?workbook=20_05.xlsx&amp;sheet=U0&amp;row=1946&amp;col=6&amp;number=3.2&amp;sourceID=14","3.2")</f>
        <v>3.2</v>
      </c>
      <c r="G1946" s="4" t="str">
        <f>HYPERLINK("http://141.218.60.56/~jnz1568/getInfo.php?workbook=20_05.xlsx&amp;sheet=U0&amp;row=1946&amp;col=7&amp;number=5.7e-05&amp;sourceID=14","5.7e-05")</f>
        <v>5.7e-05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HYPERLINK("http://141.218.60.56/~jnz1568/getInfo.php?workbook=20_05.xlsx&amp;sheet=U0&amp;row=1947&amp;col=6&amp;number=3.3&amp;sourceID=14","3.3")</f>
        <v>3.3</v>
      </c>
      <c r="G1947" s="4" t="str">
        <f>HYPERLINK("http://141.218.60.56/~jnz1568/getInfo.php?workbook=20_05.xlsx&amp;sheet=U0&amp;row=1947&amp;col=7&amp;number=5.7e-05&amp;sourceID=14","5.7e-05")</f>
        <v>5.7e-05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HYPERLINK("http://141.218.60.56/~jnz1568/getInfo.php?workbook=20_05.xlsx&amp;sheet=U0&amp;row=1948&amp;col=6&amp;number=3.4&amp;sourceID=14","3.4")</f>
        <v>3.4</v>
      </c>
      <c r="G1948" s="4" t="str">
        <f>HYPERLINK("http://141.218.60.56/~jnz1568/getInfo.php?workbook=20_05.xlsx&amp;sheet=U0&amp;row=1948&amp;col=7&amp;number=5.7e-05&amp;sourceID=14","5.7e-05")</f>
        <v>5.7e-05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HYPERLINK("http://141.218.60.56/~jnz1568/getInfo.php?workbook=20_05.xlsx&amp;sheet=U0&amp;row=1949&amp;col=6&amp;number=3.5&amp;sourceID=14","3.5")</f>
        <v>3.5</v>
      </c>
      <c r="G1949" s="4" t="str">
        <f>HYPERLINK("http://141.218.60.56/~jnz1568/getInfo.php?workbook=20_05.xlsx&amp;sheet=U0&amp;row=1949&amp;col=7&amp;number=5.7e-05&amp;sourceID=14","5.7e-05")</f>
        <v>5.7e-05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HYPERLINK("http://141.218.60.56/~jnz1568/getInfo.php?workbook=20_05.xlsx&amp;sheet=U0&amp;row=1950&amp;col=6&amp;number=3.6&amp;sourceID=14","3.6")</f>
        <v>3.6</v>
      </c>
      <c r="G1950" s="4" t="str">
        <f>HYPERLINK("http://141.218.60.56/~jnz1568/getInfo.php?workbook=20_05.xlsx&amp;sheet=U0&amp;row=1950&amp;col=7&amp;number=5.7e-05&amp;sourceID=14","5.7e-05")</f>
        <v>5.7e-05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HYPERLINK("http://141.218.60.56/~jnz1568/getInfo.php?workbook=20_05.xlsx&amp;sheet=U0&amp;row=1951&amp;col=6&amp;number=3.7&amp;sourceID=14","3.7")</f>
        <v>3.7</v>
      </c>
      <c r="G1951" s="4" t="str">
        <f>HYPERLINK("http://141.218.60.56/~jnz1568/getInfo.php?workbook=20_05.xlsx&amp;sheet=U0&amp;row=1951&amp;col=7&amp;number=5.69e-05&amp;sourceID=14","5.69e-05")</f>
        <v>5.69e-05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HYPERLINK("http://141.218.60.56/~jnz1568/getInfo.php?workbook=20_05.xlsx&amp;sheet=U0&amp;row=1952&amp;col=6&amp;number=3.8&amp;sourceID=14","3.8")</f>
        <v>3.8</v>
      </c>
      <c r="G1952" s="4" t="str">
        <f>HYPERLINK("http://141.218.60.56/~jnz1568/getInfo.php?workbook=20_05.xlsx&amp;sheet=U0&amp;row=1952&amp;col=7&amp;number=5.69e-05&amp;sourceID=14","5.69e-05")</f>
        <v>5.69e-05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HYPERLINK("http://141.218.60.56/~jnz1568/getInfo.php?workbook=20_05.xlsx&amp;sheet=U0&amp;row=1953&amp;col=6&amp;number=3.9&amp;sourceID=14","3.9")</f>
        <v>3.9</v>
      </c>
      <c r="G1953" s="4" t="str">
        <f>HYPERLINK("http://141.218.60.56/~jnz1568/getInfo.php?workbook=20_05.xlsx&amp;sheet=U0&amp;row=1953&amp;col=7&amp;number=5.69e-05&amp;sourceID=14","5.69e-05")</f>
        <v>5.69e-05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HYPERLINK("http://141.218.60.56/~jnz1568/getInfo.php?workbook=20_05.xlsx&amp;sheet=U0&amp;row=1954&amp;col=6&amp;number=4&amp;sourceID=14","4")</f>
        <v>4</v>
      </c>
      <c r="G1954" s="4" t="str">
        <f>HYPERLINK("http://141.218.60.56/~jnz1568/getInfo.php?workbook=20_05.xlsx&amp;sheet=U0&amp;row=1954&amp;col=7&amp;number=5.69e-05&amp;sourceID=14","5.69e-05")</f>
        <v>5.69e-05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HYPERLINK("http://141.218.60.56/~jnz1568/getInfo.php?workbook=20_05.xlsx&amp;sheet=U0&amp;row=1955&amp;col=6&amp;number=4.1&amp;sourceID=14","4.1")</f>
        <v>4.1</v>
      </c>
      <c r="G1955" s="4" t="str">
        <f>HYPERLINK("http://141.218.60.56/~jnz1568/getInfo.php?workbook=20_05.xlsx&amp;sheet=U0&amp;row=1955&amp;col=7&amp;number=5.68e-05&amp;sourceID=14","5.68e-05")</f>
        <v>5.68e-05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HYPERLINK("http://141.218.60.56/~jnz1568/getInfo.php?workbook=20_05.xlsx&amp;sheet=U0&amp;row=1956&amp;col=6&amp;number=4.2&amp;sourceID=14","4.2")</f>
        <v>4.2</v>
      </c>
      <c r="G1956" s="4" t="str">
        <f>HYPERLINK("http://141.218.60.56/~jnz1568/getInfo.php?workbook=20_05.xlsx&amp;sheet=U0&amp;row=1956&amp;col=7&amp;number=5.68e-05&amp;sourceID=14","5.68e-05")</f>
        <v>5.68e-05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HYPERLINK("http://141.218.60.56/~jnz1568/getInfo.php?workbook=20_05.xlsx&amp;sheet=U0&amp;row=1957&amp;col=6&amp;number=4.3&amp;sourceID=14","4.3")</f>
        <v>4.3</v>
      </c>
      <c r="G1957" s="4" t="str">
        <f>HYPERLINK("http://141.218.60.56/~jnz1568/getInfo.php?workbook=20_05.xlsx&amp;sheet=U0&amp;row=1957&amp;col=7&amp;number=5.67e-05&amp;sourceID=14","5.67e-05")</f>
        <v>5.67e-05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HYPERLINK("http://141.218.60.56/~jnz1568/getInfo.php?workbook=20_05.xlsx&amp;sheet=U0&amp;row=1958&amp;col=6&amp;number=4.4&amp;sourceID=14","4.4")</f>
        <v>4.4</v>
      </c>
      <c r="G1958" s="4" t="str">
        <f>HYPERLINK("http://141.218.60.56/~jnz1568/getInfo.php?workbook=20_05.xlsx&amp;sheet=U0&amp;row=1958&amp;col=7&amp;number=5.67e-05&amp;sourceID=14","5.67e-05")</f>
        <v>5.67e-05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HYPERLINK("http://141.218.60.56/~jnz1568/getInfo.php?workbook=20_05.xlsx&amp;sheet=U0&amp;row=1959&amp;col=6&amp;number=4.5&amp;sourceID=14","4.5")</f>
        <v>4.5</v>
      </c>
      <c r="G1959" s="4" t="str">
        <f>HYPERLINK("http://141.218.60.56/~jnz1568/getInfo.php?workbook=20_05.xlsx&amp;sheet=U0&amp;row=1959&amp;col=7&amp;number=5.66e-05&amp;sourceID=14","5.66e-05")</f>
        <v>5.66e-05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HYPERLINK("http://141.218.60.56/~jnz1568/getInfo.php?workbook=20_05.xlsx&amp;sheet=U0&amp;row=1960&amp;col=6&amp;number=4.6&amp;sourceID=14","4.6")</f>
        <v>4.6</v>
      </c>
      <c r="G1960" s="4" t="str">
        <f>HYPERLINK("http://141.218.60.56/~jnz1568/getInfo.php?workbook=20_05.xlsx&amp;sheet=U0&amp;row=1960&amp;col=7&amp;number=5.65e-05&amp;sourceID=14","5.65e-05")</f>
        <v>5.65e-05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HYPERLINK("http://141.218.60.56/~jnz1568/getInfo.php?workbook=20_05.xlsx&amp;sheet=U0&amp;row=1961&amp;col=6&amp;number=4.7&amp;sourceID=14","4.7")</f>
        <v>4.7</v>
      </c>
      <c r="G1961" s="4" t="str">
        <f>HYPERLINK("http://141.218.60.56/~jnz1568/getInfo.php?workbook=20_05.xlsx&amp;sheet=U0&amp;row=1961&amp;col=7&amp;number=5.63e-05&amp;sourceID=14","5.63e-05")</f>
        <v>5.63e-05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HYPERLINK("http://141.218.60.56/~jnz1568/getInfo.php?workbook=20_05.xlsx&amp;sheet=U0&amp;row=1962&amp;col=6&amp;number=4.8&amp;sourceID=14","4.8")</f>
        <v>4.8</v>
      </c>
      <c r="G1962" s="4" t="str">
        <f>HYPERLINK("http://141.218.60.56/~jnz1568/getInfo.php?workbook=20_05.xlsx&amp;sheet=U0&amp;row=1962&amp;col=7&amp;number=5.61e-05&amp;sourceID=14","5.61e-05")</f>
        <v>5.61e-05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HYPERLINK("http://141.218.60.56/~jnz1568/getInfo.php?workbook=20_05.xlsx&amp;sheet=U0&amp;row=1963&amp;col=6&amp;number=4.9&amp;sourceID=14","4.9")</f>
        <v>4.9</v>
      </c>
      <c r="G1963" s="4" t="str">
        <f>HYPERLINK("http://141.218.60.56/~jnz1568/getInfo.php?workbook=20_05.xlsx&amp;sheet=U0&amp;row=1963&amp;col=7&amp;number=5.59e-05&amp;sourceID=14","5.59e-05")</f>
        <v>5.59e-05</v>
      </c>
    </row>
    <row r="1964" spans="1:7">
      <c r="A1964" s="3">
        <v>20</v>
      </c>
      <c r="B1964" s="3">
        <v>5</v>
      </c>
      <c r="C1964" s="3">
        <v>1</v>
      </c>
      <c r="D1964" s="3">
        <v>54</v>
      </c>
      <c r="E1964" s="3">
        <v>1</v>
      </c>
      <c r="F1964" s="4" t="str">
        <f>HYPERLINK("http://141.218.60.56/~jnz1568/getInfo.php?workbook=20_05.xlsx&amp;sheet=U0&amp;row=1964&amp;col=6&amp;number=3&amp;sourceID=14","3")</f>
        <v>3</v>
      </c>
      <c r="G1964" s="4" t="str">
        <f>HYPERLINK("http://141.218.60.56/~jnz1568/getInfo.php?workbook=20_05.xlsx&amp;sheet=U0&amp;row=1964&amp;col=7&amp;number=0.000817&amp;sourceID=14","0.000817")</f>
        <v>0.000817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HYPERLINK("http://141.218.60.56/~jnz1568/getInfo.php?workbook=20_05.xlsx&amp;sheet=U0&amp;row=1965&amp;col=6&amp;number=3.1&amp;sourceID=14","3.1")</f>
        <v>3.1</v>
      </c>
      <c r="G1965" s="4" t="str">
        <f>HYPERLINK("http://141.218.60.56/~jnz1568/getInfo.php?workbook=20_05.xlsx&amp;sheet=U0&amp;row=1965&amp;col=7&amp;number=0.000817&amp;sourceID=14","0.000817")</f>
        <v>0.000817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HYPERLINK("http://141.218.60.56/~jnz1568/getInfo.php?workbook=20_05.xlsx&amp;sheet=U0&amp;row=1966&amp;col=6&amp;number=3.2&amp;sourceID=14","3.2")</f>
        <v>3.2</v>
      </c>
      <c r="G1966" s="4" t="str">
        <f>HYPERLINK("http://141.218.60.56/~jnz1568/getInfo.php?workbook=20_05.xlsx&amp;sheet=U0&amp;row=1966&amp;col=7&amp;number=0.000816&amp;sourceID=14","0.000816")</f>
        <v>0.000816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HYPERLINK("http://141.218.60.56/~jnz1568/getInfo.php?workbook=20_05.xlsx&amp;sheet=U0&amp;row=1967&amp;col=6&amp;number=3.3&amp;sourceID=14","3.3")</f>
        <v>3.3</v>
      </c>
      <c r="G1967" s="4" t="str">
        <f>HYPERLINK("http://141.218.60.56/~jnz1568/getInfo.php?workbook=20_05.xlsx&amp;sheet=U0&amp;row=1967&amp;col=7&amp;number=0.000816&amp;sourceID=14","0.000816")</f>
        <v>0.000816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HYPERLINK("http://141.218.60.56/~jnz1568/getInfo.php?workbook=20_05.xlsx&amp;sheet=U0&amp;row=1968&amp;col=6&amp;number=3.4&amp;sourceID=14","3.4")</f>
        <v>3.4</v>
      </c>
      <c r="G1968" s="4" t="str">
        <f>HYPERLINK("http://141.218.60.56/~jnz1568/getInfo.php?workbook=20_05.xlsx&amp;sheet=U0&amp;row=1968&amp;col=7&amp;number=0.000816&amp;sourceID=14","0.000816")</f>
        <v>0.000816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HYPERLINK("http://141.218.60.56/~jnz1568/getInfo.php?workbook=20_05.xlsx&amp;sheet=U0&amp;row=1969&amp;col=6&amp;number=3.5&amp;sourceID=14","3.5")</f>
        <v>3.5</v>
      </c>
      <c r="G1969" s="4" t="str">
        <f>HYPERLINK("http://141.218.60.56/~jnz1568/getInfo.php?workbook=20_05.xlsx&amp;sheet=U0&amp;row=1969&amp;col=7&amp;number=0.000816&amp;sourceID=14","0.000816")</f>
        <v>0.000816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HYPERLINK("http://141.218.60.56/~jnz1568/getInfo.php?workbook=20_05.xlsx&amp;sheet=U0&amp;row=1970&amp;col=6&amp;number=3.6&amp;sourceID=14","3.6")</f>
        <v>3.6</v>
      </c>
      <c r="G1970" s="4" t="str">
        <f>HYPERLINK("http://141.218.60.56/~jnz1568/getInfo.php?workbook=20_05.xlsx&amp;sheet=U0&amp;row=1970&amp;col=7&amp;number=0.000816&amp;sourceID=14","0.000816")</f>
        <v>0.000816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HYPERLINK("http://141.218.60.56/~jnz1568/getInfo.php?workbook=20_05.xlsx&amp;sheet=U0&amp;row=1971&amp;col=6&amp;number=3.7&amp;sourceID=14","3.7")</f>
        <v>3.7</v>
      </c>
      <c r="G1971" s="4" t="str">
        <f>HYPERLINK("http://141.218.60.56/~jnz1568/getInfo.php?workbook=20_05.xlsx&amp;sheet=U0&amp;row=1971&amp;col=7&amp;number=0.000816&amp;sourceID=14","0.000816")</f>
        <v>0.000816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HYPERLINK("http://141.218.60.56/~jnz1568/getInfo.php?workbook=20_05.xlsx&amp;sheet=U0&amp;row=1972&amp;col=6&amp;number=3.8&amp;sourceID=14","3.8")</f>
        <v>3.8</v>
      </c>
      <c r="G1972" s="4" t="str">
        <f>HYPERLINK("http://141.218.60.56/~jnz1568/getInfo.php?workbook=20_05.xlsx&amp;sheet=U0&amp;row=1972&amp;col=7&amp;number=0.000816&amp;sourceID=14","0.000816")</f>
        <v>0.000816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HYPERLINK("http://141.218.60.56/~jnz1568/getInfo.php?workbook=20_05.xlsx&amp;sheet=U0&amp;row=1973&amp;col=6&amp;number=3.9&amp;sourceID=14","3.9")</f>
        <v>3.9</v>
      </c>
      <c r="G1973" s="4" t="str">
        <f>HYPERLINK("http://141.218.60.56/~jnz1568/getInfo.php?workbook=20_05.xlsx&amp;sheet=U0&amp;row=1973&amp;col=7&amp;number=0.000815&amp;sourceID=14","0.000815")</f>
        <v>0.000815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HYPERLINK("http://141.218.60.56/~jnz1568/getInfo.php?workbook=20_05.xlsx&amp;sheet=U0&amp;row=1974&amp;col=6&amp;number=4&amp;sourceID=14","4")</f>
        <v>4</v>
      </c>
      <c r="G1974" s="4" t="str">
        <f>HYPERLINK("http://141.218.60.56/~jnz1568/getInfo.php?workbook=20_05.xlsx&amp;sheet=U0&amp;row=1974&amp;col=7&amp;number=0.000815&amp;sourceID=14","0.000815")</f>
        <v>0.000815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HYPERLINK("http://141.218.60.56/~jnz1568/getInfo.php?workbook=20_05.xlsx&amp;sheet=U0&amp;row=1975&amp;col=6&amp;number=4.1&amp;sourceID=14","4.1")</f>
        <v>4.1</v>
      </c>
      <c r="G1975" s="4" t="str">
        <f>HYPERLINK("http://141.218.60.56/~jnz1568/getInfo.php?workbook=20_05.xlsx&amp;sheet=U0&amp;row=1975&amp;col=7&amp;number=0.000815&amp;sourceID=14","0.000815")</f>
        <v>0.000815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HYPERLINK("http://141.218.60.56/~jnz1568/getInfo.php?workbook=20_05.xlsx&amp;sheet=U0&amp;row=1976&amp;col=6&amp;number=4.2&amp;sourceID=14","4.2")</f>
        <v>4.2</v>
      </c>
      <c r="G1976" s="4" t="str">
        <f>HYPERLINK("http://141.218.60.56/~jnz1568/getInfo.php?workbook=20_05.xlsx&amp;sheet=U0&amp;row=1976&amp;col=7&amp;number=0.000814&amp;sourceID=14","0.000814")</f>
        <v>0.000814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HYPERLINK("http://141.218.60.56/~jnz1568/getInfo.php?workbook=20_05.xlsx&amp;sheet=U0&amp;row=1977&amp;col=6&amp;number=4.3&amp;sourceID=14","4.3")</f>
        <v>4.3</v>
      </c>
      <c r="G1977" s="4" t="str">
        <f>HYPERLINK("http://141.218.60.56/~jnz1568/getInfo.php?workbook=20_05.xlsx&amp;sheet=U0&amp;row=1977&amp;col=7&amp;number=0.000814&amp;sourceID=14","0.000814")</f>
        <v>0.000814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HYPERLINK("http://141.218.60.56/~jnz1568/getInfo.php?workbook=20_05.xlsx&amp;sheet=U0&amp;row=1978&amp;col=6&amp;number=4.4&amp;sourceID=14","4.4")</f>
        <v>4.4</v>
      </c>
      <c r="G1978" s="4" t="str">
        <f>HYPERLINK("http://141.218.60.56/~jnz1568/getInfo.php?workbook=20_05.xlsx&amp;sheet=U0&amp;row=1978&amp;col=7&amp;number=0.000813&amp;sourceID=14","0.000813")</f>
        <v>0.000813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HYPERLINK("http://141.218.60.56/~jnz1568/getInfo.php?workbook=20_05.xlsx&amp;sheet=U0&amp;row=1979&amp;col=6&amp;number=4.5&amp;sourceID=14","4.5")</f>
        <v>4.5</v>
      </c>
      <c r="G1979" s="4" t="str">
        <f>HYPERLINK("http://141.218.60.56/~jnz1568/getInfo.php?workbook=20_05.xlsx&amp;sheet=U0&amp;row=1979&amp;col=7&amp;number=0.000812&amp;sourceID=14","0.000812")</f>
        <v>0.000812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HYPERLINK("http://141.218.60.56/~jnz1568/getInfo.php?workbook=20_05.xlsx&amp;sheet=U0&amp;row=1980&amp;col=6&amp;number=4.6&amp;sourceID=14","4.6")</f>
        <v>4.6</v>
      </c>
      <c r="G1980" s="4" t="str">
        <f>HYPERLINK("http://141.218.60.56/~jnz1568/getInfo.php?workbook=20_05.xlsx&amp;sheet=U0&amp;row=1980&amp;col=7&amp;number=0.000811&amp;sourceID=14","0.000811")</f>
        <v>0.000811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HYPERLINK("http://141.218.60.56/~jnz1568/getInfo.php?workbook=20_05.xlsx&amp;sheet=U0&amp;row=1981&amp;col=6&amp;number=4.7&amp;sourceID=14","4.7")</f>
        <v>4.7</v>
      </c>
      <c r="G1981" s="4" t="str">
        <f>HYPERLINK("http://141.218.60.56/~jnz1568/getInfo.php?workbook=20_05.xlsx&amp;sheet=U0&amp;row=1981&amp;col=7&amp;number=0.000809&amp;sourceID=14","0.000809")</f>
        <v>0.000809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HYPERLINK("http://141.218.60.56/~jnz1568/getInfo.php?workbook=20_05.xlsx&amp;sheet=U0&amp;row=1982&amp;col=6&amp;number=4.8&amp;sourceID=14","4.8")</f>
        <v>4.8</v>
      </c>
      <c r="G1982" s="4" t="str">
        <f>HYPERLINK("http://141.218.60.56/~jnz1568/getInfo.php?workbook=20_05.xlsx&amp;sheet=U0&amp;row=1982&amp;col=7&amp;number=0.000807&amp;sourceID=14","0.000807")</f>
        <v>0.000807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HYPERLINK("http://141.218.60.56/~jnz1568/getInfo.php?workbook=20_05.xlsx&amp;sheet=U0&amp;row=1983&amp;col=6&amp;number=4.9&amp;sourceID=14","4.9")</f>
        <v>4.9</v>
      </c>
      <c r="G1983" s="4" t="str">
        <f>HYPERLINK("http://141.218.60.56/~jnz1568/getInfo.php?workbook=20_05.xlsx&amp;sheet=U0&amp;row=1983&amp;col=7&amp;number=0.000804&amp;sourceID=14","0.000804")</f>
        <v>0.000804</v>
      </c>
    </row>
    <row r="1984" spans="1:7">
      <c r="A1984" s="3">
        <v>20</v>
      </c>
      <c r="B1984" s="3">
        <v>5</v>
      </c>
      <c r="C1984" s="3">
        <v>1</v>
      </c>
      <c r="D1984" s="3">
        <v>55</v>
      </c>
      <c r="E1984" s="3">
        <v>1</v>
      </c>
      <c r="F1984" s="4" t="str">
        <f>HYPERLINK("http://141.218.60.56/~jnz1568/getInfo.php?workbook=20_05.xlsx&amp;sheet=U0&amp;row=1984&amp;col=6&amp;number=3&amp;sourceID=14","3")</f>
        <v>3</v>
      </c>
      <c r="G1984" s="4" t="str">
        <f>HYPERLINK("http://141.218.60.56/~jnz1568/getInfo.php?workbook=20_05.xlsx&amp;sheet=U0&amp;row=1984&amp;col=7&amp;number=0.000815&amp;sourceID=14","0.000815")</f>
        <v>0.000815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HYPERLINK("http://141.218.60.56/~jnz1568/getInfo.php?workbook=20_05.xlsx&amp;sheet=U0&amp;row=1985&amp;col=6&amp;number=3.1&amp;sourceID=14","3.1")</f>
        <v>3.1</v>
      </c>
      <c r="G1985" s="4" t="str">
        <f>HYPERLINK("http://141.218.60.56/~jnz1568/getInfo.php?workbook=20_05.xlsx&amp;sheet=U0&amp;row=1985&amp;col=7&amp;number=0.000815&amp;sourceID=14","0.000815")</f>
        <v>0.000815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HYPERLINK("http://141.218.60.56/~jnz1568/getInfo.php?workbook=20_05.xlsx&amp;sheet=U0&amp;row=1986&amp;col=6&amp;number=3.2&amp;sourceID=14","3.2")</f>
        <v>3.2</v>
      </c>
      <c r="G1986" s="4" t="str">
        <f>HYPERLINK("http://141.218.60.56/~jnz1568/getInfo.php?workbook=20_05.xlsx&amp;sheet=U0&amp;row=1986&amp;col=7&amp;number=0.000815&amp;sourceID=14","0.000815")</f>
        <v>0.000815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HYPERLINK("http://141.218.60.56/~jnz1568/getInfo.php?workbook=20_05.xlsx&amp;sheet=U0&amp;row=1987&amp;col=6&amp;number=3.3&amp;sourceID=14","3.3")</f>
        <v>3.3</v>
      </c>
      <c r="G1987" s="4" t="str">
        <f>HYPERLINK("http://141.218.60.56/~jnz1568/getInfo.php?workbook=20_05.xlsx&amp;sheet=U0&amp;row=1987&amp;col=7&amp;number=0.000815&amp;sourceID=14","0.000815")</f>
        <v>0.000815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HYPERLINK("http://141.218.60.56/~jnz1568/getInfo.php?workbook=20_05.xlsx&amp;sheet=U0&amp;row=1988&amp;col=6&amp;number=3.4&amp;sourceID=14","3.4")</f>
        <v>3.4</v>
      </c>
      <c r="G1988" s="4" t="str">
        <f>HYPERLINK("http://141.218.60.56/~jnz1568/getInfo.php?workbook=20_05.xlsx&amp;sheet=U0&amp;row=1988&amp;col=7&amp;number=0.000815&amp;sourceID=14","0.000815")</f>
        <v>0.000815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HYPERLINK("http://141.218.60.56/~jnz1568/getInfo.php?workbook=20_05.xlsx&amp;sheet=U0&amp;row=1989&amp;col=6&amp;number=3.5&amp;sourceID=14","3.5")</f>
        <v>3.5</v>
      </c>
      <c r="G1989" s="4" t="str">
        <f>HYPERLINK("http://141.218.60.56/~jnz1568/getInfo.php?workbook=20_05.xlsx&amp;sheet=U0&amp;row=1989&amp;col=7&amp;number=0.000815&amp;sourceID=14","0.000815")</f>
        <v>0.000815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HYPERLINK("http://141.218.60.56/~jnz1568/getInfo.php?workbook=20_05.xlsx&amp;sheet=U0&amp;row=1990&amp;col=6&amp;number=3.6&amp;sourceID=14","3.6")</f>
        <v>3.6</v>
      </c>
      <c r="G1990" s="4" t="str">
        <f>HYPERLINK("http://141.218.60.56/~jnz1568/getInfo.php?workbook=20_05.xlsx&amp;sheet=U0&amp;row=1990&amp;col=7&amp;number=0.000815&amp;sourceID=14","0.000815")</f>
        <v>0.000815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HYPERLINK("http://141.218.60.56/~jnz1568/getInfo.php?workbook=20_05.xlsx&amp;sheet=U0&amp;row=1991&amp;col=6&amp;number=3.7&amp;sourceID=14","3.7")</f>
        <v>3.7</v>
      </c>
      <c r="G1991" s="4" t="str">
        <f>HYPERLINK("http://141.218.60.56/~jnz1568/getInfo.php?workbook=20_05.xlsx&amp;sheet=U0&amp;row=1991&amp;col=7&amp;number=0.000815&amp;sourceID=14","0.000815")</f>
        <v>0.000815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HYPERLINK("http://141.218.60.56/~jnz1568/getInfo.php?workbook=20_05.xlsx&amp;sheet=U0&amp;row=1992&amp;col=6&amp;number=3.8&amp;sourceID=14","3.8")</f>
        <v>3.8</v>
      </c>
      <c r="G1992" s="4" t="str">
        <f>HYPERLINK("http://141.218.60.56/~jnz1568/getInfo.php?workbook=20_05.xlsx&amp;sheet=U0&amp;row=1992&amp;col=7&amp;number=0.000815&amp;sourceID=14","0.000815")</f>
        <v>0.000815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HYPERLINK("http://141.218.60.56/~jnz1568/getInfo.php?workbook=20_05.xlsx&amp;sheet=U0&amp;row=1993&amp;col=6&amp;number=3.9&amp;sourceID=14","3.9")</f>
        <v>3.9</v>
      </c>
      <c r="G1993" s="4" t="str">
        <f>HYPERLINK("http://141.218.60.56/~jnz1568/getInfo.php?workbook=20_05.xlsx&amp;sheet=U0&amp;row=1993&amp;col=7&amp;number=0.000814&amp;sourceID=14","0.000814")</f>
        <v>0.000814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HYPERLINK("http://141.218.60.56/~jnz1568/getInfo.php?workbook=20_05.xlsx&amp;sheet=U0&amp;row=1994&amp;col=6&amp;number=4&amp;sourceID=14","4")</f>
        <v>4</v>
      </c>
      <c r="G1994" s="4" t="str">
        <f>HYPERLINK("http://141.218.60.56/~jnz1568/getInfo.php?workbook=20_05.xlsx&amp;sheet=U0&amp;row=1994&amp;col=7&amp;number=0.000814&amp;sourceID=14","0.000814")</f>
        <v>0.000814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HYPERLINK("http://141.218.60.56/~jnz1568/getInfo.php?workbook=20_05.xlsx&amp;sheet=U0&amp;row=1995&amp;col=6&amp;number=4.1&amp;sourceID=14","4.1")</f>
        <v>4.1</v>
      </c>
      <c r="G1995" s="4" t="str">
        <f>HYPERLINK("http://141.218.60.56/~jnz1568/getInfo.php?workbook=20_05.xlsx&amp;sheet=U0&amp;row=1995&amp;col=7&amp;number=0.000813&amp;sourceID=14","0.000813")</f>
        <v>0.000813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HYPERLINK("http://141.218.60.56/~jnz1568/getInfo.php?workbook=20_05.xlsx&amp;sheet=U0&amp;row=1996&amp;col=6&amp;number=4.2&amp;sourceID=14","4.2")</f>
        <v>4.2</v>
      </c>
      <c r="G1996" s="4" t="str">
        <f>HYPERLINK("http://141.218.60.56/~jnz1568/getInfo.php?workbook=20_05.xlsx&amp;sheet=U0&amp;row=1996&amp;col=7&amp;number=0.000813&amp;sourceID=14","0.000813")</f>
        <v>0.000813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HYPERLINK("http://141.218.60.56/~jnz1568/getInfo.php?workbook=20_05.xlsx&amp;sheet=U0&amp;row=1997&amp;col=6&amp;number=4.3&amp;sourceID=14","4.3")</f>
        <v>4.3</v>
      </c>
      <c r="G1997" s="4" t="str">
        <f>HYPERLINK("http://141.218.60.56/~jnz1568/getInfo.php?workbook=20_05.xlsx&amp;sheet=U0&amp;row=1997&amp;col=7&amp;number=0.000812&amp;sourceID=14","0.000812")</f>
        <v>0.000812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HYPERLINK("http://141.218.60.56/~jnz1568/getInfo.php?workbook=20_05.xlsx&amp;sheet=U0&amp;row=1998&amp;col=6&amp;number=4.4&amp;sourceID=14","4.4")</f>
        <v>4.4</v>
      </c>
      <c r="G1998" s="4" t="str">
        <f>HYPERLINK("http://141.218.60.56/~jnz1568/getInfo.php?workbook=20_05.xlsx&amp;sheet=U0&amp;row=1998&amp;col=7&amp;number=0.000811&amp;sourceID=14","0.000811")</f>
        <v>0.000811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HYPERLINK("http://141.218.60.56/~jnz1568/getInfo.php?workbook=20_05.xlsx&amp;sheet=U0&amp;row=1999&amp;col=6&amp;number=4.5&amp;sourceID=14","4.5")</f>
        <v>4.5</v>
      </c>
      <c r="G1999" s="4" t="str">
        <f>HYPERLINK("http://141.218.60.56/~jnz1568/getInfo.php?workbook=20_05.xlsx&amp;sheet=U0&amp;row=1999&amp;col=7&amp;number=0.00081&amp;sourceID=14","0.00081")</f>
        <v>0.00081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HYPERLINK("http://141.218.60.56/~jnz1568/getInfo.php?workbook=20_05.xlsx&amp;sheet=U0&amp;row=2000&amp;col=6&amp;number=4.6&amp;sourceID=14","4.6")</f>
        <v>4.6</v>
      </c>
      <c r="G2000" s="4" t="str">
        <f>HYPERLINK("http://141.218.60.56/~jnz1568/getInfo.php?workbook=20_05.xlsx&amp;sheet=U0&amp;row=2000&amp;col=7&amp;number=0.000809&amp;sourceID=14","0.000809")</f>
        <v>0.000809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HYPERLINK("http://141.218.60.56/~jnz1568/getInfo.php?workbook=20_05.xlsx&amp;sheet=U0&amp;row=2001&amp;col=6&amp;number=4.7&amp;sourceID=14","4.7")</f>
        <v>4.7</v>
      </c>
      <c r="G2001" s="4" t="str">
        <f>HYPERLINK("http://141.218.60.56/~jnz1568/getInfo.php?workbook=20_05.xlsx&amp;sheet=U0&amp;row=2001&amp;col=7&amp;number=0.000807&amp;sourceID=14","0.000807")</f>
        <v>0.000807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HYPERLINK("http://141.218.60.56/~jnz1568/getInfo.php?workbook=20_05.xlsx&amp;sheet=U0&amp;row=2002&amp;col=6&amp;number=4.8&amp;sourceID=14","4.8")</f>
        <v>4.8</v>
      </c>
      <c r="G2002" s="4" t="str">
        <f>HYPERLINK("http://141.218.60.56/~jnz1568/getInfo.php?workbook=20_05.xlsx&amp;sheet=U0&amp;row=2002&amp;col=7&amp;number=0.000805&amp;sourceID=14","0.000805")</f>
        <v>0.000805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HYPERLINK("http://141.218.60.56/~jnz1568/getInfo.php?workbook=20_05.xlsx&amp;sheet=U0&amp;row=2003&amp;col=6&amp;number=4.9&amp;sourceID=14","4.9")</f>
        <v>4.9</v>
      </c>
      <c r="G2003" s="4" t="str">
        <f>HYPERLINK("http://141.218.60.56/~jnz1568/getInfo.php?workbook=20_05.xlsx&amp;sheet=U0&amp;row=2003&amp;col=7&amp;number=0.000802&amp;sourceID=14","0.000802")</f>
        <v>0.000802</v>
      </c>
    </row>
    <row r="2004" spans="1:7">
      <c r="A2004" s="3">
        <v>20</v>
      </c>
      <c r="B2004" s="3">
        <v>5</v>
      </c>
      <c r="C2004" s="3">
        <v>1</v>
      </c>
      <c r="D2004" s="3">
        <v>56</v>
      </c>
      <c r="E2004" s="3">
        <v>1</v>
      </c>
      <c r="F2004" s="4" t="str">
        <f>HYPERLINK("http://141.218.60.56/~jnz1568/getInfo.php?workbook=20_05.xlsx&amp;sheet=U0&amp;row=2004&amp;col=6&amp;number=3&amp;sourceID=14","3")</f>
        <v>3</v>
      </c>
      <c r="G2004" s="4" t="str">
        <f>HYPERLINK("http://141.218.60.56/~jnz1568/getInfo.php?workbook=20_05.xlsx&amp;sheet=U0&amp;row=2004&amp;col=7&amp;number=2.03e-05&amp;sourceID=14","2.03e-05")</f>
        <v>2.03e-05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HYPERLINK("http://141.218.60.56/~jnz1568/getInfo.php?workbook=20_05.xlsx&amp;sheet=U0&amp;row=2005&amp;col=6&amp;number=3.1&amp;sourceID=14","3.1")</f>
        <v>3.1</v>
      </c>
      <c r="G2005" s="4" t="str">
        <f>HYPERLINK("http://141.218.60.56/~jnz1568/getInfo.php?workbook=20_05.xlsx&amp;sheet=U0&amp;row=2005&amp;col=7&amp;number=2.03e-05&amp;sourceID=14","2.03e-05")</f>
        <v>2.03e-05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HYPERLINK("http://141.218.60.56/~jnz1568/getInfo.php?workbook=20_05.xlsx&amp;sheet=U0&amp;row=2006&amp;col=6&amp;number=3.2&amp;sourceID=14","3.2")</f>
        <v>3.2</v>
      </c>
      <c r="G2006" s="4" t="str">
        <f>HYPERLINK("http://141.218.60.56/~jnz1568/getInfo.php?workbook=20_05.xlsx&amp;sheet=U0&amp;row=2006&amp;col=7&amp;number=2.03e-05&amp;sourceID=14","2.03e-05")</f>
        <v>2.03e-05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HYPERLINK("http://141.218.60.56/~jnz1568/getInfo.php?workbook=20_05.xlsx&amp;sheet=U0&amp;row=2007&amp;col=6&amp;number=3.3&amp;sourceID=14","3.3")</f>
        <v>3.3</v>
      </c>
      <c r="G2007" s="4" t="str">
        <f>HYPERLINK("http://141.218.60.56/~jnz1568/getInfo.php?workbook=20_05.xlsx&amp;sheet=U0&amp;row=2007&amp;col=7&amp;number=2.03e-05&amp;sourceID=14","2.03e-05")</f>
        <v>2.03e-05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HYPERLINK("http://141.218.60.56/~jnz1568/getInfo.php?workbook=20_05.xlsx&amp;sheet=U0&amp;row=2008&amp;col=6&amp;number=3.4&amp;sourceID=14","3.4")</f>
        <v>3.4</v>
      </c>
      <c r="G2008" s="4" t="str">
        <f>HYPERLINK("http://141.218.60.56/~jnz1568/getInfo.php?workbook=20_05.xlsx&amp;sheet=U0&amp;row=2008&amp;col=7&amp;number=2.03e-05&amp;sourceID=14","2.03e-05")</f>
        <v>2.03e-05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HYPERLINK("http://141.218.60.56/~jnz1568/getInfo.php?workbook=20_05.xlsx&amp;sheet=U0&amp;row=2009&amp;col=6&amp;number=3.5&amp;sourceID=14","3.5")</f>
        <v>3.5</v>
      </c>
      <c r="G2009" s="4" t="str">
        <f>HYPERLINK("http://141.218.60.56/~jnz1568/getInfo.php?workbook=20_05.xlsx&amp;sheet=U0&amp;row=2009&amp;col=7&amp;number=2.03e-05&amp;sourceID=14","2.03e-05")</f>
        <v>2.03e-05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HYPERLINK("http://141.218.60.56/~jnz1568/getInfo.php?workbook=20_05.xlsx&amp;sheet=U0&amp;row=2010&amp;col=6&amp;number=3.6&amp;sourceID=14","3.6")</f>
        <v>3.6</v>
      </c>
      <c r="G2010" s="4" t="str">
        <f>HYPERLINK("http://141.218.60.56/~jnz1568/getInfo.php?workbook=20_05.xlsx&amp;sheet=U0&amp;row=2010&amp;col=7&amp;number=2.03e-05&amp;sourceID=14","2.03e-05")</f>
        <v>2.03e-05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HYPERLINK("http://141.218.60.56/~jnz1568/getInfo.php?workbook=20_05.xlsx&amp;sheet=U0&amp;row=2011&amp;col=6&amp;number=3.7&amp;sourceID=14","3.7")</f>
        <v>3.7</v>
      </c>
      <c r="G2011" s="4" t="str">
        <f>HYPERLINK("http://141.218.60.56/~jnz1568/getInfo.php?workbook=20_05.xlsx&amp;sheet=U0&amp;row=2011&amp;col=7&amp;number=2.03e-05&amp;sourceID=14","2.03e-05")</f>
        <v>2.03e-05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HYPERLINK("http://141.218.60.56/~jnz1568/getInfo.php?workbook=20_05.xlsx&amp;sheet=U0&amp;row=2012&amp;col=6&amp;number=3.8&amp;sourceID=14","3.8")</f>
        <v>3.8</v>
      </c>
      <c r="G2012" s="4" t="str">
        <f>HYPERLINK("http://141.218.60.56/~jnz1568/getInfo.php?workbook=20_05.xlsx&amp;sheet=U0&amp;row=2012&amp;col=7&amp;number=2.03e-05&amp;sourceID=14","2.03e-05")</f>
        <v>2.03e-05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HYPERLINK("http://141.218.60.56/~jnz1568/getInfo.php?workbook=20_05.xlsx&amp;sheet=U0&amp;row=2013&amp;col=6&amp;number=3.9&amp;sourceID=14","3.9")</f>
        <v>3.9</v>
      </c>
      <c r="G2013" s="4" t="str">
        <f>HYPERLINK("http://141.218.60.56/~jnz1568/getInfo.php?workbook=20_05.xlsx&amp;sheet=U0&amp;row=2013&amp;col=7&amp;number=2.03e-05&amp;sourceID=14","2.03e-05")</f>
        <v>2.03e-05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HYPERLINK("http://141.218.60.56/~jnz1568/getInfo.php?workbook=20_05.xlsx&amp;sheet=U0&amp;row=2014&amp;col=6&amp;number=4&amp;sourceID=14","4")</f>
        <v>4</v>
      </c>
      <c r="G2014" s="4" t="str">
        <f>HYPERLINK("http://141.218.60.56/~jnz1568/getInfo.php?workbook=20_05.xlsx&amp;sheet=U0&amp;row=2014&amp;col=7&amp;number=2.03e-05&amp;sourceID=14","2.03e-05")</f>
        <v>2.03e-05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HYPERLINK("http://141.218.60.56/~jnz1568/getInfo.php?workbook=20_05.xlsx&amp;sheet=U0&amp;row=2015&amp;col=6&amp;number=4.1&amp;sourceID=14","4.1")</f>
        <v>4.1</v>
      </c>
      <c r="G2015" s="4" t="str">
        <f>HYPERLINK("http://141.218.60.56/~jnz1568/getInfo.php?workbook=20_05.xlsx&amp;sheet=U0&amp;row=2015&amp;col=7&amp;number=2.03e-05&amp;sourceID=14","2.03e-05")</f>
        <v>2.03e-05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HYPERLINK("http://141.218.60.56/~jnz1568/getInfo.php?workbook=20_05.xlsx&amp;sheet=U0&amp;row=2016&amp;col=6&amp;number=4.2&amp;sourceID=14","4.2")</f>
        <v>4.2</v>
      </c>
      <c r="G2016" s="4" t="str">
        <f>HYPERLINK("http://141.218.60.56/~jnz1568/getInfo.php?workbook=20_05.xlsx&amp;sheet=U0&amp;row=2016&amp;col=7&amp;number=2.03e-05&amp;sourceID=14","2.03e-05")</f>
        <v>2.03e-05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HYPERLINK("http://141.218.60.56/~jnz1568/getInfo.php?workbook=20_05.xlsx&amp;sheet=U0&amp;row=2017&amp;col=6&amp;number=4.3&amp;sourceID=14","4.3")</f>
        <v>4.3</v>
      </c>
      <c r="G2017" s="4" t="str">
        <f>HYPERLINK("http://141.218.60.56/~jnz1568/getInfo.php?workbook=20_05.xlsx&amp;sheet=U0&amp;row=2017&amp;col=7&amp;number=2.02e-05&amp;sourceID=14","2.02e-05")</f>
        <v>2.02e-05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HYPERLINK("http://141.218.60.56/~jnz1568/getInfo.php?workbook=20_05.xlsx&amp;sheet=U0&amp;row=2018&amp;col=6&amp;number=4.4&amp;sourceID=14","4.4")</f>
        <v>4.4</v>
      </c>
      <c r="G2018" s="4" t="str">
        <f>HYPERLINK("http://141.218.60.56/~jnz1568/getInfo.php?workbook=20_05.xlsx&amp;sheet=U0&amp;row=2018&amp;col=7&amp;number=2.02e-05&amp;sourceID=14","2.02e-05")</f>
        <v>2.02e-05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HYPERLINK("http://141.218.60.56/~jnz1568/getInfo.php?workbook=20_05.xlsx&amp;sheet=U0&amp;row=2019&amp;col=6&amp;number=4.5&amp;sourceID=14","4.5")</f>
        <v>4.5</v>
      </c>
      <c r="G2019" s="4" t="str">
        <f>HYPERLINK("http://141.218.60.56/~jnz1568/getInfo.php?workbook=20_05.xlsx&amp;sheet=U0&amp;row=2019&amp;col=7&amp;number=2.02e-05&amp;sourceID=14","2.02e-05")</f>
        <v>2.02e-05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HYPERLINK("http://141.218.60.56/~jnz1568/getInfo.php?workbook=20_05.xlsx&amp;sheet=U0&amp;row=2020&amp;col=6&amp;number=4.6&amp;sourceID=14","4.6")</f>
        <v>4.6</v>
      </c>
      <c r="G2020" s="4" t="str">
        <f>HYPERLINK("http://141.218.60.56/~jnz1568/getInfo.php?workbook=20_05.xlsx&amp;sheet=U0&amp;row=2020&amp;col=7&amp;number=2.01e-05&amp;sourceID=14","2.01e-05")</f>
        <v>2.01e-05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HYPERLINK("http://141.218.60.56/~jnz1568/getInfo.php?workbook=20_05.xlsx&amp;sheet=U0&amp;row=2021&amp;col=6&amp;number=4.7&amp;sourceID=14","4.7")</f>
        <v>4.7</v>
      </c>
      <c r="G2021" s="4" t="str">
        <f>HYPERLINK("http://141.218.60.56/~jnz1568/getInfo.php?workbook=20_05.xlsx&amp;sheet=U0&amp;row=2021&amp;col=7&amp;number=2.01e-05&amp;sourceID=14","2.01e-05")</f>
        <v>2.01e-05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HYPERLINK("http://141.218.60.56/~jnz1568/getInfo.php?workbook=20_05.xlsx&amp;sheet=U0&amp;row=2022&amp;col=6&amp;number=4.8&amp;sourceID=14","4.8")</f>
        <v>4.8</v>
      </c>
      <c r="G2022" s="4" t="str">
        <f>HYPERLINK("http://141.218.60.56/~jnz1568/getInfo.php?workbook=20_05.xlsx&amp;sheet=U0&amp;row=2022&amp;col=7&amp;number=2e-05&amp;sourceID=14","2e-05")</f>
        <v>2e-05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HYPERLINK("http://141.218.60.56/~jnz1568/getInfo.php?workbook=20_05.xlsx&amp;sheet=U0&amp;row=2023&amp;col=6&amp;number=4.9&amp;sourceID=14","4.9")</f>
        <v>4.9</v>
      </c>
      <c r="G2023" s="4" t="str">
        <f>HYPERLINK("http://141.218.60.56/~jnz1568/getInfo.php?workbook=20_05.xlsx&amp;sheet=U0&amp;row=2023&amp;col=7&amp;number=1.99e-05&amp;sourceID=14","1.99e-05")</f>
        <v>1.99e-05</v>
      </c>
    </row>
    <row r="2024" spans="1:7">
      <c r="A2024" s="3">
        <v>20</v>
      </c>
      <c r="B2024" s="3">
        <v>5</v>
      </c>
      <c r="C2024" s="3">
        <v>1</v>
      </c>
      <c r="D2024" s="3">
        <v>57</v>
      </c>
      <c r="E2024" s="3">
        <v>1</v>
      </c>
      <c r="F2024" s="4" t="str">
        <f>HYPERLINK("http://141.218.60.56/~jnz1568/getInfo.php?workbook=20_05.xlsx&amp;sheet=U0&amp;row=2024&amp;col=6&amp;number=3&amp;sourceID=14","3")</f>
        <v>3</v>
      </c>
      <c r="G2024" s="4" t="str">
        <f>HYPERLINK("http://141.218.60.56/~jnz1568/getInfo.php?workbook=20_05.xlsx&amp;sheet=U0&amp;row=2024&amp;col=7&amp;number=0.000126&amp;sourceID=14","0.000126")</f>
        <v>0.000126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HYPERLINK("http://141.218.60.56/~jnz1568/getInfo.php?workbook=20_05.xlsx&amp;sheet=U0&amp;row=2025&amp;col=6&amp;number=3.1&amp;sourceID=14","3.1")</f>
        <v>3.1</v>
      </c>
      <c r="G2025" s="4" t="str">
        <f>HYPERLINK("http://141.218.60.56/~jnz1568/getInfo.php?workbook=20_05.xlsx&amp;sheet=U0&amp;row=2025&amp;col=7&amp;number=0.000126&amp;sourceID=14","0.000126")</f>
        <v>0.000126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HYPERLINK("http://141.218.60.56/~jnz1568/getInfo.php?workbook=20_05.xlsx&amp;sheet=U0&amp;row=2026&amp;col=6&amp;number=3.2&amp;sourceID=14","3.2")</f>
        <v>3.2</v>
      </c>
      <c r="G2026" s="4" t="str">
        <f>HYPERLINK("http://141.218.60.56/~jnz1568/getInfo.php?workbook=20_05.xlsx&amp;sheet=U0&amp;row=2026&amp;col=7&amp;number=0.000126&amp;sourceID=14","0.000126")</f>
        <v>0.000126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HYPERLINK("http://141.218.60.56/~jnz1568/getInfo.php?workbook=20_05.xlsx&amp;sheet=U0&amp;row=2027&amp;col=6&amp;number=3.3&amp;sourceID=14","3.3")</f>
        <v>3.3</v>
      </c>
      <c r="G2027" s="4" t="str">
        <f>HYPERLINK("http://141.218.60.56/~jnz1568/getInfo.php?workbook=20_05.xlsx&amp;sheet=U0&amp;row=2027&amp;col=7&amp;number=0.000126&amp;sourceID=14","0.000126")</f>
        <v>0.000126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HYPERLINK("http://141.218.60.56/~jnz1568/getInfo.php?workbook=20_05.xlsx&amp;sheet=U0&amp;row=2028&amp;col=6&amp;number=3.4&amp;sourceID=14","3.4")</f>
        <v>3.4</v>
      </c>
      <c r="G2028" s="4" t="str">
        <f>HYPERLINK("http://141.218.60.56/~jnz1568/getInfo.php?workbook=20_05.xlsx&amp;sheet=U0&amp;row=2028&amp;col=7&amp;number=0.000126&amp;sourceID=14","0.000126")</f>
        <v>0.000126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HYPERLINK("http://141.218.60.56/~jnz1568/getInfo.php?workbook=20_05.xlsx&amp;sheet=U0&amp;row=2029&amp;col=6&amp;number=3.5&amp;sourceID=14","3.5")</f>
        <v>3.5</v>
      </c>
      <c r="G2029" s="4" t="str">
        <f>HYPERLINK("http://141.218.60.56/~jnz1568/getInfo.php?workbook=20_05.xlsx&amp;sheet=U0&amp;row=2029&amp;col=7&amp;number=0.000126&amp;sourceID=14","0.000126")</f>
        <v>0.000126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HYPERLINK("http://141.218.60.56/~jnz1568/getInfo.php?workbook=20_05.xlsx&amp;sheet=U0&amp;row=2030&amp;col=6&amp;number=3.6&amp;sourceID=14","3.6")</f>
        <v>3.6</v>
      </c>
      <c r="G2030" s="4" t="str">
        <f>HYPERLINK("http://141.218.60.56/~jnz1568/getInfo.php?workbook=20_05.xlsx&amp;sheet=U0&amp;row=2030&amp;col=7&amp;number=0.000126&amp;sourceID=14","0.000126")</f>
        <v>0.000126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HYPERLINK("http://141.218.60.56/~jnz1568/getInfo.php?workbook=20_05.xlsx&amp;sheet=U0&amp;row=2031&amp;col=6&amp;number=3.7&amp;sourceID=14","3.7")</f>
        <v>3.7</v>
      </c>
      <c r="G2031" s="4" t="str">
        <f>HYPERLINK("http://141.218.60.56/~jnz1568/getInfo.php?workbook=20_05.xlsx&amp;sheet=U0&amp;row=2031&amp;col=7&amp;number=0.000126&amp;sourceID=14","0.000126")</f>
        <v>0.000126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HYPERLINK("http://141.218.60.56/~jnz1568/getInfo.php?workbook=20_05.xlsx&amp;sheet=U0&amp;row=2032&amp;col=6&amp;number=3.8&amp;sourceID=14","3.8")</f>
        <v>3.8</v>
      </c>
      <c r="G2032" s="4" t="str">
        <f>HYPERLINK("http://141.218.60.56/~jnz1568/getInfo.php?workbook=20_05.xlsx&amp;sheet=U0&amp;row=2032&amp;col=7&amp;number=0.000126&amp;sourceID=14","0.000126")</f>
        <v>0.000126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HYPERLINK("http://141.218.60.56/~jnz1568/getInfo.php?workbook=20_05.xlsx&amp;sheet=U0&amp;row=2033&amp;col=6&amp;number=3.9&amp;sourceID=14","3.9")</f>
        <v>3.9</v>
      </c>
      <c r="G2033" s="4" t="str">
        <f>HYPERLINK("http://141.218.60.56/~jnz1568/getInfo.php?workbook=20_05.xlsx&amp;sheet=U0&amp;row=2033&amp;col=7&amp;number=0.000126&amp;sourceID=14","0.000126")</f>
        <v>0.000126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HYPERLINK("http://141.218.60.56/~jnz1568/getInfo.php?workbook=20_05.xlsx&amp;sheet=U0&amp;row=2034&amp;col=6&amp;number=4&amp;sourceID=14","4")</f>
        <v>4</v>
      </c>
      <c r="G2034" s="4" t="str">
        <f>HYPERLINK("http://141.218.60.56/~jnz1568/getInfo.php?workbook=20_05.xlsx&amp;sheet=U0&amp;row=2034&amp;col=7&amp;number=0.000126&amp;sourceID=14","0.000126")</f>
        <v>0.000126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HYPERLINK("http://141.218.60.56/~jnz1568/getInfo.php?workbook=20_05.xlsx&amp;sheet=U0&amp;row=2035&amp;col=6&amp;number=4.1&amp;sourceID=14","4.1")</f>
        <v>4.1</v>
      </c>
      <c r="G2035" s="4" t="str">
        <f>HYPERLINK("http://141.218.60.56/~jnz1568/getInfo.php?workbook=20_05.xlsx&amp;sheet=U0&amp;row=2035&amp;col=7&amp;number=0.000126&amp;sourceID=14","0.000126")</f>
        <v>0.000126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HYPERLINK("http://141.218.60.56/~jnz1568/getInfo.php?workbook=20_05.xlsx&amp;sheet=U0&amp;row=2036&amp;col=6&amp;number=4.2&amp;sourceID=14","4.2")</f>
        <v>4.2</v>
      </c>
      <c r="G2036" s="4" t="str">
        <f>HYPERLINK("http://141.218.60.56/~jnz1568/getInfo.php?workbook=20_05.xlsx&amp;sheet=U0&amp;row=2036&amp;col=7&amp;number=0.000125&amp;sourceID=14","0.000125")</f>
        <v>0.000125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HYPERLINK("http://141.218.60.56/~jnz1568/getInfo.php?workbook=20_05.xlsx&amp;sheet=U0&amp;row=2037&amp;col=6&amp;number=4.3&amp;sourceID=14","4.3")</f>
        <v>4.3</v>
      </c>
      <c r="G2037" s="4" t="str">
        <f>HYPERLINK("http://141.218.60.56/~jnz1568/getInfo.php?workbook=20_05.xlsx&amp;sheet=U0&amp;row=2037&amp;col=7&amp;number=0.000125&amp;sourceID=14","0.000125")</f>
        <v>0.000125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HYPERLINK("http://141.218.60.56/~jnz1568/getInfo.php?workbook=20_05.xlsx&amp;sheet=U0&amp;row=2038&amp;col=6&amp;number=4.4&amp;sourceID=14","4.4")</f>
        <v>4.4</v>
      </c>
      <c r="G2038" s="4" t="str">
        <f>HYPERLINK("http://141.218.60.56/~jnz1568/getInfo.php?workbook=20_05.xlsx&amp;sheet=U0&amp;row=2038&amp;col=7&amp;number=0.000125&amp;sourceID=14","0.000125")</f>
        <v>0.000125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HYPERLINK("http://141.218.60.56/~jnz1568/getInfo.php?workbook=20_05.xlsx&amp;sheet=U0&amp;row=2039&amp;col=6&amp;number=4.5&amp;sourceID=14","4.5")</f>
        <v>4.5</v>
      </c>
      <c r="G2039" s="4" t="str">
        <f>HYPERLINK("http://141.218.60.56/~jnz1568/getInfo.php?workbook=20_05.xlsx&amp;sheet=U0&amp;row=2039&amp;col=7&amp;number=0.000125&amp;sourceID=14","0.000125")</f>
        <v>0.000125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HYPERLINK("http://141.218.60.56/~jnz1568/getInfo.php?workbook=20_05.xlsx&amp;sheet=U0&amp;row=2040&amp;col=6&amp;number=4.6&amp;sourceID=14","4.6")</f>
        <v>4.6</v>
      </c>
      <c r="G2040" s="4" t="str">
        <f>HYPERLINK("http://141.218.60.56/~jnz1568/getInfo.php?workbook=20_05.xlsx&amp;sheet=U0&amp;row=2040&amp;col=7&amp;number=0.000125&amp;sourceID=14","0.000125")</f>
        <v>0.000125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HYPERLINK("http://141.218.60.56/~jnz1568/getInfo.php?workbook=20_05.xlsx&amp;sheet=U0&amp;row=2041&amp;col=6&amp;number=4.7&amp;sourceID=14","4.7")</f>
        <v>4.7</v>
      </c>
      <c r="G2041" s="4" t="str">
        <f>HYPERLINK("http://141.218.60.56/~jnz1568/getInfo.php?workbook=20_05.xlsx&amp;sheet=U0&amp;row=2041&amp;col=7&amp;number=0.000124&amp;sourceID=14","0.000124")</f>
        <v>0.000124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HYPERLINK("http://141.218.60.56/~jnz1568/getInfo.php?workbook=20_05.xlsx&amp;sheet=U0&amp;row=2042&amp;col=6&amp;number=4.8&amp;sourceID=14","4.8")</f>
        <v>4.8</v>
      </c>
      <c r="G2042" s="4" t="str">
        <f>HYPERLINK("http://141.218.60.56/~jnz1568/getInfo.php?workbook=20_05.xlsx&amp;sheet=U0&amp;row=2042&amp;col=7&amp;number=0.000124&amp;sourceID=14","0.000124")</f>
        <v>0.000124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HYPERLINK("http://141.218.60.56/~jnz1568/getInfo.php?workbook=20_05.xlsx&amp;sheet=U0&amp;row=2043&amp;col=6&amp;number=4.9&amp;sourceID=14","4.9")</f>
        <v>4.9</v>
      </c>
      <c r="G2043" s="4" t="str">
        <f>HYPERLINK("http://141.218.60.56/~jnz1568/getInfo.php?workbook=20_05.xlsx&amp;sheet=U0&amp;row=2043&amp;col=7&amp;number=0.000123&amp;sourceID=14","0.000123")</f>
        <v>0.000123</v>
      </c>
    </row>
    <row r="2044" spans="1:7">
      <c r="A2044" s="3">
        <v>20</v>
      </c>
      <c r="B2044" s="3">
        <v>5</v>
      </c>
      <c r="C2044" s="3">
        <v>1</v>
      </c>
      <c r="D2044" s="3">
        <v>58</v>
      </c>
      <c r="E2044" s="3">
        <v>1</v>
      </c>
      <c r="F2044" s="4" t="str">
        <f>HYPERLINK("http://141.218.60.56/~jnz1568/getInfo.php?workbook=20_05.xlsx&amp;sheet=U0&amp;row=2044&amp;col=6&amp;number=3&amp;sourceID=14","3")</f>
        <v>3</v>
      </c>
      <c r="G2044" s="4" t="str">
        <f>HYPERLINK("http://141.218.60.56/~jnz1568/getInfo.php?workbook=20_05.xlsx&amp;sheet=U0&amp;row=2044&amp;col=7&amp;number=0.000133&amp;sourceID=14","0.000133")</f>
        <v>0.000133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HYPERLINK("http://141.218.60.56/~jnz1568/getInfo.php?workbook=20_05.xlsx&amp;sheet=U0&amp;row=2045&amp;col=6&amp;number=3.1&amp;sourceID=14","3.1")</f>
        <v>3.1</v>
      </c>
      <c r="G2045" s="4" t="str">
        <f>HYPERLINK("http://141.218.60.56/~jnz1568/getInfo.php?workbook=20_05.xlsx&amp;sheet=U0&amp;row=2045&amp;col=7&amp;number=0.000133&amp;sourceID=14","0.000133")</f>
        <v>0.000133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HYPERLINK("http://141.218.60.56/~jnz1568/getInfo.php?workbook=20_05.xlsx&amp;sheet=U0&amp;row=2046&amp;col=6&amp;number=3.2&amp;sourceID=14","3.2")</f>
        <v>3.2</v>
      </c>
      <c r="G2046" s="4" t="str">
        <f>HYPERLINK("http://141.218.60.56/~jnz1568/getInfo.php?workbook=20_05.xlsx&amp;sheet=U0&amp;row=2046&amp;col=7&amp;number=0.000133&amp;sourceID=14","0.000133")</f>
        <v>0.000133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HYPERLINK("http://141.218.60.56/~jnz1568/getInfo.php?workbook=20_05.xlsx&amp;sheet=U0&amp;row=2047&amp;col=6&amp;number=3.3&amp;sourceID=14","3.3")</f>
        <v>3.3</v>
      </c>
      <c r="G2047" s="4" t="str">
        <f>HYPERLINK("http://141.218.60.56/~jnz1568/getInfo.php?workbook=20_05.xlsx&amp;sheet=U0&amp;row=2047&amp;col=7&amp;number=0.000133&amp;sourceID=14","0.000133")</f>
        <v>0.000133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HYPERLINK("http://141.218.60.56/~jnz1568/getInfo.php?workbook=20_05.xlsx&amp;sheet=U0&amp;row=2048&amp;col=6&amp;number=3.4&amp;sourceID=14","3.4")</f>
        <v>3.4</v>
      </c>
      <c r="G2048" s="4" t="str">
        <f>HYPERLINK("http://141.218.60.56/~jnz1568/getInfo.php?workbook=20_05.xlsx&amp;sheet=U0&amp;row=2048&amp;col=7&amp;number=0.000133&amp;sourceID=14","0.000133")</f>
        <v>0.000133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HYPERLINK("http://141.218.60.56/~jnz1568/getInfo.php?workbook=20_05.xlsx&amp;sheet=U0&amp;row=2049&amp;col=6&amp;number=3.5&amp;sourceID=14","3.5")</f>
        <v>3.5</v>
      </c>
      <c r="G2049" s="4" t="str">
        <f>HYPERLINK("http://141.218.60.56/~jnz1568/getInfo.php?workbook=20_05.xlsx&amp;sheet=U0&amp;row=2049&amp;col=7&amp;number=0.000133&amp;sourceID=14","0.000133")</f>
        <v>0.000133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HYPERLINK("http://141.218.60.56/~jnz1568/getInfo.php?workbook=20_05.xlsx&amp;sheet=U0&amp;row=2050&amp;col=6&amp;number=3.6&amp;sourceID=14","3.6")</f>
        <v>3.6</v>
      </c>
      <c r="G2050" s="4" t="str">
        <f>HYPERLINK("http://141.218.60.56/~jnz1568/getInfo.php?workbook=20_05.xlsx&amp;sheet=U0&amp;row=2050&amp;col=7&amp;number=0.000133&amp;sourceID=14","0.000133")</f>
        <v>0.000133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HYPERLINK("http://141.218.60.56/~jnz1568/getInfo.php?workbook=20_05.xlsx&amp;sheet=U0&amp;row=2051&amp;col=6&amp;number=3.7&amp;sourceID=14","3.7")</f>
        <v>3.7</v>
      </c>
      <c r="G2051" s="4" t="str">
        <f>HYPERLINK("http://141.218.60.56/~jnz1568/getInfo.php?workbook=20_05.xlsx&amp;sheet=U0&amp;row=2051&amp;col=7&amp;number=0.000133&amp;sourceID=14","0.000133")</f>
        <v>0.000133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HYPERLINK("http://141.218.60.56/~jnz1568/getInfo.php?workbook=20_05.xlsx&amp;sheet=U0&amp;row=2052&amp;col=6&amp;number=3.8&amp;sourceID=14","3.8")</f>
        <v>3.8</v>
      </c>
      <c r="G2052" s="4" t="str">
        <f>HYPERLINK("http://141.218.60.56/~jnz1568/getInfo.php?workbook=20_05.xlsx&amp;sheet=U0&amp;row=2052&amp;col=7&amp;number=0.000133&amp;sourceID=14","0.000133")</f>
        <v>0.000133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HYPERLINK("http://141.218.60.56/~jnz1568/getInfo.php?workbook=20_05.xlsx&amp;sheet=U0&amp;row=2053&amp;col=6&amp;number=3.9&amp;sourceID=14","3.9")</f>
        <v>3.9</v>
      </c>
      <c r="G2053" s="4" t="str">
        <f>HYPERLINK("http://141.218.60.56/~jnz1568/getInfo.php?workbook=20_05.xlsx&amp;sheet=U0&amp;row=2053&amp;col=7&amp;number=0.000133&amp;sourceID=14","0.000133")</f>
        <v>0.000133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HYPERLINK("http://141.218.60.56/~jnz1568/getInfo.php?workbook=20_05.xlsx&amp;sheet=U0&amp;row=2054&amp;col=6&amp;number=4&amp;sourceID=14","4")</f>
        <v>4</v>
      </c>
      <c r="G2054" s="4" t="str">
        <f>HYPERLINK("http://141.218.60.56/~jnz1568/getInfo.php?workbook=20_05.xlsx&amp;sheet=U0&amp;row=2054&amp;col=7&amp;number=0.000133&amp;sourceID=14","0.000133")</f>
        <v>0.000133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HYPERLINK("http://141.218.60.56/~jnz1568/getInfo.php?workbook=20_05.xlsx&amp;sheet=U0&amp;row=2055&amp;col=6&amp;number=4.1&amp;sourceID=14","4.1")</f>
        <v>4.1</v>
      </c>
      <c r="G2055" s="4" t="str">
        <f>HYPERLINK("http://141.218.60.56/~jnz1568/getInfo.php?workbook=20_05.xlsx&amp;sheet=U0&amp;row=2055&amp;col=7&amp;number=0.000132&amp;sourceID=14","0.000132")</f>
        <v>0.000132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HYPERLINK("http://141.218.60.56/~jnz1568/getInfo.php?workbook=20_05.xlsx&amp;sheet=U0&amp;row=2056&amp;col=6&amp;number=4.2&amp;sourceID=14","4.2")</f>
        <v>4.2</v>
      </c>
      <c r="G2056" s="4" t="str">
        <f>HYPERLINK("http://141.218.60.56/~jnz1568/getInfo.php?workbook=20_05.xlsx&amp;sheet=U0&amp;row=2056&amp;col=7&amp;number=0.000132&amp;sourceID=14","0.000132")</f>
        <v>0.000132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HYPERLINK("http://141.218.60.56/~jnz1568/getInfo.php?workbook=20_05.xlsx&amp;sheet=U0&amp;row=2057&amp;col=6&amp;number=4.3&amp;sourceID=14","4.3")</f>
        <v>4.3</v>
      </c>
      <c r="G2057" s="4" t="str">
        <f>HYPERLINK("http://141.218.60.56/~jnz1568/getInfo.php?workbook=20_05.xlsx&amp;sheet=U0&amp;row=2057&amp;col=7&amp;number=0.000132&amp;sourceID=14","0.000132")</f>
        <v>0.000132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HYPERLINK("http://141.218.60.56/~jnz1568/getInfo.php?workbook=20_05.xlsx&amp;sheet=U0&amp;row=2058&amp;col=6&amp;number=4.4&amp;sourceID=14","4.4")</f>
        <v>4.4</v>
      </c>
      <c r="G2058" s="4" t="str">
        <f>HYPERLINK("http://141.218.60.56/~jnz1568/getInfo.php?workbook=20_05.xlsx&amp;sheet=U0&amp;row=2058&amp;col=7&amp;number=0.000132&amp;sourceID=14","0.000132")</f>
        <v>0.000132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HYPERLINK("http://141.218.60.56/~jnz1568/getInfo.php?workbook=20_05.xlsx&amp;sheet=U0&amp;row=2059&amp;col=6&amp;number=4.5&amp;sourceID=14","4.5")</f>
        <v>4.5</v>
      </c>
      <c r="G2059" s="4" t="str">
        <f>HYPERLINK("http://141.218.60.56/~jnz1568/getInfo.php?workbook=20_05.xlsx&amp;sheet=U0&amp;row=2059&amp;col=7&amp;number=0.000132&amp;sourceID=14","0.000132")</f>
        <v>0.000132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HYPERLINK("http://141.218.60.56/~jnz1568/getInfo.php?workbook=20_05.xlsx&amp;sheet=U0&amp;row=2060&amp;col=6&amp;number=4.6&amp;sourceID=14","4.6")</f>
        <v>4.6</v>
      </c>
      <c r="G2060" s="4" t="str">
        <f>HYPERLINK("http://141.218.60.56/~jnz1568/getInfo.php?workbook=20_05.xlsx&amp;sheet=U0&amp;row=2060&amp;col=7&amp;number=0.000132&amp;sourceID=14","0.000132")</f>
        <v>0.000132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HYPERLINK("http://141.218.60.56/~jnz1568/getInfo.php?workbook=20_05.xlsx&amp;sheet=U0&amp;row=2061&amp;col=6&amp;number=4.7&amp;sourceID=14","4.7")</f>
        <v>4.7</v>
      </c>
      <c r="G2061" s="4" t="str">
        <f>HYPERLINK("http://141.218.60.56/~jnz1568/getInfo.php?workbook=20_05.xlsx&amp;sheet=U0&amp;row=2061&amp;col=7&amp;number=0.000131&amp;sourceID=14","0.000131")</f>
        <v>0.000131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HYPERLINK("http://141.218.60.56/~jnz1568/getInfo.php?workbook=20_05.xlsx&amp;sheet=U0&amp;row=2062&amp;col=6&amp;number=4.8&amp;sourceID=14","4.8")</f>
        <v>4.8</v>
      </c>
      <c r="G2062" s="4" t="str">
        <f>HYPERLINK("http://141.218.60.56/~jnz1568/getInfo.php?workbook=20_05.xlsx&amp;sheet=U0&amp;row=2062&amp;col=7&amp;number=0.000131&amp;sourceID=14","0.000131")</f>
        <v>0.000131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HYPERLINK("http://141.218.60.56/~jnz1568/getInfo.php?workbook=20_05.xlsx&amp;sheet=U0&amp;row=2063&amp;col=6&amp;number=4.9&amp;sourceID=14","4.9")</f>
        <v>4.9</v>
      </c>
      <c r="G2063" s="4" t="str">
        <f>HYPERLINK("http://141.218.60.56/~jnz1568/getInfo.php?workbook=20_05.xlsx&amp;sheet=U0&amp;row=2063&amp;col=7&amp;number=0.00013&amp;sourceID=14","0.00013")</f>
        <v>0.00013</v>
      </c>
    </row>
    <row r="2064" spans="1:7">
      <c r="A2064" s="3">
        <v>20</v>
      </c>
      <c r="B2064" s="3">
        <v>5</v>
      </c>
      <c r="C2064" s="3">
        <v>1</v>
      </c>
      <c r="D2064" s="3">
        <v>59</v>
      </c>
      <c r="E2064" s="3">
        <v>1</v>
      </c>
      <c r="F2064" s="4" t="str">
        <f>HYPERLINK("http://141.218.60.56/~jnz1568/getInfo.php?workbook=20_05.xlsx&amp;sheet=U0&amp;row=2064&amp;col=6&amp;number=3&amp;sourceID=14","3")</f>
        <v>3</v>
      </c>
      <c r="G2064" s="4" t="str">
        <f>HYPERLINK("http://141.218.60.56/~jnz1568/getInfo.php?workbook=20_05.xlsx&amp;sheet=U0&amp;row=2064&amp;col=7&amp;number=7.52e-05&amp;sourceID=14","7.52e-05")</f>
        <v>7.52e-05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HYPERLINK("http://141.218.60.56/~jnz1568/getInfo.php?workbook=20_05.xlsx&amp;sheet=U0&amp;row=2065&amp;col=6&amp;number=3.1&amp;sourceID=14","3.1")</f>
        <v>3.1</v>
      </c>
      <c r="G2065" s="4" t="str">
        <f>HYPERLINK("http://141.218.60.56/~jnz1568/getInfo.php?workbook=20_05.xlsx&amp;sheet=U0&amp;row=2065&amp;col=7&amp;number=7.52e-05&amp;sourceID=14","7.52e-05")</f>
        <v>7.52e-05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HYPERLINK("http://141.218.60.56/~jnz1568/getInfo.php?workbook=20_05.xlsx&amp;sheet=U0&amp;row=2066&amp;col=6&amp;number=3.2&amp;sourceID=14","3.2")</f>
        <v>3.2</v>
      </c>
      <c r="G2066" s="4" t="str">
        <f>HYPERLINK("http://141.218.60.56/~jnz1568/getInfo.php?workbook=20_05.xlsx&amp;sheet=U0&amp;row=2066&amp;col=7&amp;number=7.52e-05&amp;sourceID=14","7.52e-05")</f>
        <v>7.52e-05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HYPERLINK("http://141.218.60.56/~jnz1568/getInfo.php?workbook=20_05.xlsx&amp;sheet=U0&amp;row=2067&amp;col=6&amp;number=3.3&amp;sourceID=14","3.3")</f>
        <v>3.3</v>
      </c>
      <c r="G2067" s="4" t="str">
        <f>HYPERLINK("http://141.218.60.56/~jnz1568/getInfo.php?workbook=20_05.xlsx&amp;sheet=U0&amp;row=2067&amp;col=7&amp;number=7.52e-05&amp;sourceID=14","7.52e-05")</f>
        <v>7.52e-05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HYPERLINK("http://141.218.60.56/~jnz1568/getInfo.php?workbook=20_05.xlsx&amp;sheet=U0&amp;row=2068&amp;col=6&amp;number=3.4&amp;sourceID=14","3.4")</f>
        <v>3.4</v>
      </c>
      <c r="G2068" s="4" t="str">
        <f>HYPERLINK("http://141.218.60.56/~jnz1568/getInfo.php?workbook=20_05.xlsx&amp;sheet=U0&amp;row=2068&amp;col=7&amp;number=7.52e-05&amp;sourceID=14","7.52e-05")</f>
        <v>7.52e-05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HYPERLINK("http://141.218.60.56/~jnz1568/getInfo.php?workbook=20_05.xlsx&amp;sheet=U0&amp;row=2069&amp;col=6&amp;number=3.5&amp;sourceID=14","3.5")</f>
        <v>3.5</v>
      </c>
      <c r="G2069" s="4" t="str">
        <f>HYPERLINK("http://141.218.60.56/~jnz1568/getInfo.php?workbook=20_05.xlsx&amp;sheet=U0&amp;row=2069&amp;col=7&amp;number=7.52e-05&amp;sourceID=14","7.52e-05")</f>
        <v>7.52e-05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HYPERLINK("http://141.218.60.56/~jnz1568/getInfo.php?workbook=20_05.xlsx&amp;sheet=U0&amp;row=2070&amp;col=6&amp;number=3.6&amp;sourceID=14","3.6")</f>
        <v>3.6</v>
      </c>
      <c r="G2070" s="4" t="str">
        <f>HYPERLINK("http://141.218.60.56/~jnz1568/getInfo.php?workbook=20_05.xlsx&amp;sheet=U0&amp;row=2070&amp;col=7&amp;number=7.51e-05&amp;sourceID=14","7.51e-05")</f>
        <v>7.51e-05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HYPERLINK("http://141.218.60.56/~jnz1568/getInfo.php?workbook=20_05.xlsx&amp;sheet=U0&amp;row=2071&amp;col=6&amp;number=3.7&amp;sourceID=14","3.7")</f>
        <v>3.7</v>
      </c>
      <c r="G2071" s="4" t="str">
        <f>HYPERLINK("http://141.218.60.56/~jnz1568/getInfo.php?workbook=20_05.xlsx&amp;sheet=U0&amp;row=2071&amp;col=7&amp;number=7.51e-05&amp;sourceID=14","7.51e-05")</f>
        <v>7.51e-05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HYPERLINK("http://141.218.60.56/~jnz1568/getInfo.php?workbook=20_05.xlsx&amp;sheet=U0&amp;row=2072&amp;col=6&amp;number=3.8&amp;sourceID=14","3.8")</f>
        <v>3.8</v>
      </c>
      <c r="G2072" s="4" t="str">
        <f>HYPERLINK("http://141.218.60.56/~jnz1568/getInfo.php?workbook=20_05.xlsx&amp;sheet=U0&amp;row=2072&amp;col=7&amp;number=7.51e-05&amp;sourceID=14","7.51e-05")</f>
        <v>7.51e-05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HYPERLINK("http://141.218.60.56/~jnz1568/getInfo.php?workbook=20_05.xlsx&amp;sheet=U0&amp;row=2073&amp;col=6&amp;number=3.9&amp;sourceID=14","3.9")</f>
        <v>3.9</v>
      </c>
      <c r="G2073" s="4" t="str">
        <f>HYPERLINK("http://141.218.60.56/~jnz1568/getInfo.php?workbook=20_05.xlsx&amp;sheet=U0&amp;row=2073&amp;col=7&amp;number=7.51e-05&amp;sourceID=14","7.51e-05")</f>
        <v>7.51e-05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HYPERLINK("http://141.218.60.56/~jnz1568/getInfo.php?workbook=20_05.xlsx&amp;sheet=U0&amp;row=2074&amp;col=6&amp;number=4&amp;sourceID=14","4")</f>
        <v>4</v>
      </c>
      <c r="G2074" s="4" t="str">
        <f>HYPERLINK("http://141.218.60.56/~jnz1568/getInfo.php?workbook=20_05.xlsx&amp;sheet=U0&amp;row=2074&amp;col=7&amp;number=7.5e-05&amp;sourceID=14","7.5e-05")</f>
        <v>7.5e-05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HYPERLINK("http://141.218.60.56/~jnz1568/getInfo.php?workbook=20_05.xlsx&amp;sheet=U0&amp;row=2075&amp;col=6&amp;number=4.1&amp;sourceID=14","4.1")</f>
        <v>4.1</v>
      </c>
      <c r="G2075" s="4" t="str">
        <f>HYPERLINK("http://141.218.60.56/~jnz1568/getInfo.php?workbook=20_05.xlsx&amp;sheet=U0&amp;row=2075&amp;col=7&amp;number=7.5e-05&amp;sourceID=14","7.5e-05")</f>
        <v>7.5e-05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HYPERLINK("http://141.218.60.56/~jnz1568/getInfo.php?workbook=20_05.xlsx&amp;sheet=U0&amp;row=2076&amp;col=6&amp;number=4.2&amp;sourceID=14","4.2")</f>
        <v>4.2</v>
      </c>
      <c r="G2076" s="4" t="str">
        <f>HYPERLINK("http://141.218.60.56/~jnz1568/getInfo.php?workbook=20_05.xlsx&amp;sheet=U0&amp;row=2076&amp;col=7&amp;number=7.49e-05&amp;sourceID=14","7.49e-05")</f>
        <v>7.49e-05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HYPERLINK("http://141.218.60.56/~jnz1568/getInfo.php?workbook=20_05.xlsx&amp;sheet=U0&amp;row=2077&amp;col=6&amp;number=4.3&amp;sourceID=14","4.3")</f>
        <v>4.3</v>
      </c>
      <c r="G2077" s="4" t="str">
        <f>HYPERLINK("http://141.218.60.56/~jnz1568/getInfo.php?workbook=20_05.xlsx&amp;sheet=U0&amp;row=2077&amp;col=7&amp;number=7.48e-05&amp;sourceID=14","7.48e-05")</f>
        <v>7.48e-05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HYPERLINK("http://141.218.60.56/~jnz1568/getInfo.php?workbook=20_05.xlsx&amp;sheet=U0&amp;row=2078&amp;col=6&amp;number=4.4&amp;sourceID=14","4.4")</f>
        <v>4.4</v>
      </c>
      <c r="G2078" s="4" t="str">
        <f>HYPERLINK("http://141.218.60.56/~jnz1568/getInfo.php?workbook=20_05.xlsx&amp;sheet=U0&amp;row=2078&amp;col=7&amp;number=7.47e-05&amp;sourceID=14","7.47e-05")</f>
        <v>7.47e-05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HYPERLINK("http://141.218.60.56/~jnz1568/getInfo.php?workbook=20_05.xlsx&amp;sheet=U0&amp;row=2079&amp;col=6&amp;number=4.5&amp;sourceID=14","4.5")</f>
        <v>4.5</v>
      </c>
      <c r="G2079" s="4" t="str">
        <f>HYPERLINK("http://141.218.60.56/~jnz1568/getInfo.php?workbook=20_05.xlsx&amp;sheet=U0&amp;row=2079&amp;col=7&amp;number=7.46e-05&amp;sourceID=14","7.46e-05")</f>
        <v>7.46e-05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HYPERLINK("http://141.218.60.56/~jnz1568/getInfo.php?workbook=20_05.xlsx&amp;sheet=U0&amp;row=2080&amp;col=6&amp;number=4.6&amp;sourceID=14","4.6")</f>
        <v>4.6</v>
      </c>
      <c r="G2080" s="4" t="str">
        <f>HYPERLINK("http://141.218.60.56/~jnz1568/getInfo.php?workbook=20_05.xlsx&amp;sheet=U0&amp;row=2080&amp;col=7&amp;number=7.44e-05&amp;sourceID=14","7.44e-05")</f>
        <v>7.44e-05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HYPERLINK("http://141.218.60.56/~jnz1568/getInfo.php?workbook=20_05.xlsx&amp;sheet=U0&amp;row=2081&amp;col=6&amp;number=4.7&amp;sourceID=14","4.7")</f>
        <v>4.7</v>
      </c>
      <c r="G2081" s="4" t="str">
        <f>HYPERLINK("http://141.218.60.56/~jnz1568/getInfo.php?workbook=20_05.xlsx&amp;sheet=U0&amp;row=2081&amp;col=7&amp;number=7.42e-05&amp;sourceID=14","7.42e-05")</f>
        <v>7.42e-05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HYPERLINK("http://141.218.60.56/~jnz1568/getInfo.php?workbook=20_05.xlsx&amp;sheet=U0&amp;row=2082&amp;col=6&amp;number=4.8&amp;sourceID=14","4.8")</f>
        <v>4.8</v>
      </c>
      <c r="G2082" s="4" t="str">
        <f>HYPERLINK("http://141.218.60.56/~jnz1568/getInfo.php?workbook=20_05.xlsx&amp;sheet=U0&amp;row=2082&amp;col=7&amp;number=7.4e-05&amp;sourceID=14","7.4e-05")</f>
        <v>7.4e-05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HYPERLINK("http://141.218.60.56/~jnz1568/getInfo.php?workbook=20_05.xlsx&amp;sheet=U0&amp;row=2083&amp;col=6&amp;number=4.9&amp;sourceID=14","4.9")</f>
        <v>4.9</v>
      </c>
      <c r="G2083" s="4" t="str">
        <f>HYPERLINK("http://141.218.60.56/~jnz1568/getInfo.php?workbook=20_05.xlsx&amp;sheet=U0&amp;row=2083&amp;col=7&amp;number=7.37e-05&amp;sourceID=14","7.37e-05")</f>
        <v>7.37e-05</v>
      </c>
    </row>
    <row r="2084" spans="1:7">
      <c r="A2084" s="3">
        <v>20</v>
      </c>
      <c r="B2084" s="3">
        <v>5</v>
      </c>
      <c r="C2084" s="3">
        <v>1</v>
      </c>
      <c r="D2084" s="3">
        <v>60</v>
      </c>
      <c r="E2084" s="3">
        <v>1</v>
      </c>
      <c r="F2084" s="4" t="str">
        <f>HYPERLINK("http://141.218.60.56/~jnz1568/getInfo.php?workbook=20_05.xlsx&amp;sheet=U0&amp;row=2084&amp;col=6&amp;number=3&amp;sourceID=14","3")</f>
        <v>3</v>
      </c>
      <c r="G2084" s="4" t="str">
        <f>HYPERLINK("http://141.218.60.56/~jnz1568/getInfo.php?workbook=20_05.xlsx&amp;sheet=U0&amp;row=2084&amp;col=7&amp;number=4.04e-05&amp;sourceID=14","4.04e-05")</f>
        <v>4.04e-05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HYPERLINK("http://141.218.60.56/~jnz1568/getInfo.php?workbook=20_05.xlsx&amp;sheet=U0&amp;row=2085&amp;col=6&amp;number=3.1&amp;sourceID=14","3.1")</f>
        <v>3.1</v>
      </c>
      <c r="G2085" s="4" t="str">
        <f>HYPERLINK("http://141.218.60.56/~jnz1568/getInfo.php?workbook=20_05.xlsx&amp;sheet=U0&amp;row=2085&amp;col=7&amp;number=4.04e-05&amp;sourceID=14","4.04e-05")</f>
        <v>4.04e-05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HYPERLINK("http://141.218.60.56/~jnz1568/getInfo.php?workbook=20_05.xlsx&amp;sheet=U0&amp;row=2086&amp;col=6&amp;number=3.2&amp;sourceID=14","3.2")</f>
        <v>3.2</v>
      </c>
      <c r="G2086" s="4" t="str">
        <f>HYPERLINK("http://141.218.60.56/~jnz1568/getInfo.php?workbook=20_05.xlsx&amp;sheet=U0&amp;row=2086&amp;col=7&amp;number=4.04e-05&amp;sourceID=14","4.04e-05")</f>
        <v>4.04e-05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HYPERLINK("http://141.218.60.56/~jnz1568/getInfo.php?workbook=20_05.xlsx&amp;sheet=U0&amp;row=2087&amp;col=6&amp;number=3.3&amp;sourceID=14","3.3")</f>
        <v>3.3</v>
      </c>
      <c r="G2087" s="4" t="str">
        <f>HYPERLINK("http://141.218.60.56/~jnz1568/getInfo.php?workbook=20_05.xlsx&amp;sheet=U0&amp;row=2087&amp;col=7&amp;number=4.04e-05&amp;sourceID=14","4.04e-05")</f>
        <v>4.04e-05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HYPERLINK("http://141.218.60.56/~jnz1568/getInfo.php?workbook=20_05.xlsx&amp;sheet=U0&amp;row=2088&amp;col=6&amp;number=3.4&amp;sourceID=14","3.4")</f>
        <v>3.4</v>
      </c>
      <c r="G2088" s="4" t="str">
        <f>HYPERLINK("http://141.218.60.56/~jnz1568/getInfo.php?workbook=20_05.xlsx&amp;sheet=U0&amp;row=2088&amp;col=7&amp;number=4.03e-05&amp;sourceID=14","4.03e-05")</f>
        <v>4.03e-05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HYPERLINK("http://141.218.60.56/~jnz1568/getInfo.php?workbook=20_05.xlsx&amp;sheet=U0&amp;row=2089&amp;col=6&amp;number=3.5&amp;sourceID=14","3.5")</f>
        <v>3.5</v>
      </c>
      <c r="G2089" s="4" t="str">
        <f>HYPERLINK("http://141.218.60.56/~jnz1568/getInfo.php?workbook=20_05.xlsx&amp;sheet=U0&amp;row=2089&amp;col=7&amp;number=4.03e-05&amp;sourceID=14","4.03e-05")</f>
        <v>4.03e-05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HYPERLINK("http://141.218.60.56/~jnz1568/getInfo.php?workbook=20_05.xlsx&amp;sheet=U0&amp;row=2090&amp;col=6&amp;number=3.6&amp;sourceID=14","3.6")</f>
        <v>3.6</v>
      </c>
      <c r="G2090" s="4" t="str">
        <f>HYPERLINK("http://141.218.60.56/~jnz1568/getInfo.php?workbook=20_05.xlsx&amp;sheet=U0&amp;row=2090&amp;col=7&amp;number=4.03e-05&amp;sourceID=14","4.03e-05")</f>
        <v>4.03e-05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HYPERLINK("http://141.218.60.56/~jnz1568/getInfo.php?workbook=20_05.xlsx&amp;sheet=U0&amp;row=2091&amp;col=6&amp;number=3.7&amp;sourceID=14","3.7")</f>
        <v>3.7</v>
      </c>
      <c r="G2091" s="4" t="str">
        <f>HYPERLINK("http://141.218.60.56/~jnz1568/getInfo.php?workbook=20_05.xlsx&amp;sheet=U0&amp;row=2091&amp;col=7&amp;number=4.03e-05&amp;sourceID=14","4.03e-05")</f>
        <v>4.03e-05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HYPERLINK("http://141.218.60.56/~jnz1568/getInfo.php?workbook=20_05.xlsx&amp;sheet=U0&amp;row=2092&amp;col=6&amp;number=3.8&amp;sourceID=14","3.8")</f>
        <v>3.8</v>
      </c>
      <c r="G2092" s="4" t="str">
        <f>HYPERLINK("http://141.218.60.56/~jnz1568/getInfo.php?workbook=20_05.xlsx&amp;sheet=U0&amp;row=2092&amp;col=7&amp;number=4.03e-05&amp;sourceID=14","4.03e-05")</f>
        <v>4.03e-05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HYPERLINK("http://141.218.60.56/~jnz1568/getInfo.php?workbook=20_05.xlsx&amp;sheet=U0&amp;row=2093&amp;col=6&amp;number=3.9&amp;sourceID=14","3.9")</f>
        <v>3.9</v>
      </c>
      <c r="G2093" s="4" t="str">
        <f>HYPERLINK("http://141.218.60.56/~jnz1568/getInfo.php?workbook=20_05.xlsx&amp;sheet=U0&amp;row=2093&amp;col=7&amp;number=4.03e-05&amp;sourceID=14","4.03e-05")</f>
        <v>4.03e-05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HYPERLINK("http://141.218.60.56/~jnz1568/getInfo.php?workbook=20_05.xlsx&amp;sheet=U0&amp;row=2094&amp;col=6&amp;number=4&amp;sourceID=14","4")</f>
        <v>4</v>
      </c>
      <c r="G2094" s="4" t="str">
        <f>HYPERLINK("http://141.218.60.56/~jnz1568/getInfo.php?workbook=20_05.xlsx&amp;sheet=U0&amp;row=2094&amp;col=7&amp;number=4.02e-05&amp;sourceID=14","4.02e-05")</f>
        <v>4.02e-05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HYPERLINK("http://141.218.60.56/~jnz1568/getInfo.php?workbook=20_05.xlsx&amp;sheet=U0&amp;row=2095&amp;col=6&amp;number=4.1&amp;sourceID=14","4.1")</f>
        <v>4.1</v>
      </c>
      <c r="G2095" s="4" t="str">
        <f>HYPERLINK("http://141.218.60.56/~jnz1568/getInfo.php?workbook=20_05.xlsx&amp;sheet=U0&amp;row=2095&amp;col=7&amp;number=4.02e-05&amp;sourceID=14","4.02e-05")</f>
        <v>4.02e-05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HYPERLINK("http://141.218.60.56/~jnz1568/getInfo.php?workbook=20_05.xlsx&amp;sheet=U0&amp;row=2096&amp;col=6&amp;number=4.2&amp;sourceID=14","4.2")</f>
        <v>4.2</v>
      </c>
      <c r="G2096" s="4" t="str">
        <f>HYPERLINK("http://141.218.60.56/~jnz1568/getInfo.php?workbook=20_05.xlsx&amp;sheet=U0&amp;row=2096&amp;col=7&amp;number=4.02e-05&amp;sourceID=14","4.02e-05")</f>
        <v>4.02e-05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HYPERLINK("http://141.218.60.56/~jnz1568/getInfo.php?workbook=20_05.xlsx&amp;sheet=U0&amp;row=2097&amp;col=6&amp;number=4.3&amp;sourceID=14","4.3")</f>
        <v>4.3</v>
      </c>
      <c r="G2097" s="4" t="str">
        <f>HYPERLINK("http://141.218.60.56/~jnz1568/getInfo.php?workbook=20_05.xlsx&amp;sheet=U0&amp;row=2097&amp;col=7&amp;number=4.01e-05&amp;sourceID=14","4.01e-05")</f>
        <v>4.01e-05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HYPERLINK("http://141.218.60.56/~jnz1568/getInfo.php?workbook=20_05.xlsx&amp;sheet=U0&amp;row=2098&amp;col=6&amp;number=4.4&amp;sourceID=14","4.4")</f>
        <v>4.4</v>
      </c>
      <c r="G2098" s="4" t="str">
        <f>HYPERLINK("http://141.218.60.56/~jnz1568/getInfo.php?workbook=20_05.xlsx&amp;sheet=U0&amp;row=2098&amp;col=7&amp;number=4e-05&amp;sourceID=14","4e-05")</f>
        <v>4e-05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HYPERLINK("http://141.218.60.56/~jnz1568/getInfo.php?workbook=20_05.xlsx&amp;sheet=U0&amp;row=2099&amp;col=6&amp;number=4.5&amp;sourceID=14","4.5")</f>
        <v>4.5</v>
      </c>
      <c r="G2099" s="4" t="str">
        <f>HYPERLINK("http://141.218.60.56/~jnz1568/getInfo.php?workbook=20_05.xlsx&amp;sheet=U0&amp;row=2099&amp;col=7&amp;number=3.99e-05&amp;sourceID=14","3.99e-05")</f>
        <v>3.99e-05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HYPERLINK("http://141.218.60.56/~jnz1568/getInfo.php?workbook=20_05.xlsx&amp;sheet=U0&amp;row=2100&amp;col=6&amp;number=4.6&amp;sourceID=14","4.6")</f>
        <v>4.6</v>
      </c>
      <c r="G2100" s="4" t="str">
        <f>HYPERLINK("http://141.218.60.56/~jnz1568/getInfo.php?workbook=20_05.xlsx&amp;sheet=U0&amp;row=2100&amp;col=7&amp;number=3.98e-05&amp;sourceID=14","3.98e-05")</f>
        <v>3.98e-05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HYPERLINK("http://141.218.60.56/~jnz1568/getInfo.php?workbook=20_05.xlsx&amp;sheet=U0&amp;row=2101&amp;col=6&amp;number=4.7&amp;sourceID=14","4.7")</f>
        <v>4.7</v>
      </c>
      <c r="G2101" s="4" t="str">
        <f>HYPERLINK("http://141.218.60.56/~jnz1568/getInfo.php?workbook=20_05.xlsx&amp;sheet=U0&amp;row=2101&amp;col=7&amp;number=3.97e-05&amp;sourceID=14","3.97e-05")</f>
        <v>3.97e-05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HYPERLINK("http://141.218.60.56/~jnz1568/getInfo.php?workbook=20_05.xlsx&amp;sheet=U0&amp;row=2102&amp;col=6&amp;number=4.8&amp;sourceID=14","4.8")</f>
        <v>4.8</v>
      </c>
      <c r="G2102" s="4" t="str">
        <f>HYPERLINK("http://141.218.60.56/~jnz1568/getInfo.php?workbook=20_05.xlsx&amp;sheet=U0&amp;row=2102&amp;col=7&amp;number=3.95e-05&amp;sourceID=14","3.95e-05")</f>
        <v>3.95e-05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HYPERLINK("http://141.218.60.56/~jnz1568/getInfo.php?workbook=20_05.xlsx&amp;sheet=U0&amp;row=2103&amp;col=6&amp;number=4.9&amp;sourceID=14","4.9")</f>
        <v>4.9</v>
      </c>
      <c r="G2103" s="4" t="str">
        <f>HYPERLINK("http://141.218.60.56/~jnz1568/getInfo.php?workbook=20_05.xlsx&amp;sheet=U0&amp;row=2103&amp;col=7&amp;number=3.93e-05&amp;sourceID=14","3.93e-05")</f>
        <v>3.93e-05</v>
      </c>
    </row>
    <row r="2104" spans="1:7">
      <c r="A2104" s="3">
        <v>20</v>
      </c>
      <c r="B2104" s="3">
        <v>5</v>
      </c>
      <c r="C2104" s="3">
        <v>1</v>
      </c>
      <c r="D2104" s="3">
        <v>61</v>
      </c>
      <c r="E2104" s="3">
        <v>1</v>
      </c>
      <c r="F2104" s="4" t="str">
        <f>HYPERLINK("http://141.218.60.56/~jnz1568/getInfo.php?workbook=20_05.xlsx&amp;sheet=U0&amp;row=2104&amp;col=6&amp;number=3&amp;sourceID=14","3")</f>
        <v>3</v>
      </c>
      <c r="G2104" s="4" t="str">
        <f>HYPERLINK("http://141.218.60.56/~jnz1568/getInfo.php?workbook=20_05.xlsx&amp;sheet=U0&amp;row=2104&amp;col=7&amp;number=7.18e-05&amp;sourceID=14","7.18e-05")</f>
        <v>7.18e-05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HYPERLINK("http://141.218.60.56/~jnz1568/getInfo.php?workbook=20_05.xlsx&amp;sheet=U0&amp;row=2105&amp;col=6&amp;number=3.1&amp;sourceID=14","3.1")</f>
        <v>3.1</v>
      </c>
      <c r="G2105" s="4" t="str">
        <f>HYPERLINK("http://141.218.60.56/~jnz1568/getInfo.php?workbook=20_05.xlsx&amp;sheet=U0&amp;row=2105&amp;col=7&amp;number=7.18e-05&amp;sourceID=14","7.18e-05")</f>
        <v>7.18e-05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HYPERLINK("http://141.218.60.56/~jnz1568/getInfo.php?workbook=20_05.xlsx&amp;sheet=U0&amp;row=2106&amp;col=6&amp;number=3.2&amp;sourceID=14","3.2")</f>
        <v>3.2</v>
      </c>
      <c r="G2106" s="4" t="str">
        <f>HYPERLINK("http://141.218.60.56/~jnz1568/getInfo.php?workbook=20_05.xlsx&amp;sheet=U0&amp;row=2106&amp;col=7&amp;number=7.18e-05&amp;sourceID=14","7.18e-05")</f>
        <v>7.18e-05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HYPERLINK("http://141.218.60.56/~jnz1568/getInfo.php?workbook=20_05.xlsx&amp;sheet=U0&amp;row=2107&amp;col=6&amp;number=3.3&amp;sourceID=14","3.3")</f>
        <v>3.3</v>
      </c>
      <c r="G2107" s="4" t="str">
        <f>HYPERLINK("http://141.218.60.56/~jnz1568/getInfo.php?workbook=20_05.xlsx&amp;sheet=U0&amp;row=2107&amp;col=7&amp;number=7.18e-05&amp;sourceID=14","7.18e-05")</f>
        <v>7.18e-05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HYPERLINK("http://141.218.60.56/~jnz1568/getInfo.php?workbook=20_05.xlsx&amp;sheet=U0&amp;row=2108&amp;col=6&amp;number=3.4&amp;sourceID=14","3.4")</f>
        <v>3.4</v>
      </c>
      <c r="G2108" s="4" t="str">
        <f>HYPERLINK("http://141.218.60.56/~jnz1568/getInfo.php?workbook=20_05.xlsx&amp;sheet=U0&amp;row=2108&amp;col=7&amp;number=7.18e-05&amp;sourceID=14","7.18e-05")</f>
        <v>7.18e-05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HYPERLINK("http://141.218.60.56/~jnz1568/getInfo.php?workbook=20_05.xlsx&amp;sheet=U0&amp;row=2109&amp;col=6&amp;number=3.5&amp;sourceID=14","3.5")</f>
        <v>3.5</v>
      </c>
      <c r="G2109" s="4" t="str">
        <f>HYPERLINK("http://141.218.60.56/~jnz1568/getInfo.php?workbook=20_05.xlsx&amp;sheet=U0&amp;row=2109&amp;col=7&amp;number=7.18e-05&amp;sourceID=14","7.18e-05")</f>
        <v>7.18e-05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HYPERLINK("http://141.218.60.56/~jnz1568/getInfo.php?workbook=20_05.xlsx&amp;sheet=U0&amp;row=2110&amp;col=6&amp;number=3.6&amp;sourceID=14","3.6")</f>
        <v>3.6</v>
      </c>
      <c r="G2110" s="4" t="str">
        <f>HYPERLINK("http://141.218.60.56/~jnz1568/getInfo.php?workbook=20_05.xlsx&amp;sheet=U0&amp;row=2110&amp;col=7&amp;number=7.18e-05&amp;sourceID=14","7.18e-05")</f>
        <v>7.18e-05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HYPERLINK("http://141.218.60.56/~jnz1568/getInfo.php?workbook=20_05.xlsx&amp;sheet=U0&amp;row=2111&amp;col=6&amp;number=3.7&amp;sourceID=14","3.7")</f>
        <v>3.7</v>
      </c>
      <c r="G2111" s="4" t="str">
        <f>HYPERLINK("http://141.218.60.56/~jnz1568/getInfo.php?workbook=20_05.xlsx&amp;sheet=U0&amp;row=2111&amp;col=7&amp;number=7.18e-05&amp;sourceID=14","7.18e-05")</f>
        <v>7.18e-05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HYPERLINK("http://141.218.60.56/~jnz1568/getInfo.php?workbook=20_05.xlsx&amp;sheet=U0&amp;row=2112&amp;col=6&amp;number=3.8&amp;sourceID=14","3.8")</f>
        <v>3.8</v>
      </c>
      <c r="G2112" s="4" t="str">
        <f>HYPERLINK("http://141.218.60.56/~jnz1568/getInfo.php?workbook=20_05.xlsx&amp;sheet=U0&amp;row=2112&amp;col=7&amp;number=7.18e-05&amp;sourceID=14","7.18e-05")</f>
        <v>7.18e-05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HYPERLINK("http://141.218.60.56/~jnz1568/getInfo.php?workbook=20_05.xlsx&amp;sheet=U0&amp;row=2113&amp;col=6&amp;number=3.9&amp;sourceID=14","3.9")</f>
        <v>3.9</v>
      </c>
      <c r="G2113" s="4" t="str">
        <f>HYPERLINK("http://141.218.60.56/~jnz1568/getInfo.php?workbook=20_05.xlsx&amp;sheet=U0&amp;row=2113&amp;col=7&amp;number=7.18e-05&amp;sourceID=14","7.18e-05")</f>
        <v>7.18e-05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HYPERLINK("http://141.218.60.56/~jnz1568/getInfo.php?workbook=20_05.xlsx&amp;sheet=U0&amp;row=2114&amp;col=6&amp;number=4&amp;sourceID=14","4")</f>
        <v>4</v>
      </c>
      <c r="G2114" s="4" t="str">
        <f>HYPERLINK("http://141.218.60.56/~jnz1568/getInfo.php?workbook=20_05.xlsx&amp;sheet=U0&amp;row=2114&amp;col=7&amp;number=7.18e-05&amp;sourceID=14","7.18e-05")</f>
        <v>7.18e-05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HYPERLINK("http://141.218.60.56/~jnz1568/getInfo.php?workbook=20_05.xlsx&amp;sheet=U0&amp;row=2115&amp;col=6&amp;number=4.1&amp;sourceID=14","4.1")</f>
        <v>4.1</v>
      </c>
      <c r="G2115" s="4" t="str">
        <f>HYPERLINK("http://141.218.60.56/~jnz1568/getInfo.php?workbook=20_05.xlsx&amp;sheet=U0&amp;row=2115&amp;col=7&amp;number=7.17e-05&amp;sourceID=14","7.17e-05")</f>
        <v>7.17e-05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HYPERLINK("http://141.218.60.56/~jnz1568/getInfo.php?workbook=20_05.xlsx&amp;sheet=U0&amp;row=2116&amp;col=6&amp;number=4.2&amp;sourceID=14","4.2")</f>
        <v>4.2</v>
      </c>
      <c r="G2116" s="4" t="str">
        <f>HYPERLINK("http://141.218.60.56/~jnz1568/getInfo.php?workbook=20_05.xlsx&amp;sheet=U0&amp;row=2116&amp;col=7&amp;number=7.17e-05&amp;sourceID=14","7.17e-05")</f>
        <v>7.17e-05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HYPERLINK("http://141.218.60.56/~jnz1568/getInfo.php?workbook=20_05.xlsx&amp;sheet=U0&amp;row=2117&amp;col=6&amp;number=4.3&amp;sourceID=14","4.3")</f>
        <v>4.3</v>
      </c>
      <c r="G2117" s="4" t="str">
        <f>HYPERLINK("http://141.218.60.56/~jnz1568/getInfo.php?workbook=20_05.xlsx&amp;sheet=U0&amp;row=2117&amp;col=7&amp;number=7.17e-05&amp;sourceID=14","7.17e-05")</f>
        <v>7.17e-05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HYPERLINK("http://141.218.60.56/~jnz1568/getInfo.php?workbook=20_05.xlsx&amp;sheet=U0&amp;row=2118&amp;col=6&amp;number=4.4&amp;sourceID=14","4.4")</f>
        <v>4.4</v>
      </c>
      <c r="G2118" s="4" t="str">
        <f>HYPERLINK("http://141.218.60.56/~jnz1568/getInfo.php?workbook=20_05.xlsx&amp;sheet=U0&amp;row=2118&amp;col=7&amp;number=7.17e-05&amp;sourceID=14","7.17e-05")</f>
        <v>7.17e-05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HYPERLINK("http://141.218.60.56/~jnz1568/getInfo.php?workbook=20_05.xlsx&amp;sheet=U0&amp;row=2119&amp;col=6&amp;number=4.5&amp;sourceID=14","4.5")</f>
        <v>4.5</v>
      </c>
      <c r="G2119" s="4" t="str">
        <f>HYPERLINK("http://141.218.60.56/~jnz1568/getInfo.php?workbook=20_05.xlsx&amp;sheet=U0&amp;row=2119&amp;col=7&amp;number=7.17e-05&amp;sourceID=14","7.17e-05")</f>
        <v>7.17e-05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HYPERLINK("http://141.218.60.56/~jnz1568/getInfo.php?workbook=20_05.xlsx&amp;sheet=U0&amp;row=2120&amp;col=6&amp;number=4.6&amp;sourceID=14","4.6")</f>
        <v>4.6</v>
      </c>
      <c r="G2120" s="4" t="str">
        <f>HYPERLINK("http://141.218.60.56/~jnz1568/getInfo.php?workbook=20_05.xlsx&amp;sheet=U0&amp;row=2120&amp;col=7&amp;number=7.17e-05&amp;sourceID=14","7.17e-05")</f>
        <v>7.17e-05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HYPERLINK("http://141.218.60.56/~jnz1568/getInfo.php?workbook=20_05.xlsx&amp;sheet=U0&amp;row=2121&amp;col=6&amp;number=4.7&amp;sourceID=14","4.7")</f>
        <v>4.7</v>
      </c>
      <c r="G2121" s="4" t="str">
        <f>HYPERLINK("http://141.218.60.56/~jnz1568/getInfo.php?workbook=20_05.xlsx&amp;sheet=U0&amp;row=2121&amp;col=7&amp;number=7.16e-05&amp;sourceID=14","7.16e-05")</f>
        <v>7.16e-05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HYPERLINK("http://141.218.60.56/~jnz1568/getInfo.php?workbook=20_05.xlsx&amp;sheet=U0&amp;row=2122&amp;col=6&amp;number=4.8&amp;sourceID=14","4.8")</f>
        <v>4.8</v>
      </c>
      <c r="G2122" s="4" t="str">
        <f>HYPERLINK("http://141.218.60.56/~jnz1568/getInfo.php?workbook=20_05.xlsx&amp;sheet=U0&amp;row=2122&amp;col=7&amp;number=7.16e-05&amp;sourceID=14","7.16e-05")</f>
        <v>7.16e-05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HYPERLINK("http://141.218.60.56/~jnz1568/getInfo.php?workbook=20_05.xlsx&amp;sheet=U0&amp;row=2123&amp;col=6&amp;number=4.9&amp;sourceID=14","4.9")</f>
        <v>4.9</v>
      </c>
      <c r="G2123" s="4" t="str">
        <f>HYPERLINK("http://141.218.60.56/~jnz1568/getInfo.php?workbook=20_05.xlsx&amp;sheet=U0&amp;row=2123&amp;col=7&amp;number=7.16e-05&amp;sourceID=14","7.16e-05")</f>
        <v>7.16e-05</v>
      </c>
    </row>
    <row r="2124" spans="1:7">
      <c r="A2124" s="3">
        <v>20</v>
      </c>
      <c r="B2124" s="3">
        <v>5</v>
      </c>
      <c r="C2124" s="3">
        <v>1</v>
      </c>
      <c r="D2124" s="3">
        <v>62</v>
      </c>
      <c r="E2124" s="3">
        <v>1</v>
      </c>
      <c r="F2124" s="4" t="str">
        <f>HYPERLINK("http://141.218.60.56/~jnz1568/getInfo.php?workbook=20_05.xlsx&amp;sheet=U0&amp;row=2124&amp;col=6&amp;number=3&amp;sourceID=14","3")</f>
        <v>3</v>
      </c>
      <c r="G2124" s="4" t="str">
        <f>HYPERLINK("http://141.218.60.56/~jnz1568/getInfo.php?workbook=20_05.xlsx&amp;sheet=U0&amp;row=2124&amp;col=7&amp;number=4.4e-05&amp;sourceID=14","4.4e-05")</f>
        <v>4.4e-05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HYPERLINK("http://141.218.60.56/~jnz1568/getInfo.php?workbook=20_05.xlsx&amp;sheet=U0&amp;row=2125&amp;col=6&amp;number=3.1&amp;sourceID=14","3.1")</f>
        <v>3.1</v>
      </c>
      <c r="G2125" s="4" t="str">
        <f>HYPERLINK("http://141.218.60.56/~jnz1568/getInfo.php?workbook=20_05.xlsx&amp;sheet=U0&amp;row=2125&amp;col=7&amp;number=4.4e-05&amp;sourceID=14","4.4e-05")</f>
        <v>4.4e-05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HYPERLINK("http://141.218.60.56/~jnz1568/getInfo.php?workbook=20_05.xlsx&amp;sheet=U0&amp;row=2126&amp;col=6&amp;number=3.2&amp;sourceID=14","3.2")</f>
        <v>3.2</v>
      </c>
      <c r="G2126" s="4" t="str">
        <f>HYPERLINK("http://141.218.60.56/~jnz1568/getInfo.php?workbook=20_05.xlsx&amp;sheet=U0&amp;row=2126&amp;col=7&amp;number=4.4e-05&amp;sourceID=14","4.4e-05")</f>
        <v>4.4e-05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HYPERLINK("http://141.218.60.56/~jnz1568/getInfo.php?workbook=20_05.xlsx&amp;sheet=U0&amp;row=2127&amp;col=6&amp;number=3.3&amp;sourceID=14","3.3")</f>
        <v>3.3</v>
      </c>
      <c r="G2127" s="4" t="str">
        <f>HYPERLINK("http://141.218.60.56/~jnz1568/getInfo.php?workbook=20_05.xlsx&amp;sheet=U0&amp;row=2127&amp;col=7&amp;number=4.4e-05&amp;sourceID=14","4.4e-05")</f>
        <v>4.4e-05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HYPERLINK("http://141.218.60.56/~jnz1568/getInfo.php?workbook=20_05.xlsx&amp;sheet=U0&amp;row=2128&amp;col=6&amp;number=3.4&amp;sourceID=14","3.4")</f>
        <v>3.4</v>
      </c>
      <c r="G2128" s="4" t="str">
        <f>HYPERLINK("http://141.218.60.56/~jnz1568/getInfo.php?workbook=20_05.xlsx&amp;sheet=U0&amp;row=2128&amp;col=7&amp;number=4.4e-05&amp;sourceID=14","4.4e-05")</f>
        <v>4.4e-05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HYPERLINK("http://141.218.60.56/~jnz1568/getInfo.php?workbook=20_05.xlsx&amp;sheet=U0&amp;row=2129&amp;col=6&amp;number=3.5&amp;sourceID=14","3.5")</f>
        <v>3.5</v>
      </c>
      <c r="G2129" s="4" t="str">
        <f>HYPERLINK("http://141.218.60.56/~jnz1568/getInfo.php?workbook=20_05.xlsx&amp;sheet=U0&amp;row=2129&amp;col=7&amp;number=4.4e-05&amp;sourceID=14","4.4e-05")</f>
        <v>4.4e-05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HYPERLINK("http://141.218.60.56/~jnz1568/getInfo.php?workbook=20_05.xlsx&amp;sheet=U0&amp;row=2130&amp;col=6&amp;number=3.6&amp;sourceID=14","3.6")</f>
        <v>3.6</v>
      </c>
      <c r="G2130" s="4" t="str">
        <f>HYPERLINK("http://141.218.60.56/~jnz1568/getInfo.php?workbook=20_05.xlsx&amp;sheet=U0&amp;row=2130&amp;col=7&amp;number=4.4e-05&amp;sourceID=14","4.4e-05")</f>
        <v>4.4e-05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HYPERLINK("http://141.218.60.56/~jnz1568/getInfo.php?workbook=20_05.xlsx&amp;sheet=U0&amp;row=2131&amp;col=6&amp;number=3.7&amp;sourceID=14","3.7")</f>
        <v>3.7</v>
      </c>
      <c r="G2131" s="4" t="str">
        <f>HYPERLINK("http://141.218.60.56/~jnz1568/getInfo.php?workbook=20_05.xlsx&amp;sheet=U0&amp;row=2131&amp;col=7&amp;number=4.4e-05&amp;sourceID=14","4.4e-05")</f>
        <v>4.4e-05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HYPERLINK("http://141.218.60.56/~jnz1568/getInfo.php?workbook=20_05.xlsx&amp;sheet=U0&amp;row=2132&amp;col=6&amp;number=3.8&amp;sourceID=14","3.8")</f>
        <v>3.8</v>
      </c>
      <c r="G2132" s="4" t="str">
        <f>HYPERLINK("http://141.218.60.56/~jnz1568/getInfo.php?workbook=20_05.xlsx&amp;sheet=U0&amp;row=2132&amp;col=7&amp;number=4.4e-05&amp;sourceID=14","4.4e-05")</f>
        <v>4.4e-05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HYPERLINK("http://141.218.60.56/~jnz1568/getInfo.php?workbook=20_05.xlsx&amp;sheet=U0&amp;row=2133&amp;col=6&amp;number=3.9&amp;sourceID=14","3.9")</f>
        <v>3.9</v>
      </c>
      <c r="G2133" s="4" t="str">
        <f>HYPERLINK("http://141.218.60.56/~jnz1568/getInfo.php?workbook=20_05.xlsx&amp;sheet=U0&amp;row=2133&amp;col=7&amp;number=4.4e-05&amp;sourceID=14","4.4e-05")</f>
        <v>4.4e-05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HYPERLINK("http://141.218.60.56/~jnz1568/getInfo.php?workbook=20_05.xlsx&amp;sheet=U0&amp;row=2134&amp;col=6&amp;number=4&amp;sourceID=14","4")</f>
        <v>4</v>
      </c>
      <c r="G2134" s="4" t="str">
        <f>HYPERLINK("http://141.218.60.56/~jnz1568/getInfo.php?workbook=20_05.xlsx&amp;sheet=U0&amp;row=2134&amp;col=7&amp;number=4.39e-05&amp;sourceID=14","4.39e-05")</f>
        <v>4.39e-05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HYPERLINK("http://141.218.60.56/~jnz1568/getInfo.php?workbook=20_05.xlsx&amp;sheet=U0&amp;row=2135&amp;col=6&amp;number=4.1&amp;sourceID=14","4.1")</f>
        <v>4.1</v>
      </c>
      <c r="G2135" s="4" t="str">
        <f>HYPERLINK("http://141.218.60.56/~jnz1568/getInfo.php?workbook=20_05.xlsx&amp;sheet=U0&amp;row=2135&amp;col=7&amp;number=4.39e-05&amp;sourceID=14","4.39e-05")</f>
        <v>4.39e-05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HYPERLINK("http://141.218.60.56/~jnz1568/getInfo.php?workbook=20_05.xlsx&amp;sheet=U0&amp;row=2136&amp;col=6&amp;number=4.2&amp;sourceID=14","4.2")</f>
        <v>4.2</v>
      </c>
      <c r="G2136" s="4" t="str">
        <f>HYPERLINK("http://141.218.60.56/~jnz1568/getInfo.php?workbook=20_05.xlsx&amp;sheet=U0&amp;row=2136&amp;col=7&amp;number=4.39e-05&amp;sourceID=14","4.39e-05")</f>
        <v>4.39e-05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HYPERLINK("http://141.218.60.56/~jnz1568/getInfo.php?workbook=20_05.xlsx&amp;sheet=U0&amp;row=2137&amp;col=6&amp;number=4.3&amp;sourceID=14","4.3")</f>
        <v>4.3</v>
      </c>
      <c r="G2137" s="4" t="str">
        <f>HYPERLINK("http://141.218.60.56/~jnz1568/getInfo.php?workbook=20_05.xlsx&amp;sheet=U0&amp;row=2137&amp;col=7&amp;number=4.39e-05&amp;sourceID=14","4.39e-05")</f>
        <v>4.39e-05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HYPERLINK("http://141.218.60.56/~jnz1568/getInfo.php?workbook=20_05.xlsx&amp;sheet=U0&amp;row=2138&amp;col=6&amp;number=4.4&amp;sourceID=14","4.4")</f>
        <v>4.4</v>
      </c>
      <c r="G2138" s="4" t="str">
        <f>HYPERLINK("http://141.218.60.56/~jnz1568/getInfo.php?workbook=20_05.xlsx&amp;sheet=U0&amp;row=2138&amp;col=7&amp;number=4.38e-05&amp;sourceID=14","4.38e-05")</f>
        <v>4.38e-05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HYPERLINK("http://141.218.60.56/~jnz1568/getInfo.php?workbook=20_05.xlsx&amp;sheet=U0&amp;row=2139&amp;col=6&amp;number=4.5&amp;sourceID=14","4.5")</f>
        <v>4.5</v>
      </c>
      <c r="G2139" s="4" t="str">
        <f>HYPERLINK("http://141.218.60.56/~jnz1568/getInfo.php?workbook=20_05.xlsx&amp;sheet=U0&amp;row=2139&amp;col=7&amp;number=4.38e-05&amp;sourceID=14","4.38e-05")</f>
        <v>4.38e-05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HYPERLINK("http://141.218.60.56/~jnz1568/getInfo.php?workbook=20_05.xlsx&amp;sheet=U0&amp;row=2140&amp;col=6&amp;number=4.6&amp;sourceID=14","4.6")</f>
        <v>4.6</v>
      </c>
      <c r="G2140" s="4" t="str">
        <f>HYPERLINK("http://141.218.60.56/~jnz1568/getInfo.php?workbook=20_05.xlsx&amp;sheet=U0&amp;row=2140&amp;col=7&amp;number=4.38e-05&amp;sourceID=14","4.38e-05")</f>
        <v>4.38e-05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HYPERLINK("http://141.218.60.56/~jnz1568/getInfo.php?workbook=20_05.xlsx&amp;sheet=U0&amp;row=2141&amp;col=6&amp;number=4.7&amp;sourceID=14","4.7")</f>
        <v>4.7</v>
      </c>
      <c r="G2141" s="4" t="str">
        <f>HYPERLINK("http://141.218.60.56/~jnz1568/getInfo.php?workbook=20_05.xlsx&amp;sheet=U0&amp;row=2141&amp;col=7&amp;number=4.37e-05&amp;sourceID=14","4.37e-05")</f>
        <v>4.37e-05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HYPERLINK("http://141.218.60.56/~jnz1568/getInfo.php?workbook=20_05.xlsx&amp;sheet=U0&amp;row=2142&amp;col=6&amp;number=4.8&amp;sourceID=14","4.8")</f>
        <v>4.8</v>
      </c>
      <c r="G2142" s="4" t="str">
        <f>HYPERLINK("http://141.218.60.56/~jnz1568/getInfo.php?workbook=20_05.xlsx&amp;sheet=U0&amp;row=2142&amp;col=7&amp;number=4.36e-05&amp;sourceID=14","4.36e-05")</f>
        <v>4.36e-05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HYPERLINK("http://141.218.60.56/~jnz1568/getInfo.php?workbook=20_05.xlsx&amp;sheet=U0&amp;row=2143&amp;col=6&amp;number=4.9&amp;sourceID=14","4.9")</f>
        <v>4.9</v>
      </c>
      <c r="G2143" s="4" t="str">
        <f>HYPERLINK("http://141.218.60.56/~jnz1568/getInfo.php?workbook=20_05.xlsx&amp;sheet=U0&amp;row=2143&amp;col=7&amp;number=4.35e-05&amp;sourceID=14","4.35e-05")</f>
        <v>4.35e-05</v>
      </c>
    </row>
    <row r="2144" spans="1:7">
      <c r="A2144" s="3">
        <v>20</v>
      </c>
      <c r="B2144" s="3">
        <v>5</v>
      </c>
      <c r="C2144" s="3">
        <v>1</v>
      </c>
      <c r="D2144" s="3">
        <v>63</v>
      </c>
      <c r="E2144" s="3">
        <v>1</v>
      </c>
      <c r="F2144" s="4" t="str">
        <f>HYPERLINK("http://141.218.60.56/~jnz1568/getInfo.php?workbook=20_05.xlsx&amp;sheet=U0&amp;row=2144&amp;col=6&amp;number=3&amp;sourceID=14","3")</f>
        <v>3</v>
      </c>
      <c r="G2144" s="4" t="str">
        <f>HYPERLINK("http://141.218.60.56/~jnz1568/getInfo.php?workbook=20_05.xlsx&amp;sheet=U0&amp;row=2144&amp;col=7&amp;number=1.47e-05&amp;sourceID=14","1.47e-05")</f>
        <v>1.47e-05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HYPERLINK("http://141.218.60.56/~jnz1568/getInfo.php?workbook=20_05.xlsx&amp;sheet=U0&amp;row=2145&amp;col=6&amp;number=3.1&amp;sourceID=14","3.1")</f>
        <v>3.1</v>
      </c>
      <c r="G2145" s="4" t="str">
        <f>HYPERLINK("http://141.218.60.56/~jnz1568/getInfo.php?workbook=20_05.xlsx&amp;sheet=U0&amp;row=2145&amp;col=7&amp;number=1.47e-05&amp;sourceID=14","1.47e-05")</f>
        <v>1.47e-05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HYPERLINK("http://141.218.60.56/~jnz1568/getInfo.php?workbook=20_05.xlsx&amp;sheet=U0&amp;row=2146&amp;col=6&amp;number=3.2&amp;sourceID=14","3.2")</f>
        <v>3.2</v>
      </c>
      <c r="G2146" s="4" t="str">
        <f>HYPERLINK("http://141.218.60.56/~jnz1568/getInfo.php?workbook=20_05.xlsx&amp;sheet=U0&amp;row=2146&amp;col=7&amp;number=1.47e-05&amp;sourceID=14","1.47e-05")</f>
        <v>1.47e-05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HYPERLINK("http://141.218.60.56/~jnz1568/getInfo.php?workbook=20_05.xlsx&amp;sheet=U0&amp;row=2147&amp;col=6&amp;number=3.3&amp;sourceID=14","3.3")</f>
        <v>3.3</v>
      </c>
      <c r="G2147" s="4" t="str">
        <f>HYPERLINK("http://141.218.60.56/~jnz1568/getInfo.php?workbook=20_05.xlsx&amp;sheet=U0&amp;row=2147&amp;col=7&amp;number=1.47e-05&amp;sourceID=14","1.47e-05")</f>
        <v>1.47e-05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HYPERLINK("http://141.218.60.56/~jnz1568/getInfo.php?workbook=20_05.xlsx&amp;sheet=U0&amp;row=2148&amp;col=6&amp;number=3.4&amp;sourceID=14","3.4")</f>
        <v>3.4</v>
      </c>
      <c r="G2148" s="4" t="str">
        <f>HYPERLINK("http://141.218.60.56/~jnz1568/getInfo.php?workbook=20_05.xlsx&amp;sheet=U0&amp;row=2148&amp;col=7&amp;number=1.47e-05&amp;sourceID=14","1.47e-05")</f>
        <v>1.47e-05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HYPERLINK("http://141.218.60.56/~jnz1568/getInfo.php?workbook=20_05.xlsx&amp;sheet=U0&amp;row=2149&amp;col=6&amp;number=3.5&amp;sourceID=14","3.5")</f>
        <v>3.5</v>
      </c>
      <c r="G2149" s="4" t="str">
        <f>HYPERLINK("http://141.218.60.56/~jnz1568/getInfo.php?workbook=20_05.xlsx&amp;sheet=U0&amp;row=2149&amp;col=7&amp;number=1.47e-05&amp;sourceID=14","1.47e-05")</f>
        <v>1.47e-05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HYPERLINK("http://141.218.60.56/~jnz1568/getInfo.php?workbook=20_05.xlsx&amp;sheet=U0&amp;row=2150&amp;col=6&amp;number=3.6&amp;sourceID=14","3.6")</f>
        <v>3.6</v>
      </c>
      <c r="G2150" s="4" t="str">
        <f>HYPERLINK("http://141.218.60.56/~jnz1568/getInfo.php?workbook=20_05.xlsx&amp;sheet=U0&amp;row=2150&amp;col=7&amp;number=1.47e-05&amp;sourceID=14","1.47e-05")</f>
        <v>1.47e-05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HYPERLINK("http://141.218.60.56/~jnz1568/getInfo.php?workbook=20_05.xlsx&amp;sheet=U0&amp;row=2151&amp;col=6&amp;number=3.7&amp;sourceID=14","3.7")</f>
        <v>3.7</v>
      </c>
      <c r="G2151" s="4" t="str">
        <f>HYPERLINK("http://141.218.60.56/~jnz1568/getInfo.php?workbook=20_05.xlsx&amp;sheet=U0&amp;row=2151&amp;col=7&amp;number=1.47e-05&amp;sourceID=14","1.47e-05")</f>
        <v>1.47e-05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HYPERLINK("http://141.218.60.56/~jnz1568/getInfo.php?workbook=20_05.xlsx&amp;sheet=U0&amp;row=2152&amp;col=6&amp;number=3.8&amp;sourceID=14","3.8")</f>
        <v>3.8</v>
      </c>
      <c r="G2152" s="4" t="str">
        <f>HYPERLINK("http://141.218.60.56/~jnz1568/getInfo.php?workbook=20_05.xlsx&amp;sheet=U0&amp;row=2152&amp;col=7&amp;number=1.47e-05&amp;sourceID=14","1.47e-05")</f>
        <v>1.47e-05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HYPERLINK("http://141.218.60.56/~jnz1568/getInfo.php?workbook=20_05.xlsx&amp;sheet=U0&amp;row=2153&amp;col=6&amp;number=3.9&amp;sourceID=14","3.9")</f>
        <v>3.9</v>
      </c>
      <c r="G2153" s="4" t="str">
        <f>HYPERLINK("http://141.218.60.56/~jnz1568/getInfo.php?workbook=20_05.xlsx&amp;sheet=U0&amp;row=2153&amp;col=7&amp;number=1.47e-05&amp;sourceID=14","1.47e-05")</f>
        <v>1.47e-05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HYPERLINK("http://141.218.60.56/~jnz1568/getInfo.php?workbook=20_05.xlsx&amp;sheet=U0&amp;row=2154&amp;col=6&amp;number=4&amp;sourceID=14","4")</f>
        <v>4</v>
      </c>
      <c r="G2154" s="4" t="str">
        <f>HYPERLINK("http://141.218.60.56/~jnz1568/getInfo.php?workbook=20_05.xlsx&amp;sheet=U0&amp;row=2154&amp;col=7&amp;number=1.47e-05&amp;sourceID=14","1.47e-05")</f>
        <v>1.47e-05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HYPERLINK("http://141.218.60.56/~jnz1568/getInfo.php?workbook=20_05.xlsx&amp;sheet=U0&amp;row=2155&amp;col=6&amp;number=4.1&amp;sourceID=14","4.1")</f>
        <v>4.1</v>
      </c>
      <c r="G2155" s="4" t="str">
        <f>HYPERLINK("http://141.218.60.56/~jnz1568/getInfo.php?workbook=20_05.xlsx&amp;sheet=U0&amp;row=2155&amp;col=7&amp;number=1.47e-05&amp;sourceID=14","1.47e-05")</f>
        <v>1.47e-05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HYPERLINK("http://141.218.60.56/~jnz1568/getInfo.php?workbook=20_05.xlsx&amp;sheet=U0&amp;row=2156&amp;col=6&amp;number=4.2&amp;sourceID=14","4.2")</f>
        <v>4.2</v>
      </c>
      <c r="G2156" s="4" t="str">
        <f>HYPERLINK("http://141.218.60.56/~jnz1568/getInfo.php?workbook=20_05.xlsx&amp;sheet=U0&amp;row=2156&amp;col=7&amp;number=1.47e-05&amp;sourceID=14","1.47e-05")</f>
        <v>1.47e-05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HYPERLINK("http://141.218.60.56/~jnz1568/getInfo.php?workbook=20_05.xlsx&amp;sheet=U0&amp;row=2157&amp;col=6&amp;number=4.3&amp;sourceID=14","4.3")</f>
        <v>4.3</v>
      </c>
      <c r="G2157" s="4" t="str">
        <f>HYPERLINK("http://141.218.60.56/~jnz1568/getInfo.php?workbook=20_05.xlsx&amp;sheet=U0&amp;row=2157&amp;col=7&amp;number=1.47e-05&amp;sourceID=14","1.47e-05")</f>
        <v>1.47e-05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HYPERLINK("http://141.218.60.56/~jnz1568/getInfo.php?workbook=20_05.xlsx&amp;sheet=U0&amp;row=2158&amp;col=6&amp;number=4.4&amp;sourceID=14","4.4")</f>
        <v>4.4</v>
      </c>
      <c r="G2158" s="4" t="str">
        <f>HYPERLINK("http://141.218.60.56/~jnz1568/getInfo.php?workbook=20_05.xlsx&amp;sheet=U0&amp;row=2158&amp;col=7&amp;number=1.47e-05&amp;sourceID=14","1.47e-05")</f>
        <v>1.47e-05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HYPERLINK("http://141.218.60.56/~jnz1568/getInfo.php?workbook=20_05.xlsx&amp;sheet=U0&amp;row=2159&amp;col=6&amp;number=4.5&amp;sourceID=14","4.5")</f>
        <v>4.5</v>
      </c>
      <c r="G2159" s="4" t="str">
        <f>HYPERLINK("http://141.218.60.56/~jnz1568/getInfo.php?workbook=20_05.xlsx&amp;sheet=U0&amp;row=2159&amp;col=7&amp;number=1.47e-05&amp;sourceID=14","1.47e-05")</f>
        <v>1.47e-05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HYPERLINK("http://141.218.60.56/~jnz1568/getInfo.php?workbook=20_05.xlsx&amp;sheet=U0&amp;row=2160&amp;col=6&amp;number=4.6&amp;sourceID=14","4.6")</f>
        <v>4.6</v>
      </c>
      <c r="G2160" s="4" t="str">
        <f>HYPERLINK("http://141.218.60.56/~jnz1568/getInfo.php?workbook=20_05.xlsx&amp;sheet=U0&amp;row=2160&amp;col=7&amp;number=1.47e-05&amp;sourceID=14","1.47e-05")</f>
        <v>1.47e-05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HYPERLINK("http://141.218.60.56/~jnz1568/getInfo.php?workbook=20_05.xlsx&amp;sheet=U0&amp;row=2161&amp;col=6&amp;number=4.7&amp;sourceID=14","4.7")</f>
        <v>4.7</v>
      </c>
      <c r="G2161" s="4" t="str">
        <f>HYPERLINK("http://141.218.60.56/~jnz1568/getInfo.php?workbook=20_05.xlsx&amp;sheet=U0&amp;row=2161&amp;col=7&amp;number=1.47e-05&amp;sourceID=14","1.47e-05")</f>
        <v>1.47e-05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HYPERLINK("http://141.218.60.56/~jnz1568/getInfo.php?workbook=20_05.xlsx&amp;sheet=U0&amp;row=2162&amp;col=6&amp;number=4.8&amp;sourceID=14","4.8")</f>
        <v>4.8</v>
      </c>
      <c r="G2162" s="4" t="str">
        <f>HYPERLINK("http://141.218.60.56/~jnz1568/getInfo.php?workbook=20_05.xlsx&amp;sheet=U0&amp;row=2162&amp;col=7&amp;number=1.47e-05&amp;sourceID=14","1.47e-05")</f>
        <v>1.47e-05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HYPERLINK("http://141.218.60.56/~jnz1568/getInfo.php?workbook=20_05.xlsx&amp;sheet=U0&amp;row=2163&amp;col=6&amp;number=4.9&amp;sourceID=14","4.9")</f>
        <v>4.9</v>
      </c>
      <c r="G2163" s="4" t="str">
        <f>HYPERLINK("http://141.218.60.56/~jnz1568/getInfo.php?workbook=20_05.xlsx&amp;sheet=U0&amp;row=2163&amp;col=7&amp;number=1.47e-05&amp;sourceID=14","1.47e-05")</f>
        <v>1.47e-05</v>
      </c>
    </row>
    <row r="2164" spans="1:7">
      <c r="A2164" s="3">
        <v>20</v>
      </c>
      <c r="B2164" s="3">
        <v>5</v>
      </c>
      <c r="C2164" s="3">
        <v>1</v>
      </c>
      <c r="D2164" s="3">
        <v>64</v>
      </c>
      <c r="E2164" s="3">
        <v>1</v>
      </c>
      <c r="F2164" s="4" t="str">
        <f>HYPERLINK("http://141.218.60.56/~jnz1568/getInfo.php?workbook=20_05.xlsx&amp;sheet=U0&amp;row=2164&amp;col=6&amp;number=3&amp;sourceID=14","3")</f>
        <v>3</v>
      </c>
      <c r="G2164" s="4" t="str">
        <f>HYPERLINK("http://141.218.60.56/~jnz1568/getInfo.php?workbook=20_05.xlsx&amp;sheet=U0&amp;row=2164&amp;col=7&amp;number=9.39e-05&amp;sourceID=14","9.39e-05")</f>
        <v>9.39e-05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HYPERLINK("http://141.218.60.56/~jnz1568/getInfo.php?workbook=20_05.xlsx&amp;sheet=U0&amp;row=2165&amp;col=6&amp;number=3.1&amp;sourceID=14","3.1")</f>
        <v>3.1</v>
      </c>
      <c r="G2165" s="4" t="str">
        <f>HYPERLINK("http://141.218.60.56/~jnz1568/getInfo.php?workbook=20_05.xlsx&amp;sheet=U0&amp;row=2165&amp;col=7&amp;number=9.39e-05&amp;sourceID=14","9.39e-05")</f>
        <v>9.39e-05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HYPERLINK("http://141.218.60.56/~jnz1568/getInfo.php?workbook=20_05.xlsx&amp;sheet=U0&amp;row=2166&amp;col=6&amp;number=3.2&amp;sourceID=14","3.2")</f>
        <v>3.2</v>
      </c>
      <c r="G2166" s="4" t="str">
        <f>HYPERLINK("http://141.218.60.56/~jnz1568/getInfo.php?workbook=20_05.xlsx&amp;sheet=U0&amp;row=2166&amp;col=7&amp;number=9.39e-05&amp;sourceID=14","9.39e-05")</f>
        <v>9.39e-05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HYPERLINK("http://141.218.60.56/~jnz1568/getInfo.php?workbook=20_05.xlsx&amp;sheet=U0&amp;row=2167&amp;col=6&amp;number=3.3&amp;sourceID=14","3.3")</f>
        <v>3.3</v>
      </c>
      <c r="G2167" s="4" t="str">
        <f>HYPERLINK("http://141.218.60.56/~jnz1568/getInfo.php?workbook=20_05.xlsx&amp;sheet=U0&amp;row=2167&amp;col=7&amp;number=9.39e-05&amp;sourceID=14","9.39e-05")</f>
        <v>9.39e-05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HYPERLINK("http://141.218.60.56/~jnz1568/getInfo.php?workbook=20_05.xlsx&amp;sheet=U0&amp;row=2168&amp;col=6&amp;number=3.4&amp;sourceID=14","3.4")</f>
        <v>3.4</v>
      </c>
      <c r="G2168" s="4" t="str">
        <f>HYPERLINK("http://141.218.60.56/~jnz1568/getInfo.php?workbook=20_05.xlsx&amp;sheet=U0&amp;row=2168&amp;col=7&amp;number=9.38e-05&amp;sourceID=14","9.38e-05")</f>
        <v>9.38e-05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HYPERLINK("http://141.218.60.56/~jnz1568/getInfo.php?workbook=20_05.xlsx&amp;sheet=U0&amp;row=2169&amp;col=6&amp;number=3.5&amp;sourceID=14","3.5")</f>
        <v>3.5</v>
      </c>
      <c r="G2169" s="4" t="str">
        <f>HYPERLINK("http://141.218.60.56/~jnz1568/getInfo.php?workbook=20_05.xlsx&amp;sheet=U0&amp;row=2169&amp;col=7&amp;number=9.38e-05&amp;sourceID=14","9.38e-05")</f>
        <v>9.38e-05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HYPERLINK("http://141.218.60.56/~jnz1568/getInfo.php?workbook=20_05.xlsx&amp;sheet=U0&amp;row=2170&amp;col=6&amp;number=3.6&amp;sourceID=14","3.6")</f>
        <v>3.6</v>
      </c>
      <c r="G2170" s="4" t="str">
        <f>HYPERLINK("http://141.218.60.56/~jnz1568/getInfo.php?workbook=20_05.xlsx&amp;sheet=U0&amp;row=2170&amp;col=7&amp;number=9.38e-05&amp;sourceID=14","9.38e-05")</f>
        <v>9.38e-05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HYPERLINK("http://141.218.60.56/~jnz1568/getInfo.php?workbook=20_05.xlsx&amp;sheet=U0&amp;row=2171&amp;col=6&amp;number=3.7&amp;sourceID=14","3.7")</f>
        <v>3.7</v>
      </c>
      <c r="G2171" s="4" t="str">
        <f>HYPERLINK("http://141.218.60.56/~jnz1568/getInfo.php?workbook=20_05.xlsx&amp;sheet=U0&amp;row=2171&amp;col=7&amp;number=9.38e-05&amp;sourceID=14","9.38e-05")</f>
        <v>9.38e-05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HYPERLINK("http://141.218.60.56/~jnz1568/getInfo.php?workbook=20_05.xlsx&amp;sheet=U0&amp;row=2172&amp;col=6&amp;number=3.8&amp;sourceID=14","3.8")</f>
        <v>3.8</v>
      </c>
      <c r="G2172" s="4" t="str">
        <f>HYPERLINK("http://141.218.60.56/~jnz1568/getInfo.php?workbook=20_05.xlsx&amp;sheet=U0&amp;row=2172&amp;col=7&amp;number=9.38e-05&amp;sourceID=14","9.38e-05")</f>
        <v>9.38e-05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HYPERLINK("http://141.218.60.56/~jnz1568/getInfo.php?workbook=20_05.xlsx&amp;sheet=U0&amp;row=2173&amp;col=6&amp;number=3.9&amp;sourceID=14","3.9")</f>
        <v>3.9</v>
      </c>
      <c r="G2173" s="4" t="str">
        <f>HYPERLINK("http://141.218.60.56/~jnz1568/getInfo.php?workbook=20_05.xlsx&amp;sheet=U0&amp;row=2173&amp;col=7&amp;number=9.38e-05&amp;sourceID=14","9.38e-05")</f>
        <v>9.38e-05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HYPERLINK("http://141.218.60.56/~jnz1568/getInfo.php?workbook=20_05.xlsx&amp;sheet=U0&amp;row=2174&amp;col=6&amp;number=4&amp;sourceID=14","4")</f>
        <v>4</v>
      </c>
      <c r="G2174" s="4" t="str">
        <f>HYPERLINK("http://141.218.60.56/~jnz1568/getInfo.php?workbook=20_05.xlsx&amp;sheet=U0&amp;row=2174&amp;col=7&amp;number=9.37e-05&amp;sourceID=14","9.37e-05")</f>
        <v>9.37e-05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HYPERLINK("http://141.218.60.56/~jnz1568/getInfo.php?workbook=20_05.xlsx&amp;sheet=U0&amp;row=2175&amp;col=6&amp;number=4.1&amp;sourceID=14","4.1")</f>
        <v>4.1</v>
      </c>
      <c r="G2175" s="4" t="str">
        <f>HYPERLINK("http://141.218.60.56/~jnz1568/getInfo.php?workbook=20_05.xlsx&amp;sheet=U0&amp;row=2175&amp;col=7&amp;number=9.37e-05&amp;sourceID=14","9.37e-05")</f>
        <v>9.37e-05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HYPERLINK("http://141.218.60.56/~jnz1568/getInfo.php?workbook=20_05.xlsx&amp;sheet=U0&amp;row=2176&amp;col=6&amp;number=4.2&amp;sourceID=14","4.2")</f>
        <v>4.2</v>
      </c>
      <c r="G2176" s="4" t="str">
        <f>HYPERLINK("http://141.218.60.56/~jnz1568/getInfo.php?workbook=20_05.xlsx&amp;sheet=U0&amp;row=2176&amp;col=7&amp;number=9.36e-05&amp;sourceID=14","9.36e-05")</f>
        <v>9.36e-05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HYPERLINK("http://141.218.60.56/~jnz1568/getInfo.php?workbook=20_05.xlsx&amp;sheet=U0&amp;row=2177&amp;col=6&amp;number=4.3&amp;sourceID=14","4.3")</f>
        <v>4.3</v>
      </c>
      <c r="G2177" s="4" t="str">
        <f>HYPERLINK("http://141.218.60.56/~jnz1568/getInfo.php?workbook=20_05.xlsx&amp;sheet=U0&amp;row=2177&amp;col=7&amp;number=9.36e-05&amp;sourceID=14","9.36e-05")</f>
        <v>9.36e-05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HYPERLINK("http://141.218.60.56/~jnz1568/getInfo.php?workbook=20_05.xlsx&amp;sheet=U0&amp;row=2178&amp;col=6&amp;number=4.4&amp;sourceID=14","4.4")</f>
        <v>4.4</v>
      </c>
      <c r="G2178" s="4" t="str">
        <f>HYPERLINK("http://141.218.60.56/~jnz1568/getInfo.php?workbook=20_05.xlsx&amp;sheet=U0&amp;row=2178&amp;col=7&amp;number=9.35e-05&amp;sourceID=14","9.35e-05")</f>
        <v>9.35e-05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HYPERLINK("http://141.218.60.56/~jnz1568/getInfo.php?workbook=20_05.xlsx&amp;sheet=U0&amp;row=2179&amp;col=6&amp;number=4.5&amp;sourceID=14","4.5")</f>
        <v>4.5</v>
      </c>
      <c r="G2179" s="4" t="str">
        <f>HYPERLINK("http://141.218.60.56/~jnz1568/getInfo.php?workbook=20_05.xlsx&amp;sheet=U0&amp;row=2179&amp;col=7&amp;number=9.34e-05&amp;sourceID=14","9.34e-05")</f>
        <v>9.34e-05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HYPERLINK("http://141.218.60.56/~jnz1568/getInfo.php?workbook=20_05.xlsx&amp;sheet=U0&amp;row=2180&amp;col=6&amp;number=4.6&amp;sourceID=14","4.6")</f>
        <v>4.6</v>
      </c>
      <c r="G2180" s="4" t="str">
        <f>HYPERLINK("http://141.218.60.56/~jnz1568/getInfo.php?workbook=20_05.xlsx&amp;sheet=U0&amp;row=2180&amp;col=7&amp;number=9.32e-05&amp;sourceID=14","9.32e-05")</f>
        <v>9.32e-05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HYPERLINK("http://141.218.60.56/~jnz1568/getInfo.php?workbook=20_05.xlsx&amp;sheet=U0&amp;row=2181&amp;col=6&amp;number=4.7&amp;sourceID=14","4.7")</f>
        <v>4.7</v>
      </c>
      <c r="G2181" s="4" t="str">
        <f>HYPERLINK("http://141.218.60.56/~jnz1568/getInfo.php?workbook=20_05.xlsx&amp;sheet=U0&amp;row=2181&amp;col=7&amp;number=9.31e-05&amp;sourceID=14","9.31e-05")</f>
        <v>9.31e-05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HYPERLINK("http://141.218.60.56/~jnz1568/getInfo.php?workbook=20_05.xlsx&amp;sheet=U0&amp;row=2182&amp;col=6&amp;number=4.8&amp;sourceID=14","4.8")</f>
        <v>4.8</v>
      </c>
      <c r="G2182" s="4" t="str">
        <f>HYPERLINK("http://141.218.60.56/~jnz1568/getInfo.php?workbook=20_05.xlsx&amp;sheet=U0&amp;row=2182&amp;col=7&amp;number=9.28e-05&amp;sourceID=14","9.28e-05")</f>
        <v>9.28e-05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HYPERLINK("http://141.218.60.56/~jnz1568/getInfo.php?workbook=20_05.xlsx&amp;sheet=U0&amp;row=2183&amp;col=6&amp;number=4.9&amp;sourceID=14","4.9")</f>
        <v>4.9</v>
      </c>
      <c r="G2183" s="4" t="str">
        <f>HYPERLINK("http://141.218.60.56/~jnz1568/getInfo.php?workbook=20_05.xlsx&amp;sheet=U0&amp;row=2183&amp;col=7&amp;number=9.26e-05&amp;sourceID=14","9.26e-05")</f>
        <v>9.26e-05</v>
      </c>
    </row>
    <row r="2184" spans="1:7">
      <c r="A2184" s="3">
        <v>20</v>
      </c>
      <c r="B2184" s="3">
        <v>5</v>
      </c>
      <c r="C2184" s="3">
        <v>1</v>
      </c>
      <c r="D2184" s="3">
        <v>65</v>
      </c>
      <c r="E2184" s="3">
        <v>1</v>
      </c>
      <c r="F2184" s="4" t="str">
        <f>HYPERLINK("http://141.218.60.56/~jnz1568/getInfo.php?workbook=20_05.xlsx&amp;sheet=U0&amp;row=2184&amp;col=6&amp;number=3&amp;sourceID=14","3")</f>
        <v>3</v>
      </c>
      <c r="G2184" s="4" t="str">
        <f>HYPERLINK("http://141.218.60.56/~jnz1568/getInfo.php?workbook=20_05.xlsx&amp;sheet=U0&amp;row=2184&amp;col=7&amp;number=4.25e-07&amp;sourceID=14","4.25e-07")</f>
        <v>4.25e-07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HYPERLINK("http://141.218.60.56/~jnz1568/getInfo.php?workbook=20_05.xlsx&amp;sheet=U0&amp;row=2185&amp;col=6&amp;number=3.1&amp;sourceID=14","3.1")</f>
        <v>3.1</v>
      </c>
      <c r="G2185" s="4" t="str">
        <f>HYPERLINK("http://141.218.60.56/~jnz1568/getInfo.php?workbook=20_05.xlsx&amp;sheet=U0&amp;row=2185&amp;col=7&amp;number=4.25e-07&amp;sourceID=14","4.25e-07")</f>
        <v>4.25e-07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HYPERLINK("http://141.218.60.56/~jnz1568/getInfo.php?workbook=20_05.xlsx&amp;sheet=U0&amp;row=2186&amp;col=6&amp;number=3.2&amp;sourceID=14","3.2")</f>
        <v>3.2</v>
      </c>
      <c r="G2186" s="4" t="str">
        <f>HYPERLINK("http://141.218.60.56/~jnz1568/getInfo.php?workbook=20_05.xlsx&amp;sheet=U0&amp;row=2186&amp;col=7&amp;number=4.25e-07&amp;sourceID=14","4.25e-07")</f>
        <v>4.25e-07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HYPERLINK("http://141.218.60.56/~jnz1568/getInfo.php?workbook=20_05.xlsx&amp;sheet=U0&amp;row=2187&amp;col=6&amp;number=3.3&amp;sourceID=14","3.3")</f>
        <v>3.3</v>
      </c>
      <c r="G2187" s="4" t="str">
        <f>HYPERLINK("http://141.218.60.56/~jnz1568/getInfo.php?workbook=20_05.xlsx&amp;sheet=U0&amp;row=2187&amp;col=7&amp;number=4.25e-07&amp;sourceID=14","4.25e-07")</f>
        <v>4.25e-07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HYPERLINK("http://141.218.60.56/~jnz1568/getInfo.php?workbook=20_05.xlsx&amp;sheet=U0&amp;row=2188&amp;col=6&amp;number=3.4&amp;sourceID=14","3.4")</f>
        <v>3.4</v>
      </c>
      <c r="G2188" s="4" t="str">
        <f>HYPERLINK("http://141.218.60.56/~jnz1568/getInfo.php?workbook=20_05.xlsx&amp;sheet=U0&amp;row=2188&amp;col=7&amp;number=4.25e-07&amp;sourceID=14","4.25e-07")</f>
        <v>4.25e-07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HYPERLINK("http://141.218.60.56/~jnz1568/getInfo.php?workbook=20_05.xlsx&amp;sheet=U0&amp;row=2189&amp;col=6&amp;number=3.5&amp;sourceID=14","3.5")</f>
        <v>3.5</v>
      </c>
      <c r="G2189" s="4" t="str">
        <f>HYPERLINK("http://141.218.60.56/~jnz1568/getInfo.php?workbook=20_05.xlsx&amp;sheet=U0&amp;row=2189&amp;col=7&amp;number=4.25e-07&amp;sourceID=14","4.25e-07")</f>
        <v>4.25e-07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HYPERLINK("http://141.218.60.56/~jnz1568/getInfo.php?workbook=20_05.xlsx&amp;sheet=U0&amp;row=2190&amp;col=6&amp;number=3.6&amp;sourceID=14","3.6")</f>
        <v>3.6</v>
      </c>
      <c r="G2190" s="4" t="str">
        <f>HYPERLINK("http://141.218.60.56/~jnz1568/getInfo.php?workbook=20_05.xlsx&amp;sheet=U0&amp;row=2190&amp;col=7&amp;number=4.25e-07&amp;sourceID=14","4.25e-07")</f>
        <v>4.25e-07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HYPERLINK("http://141.218.60.56/~jnz1568/getInfo.php?workbook=20_05.xlsx&amp;sheet=U0&amp;row=2191&amp;col=6&amp;number=3.7&amp;sourceID=14","3.7")</f>
        <v>3.7</v>
      </c>
      <c r="G2191" s="4" t="str">
        <f>HYPERLINK("http://141.218.60.56/~jnz1568/getInfo.php?workbook=20_05.xlsx&amp;sheet=U0&amp;row=2191&amp;col=7&amp;number=4.24e-07&amp;sourceID=14","4.24e-07")</f>
        <v>4.24e-07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HYPERLINK("http://141.218.60.56/~jnz1568/getInfo.php?workbook=20_05.xlsx&amp;sheet=U0&amp;row=2192&amp;col=6&amp;number=3.8&amp;sourceID=14","3.8")</f>
        <v>3.8</v>
      </c>
      <c r="G2192" s="4" t="str">
        <f>HYPERLINK("http://141.218.60.56/~jnz1568/getInfo.php?workbook=20_05.xlsx&amp;sheet=U0&amp;row=2192&amp;col=7&amp;number=4.24e-07&amp;sourceID=14","4.24e-07")</f>
        <v>4.24e-07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HYPERLINK("http://141.218.60.56/~jnz1568/getInfo.php?workbook=20_05.xlsx&amp;sheet=U0&amp;row=2193&amp;col=6&amp;number=3.9&amp;sourceID=14","3.9")</f>
        <v>3.9</v>
      </c>
      <c r="G2193" s="4" t="str">
        <f>HYPERLINK("http://141.218.60.56/~jnz1568/getInfo.php?workbook=20_05.xlsx&amp;sheet=U0&amp;row=2193&amp;col=7&amp;number=4.24e-07&amp;sourceID=14","4.24e-07")</f>
        <v>4.24e-07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HYPERLINK("http://141.218.60.56/~jnz1568/getInfo.php?workbook=20_05.xlsx&amp;sheet=U0&amp;row=2194&amp;col=6&amp;number=4&amp;sourceID=14","4")</f>
        <v>4</v>
      </c>
      <c r="G2194" s="4" t="str">
        <f>HYPERLINK("http://141.218.60.56/~jnz1568/getInfo.php?workbook=20_05.xlsx&amp;sheet=U0&amp;row=2194&amp;col=7&amp;number=4.24e-07&amp;sourceID=14","4.24e-07")</f>
        <v>4.24e-07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HYPERLINK("http://141.218.60.56/~jnz1568/getInfo.php?workbook=20_05.xlsx&amp;sheet=U0&amp;row=2195&amp;col=6&amp;number=4.1&amp;sourceID=14","4.1")</f>
        <v>4.1</v>
      </c>
      <c r="G2195" s="4" t="str">
        <f>HYPERLINK("http://141.218.60.56/~jnz1568/getInfo.php?workbook=20_05.xlsx&amp;sheet=U0&amp;row=2195&amp;col=7&amp;number=4.24e-07&amp;sourceID=14","4.24e-07")</f>
        <v>4.24e-07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HYPERLINK("http://141.218.60.56/~jnz1568/getInfo.php?workbook=20_05.xlsx&amp;sheet=U0&amp;row=2196&amp;col=6&amp;number=4.2&amp;sourceID=14","4.2")</f>
        <v>4.2</v>
      </c>
      <c r="G2196" s="4" t="str">
        <f>HYPERLINK("http://141.218.60.56/~jnz1568/getInfo.php?workbook=20_05.xlsx&amp;sheet=U0&amp;row=2196&amp;col=7&amp;number=4.23e-07&amp;sourceID=14","4.23e-07")</f>
        <v>4.23e-07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HYPERLINK("http://141.218.60.56/~jnz1568/getInfo.php?workbook=20_05.xlsx&amp;sheet=U0&amp;row=2197&amp;col=6&amp;number=4.3&amp;sourceID=14","4.3")</f>
        <v>4.3</v>
      </c>
      <c r="G2197" s="4" t="str">
        <f>HYPERLINK("http://141.218.60.56/~jnz1568/getInfo.php?workbook=20_05.xlsx&amp;sheet=U0&amp;row=2197&amp;col=7&amp;number=4.23e-07&amp;sourceID=14","4.23e-07")</f>
        <v>4.23e-07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HYPERLINK("http://141.218.60.56/~jnz1568/getInfo.php?workbook=20_05.xlsx&amp;sheet=U0&amp;row=2198&amp;col=6&amp;number=4.4&amp;sourceID=14","4.4")</f>
        <v>4.4</v>
      </c>
      <c r="G2198" s="4" t="str">
        <f>HYPERLINK("http://141.218.60.56/~jnz1568/getInfo.php?workbook=20_05.xlsx&amp;sheet=U0&amp;row=2198&amp;col=7&amp;number=4.22e-07&amp;sourceID=14","4.22e-07")</f>
        <v>4.22e-07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HYPERLINK("http://141.218.60.56/~jnz1568/getInfo.php?workbook=20_05.xlsx&amp;sheet=U0&amp;row=2199&amp;col=6&amp;number=4.5&amp;sourceID=14","4.5")</f>
        <v>4.5</v>
      </c>
      <c r="G2199" s="4" t="str">
        <f>HYPERLINK("http://141.218.60.56/~jnz1568/getInfo.php?workbook=20_05.xlsx&amp;sheet=U0&amp;row=2199&amp;col=7&amp;number=4.21e-07&amp;sourceID=14","4.21e-07")</f>
        <v>4.21e-07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HYPERLINK("http://141.218.60.56/~jnz1568/getInfo.php?workbook=20_05.xlsx&amp;sheet=U0&amp;row=2200&amp;col=6&amp;number=4.6&amp;sourceID=14","4.6")</f>
        <v>4.6</v>
      </c>
      <c r="G2200" s="4" t="str">
        <f>HYPERLINK("http://141.218.60.56/~jnz1568/getInfo.php?workbook=20_05.xlsx&amp;sheet=U0&amp;row=2200&amp;col=7&amp;number=4.2e-07&amp;sourceID=14","4.2e-07")</f>
        <v>4.2e-07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HYPERLINK("http://141.218.60.56/~jnz1568/getInfo.php?workbook=20_05.xlsx&amp;sheet=U0&amp;row=2201&amp;col=6&amp;number=4.7&amp;sourceID=14","4.7")</f>
        <v>4.7</v>
      </c>
      <c r="G2201" s="4" t="str">
        <f>HYPERLINK("http://141.218.60.56/~jnz1568/getInfo.php?workbook=20_05.xlsx&amp;sheet=U0&amp;row=2201&amp;col=7&amp;number=4.19e-07&amp;sourceID=14","4.19e-07")</f>
        <v>4.19e-07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HYPERLINK("http://141.218.60.56/~jnz1568/getInfo.php?workbook=20_05.xlsx&amp;sheet=U0&amp;row=2202&amp;col=6&amp;number=4.8&amp;sourceID=14","4.8")</f>
        <v>4.8</v>
      </c>
      <c r="G2202" s="4" t="str">
        <f>HYPERLINK("http://141.218.60.56/~jnz1568/getInfo.php?workbook=20_05.xlsx&amp;sheet=U0&amp;row=2202&amp;col=7&amp;number=4.17e-07&amp;sourceID=14","4.17e-07")</f>
        <v>4.17e-07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HYPERLINK("http://141.218.60.56/~jnz1568/getInfo.php?workbook=20_05.xlsx&amp;sheet=U0&amp;row=2203&amp;col=6&amp;number=4.9&amp;sourceID=14","4.9")</f>
        <v>4.9</v>
      </c>
      <c r="G2203" s="4" t="str">
        <f>HYPERLINK("http://141.218.60.56/~jnz1568/getInfo.php?workbook=20_05.xlsx&amp;sheet=U0&amp;row=2203&amp;col=7&amp;number=4.15e-07&amp;sourceID=14","4.15e-07")</f>
        <v>4.15e-07</v>
      </c>
    </row>
    <row r="2204" spans="1:7">
      <c r="A2204" s="3">
        <v>20</v>
      </c>
      <c r="B2204" s="3">
        <v>5</v>
      </c>
      <c r="C2204" s="3">
        <v>1</v>
      </c>
      <c r="D2204" s="3">
        <v>66</v>
      </c>
      <c r="E2204" s="3">
        <v>1</v>
      </c>
      <c r="F2204" s="4" t="str">
        <f>HYPERLINK("http://141.218.60.56/~jnz1568/getInfo.php?workbook=20_05.xlsx&amp;sheet=U0&amp;row=2204&amp;col=6&amp;number=3&amp;sourceID=14","3")</f>
        <v>3</v>
      </c>
      <c r="G2204" s="4" t="str">
        <f>HYPERLINK("http://141.218.60.56/~jnz1568/getInfo.php?workbook=20_05.xlsx&amp;sheet=U0&amp;row=2204&amp;col=7&amp;number=0.000104&amp;sourceID=14","0.000104")</f>
        <v>0.000104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HYPERLINK("http://141.218.60.56/~jnz1568/getInfo.php?workbook=20_05.xlsx&amp;sheet=U0&amp;row=2205&amp;col=6&amp;number=3.1&amp;sourceID=14","3.1")</f>
        <v>3.1</v>
      </c>
      <c r="G2205" s="4" t="str">
        <f>HYPERLINK("http://141.218.60.56/~jnz1568/getInfo.php?workbook=20_05.xlsx&amp;sheet=U0&amp;row=2205&amp;col=7&amp;number=0.000104&amp;sourceID=14","0.000104")</f>
        <v>0.000104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HYPERLINK("http://141.218.60.56/~jnz1568/getInfo.php?workbook=20_05.xlsx&amp;sheet=U0&amp;row=2206&amp;col=6&amp;number=3.2&amp;sourceID=14","3.2")</f>
        <v>3.2</v>
      </c>
      <c r="G2206" s="4" t="str">
        <f>HYPERLINK("http://141.218.60.56/~jnz1568/getInfo.php?workbook=20_05.xlsx&amp;sheet=U0&amp;row=2206&amp;col=7&amp;number=0.000104&amp;sourceID=14","0.000104")</f>
        <v>0.000104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HYPERLINK("http://141.218.60.56/~jnz1568/getInfo.php?workbook=20_05.xlsx&amp;sheet=U0&amp;row=2207&amp;col=6&amp;number=3.3&amp;sourceID=14","3.3")</f>
        <v>3.3</v>
      </c>
      <c r="G2207" s="4" t="str">
        <f>HYPERLINK("http://141.218.60.56/~jnz1568/getInfo.php?workbook=20_05.xlsx&amp;sheet=U0&amp;row=2207&amp;col=7&amp;number=0.000104&amp;sourceID=14","0.000104")</f>
        <v>0.000104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HYPERLINK("http://141.218.60.56/~jnz1568/getInfo.php?workbook=20_05.xlsx&amp;sheet=U0&amp;row=2208&amp;col=6&amp;number=3.4&amp;sourceID=14","3.4")</f>
        <v>3.4</v>
      </c>
      <c r="G2208" s="4" t="str">
        <f>HYPERLINK("http://141.218.60.56/~jnz1568/getInfo.php?workbook=20_05.xlsx&amp;sheet=U0&amp;row=2208&amp;col=7&amp;number=0.000104&amp;sourceID=14","0.000104")</f>
        <v>0.000104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HYPERLINK("http://141.218.60.56/~jnz1568/getInfo.php?workbook=20_05.xlsx&amp;sheet=U0&amp;row=2209&amp;col=6&amp;number=3.5&amp;sourceID=14","3.5")</f>
        <v>3.5</v>
      </c>
      <c r="G2209" s="4" t="str">
        <f>HYPERLINK("http://141.218.60.56/~jnz1568/getInfo.php?workbook=20_05.xlsx&amp;sheet=U0&amp;row=2209&amp;col=7&amp;number=0.000104&amp;sourceID=14","0.000104")</f>
        <v>0.000104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HYPERLINK("http://141.218.60.56/~jnz1568/getInfo.php?workbook=20_05.xlsx&amp;sheet=U0&amp;row=2210&amp;col=6&amp;number=3.6&amp;sourceID=14","3.6")</f>
        <v>3.6</v>
      </c>
      <c r="G2210" s="4" t="str">
        <f>HYPERLINK("http://141.218.60.56/~jnz1568/getInfo.php?workbook=20_05.xlsx&amp;sheet=U0&amp;row=2210&amp;col=7&amp;number=0.000104&amp;sourceID=14","0.000104")</f>
        <v>0.000104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HYPERLINK("http://141.218.60.56/~jnz1568/getInfo.php?workbook=20_05.xlsx&amp;sheet=U0&amp;row=2211&amp;col=6&amp;number=3.7&amp;sourceID=14","3.7")</f>
        <v>3.7</v>
      </c>
      <c r="G2211" s="4" t="str">
        <f>HYPERLINK("http://141.218.60.56/~jnz1568/getInfo.php?workbook=20_05.xlsx&amp;sheet=U0&amp;row=2211&amp;col=7&amp;number=0.000104&amp;sourceID=14","0.000104")</f>
        <v>0.000104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HYPERLINK("http://141.218.60.56/~jnz1568/getInfo.php?workbook=20_05.xlsx&amp;sheet=U0&amp;row=2212&amp;col=6&amp;number=3.8&amp;sourceID=14","3.8")</f>
        <v>3.8</v>
      </c>
      <c r="G2212" s="4" t="str">
        <f>HYPERLINK("http://141.218.60.56/~jnz1568/getInfo.php?workbook=20_05.xlsx&amp;sheet=U0&amp;row=2212&amp;col=7&amp;number=0.000104&amp;sourceID=14","0.000104")</f>
        <v>0.000104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HYPERLINK("http://141.218.60.56/~jnz1568/getInfo.php?workbook=20_05.xlsx&amp;sheet=U0&amp;row=2213&amp;col=6&amp;number=3.9&amp;sourceID=14","3.9")</f>
        <v>3.9</v>
      </c>
      <c r="G2213" s="4" t="str">
        <f>HYPERLINK("http://141.218.60.56/~jnz1568/getInfo.php?workbook=20_05.xlsx&amp;sheet=U0&amp;row=2213&amp;col=7&amp;number=0.000104&amp;sourceID=14","0.000104")</f>
        <v>0.000104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HYPERLINK("http://141.218.60.56/~jnz1568/getInfo.php?workbook=20_05.xlsx&amp;sheet=U0&amp;row=2214&amp;col=6&amp;number=4&amp;sourceID=14","4")</f>
        <v>4</v>
      </c>
      <c r="G2214" s="4" t="str">
        <f>HYPERLINK("http://141.218.60.56/~jnz1568/getInfo.php?workbook=20_05.xlsx&amp;sheet=U0&amp;row=2214&amp;col=7&amp;number=0.000104&amp;sourceID=14","0.000104")</f>
        <v>0.000104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HYPERLINK("http://141.218.60.56/~jnz1568/getInfo.php?workbook=20_05.xlsx&amp;sheet=U0&amp;row=2215&amp;col=6&amp;number=4.1&amp;sourceID=14","4.1")</f>
        <v>4.1</v>
      </c>
      <c r="G2215" s="4" t="str">
        <f>HYPERLINK("http://141.218.60.56/~jnz1568/getInfo.php?workbook=20_05.xlsx&amp;sheet=U0&amp;row=2215&amp;col=7&amp;number=0.000104&amp;sourceID=14","0.000104")</f>
        <v>0.000104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HYPERLINK("http://141.218.60.56/~jnz1568/getInfo.php?workbook=20_05.xlsx&amp;sheet=U0&amp;row=2216&amp;col=6&amp;number=4.2&amp;sourceID=14","4.2")</f>
        <v>4.2</v>
      </c>
      <c r="G2216" s="4" t="str">
        <f>HYPERLINK("http://141.218.60.56/~jnz1568/getInfo.php?workbook=20_05.xlsx&amp;sheet=U0&amp;row=2216&amp;col=7&amp;number=0.000104&amp;sourceID=14","0.000104")</f>
        <v>0.000104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HYPERLINK("http://141.218.60.56/~jnz1568/getInfo.php?workbook=20_05.xlsx&amp;sheet=U0&amp;row=2217&amp;col=6&amp;number=4.3&amp;sourceID=14","4.3")</f>
        <v>4.3</v>
      </c>
      <c r="G2217" s="4" t="str">
        <f>HYPERLINK("http://141.218.60.56/~jnz1568/getInfo.php?workbook=20_05.xlsx&amp;sheet=U0&amp;row=2217&amp;col=7&amp;number=0.000104&amp;sourceID=14","0.000104")</f>
        <v>0.000104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HYPERLINK("http://141.218.60.56/~jnz1568/getInfo.php?workbook=20_05.xlsx&amp;sheet=U0&amp;row=2218&amp;col=6&amp;number=4.4&amp;sourceID=14","4.4")</f>
        <v>4.4</v>
      </c>
      <c r="G2218" s="4" t="str">
        <f>HYPERLINK("http://141.218.60.56/~jnz1568/getInfo.php?workbook=20_05.xlsx&amp;sheet=U0&amp;row=2218&amp;col=7&amp;number=0.000103&amp;sourceID=14","0.000103")</f>
        <v>0.000103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HYPERLINK("http://141.218.60.56/~jnz1568/getInfo.php?workbook=20_05.xlsx&amp;sheet=U0&amp;row=2219&amp;col=6&amp;number=4.5&amp;sourceID=14","4.5")</f>
        <v>4.5</v>
      </c>
      <c r="G2219" s="4" t="str">
        <f>HYPERLINK("http://141.218.60.56/~jnz1568/getInfo.php?workbook=20_05.xlsx&amp;sheet=U0&amp;row=2219&amp;col=7&amp;number=0.000103&amp;sourceID=14","0.000103")</f>
        <v>0.000103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HYPERLINK("http://141.218.60.56/~jnz1568/getInfo.php?workbook=20_05.xlsx&amp;sheet=U0&amp;row=2220&amp;col=6&amp;number=4.6&amp;sourceID=14","4.6")</f>
        <v>4.6</v>
      </c>
      <c r="G2220" s="4" t="str">
        <f>HYPERLINK("http://141.218.60.56/~jnz1568/getInfo.php?workbook=20_05.xlsx&amp;sheet=U0&amp;row=2220&amp;col=7&amp;number=0.000103&amp;sourceID=14","0.000103")</f>
        <v>0.000103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HYPERLINK("http://141.218.60.56/~jnz1568/getInfo.php?workbook=20_05.xlsx&amp;sheet=U0&amp;row=2221&amp;col=6&amp;number=4.7&amp;sourceID=14","4.7")</f>
        <v>4.7</v>
      </c>
      <c r="G2221" s="4" t="str">
        <f>HYPERLINK("http://141.218.60.56/~jnz1568/getInfo.php?workbook=20_05.xlsx&amp;sheet=U0&amp;row=2221&amp;col=7&amp;number=0.000103&amp;sourceID=14","0.000103")</f>
        <v>0.000103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HYPERLINK("http://141.218.60.56/~jnz1568/getInfo.php?workbook=20_05.xlsx&amp;sheet=U0&amp;row=2222&amp;col=6&amp;number=4.8&amp;sourceID=14","4.8")</f>
        <v>4.8</v>
      </c>
      <c r="G2222" s="4" t="str">
        <f>HYPERLINK("http://141.218.60.56/~jnz1568/getInfo.php?workbook=20_05.xlsx&amp;sheet=U0&amp;row=2222&amp;col=7&amp;number=0.000102&amp;sourceID=14","0.000102")</f>
        <v>0.000102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HYPERLINK("http://141.218.60.56/~jnz1568/getInfo.php?workbook=20_05.xlsx&amp;sheet=U0&amp;row=2223&amp;col=6&amp;number=4.9&amp;sourceID=14","4.9")</f>
        <v>4.9</v>
      </c>
      <c r="G2223" s="4" t="str">
        <f>HYPERLINK("http://141.218.60.56/~jnz1568/getInfo.php?workbook=20_05.xlsx&amp;sheet=U0&amp;row=2223&amp;col=7&amp;number=0.000102&amp;sourceID=14","0.000102")</f>
        <v>0.000102</v>
      </c>
    </row>
    <row r="2224" spans="1:7">
      <c r="A2224" s="3">
        <v>20</v>
      </c>
      <c r="B2224" s="3">
        <v>5</v>
      </c>
      <c r="C2224" s="3">
        <v>1</v>
      </c>
      <c r="D2224" s="3">
        <v>67</v>
      </c>
      <c r="E2224" s="3">
        <v>1</v>
      </c>
      <c r="F2224" s="4" t="str">
        <f>HYPERLINK("http://141.218.60.56/~jnz1568/getInfo.php?workbook=20_05.xlsx&amp;sheet=U0&amp;row=2224&amp;col=6&amp;number=3&amp;sourceID=14","3")</f>
        <v>3</v>
      </c>
      <c r="G2224" s="4" t="str">
        <f>HYPERLINK("http://141.218.60.56/~jnz1568/getInfo.php?workbook=20_05.xlsx&amp;sheet=U0&amp;row=2224&amp;col=7&amp;number=8.89e-05&amp;sourceID=14","8.89e-05")</f>
        <v>8.89e-05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HYPERLINK("http://141.218.60.56/~jnz1568/getInfo.php?workbook=20_05.xlsx&amp;sheet=U0&amp;row=2225&amp;col=6&amp;number=3.1&amp;sourceID=14","3.1")</f>
        <v>3.1</v>
      </c>
      <c r="G2225" s="4" t="str">
        <f>HYPERLINK("http://141.218.60.56/~jnz1568/getInfo.php?workbook=20_05.xlsx&amp;sheet=U0&amp;row=2225&amp;col=7&amp;number=8.89e-05&amp;sourceID=14","8.89e-05")</f>
        <v>8.89e-05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HYPERLINK("http://141.218.60.56/~jnz1568/getInfo.php?workbook=20_05.xlsx&amp;sheet=U0&amp;row=2226&amp;col=6&amp;number=3.2&amp;sourceID=14","3.2")</f>
        <v>3.2</v>
      </c>
      <c r="G2226" s="4" t="str">
        <f>HYPERLINK("http://141.218.60.56/~jnz1568/getInfo.php?workbook=20_05.xlsx&amp;sheet=U0&amp;row=2226&amp;col=7&amp;number=8.89e-05&amp;sourceID=14","8.89e-05")</f>
        <v>8.89e-05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HYPERLINK("http://141.218.60.56/~jnz1568/getInfo.php?workbook=20_05.xlsx&amp;sheet=U0&amp;row=2227&amp;col=6&amp;number=3.3&amp;sourceID=14","3.3")</f>
        <v>3.3</v>
      </c>
      <c r="G2227" s="4" t="str">
        <f>HYPERLINK("http://141.218.60.56/~jnz1568/getInfo.php?workbook=20_05.xlsx&amp;sheet=U0&amp;row=2227&amp;col=7&amp;number=8.89e-05&amp;sourceID=14","8.89e-05")</f>
        <v>8.89e-05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HYPERLINK("http://141.218.60.56/~jnz1568/getInfo.php?workbook=20_05.xlsx&amp;sheet=U0&amp;row=2228&amp;col=6&amp;number=3.4&amp;sourceID=14","3.4")</f>
        <v>3.4</v>
      </c>
      <c r="G2228" s="4" t="str">
        <f>HYPERLINK("http://141.218.60.56/~jnz1568/getInfo.php?workbook=20_05.xlsx&amp;sheet=U0&amp;row=2228&amp;col=7&amp;number=8.88e-05&amp;sourceID=14","8.88e-05")</f>
        <v>8.88e-05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HYPERLINK("http://141.218.60.56/~jnz1568/getInfo.php?workbook=20_05.xlsx&amp;sheet=U0&amp;row=2229&amp;col=6&amp;number=3.5&amp;sourceID=14","3.5")</f>
        <v>3.5</v>
      </c>
      <c r="G2229" s="4" t="str">
        <f>HYPERLINK("http://141.218.60.56/~jnz1568/getInfo.php?workbook=20_05.xlsx&amp;sheet=U0&amp;row=2229&amp;col=7&amp;number=8.88e-05&amp;sourceID=14","8.88e-05")</f>
        <v>8.88e-05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HYPERLINK("http://141.218.60.56/~jnz1568/getInfo.php?workbook=20_05.xlsx&amp;sheet=U0&amp;row=2230&amp;col=6&amp;number=3.6&amp;sourceID=14","3.6")</f>
        <v>3.6</v>
      </c>
      <c r="G2230" s="4" t="str">
        <f>HYPERLINK("http://141.218.60.56/~jnz1568/getInfo.php?workbook=20_05.xlsx&amp;sheet=U0&amp;row=2230&amp;col=7&amp;number=8.88e-05&amp;sourceID=14","8.88e-05")</f>
        <v>8.88e-05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HYPERLINK("http://141.218.60.56/~jnz1568/getInfo.php?workbook=20_05.xlsx&amp;sheet=U0&amp;row=2231&amp;col=6&amp;number=3.7&amp;sourceID=14","3.7")</f>
        <v>3.7</v>
      </c>
      <c r="G2231" s="4" t="str">
        <f>HYPERLINK("http://141.218.60.56/~jnz1568/getInfo.php?workbook=20_05.xlsx&amp;sheet=U0&amp;row=2231&amp;col=7&amp;number=8.88e-05&amp;sourceID=14","8.88e-05")</f>
        <v>8.88e-05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HYPERLINK("http://141.218.60.56/~jnz1568/getInfo.php?workbook=20_05.xlsx&amp;sheet=U0&amp;row=2232&amp;col=6&amp;number=3.8&amp;sourceID=14","3.8")</f>
        <v>3.8</v>
      </c>
      <c r="G2232" s="4" t="str">
        <f>HYPERLINK("http://141.218.60.56/~jnz1568/getInfo.php?workbook=20_05.xlsx&amp;sheet=U0&amp;row=2232&amp;col=7&amp;number=8.88e-05&amp;sourceID=14","8.88e-05")</f>
        <v>8.88e-05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HYPERLINK("http://141.218.60.56/~jnz1568/getInfo.php?workbook=20_05.xlsx&amp;sheet=U0&amp;row=2233&amp;col=6&amp;number=3.9&amp;sourceID=14","3.9")</f>
        <v>3.9</v>
      </c>
      <c r="G2233" s="4" t="str">
        <f>HYPERLINK("http://141.218.60.56/~jnz1568/getInfo.php?workbook=20_05.xlsx&amp;sheet=U0&amp;row=2233&amp;col=7&amp;number=8.87e-05&amp;sourceID=14","8.87e-05")</f>
        <v>8.87e-05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HYPERLINK("http://141.218.60.56/~jnz1568/getInfo.php?workbook=20_05.xlsx&amp;sheet=U0&amp;row=2234&amp;col=6&amp;number=4&amp;sourceID=14","4")</f>
        <v>4</v>
      </c>
      <c r="G2234" s="4" t="str">
        <f>HYPERLINK("http://141.218.60.56/~jnz1568/getInfo.php?workbook=20_05.xlsx&amp;sheet=U0&amp;row=2234&amp;col=7&amp;number=8.87e-05&amp;sourceID=14","8.87e-05")</f>
        <v>8.87e-05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HYPERLINK("http://141.218.60.56/~jnz1568/getInfo.php?workbook=20_05.xlsx&amp;sheet=U0&amp;row=2235&amp;col=6&amp;number=4.1&amp;sourceID=14","4.1")</f>
        <v>4.1</v>
      </c>
      <c r="G2235" s="4" t="str">
        <f>HYPERLINK("http://141.218.60.56/~jnz1568/getInfo.php?workbook=20_05.xlsx&amp;sheet=U0&amp;row=2235&amp;col=7&amp;number=8.86e-05&amp;sourceID=14","8.86e-05")</f>
        <v>8.86e-05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HYPERLINK("http://141.218.60.56/~jnz1568/getInfo.php?workbook=20_05.xlsx&amp;sheet=U0&amp;row=2236&amp;col=6&amp;number=4.2&amp;sourceID=14","4.2")</f>
        <v>4.2</v>
      </c>
      <c r="G2236" s="4" t="str">
        <f>HYPERLINK("http://141.218.60.56/~jnz1568/getInfo.php?workbook=20_05.xlsx&amp;sheet=U0&amp;row=2236&amp;col=7&amp;number=8.85e-05&amp;sourceID=14","8.85e-05")</f>
        <v>8.85e-05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HYPERLINK("http://141.218.60.56/~jnz1568/getInfo.php?workbook=20_05.xlsx&amp;sheet=U0&amp;row=2237&amp;col=6&amp;number=4.3&amp;sourceID=14","4.3")</f>
        <v>4.3</v>
      </c>
      <c r="G2237" s="4" t="str">
        <f>HYPERLINK("http://141.218.60.56/~jnz1568/getInfo.php?workbook=20_05.xlsx&amp;sheet=U0&amp;row=2237&amp;col=7&amp;number=8.84e-05&amp;sourceID=14","8.84e-05")</f>
        <v>8.84e-05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HYPERLINK("http://141.218.60.56/~jnz1568/getInfo.php?workbook=20_05.xlsx&amp;sheet=U0&amp;row=2238&amp;col=6&amp;number=4.4&amp;sourceID=14","4.4")</f>
        <v>4.4</v>
      </c>
      <c r="G2238" s="4" t="str">
        <f>HYPERLINK("http://141.218.60.56/~jnz1568/getInfo.php?workbook=20_05.xlsx&amp;sheet=U0&amp;row=2238&amp;col=7&amp;number=8.83e-05&amp;sourceID=14","8.83e-05")</f>
        <v>8.83e-05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HYPERLINK("http://141.218.60.56/~jnz1568/getInfo.php?workbook=20_05.xlsx&amp;sheet=U0&amp;row=2239&amp;col=6&amp;number=4.5&amp;sourceID=14","4.5")</f>
        <v>4.5</v>
      </c>
      <c r="G2239" s="4" t="str">
        <f>HYPERLINK("http://141.218.60.56/~jnz1568/getInfo.php?workbook=20_05.xlsx&amp;sheet=U0&amp;row=2239&amp;col=7&amp;number=8.81e-05&amp;sourceID=14","8.81e-05")</f>
        <v>8.81e-05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HYPERLINK("http://141.218.60.56/~jnz1568/getInfo.php?workbook=20_05.xlsx&amp;sheet=U0&amp;row=2240&amp;col=6&amp;number=4.6&amp;sourceID=14","4.6")</f>
        <v>4.6</v>
      </c>
      <c r="G2240" s="4" t="str">
        <f>HYPERLINK("http://141.218.60.56/~jnz1568/getInfo.php?workbook=20_05.xlsx&amp;sheet=U0&amp;row=2240&amp;col=7&amp;number=8.79e-05&amp;sourceID=14","8.79e-05")</f>
        <v>8.79e-05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HYPERLINK("http://141.218.60.56/~jnz1568/getInfo.php?workbook=20_05.xlsx&amp;sheet=U0&amp;row=2241&amp;col=6&amp;number=4.7&amp;sourceID=14","4.7")</f>
        <v>4.7</v>
      </c>
      <c r="G2241" s="4" t="str">
        <f>HYPERLINK("http://141.218.60.56/~jnz1568/getInfo.php?workbook=20_05.xlsx&amp;sheet=U0&amp;row=2241&amp;col=7&amp;number=8.77e-05&amp;sourceID=14","8.77e-05")</f>
        <v>8.77e-05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HYPERLINK("http://141.218.60.56/~jnz1568/getInfo.php?workbook=20_05.xlsx&amp;sheet=U0&amp;row=2242&amp;col=6&amp;number=4.8&amp;sourceID=14","4.8")</f>
        <v>4.8</v>
      </c>
      <c r="G2242" s="4" t="str">
        <f>HYPERLINK("http://141.218.60.56/~jnz1568/getInfo.php?workbook=20_05.xlsx&amp;sheet=U0&amp;row=2242&amp;col=7&amp;number=8.74e-05&amp;sourceID=14","8.74e-05")</f>
        <v>8.74e-05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HYPERLINK("http://141.218.60.56/~jnz1568/getInfo.php?workbook=20_05.xlsx&amp;sheet=U0&amp;row=2243&amp;col=6&amp;number=4.9&amp;sourceID=14","4.9")</f>
        <v>4.9</v>
      </c>
      <c r="G2243" s="4" t="str">
        <f>HYPERLINK("http://141.218.60.56/~jnz1568/getInfo.php?workbook=20_05.xlsx&amp;sheet=U0&amp;row=2243&amp;col=7&amp;number=8.7e-05&amp;sourceID=14","8.7e-05")</f>
        <v>8.7e-05</v>
      </c>
    </row>
    <row r="2244" spans="1:7">
      <c r="A2244" s="3">
        <v>20</v>
      </c>
      <c r="B2244" s="3">
        <v>5</v>
      </c>
      <c r="C2244" s="3">
        <v>1</v>
      </c>
      <c r="D2244" s="3">
        <v>68</v>
      </c>
      <c r="E2244" s="3">
        <v>1</v>
      </c>
      <c r="F2244" s="4" t="str">
        <f>HYPERLINK("http://141.218.60.56/~jnz1568/getInfo.php?workbook=20_05.xlsx&amp;sheet=U0&amp;row=2244&amp;col=6&amp;number=3&amp;sourceID=14","3")</f>
        <v>3</v>
      </c>
      <c r="G2244" s="4" t="str">
        <f>HYPERLINK("http://141.218.60.56/~jnz1568/getInfo.php?workbook=20_05.xlsx&amp;sheet=U0&amp;row=2244&amp;col=7&amp;number=2.59e-05&amp;sourceID=14","2.59e-05")</f>
        <v>2.59e-05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HYPERLINK("http://141.218.60.56/~jnz1568/getInfo.php?workbook=20_05.xlsx&amp;sheet=U0&amp;row=2245&amp;col=6&amp;number=3.1&amp;sourceID=14","3.1")</f>
        <v>3.1</v>
      </c>
      <c r="G2245" s="4" t="str">
        <f>HYPERLINK("http://141.218.60.56/~jnz1568/getInfo.php?workbook=20_05.xlsx&amp;sheet=U0&amp;row=2245&amp;col=7&amp;number=2.59e-05&amp;sourceID=14","2.59e-05")</f>
        <v>2.59e-05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HYPERLINK("http://141.218.60.56/~jnz1568/getInfo.php?workbook=20_05.xlsx&amp;sheet=U0&amp;row=2246&amp;col=6&amp;number=3.2&amp;sourceID=14","3.2")</f>
        <v>3.2</v>
      </c>
      <c r="G2246" s="4" t="str">
        <f>HYPERLINK("http://141.218.60.56/~jnz1568/getInfo.php?workbook=20_05.xlsx&amp;sheet=U0&amp;row=2246&amp;col=7&amp;number=2.59e-05&amp;sourceID=14","2.59e-05")</f>
        <v>2.59e-05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HYPERLINK("http://141.218.60.56/~jnz1568/getInfo.php?workbook=20_05.xlsx&amp;sheet=U0&amp;row=2247&amp;col=6&amp;number=3.3&amp;sourceID=14","3.3")</f>
        <v>3.3</v>
      </c>
      <c r="G2247" s="4" t="str">
        <f>HYPERLINK("http://141.218.60.56/~jnz1568/getInfo.php?workbook=20_05.xlsx&amp;sheet=U0&amp;row=2247&amp;col=7&amp;number=2.59e-05&amp;sourceID=14","2.59e-05")</f>
        <v>2.59e-05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HYPERLINK("http://141.218.60.56/~jnz1568/getInfo.php?workbook=20_05.xlsx&amp;sheet=U0&amp;row=2248&amp;col=6&amp;number=3.4&amp;sourceID=14","3.4")</f>
        <v>3.4</v>
      </c>
      <c r="G2248" s="4" t="str">
        <f>HYPERLINK("http://141.218.60.56/~jnz1568/getInfo.php?workbook=20_05.xlsx&amp;sheet=U0&amp;row=2248&amp;col=7&amp;number=2.59e-05&amp;sourceID=14","2.59e-05")</f>
        <v>2.59e-05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HYPERLINK("http://141.218.60.56/~jnz1568/getInfo.php?workbook=20_05.xlsx&amp;sheet=U0&amp;row=2249&amp;col=6&amp;number=3.5&amp;sourceID=14","3.5")</f>
        <v>3.5</v>
      </c>
      <c r="G2249" s="4" t="str">
        <f>HYPERLINK("http://141.218.60.56/~jnz1568/getInfo.php?workbook=20_05.xlsx&amp;sheet=U0&amp;row=2249&amp;col=7&amp;number=2.59e-05&amp;sourceID=14","2.59e-05")</f>
        <v>2.59e-05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HYPERLINK("http://141.218.60.56/~jnz1568/getInfo.php?workbook=20_05.xlsx&amp;sheet=U0&amp;row=2250&amp;col=6&amp;number=3.6&amp;sourceID=14","3.6")</f>
        <v>3.6</v>
      </c>
      <c r="G2250" s="4" t="str">
        <f>HYPERLINK("http://141.218.60.56/~jnz1568/getInfo.php?workbook=20_05.xlsx&amp;sheet=U0&amp;row=2250&amp;col=7&amp;number=2.59e-05&amp;sourceID=14","2.59e-05")</f>
        <v>2.59e-05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HYPERLINK("http://141.218.60.56/~jnz1568/getInfo.php?workbook=20_05.xlsx&amp;sheet=U0&amp;row=2251&amp;col=6&amp;number=3.7&amp;sourceID=14","3.7")</f>
        <v>3.7</v>
      </c>
      <c r="G2251" s="4" t="str">
        <f>HYPERLINK("http://141.218.60.56/~jnz1568/getInfo.php?workbook=20_05.xlsx&amp;sheet=U0&amp;row=2251&amp;col=7&amp;number=2.59e-05&amp;sourceID=14","2.59e-05")</f>
        <v>2.59e-05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HYPERLINK("http://141.218.60.56/~jnz1568/getInfo.php?workbook=20_05.xlsx&amp;sheet=U0&amp;row=2252&amp;col=6&amp;number=3.8&amp;sourceID=14","3.8")</f>
        <v>3.8</v>
      </c>
      <c r="G2252" s="4" t="str">
        <f>HYPERLINK("http://141.218.60.56/~jnz1568/getInfo.php?workbook=20_05.xlsx&amp;sheet=U0&amp;row=2252&amp;col=7&amp;number=2.59e-05&amp;sourceID=14","2.59e-05")</f>
        <v>2.59e-05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HYPERLINK("http://141.218.60.56/~jnz1568/getInfo.php?workbook=20_05.xlsx&amp;sheet=U0&amp;row=2253&amp;col=6&amp;number=3.9&amp;sourceID=14","3.9")</f>
        <v>3.9</v>
      </c>
      <c r="G2253" s="4" t="str">
        <f>HYPERLINK("http://141.218.60.56/~jnz1568/getInfo.php?workbook=20_05.xlsx&amp;sheet=U0&amp;row=2253&amp;col=7&amp;number=2.59e-05&amp;sourceID=14","2.59e-05")</f>
        <v>2.59e-05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HYPERLINK("http://141.218.60.56/~jnz1568/getInfo.php?workbook=20_05.xlsx&amp;sheet=U0&amp;row=2254&amp;col=6&amp;number=4&amp;sourceID=14","4")</f>
        <v>4</v>
      </c>
      <c r="G2254" s="4" t="str">
        <f>HYPERLINK("http://141.218.60.56/~jnz1568/getInfo.php?workbook=20_05.xlsx&amp;sheet=U0&amp;row=2254&amp;col=7&amp;number=2.59e-05&amp;sourceID=14","2.59e-05")</f>
        <v>2.59e-05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HYPERLINK("http://141.218.60.56/~jnz1568/getInfo.php?workbook=20_05.xlsx&amp;sheet=U0&amp;row=2255&amp;col=6&amp;number=4.1&amp;sourceID=14","4.1")</f>
        <v>4.1</v>
      </c>
      <c r="G2255" s="4" t="str">
        <f>HYPERLINK("http://141.218.60.56/~jnz1568/getInfo.php?workbook=20_05.xlsx&amp;sheet=U0&amp;row=2255&amp;col=7&amp;number=2.59e-05&amp;sourceID=14","2.59e-05")</f>
        <v>2.59e-05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HYPERLINK("http://141.218.60.56/~jnz1568/getInfo.php?workbook=20_05.xlsx&amp;sheet=U0&amp;row=2256&amp;col=6&amp;number=4.2&amp;sourceID=14","4.2")</f>
        <v>4.2</v>
      </c>
      <c r="G2256" s="4" t="str">
        <f>HYPERLINK("http://141.218.60.56/~jnz1568/getInfo.php?workbook=20_05.xlsx&amp;sheet=U0&amp;row=2256&amp;col=7&amp;number=2.59e-05&amp;sourceID=14","2.59e-05")</f>
        <v>2.59e-05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HYPERLINK("http://141.218.60.56/~jnz1568/getInfo.php?workbook=20_05.xlsx&amp;sheet=U0&amp;row=2257&amp;col=6&amp;number=4.3&amp;sourceID=14","4.3")</f>
        <v>4.3</v>
      </c>
      <c r="G2257" s="4" t="str">
        <f>HYPERLINK("http://141.218.60.56/~jnz1568/getInfo.php?workbook=20_05.xlsx&amp;sheet=U0&amp;row=2257&amp;col=7&amp;number=2.59e-05&amp;sourceID=14","2.59e-05")</f>
        <v>2.59e-05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HYPERLINK("http://141.218.60.56/~jnz1568/getInfo.php?workbook=20_05.xlsx&amp;sheet=U0&amp;row=2258&amp;col=6&amp;number=4.4&amp;sourceID=14","4.4")</f>
        <v>4.4</v>
      </c>
      <c r="G2258" s="4" t="str">
        <f>HYPERLINK("http://141.218.60.56/~jnz1568/getInfo.php?workbook=20_05.xlsx&amp;sheet=U0&amp;row=2258&amp;col=7&amp;number=2.59e-05&amp;sourceID=14","2.59e-05")</f>
        <v>2.59e-05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HYPERLINK("http://141.218.60.56/~jnz1568/getInfo.php?workbook=20_05.xlsx&amp;sheet=U0&amp;row=2259&amp;col=6&amp;number=4.5&amp;sourceID=14","4.5")</f>
        <v>4.5</v>
      </c>
      <c r="G2259" s="4" t="str">
        <f>HYPERLINK("http://141.218.60.56/~jnz1568/getInfo.php?workbook=20_05.xlsx&amp;sheet=U0&amp;row=2259&amp;col=7&amp;number=2.59e-05&amp;sourceID=14","2.59e-05")</f>
        <v>2.59e-05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HYPERLINK("http://141.218.60.56/~jnz1568/getInfo.php?workbook=20_05.xlsx&amp;sheet=U0&amp;row=2260&amp;col=6&amp;number=4.6&amp;sourceID=14","4.6")</f>
        <v>4.6</v>
      </c>
      <c r="G2260" s="4" t="str">
        <f>HYPERLINK("http://141.218.60.56/~jnz1568/getInfo.php?workbook=20_05.xlsx&amp;sheet=U0&amp;row=2260&amp;col=7&amp;number=2.59e-05&amp;sourceID=14","2.59e-05")</f>
        <v>2.59e-05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HYPERLINK("http://141.218.60.56/~jnz1568/getInfo.php?workbook=20_05.xlsx&amp;sheet=U0&amp;row=2261&amp;col=6&amp;number=4.7&amp;sourceID=14","4.7")</f>
        <v>4.7</v>
      </c>
      <c r="G2261" s="4" t="str">
        <f>HYPERLINK("http://141.218.60.56/~jnz1568/getInfo.php?workbook=20_05.xlsx&amp;sheet=U0&amp;row=2261&amp;col=7&amp;number=2.59e-05&amp;sourceID=14","2.59e-05")</f>
        <v>2.59e-05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HYPERLINK("http://141.218.60.56/~jnz1568/getInfo.php?workbook=20_05.xlsx&amp;sheet=U0&amp;row=2262&amp;col=6&amp;number=4.8&amp;sourceID=14","4.8")</f>
        <v>4.8</v>
      </c>
      <c r="G2262" s="4" t="str">
        <f>HYPERLINK("http://141.218.60.56/~jnz1568/getInfo.php?workbook=20_05.xlsx&amp;sheet=U0&amp;row=2262&amp;col=7&amp;number=2.59e-05&amp;sourceID=14","2.59e-05")</f>
        <v>2.59e-05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HYPERLINK("http://141.218.60.56/~jnz1568/getInfo.php?workbook=20_05.xlsx&amp;sheet=U0&amp;row=2263&amp;col=6&amp;number=4.9&amp;sourceID=14","4.9")</f>
        <v>4.9</v>
      </c>
      <c r="G2263" s="4" t="str">
        <f>HYPERLINK("http://141.218.60.56/~jnz1568/getInfo.php?workbook=20_05.xlsx&amp;sheet=U0&amp;row=2263&amp;col=7&amp;number=2.59e-05&amp;sourceID=14","2.59e-05")</f>
        <v>2.59e-05</v>
      </c>
    </row>
    <row r="2264" spans="1:7">
      <c r="A2264" s="3">
        <v>20</v>
      </c>
      <c r="B2264" s="3">
        <v>5</v>
      </c>
      <c r="C2264" s="3">
        <v>1</v>
      </c>
      <c r="D2264" s="3">
        <v>69</v>
      </c>
      <c r="E2264" s="3">
        <v>1</v>
      </c>
      <c r="F2264" s="4" t="str">
        <f>HYPERLINK("http://141.218.60.56/~jnz1568/getInfo.php?workbook=20_05.xlsx&amp;sheet=U0&amp;row=2264&amp;col=6&amp;number=3&amp;sourceID=14","3")</f>
        <v>3</v>
      </c>
      <c r="G2264" s="4" t="str">
        <f>HYPERLINK("http://141.218.60.56/~jnz1568/getInfo.php?workbook=20_05.xlsx&amp;sheet=U0&amp;row=2264&amp;col=7&amp;number=6.24e-05&amp;sourceID=14","6.24e-05")</f>
        <v>6.24e-05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HYPERLINK("http://141.218.60.56/~jnz1568/getInfo.php?workbook=20_05.xlsx&amp;sheet=U0&amp;row=2265&amp;col=6&amp;number=3.1&amp;sourceID=14","3.1")</f>
        <v>3.1</v>
      </c>
      <c r="G2265" s="4" t="str">
        <f>HYPERLINK("http://141.218.60.56/~jnz1568/getInfo.php?workbook=20_05.xlsx&amp;sheet=U0&amp;row=2265&amp;col=7&amp;number=6.24e-05&amp;sourceID=14","6.24e-05")</f>
        <v>6.24e-05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HYPERLINK("http://141.218.60.56/~jnz1568/getInfo.php?workbook=20_05.xlsx&amp;sheet=U0&amp;row=2266&amp;col=6&amp;number=3.2&amp;sourceID=14","3.2")</f>
        <v>3.2</v>
      </c>
      <c r="G2266" s="4" t="str">
        <f>HYPERLINK("http://141.218.60.56/~jnz1568/getInfo.php?workbook=20_05.xlsx&amp;sheet=U0&amp;row=2266&amp;col=7&amp;number=6.24e-05&amp;sourceID=14","6.24e-05")</f>
        <v>6.24e-05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HYPERLINK("http://141.218.60.56/~jnz1568/getInfo.php?workbook=20_05.xlsx&amp;sheet=U0&amp;row=2267&amp;col=6&amp;number=3.3&amp;sourceID=14","3.3")</f>
        <v>3.3</v>
      </c>
      <c r="G2267" s="4" t="str">
        <f>HYPERLINK("http://141.218.60.56/~jnz1568/getInfo.php?workbook=20_05.xlsx&amp;sheet=U0&amp;row=2267&amp;col=7&amp;number=6.24e-05&amp;sourceID=14","6.24e-05")</f>
        <v>6.24e-05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HYPERLINK("http://141.218.60.56/~jnz1568/getInfo.php?workbook=20_05.xlsx&amp;sheet=U0&amp;row=2268&amp;col=6&amp;number=3.4&amp;sourceID=14","3.4")</f>
        <v>3.4</v>
      </c>
      <c r="G2268" s="4" t="str">
        <f>HYPERLINK("http://141.218.60.56/~jnz1568/getInfo.php?workbook=20_05.xlsx&amp;sheet=U0&amp;row=2268&amp;col=7&amp;number=6.24e-05&amp;sourceID=14","6.24e-05")</f>
        <v>6.24e-05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HYPERLINK("http://141.218.60.56/~jnz1568/getInfo.php?workbook=20_05.xlsx&amp;sheet=U0&amp;row=2269&amp;col=6&amp;number=3.5&amp;sourceID=14","3.5")</f>
        <v>3.5</v>
      </c>
      <c r="G2269" s="4" t="str">
        <f>HYPERLINK("http://141.218.60.56/~jnz1568/getInfo.php?workbook=20_05.xlsx&amp;sheet=U0&amp;row=2269&amp;col=7&amp;number=6.24e-05&amp;sourceID=14","6.24e-05")</f>
        <v>6.24e-05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HYPERLINK("http://141.218.60.56/~jnz1568/getInfo.php?workbook=20_05.xlsx&amp;sheet=U0&amp;row=2270&amp;col=6&amp;number=3.6&amp;sourceID=14","3.6")</f>
        <v>3.6</v>
      </c>
      <c r="G2270" s="4" t="str">
        <f>HYPERLINK("http://141.218.60.56/~jnz1568/getInfo.php?workbook=20_05.xlsx&amp;sheet=U0&amp;row=2270&amp;col=7&amp;number=6.24e-05&amp;sourceID=14","6.24e-05")</f>
        <v>6.24e-05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HYPERLINK("http://141.218.60.56/~jnz1568/getInfo.php?workbook=20_05.xlsx&amp;sheet=U0&amp;row=2271&amp;col=6&amp;number=3.7&amp;sourceID=14","3.7")</f>
        <v>3.7</v>
      </c>
      <c r="G2271" s="4" t="str">
        <f>HYPERLINK("http://141.218.60.56/~jnz1568/getInfo.php?workbook=20_05.xlsx&amp;sheet=U0&amp;row=2271&amp;col=7&amp;number=6.24e-05&amp;sourceID=14","6.24e-05")</f>
        <v>6.24e-05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HYPERLINK("http://141.218.60.56/~jnz1568/getInfo.php?workbook=20_05.xlsx&amp;sheet=U0&amp;row=2272&amp;col=6&amp;number=3.8&amp;sourceID=14","3.8")</f>
        <v>3.8</v>
      </c>
      <c r="G2272" s="4" t="str">
        <f>HYPERLINK("http://141.218.60.56/~jnz1568/getInfo.php?workbook=20_05.xlsx&amp;sheet=U0&amp;row=2272&amp;col=7&amp;number=6.24e-05&amp;sourceID=14","6.24e-05")</f>
        <v>6.24e-05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HYPERLINK("http://141.218.60.56/~jnz1568/getInfo.php?workbook=20_05.xlsx&amp;sheet=U0&amp;row=2273&amp;col=6&amp;number=3.9&amp;sourceID=14","3.9")</f>
        <v>3.9</v>
      </c>
      <c r="G2273" s="4" t="str">
        <f>HYPERLINK("http://141.218.60.56/~jnz1568/getInfo.php?workbook=20_05.xlsx&amp;sheet=U0&amp;row=2273&amp;col=7&amp;number=6.24e-05&amp;sourceID=14","6.24e-05")</f>
        <v>6.24e-05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HYPERLINK("http://141.218.60.56/~jnz1568/getInfo.php?workbook=20_05.xlsx&amp;sheet=U0&amp;row=2274&amp;col=6&amp;number=4&amp;sourceID=14","4")</f>
        <v>4</v>
      </c>
      <c r="G2274" s="4" t="str">
        <f>HYPERLINK("http://141.218.60.56/~jnz1568/getInfo.php?workbook=20_05.xlsx&amp;sheet=U0&amp;row=2274&amp;col=7&amp;number=6.24e-05&amp;sourceID=14","6.24e-05")</f>
        <v>6.24e-05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HYPERLINK("http://141.218.60.56/~jnz1568/getInfo.php?workbook=20_05.xlsx&amp;sheet=U0&amp;row=2275&amp;col=6&amp;number=4.1&amp;sourceID=14","4.1")</f>
        <v>4.1</v>
      </c>
      <c r="G2275" s="4" t="str">
        <f>HYPERLINK("http://141.218.60.56/~jnz1568/getInfo.php?workbook=20_05.xlsx&amp;sheet=U0&amp;row=2275&amp;col=7&amp;number=6.24e-05&amp;sourceID=14","6.24e-05")</f>
        <v>6.24e-05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HYPERLINK("http://141.218.60.56/~jnz1568/getInfo.php?workbook=20_05.xlsx&amp;sheet=U0&amp;row=2276&amp;col=6&amp;number=4.2&amp;sourceID=14","4.2")</f>
        <v>4.2</v>
      </c>
      <c r="G2276" s="4" t="str">
        <f>HYPERLINK("http://141.218.60.56/~jnz1568/getInfo.php?workbook=20_05.xlsx&amp;sheet=U0&amp;row=2276&amp;col=7&amp;number=6.24e-05&amp;sourceID=14","6.24e-05")</f>
        <v>6.24e-05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HYPERLINK("http://141.218.60.56/~jnz1568/getInfo.php?workbook=20_05.xlsx&amp;sheet=U0&amp;row=2277&amp;col=6&amp;number=4.3&amp;sourceID=14","4.3")</f>
        <v>4.3</v>
      </c>
      <c r="G2277" s="4" t="str">
        <f>HYPERLINK("http://141.218.60.56/~jnz1568/getInfo.php?workbook=20_05.xlsx&amp;sheet=U0&amp;row=2277&amp;col=7&amp;number=6.24e-05&amp;sourceID=14","6.24e-05")</f>
        <v>6.24e-05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HYPERLINK("http://141.218.60.56/~jnz1568/getInfo.php?workbook=20_05.xlsx&amp;sheet=U0&amp;row=2278&amp;col=6&amp;number=4.4&amp;sourceID=14","4.4")</f>
        <v>4.4</v>
      </c>
      <c r="G2278" s="4" t="str">
        <f>HYPERLINK("http://141.218.60.56/~jnz1568/getInfo.php?workbook=20_05.xlsx&amp;sheet=U0&amp;row=2278&amp;col=7&amp;number=6.24e-05&amp;sourceID=14","6.24e-05")</f>
        <v>6.24e-05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HYPERLINK("http://141.218.60.56/~jnz1568/getInfo.php?workbook=20_05.xlsx&amp;sheet=U0&amp;row=2279&amp;col=6&amp;number=4.5&amp;sourceID=14","4.5")</f>
        <v>4.5</v>
      </c>
      <c r="G2279" s="4" t="str">
        <f>HYPERLINK("http://141.218.60.56/~jnz1568/getInfo.php?workbook=20_05.xlsx&amp;sheet=U0&amp;row=2279&amp;col=7&amp;number=6.24e-05&amp;sourceID=14","6.24e-05")</f>
        <v>6.24e-05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HYPERLINK("http://141.218.60.56/~jnz1568/getInfo.php?workbook=20_05.xlsx&amp;sheet=U0&amp;row=2280&amp;col=6&amp;number=4.6&amp;sourceID=14","4.6")</f>
        <v>4.6</v>
      </c>
      <c r="G2280" s="4" t="str">
        <f>HYPERLINK("http://141.218.60.56/~jnz1568/getInfo.php?workbook=20_05.xlsx&amp;sheet=U0&amp;row=2280&amp;col=7&amp;number=6.24e-05&amp;sourceID=14","6.24e-05")</f>
        <v>6.24e-05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HYPERLINK("http://141.218.60.56/~jnz1568/getInfo.php?workbook=20_05.xlsx&amp;sheet=U0&amp;row=2281&amp;col=6&amp;number=4.7&amp;sourceID=14","4.7")</f>
        <v>4.7</v>
      </c>
      <c r="G2281" s="4" t="str">
        <f>HYPERLINK("http://141.218.60.56/~jnz1568/getInfo.php?workbook=20_05.xlsx&amp;sheet=U0&amp;row=2281&amp;col=7&amp;number=6.24e-05&amp;sourceID=14","6.24e-05")</f>
        <v>6.24e-05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HYPERLINK("http://141.218.60.56/~jnz1568/getInfo.php?workbook=20_05.xlsx&amp;sheet=U0&amp;row=2282&amp;col=6&amp;number=4.8&amp;sourceID=14","4.8")</f>
        <v>4.8</v>
      </c>
      <c r="G2282" s="4" t="str">
        <f>HYPERLINK("http://141.218.60.56/~jnz1568/getInfo.php?workbook=20_05.xlsx&amp;sheet=U0&amp;row=2282&amp;col=7&amp;number=6.24e-05&amp;sourceID=14","6.24e-05")</f>
        <v>6.24e-05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HYPERLINK("http://141.218.60.56/~jnz1568/getInfo.php?workbook=20_05.xlsx&amp;sheet=U0&amp;row=2283&amp;col=6&amp;number=4.9&amp;sourceID=14","4.9")</f>
        <v>4.9</v>
      </c>
      <c r="G2283" s="4" t="str">
        <f>HYPERLINK("http://141.218.60.56/~jnz1568/getInfo.php?workbook=20_05.xlsx&amp;sheet=U0&amp;row=2283&amp;col=7&amp;number=6.24e-05&amp;sourceID=14","6.24e-05")</f>
        <v>6.24e-05</v>
      </c>
    </row>
    <row r="2284" spans="1:7">
      <c r="A2284" s="3">
        <v>20</v>
      </c>
      <c r="B2284" s="3">
        <v>5</v>
      </c>
      <c r="C2284" s="3">
        <v>1</v>
      </c>
      <c r="D2284" s="3">
        <v>70</v>
      </c>
      <c r="E2284" s="3">
        <v>1</v>
      </c>
      <c r="F2284" s="4" t="str">
        <f>HYPERLINK("http://141.218.60.56/~jnz1568/getInfo.php?workbook=20_05.xlsx&amp;sheet=U0&amp;row=2284&amp;col=6&amp;number=3&amp;sourceID=14","3")</f>
        <v>3</v>
      </c>
      <c r="G2284" s="4" t="str">
        <f>HYPERLINK("http://141.218.60.56/~jnz1568/getInfo.php?workbook=20_05.xlsx&amp;sheet=U0&amp;row=2284&amp;col=7&amp;number=3.88e-05&amp;sourceID=14","3.88e-05")</f>
        <v>3.88e-05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HYPERLINK("http://141.218.60.56/~jnz1568/getInfo.php?workbook=20_05.xlsx&amp;sheet=U0&amp;row=2285&amp;col=6&amp;number=3.1&amp;sourceID=14","3.1")</f>
        <v>3.1</v>
      </c>
      <c r="G2285" s="4" t="str">
        <f>HYPERLINK("http://141.218.60.56/~jnz1568/getInfo.php?workbook=20_05.xlsx&amp;sheet=U0&amp;row=2285&amp;col=7&amp;number=3.88e-05&amp;sourceID=14","3.88e-05")</f>
        <v>3.88e-05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HYPERLINK("http://141.218.60.56/~jnz1568/getInfo.php?workbook=20_05.xlsx&amp;sheet=U0&amp;row=2286&amp;col=6&amp;number=3.2&amp;sourceID=14","3.2")</f>
        <v>3.2</v>
      </c>
      <c r="G2286" s="4" t="str">
        <f>HYPERLINK("http://141.218.60.56/~jnz1568/getInfo.php?workbook=20_05.xlsx&amp;sheet=U0&amp;row=2286&amp;col=7&amp;number=3.88e-05&amp;sourceID=14","3.88e-05")</f>
        <v>3.88e-05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HYPERLINK("http://141.218.60.56/~jnz1568/getInfo.php?workbook=20_05.xlsx&amp;sheet=U0&amp;row=2287&amp;col=6&amp;number=3.3&amp;sourceID=14","3.3")</f>
        <v>3.3</v>
      </c>
      <c r="G2287" s="4" t="str">
        <f>HYPERLINK("http://141.218.60.56/~jnz1568/getInfo.php?workbook=20_05.xlsx&amp;sheet=U0&amp;row=2287&amp;col=7&amp;number=3.88e-05&amp;sourceID=14","3.88e-05")</f>
        <v>3.88e-05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HYPERLINK("http://141.218.60.56/~jnz1568/getInfo.php?workbook=20_05.xlsx&amp;sheet=U0&amp;row=2288&amp;col=6&amp;number=3.4&amp;sourceID=14","3.4")</f>
        <v>3.4</v>
      </c>
      <c r="G2288" s="4" t="str">
        <f>HYPERLINK("http://141.218.60.56/~jnz1568/getInfo.php?workbook=20_05.xlsx&amp;sheet=U0&amp;row=2288&amp;col=7&amp;number=3.88e-05&amp;sourceID=14","3.88e-05")</f>
        <v>3.88e-05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HYPERLINK("http://141.218.60.56/~jnz1568/getInfo.php?workbook=20_05.xlsx&amp;sheet=U0&amp;row=2289&amp;col=6&amp;number=3.5&amp;sourceID=14","3.5")</f>
        <v>3.5</v>
      </c>
      <c r="G2289" s="4" t="str">
        <f>HYPERLINK("http://141.218.60.56/~jnz1568/getInfo.php?workbook=20_05.xlsx&amp;sheet=U0&amp;row=2289&amp;col=7&amp;number=3.88e-05&amp;sourceID=14","3.88e-05")</f>
        <v>3.88e-05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HYPERLINK("http://141.218.60.56/~jnz1568/getInfo.php?workbook=20_05.xlsx&amp;sheet=U0&amp;row=2290&amp;col=6&amp;number=3.6&amp;sourceID=14","3.6")</f>
        <v>3.6</v>
      </c>
      <c r="G2290" s="4" t="str">
        <f>HYPERLINK("http://141.218.60.56/~jnz1568/getInfo.php?workbook=20_05.xlsx&amp;sheet=U0&amp;row=2290&amp;col=7&amp;number=3.88e-05&amp;sourceID=14","3.88e-05")</f>
        <v>3.88e-05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HYPERLINK("http://141.218.60.56/~jnz1568/getInfo.php?workbook=20_05.xlsx&amp;sheet=U0&amp;row=2291&amp;col=6&amp;number=3.7&amp;sourceID=14","3.7")</f>
        <v>3.7</v>
      </c>
      <c r="G2291" s="4" t="str">
        <f>HYPERLINK("http://141.218.60.56/~jnz1568/getInfo.php?workbook=20_05.xlsx&amp;sheet=U0&amp;row=2291&amp;col=7&amp;number=3.88e-05&amp;sourceID=14","3.88e-05")</f>
        <v>3.88e-05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HYPERLINK("http://141.218.60.56/~jnz1568/getInfo.php?workbook=20_05.xlsx&amp;sheet=U0&amp;row=2292&amp;col=6&amp;number=3.8&amp;sourceID=14","3.8")</f>
        <v>3.8</v>
      </c>
      <c r="G2292" s="4" t="str">
        <f>HYPERLINK("http://141.218.60.56/~jnz1568/getInfo.php?workbook=20_05.xlsx&amp;sheet=U0&amp;row=2292&amp;col=7&amp;number=3.88e-05&amp;sourceID=14","3.88e-05")</f>
        <v>3.88e-05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HYPERLINK("http://141.218.60.56/~jnz1568/getInfo.php?workbook=20_05.xlsx&amp;sheet=U0&amp;row=2293&amp;col=6&amp;number=3.9&amp;sourceID=14","3.9")</f>
        <v>3.9</v>
      </c>
      <c r="G2293" s="4" t="str">
        <f>HYPERLINK("http://141.218.60.56/~jnz1568/getInfo.php?workbook=20_05.xlsx&amp;sheet=U0&amp;row=2293&amp;col=7&amp;number=3.88e-05&amp;sourceID=14","3.88e-05")</f>
        <v>3.88e-05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HYPERLINK("http://141.218.60.56/~jnz1568/getInfo.php?workbook=20_05.xlsx&amp;sheet=U0&amp;row=2294&amp;col=6&amp;number=4&amp;sourceID=14","4")</f>
        <v>4</v>
      </c>
      <c r="G2294" s="4" t="str">
        <f>HYPERLINK("http://141.218.60.56/~jnz1568/getInfo.php?workbook=20_05.xlsx&amp;sheet=U0&amp;row=2294&amp;col=7&amp;number=3.87e-05&amp;sourceID=14","3.87e-05")</f>
        <v>3.87e-05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HYPERLINK("http://141.218.60.56/~jnz1568/getInfo.php?workbook=20_05.xlsx&amp;sheet=U0&amp;row=2295&amp;col=6&amp;number=4.1&amp;sourceID=14","4.1")</f>
        <v>4.1</v>
      </c>
      <c r="G2295" s="4" t="str">
        <f>HYPERLINK("http://141.218.60.56/~jnz1568/getInfo.php?workbook=20_05.xlsx&amp;sheet=U0&amp;row=2295&amp;col=7&amp;number=3.87e-05&amp;sourceID=14","3.87e-05")</f>
        <v>3.87e-05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HYPERLINK("http://141.218.60.56/~jnz1568/getInfo.php?workbook=20_05.xlsx&amp;sheet=U0&amp;row=2296&amp;col=6&amp;number=4.2&amp;sourceID=14","4.2")</f>
        <v>4.2</v>
      </c>
      <c r="G2296" s="4" t="str">
        <f>HYPERLINK("http://141.218.60.56/~jnz1568/getInfo.php?workbook=20_05.xlsx&amp;sheet=U0&amp;row=2296&amp;col=7&amp;number=3.87e-05&amp;sourceID=14","3.87e-05")</f>
        <v>3.87e-05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HYPERLINK("http://141.218.60.56/~jnz1568/getInfo.php?workbook=20_05.xlsx&amp;sheet=U0&amp;row=2297&amp;col=6&amp;number=4.3&amp;sourceID=14","4.3")</f>
        <v>4.3</v>
      </c>
      <c r="G2297" s="4" t="str">
        <f>HYPERLINK("http://141.218.60.56/~jnz1568/getInfo.php?workbook=20_05.xlsx&amp;sheet=U0&amp;row=2297&amp;col=7&amp;number=3.87e-05&amp;sourceID=14","3.87e-05")</f>
        <v>3.87e-05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HYPERLINK("http://141.218.60.56/~jnz1568/getInfo.php?workbook=20_05.xlsx&amp;sheet=U0&amp;row=2298&amp;col=6&amp;number=4.4&amp;sourceID=14","4.4")</f>
        <v>4.4</v>
      </c>
      <c r="G2298" s="4" t="str">
        <f>HYPERLINK("http://141.218.60.56/~jnz1568/getInfo.php?workbook=20_05.xlsx&amp;sheet=U0&amp;row=2298&amp;col=7&amp;number=3.86e-05&amp;sourceID=14","3.86e-05")</f>
        <v>3.86e-05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HYPERLINK("http://141.218.60.56/~jnz1568/getInfo.php?workbook=20_05.xlsx&amp;sheet=U0&amp;row=2299&amp;col=6&amp;number=4.5&amp;sourceID=14","4.5")</f>
        <v>4.5</v>
      </c>
      <c r="G2299" s="4" t="str">
        <f>HYPERLINK("http://141.218.60.56/~jnz1568/getInfo.php?workbook=20_05.xlsx&amp;sheet=U0&amp;row=2299&amp;col=7&amp;number=3.86e-05&amp;sourceID=14","3.86e-05")</f>
        <v>3.86e-05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HYPERLINK("http://141.218.60.56/~jnz1568/getInfo.php?workbook=20_05.xlsx&amp;sheet=U0&amp;row=2300&amp;col=6&amp;number=4.6&amp;sourceID=14","4.6")</f>
        <v>4.6</v>
      </c>
      <c r="G2300" s="4" t="str">
        <f>HYPERLINK("http://141.218.60.56/~jnz1568/getInfo.php?workbook=20_05.xlsx&amp;sheet=U0&amp;row=2300&amp;col=7&amp;number=3.86e-05&amp;sourceID=14","3.86e-05")</f>
        <v>3.86e-05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HYPERLINK("http://141.218.60.56/~jnz1568/getInfo.php?workbook=20_05.xlsx&amp;sheet=U0&amp;row=2301&amp;col=6&amp;number=4.7&amp;sourceID=14","4.7")</f>
        <v>4.7</v>
      </c>
      <c r="G2301" s="4" t="str">
        <f>HYPERLINK("http://141.218.60.56/~jnz1568/getInfo.php?workbook=20_05.xlsx&amp;sheet=U0&amp;row=2301&amp;col=7&amp;number=3.85e-05&amp;sourceID=14","3.85e-05")</f>
        <v>3.85e-05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HYPERLINK("http://141.218.60.56/~jnz1568/getInfo.php?workbook=20_05.xlsx&amp;sheet=U0&amp;row=2302&amp;col=6&amp;number=4.8&amp;sourceID=14","4.8")</f>
        <v>4.8</v>
      </c>
      <c r="G2302" s="4" t="str">
        <f>HYPERLINK("http://141.218.60.56/~jnz1568/getInfo.php?workbook=20_05.xlsx&amp;sheet=U0&amp;row=2302&amp;col=7&amp;number=3.84e-05&amp;sourceID=14","3.84e-05")</f>
        <v>3.84e-05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HYPERLINK("http://141.218.60.56/~jnz1568/getInfo.php?workbook=20_05.xlsx&amp;sheet=U0&amp;row=2303&amp;col=6&amp;number=4.9&amp;sourceID=14","4.9")</f>
        <v>4.9</v>
      </c>
      <c r="G2303" s="4" t="str">
        <f>HYPERLINK("http://141.218.60.56/~jnz1568/getInfo.php?workbook=20_05.xlsx&amp;sheet=U0&amp;row=2303&amp;col=7&amp;number=3.83e-05&amp;sourceID=14","3.83e-05")</f>
        <v>3.83e-05</v>
      </c>
    </row>
    <row r="2304" spans="1:7">
      <c r="A2304" s="3">
        <v>20</v>
      </c>
      <c r="B2304" s="3">
        <v>5</v>
      </c>
      <c r="C2304" s="3">
        <v>1</v>
      </c>
      <c r="D2304" s="3">
        <v>71</v>
      </c>
      <c r="E2304" s="3">
        <v>1</v>
      </c>
      <c r="F2304" s="4" t="str">
        <f>HYPERLINK("http://141.218.60.56/~jnz1568/getInfo.php?workbook=20_05.xlsx&amp;sheet=U0&amp;row=2304&amp;col=6&amp;number=3&amp;sourceID=14","3")</f>
        <v>3</v>
      </c>
      <c r="G2304" s="4" t="str">
        <f>HYPERLINK("http://141.218.60.56/~jnz1568/getInfo.php?workbook=20_05.xlsx&amp;sheet=U0&amp;row=2304&amp;col=7&amp;number=8.46e-05&amp;sourceID=14","8.46e-05")</f>
        <v>8.46e-05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HYPERLINK("http://141.218.60.56/~jnz1568/getInfo.php?workbook=20_05.xlsx&amp;sheet=U0&amp;row=2305&amp;col=6&amp;number=3.1&amp;sourceID=14","3.1")</f>
        <v>3.1</v>
      </c>
      <c r="G2305" s="4" t="str">
        <f>HYPERLINK("http://141.218.60.56/~jnz1568/getInfo.php?workbook=20_05.xlsx&amp;sheet=U0&amp;row=2305&amp;col=7&amp;number=8.46e-05&amp;sourceID=14","8.46e-05")</f>
        <v>8.46e-05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HYPERLINK("http://141.218.60.56/~jnz1568/getInfo.php?workbook=20_05.xlsx&amp;sheet=U0&amp;row=2306&amp;col=6&amp;number=3.2&amp;sourceID=14","3.2")</f>
        <v>3.2</v>
      </c>
      <c r="G2306" s="4" t="str">
        <f>HYPERLINK("http://141.218.60.56/~jnz1568/getInfo.php?workbook=20_05.xlsx&amp;sheet=U0&amp;row=2306&amp;col=7&amp;number=8.45e-05&amp;sourceID=14","8.45e-05")</f>
        <v>8.45e-05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HYPERLINK("http://141.218.60.56/~jnz1568/getInfo.php?workbook=20_05.xlsx&amp;sheet=U0&amp;row=2307&amp;col=6&amp;number=3.3&amp;sourceID=14","3.3")</f>
        <v>3.3</v>
      </c>
      <c r="G2307" s="4" t="str">
        <f>HYPERLINK("http://141.218.60.56/~jnz1568/getInfo.php?workbook=20_05.xlsx&amp;sheet=U0&amp;row=2307&amp;col=7&amp;number=8.45e-05&amp;sourceID=14","8.45e-05")</f>
        <v>8.45e-05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HYPERLINK("http://141.218.60.56/~jnz1568/getInfo.php?workbook=20_05.xlsx&amp;sheet=U0&amp;row=2308&amp;col=6&amp;number=3.4&amp;sourceID=14","3.4")</f>
        <v>3.4</v>
      </c>
      <c r="G2308" s="4" t="str">
        <f>HYPERLINK("http://141.218.60.56/~jnz1568/getInfo.php?workbook=20_05.xlsx&amp;sheet=U0&amp;row=2308&amp;col=7&amp;number=8.45e-05&amp;sourceID=14","8.45e-05")</f>
        <v>8.45e-05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HYPERLINK("http://141.218.60.56/~jnz1568/getInfo.php?workbook=20_05.xlsx&amp;sheet=U0&amp;row=2309&amp;col=6&amp;number=3.5&amp;sourceID=14","3.5")</f>
        <v>3.5</v>
      </c>
      <c r="G2309" s="4" t="str">
        <f>HYPERLINK("http://141.218.60.56/~jnz1568/getInfo.php?workbook=20_05.xlsx&amp;sheet=U0&amp;row=2309&amp;col=7&amp;number=8.45e-05&amp;sourceID=14","8.45e-05")</f>
        <v>8.45e-05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HYPERLINK("http://141.218.60.56/~jnz1568/getInfo.php?workbook=20_05.xlsx&amp;sheet=U0&amp;row=2310&amp;col=6&amp;number=3.6&amp;sourceID=14","3.6")</f>
        <v>3.6</v>
      </c>
      <c r="G2310" s="4" t="str">
        <f>HYPERLINK("http://141.218.60.56/~jnz1568/getInfo.php?workbook=20_05.xlsx&amp;sheet=U0&amp;row=2310&amp;col=7&amp;number=8.45e-05&amp;sourceID=14","8.45e-05")</f>
        <v>8.45e-05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HYPERLINK("http://141.218.60.56/~jnz1568/getInfo.php?workbook=20_05.xlsx&amp;sheet=U0&amp;row=2311&amp;col=6&amp;number=3.7&amp;sourceID=14","3.7")</f>
        <v>3.7</v>
      </c>
      <c r="G2311" s="4" t="str">
        <f>HYPERLINK("http://141.218.60.56/~jnz1568/getInfo.php?workbook=20_05.xlsx&amp;sheet=U0&amp;row=2311&amp;col=7&amp;number=8.45e-05&amp;sourceID=14","8.45e-05")</f>
        <v>8.45e-05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HYPERLINK("http://141.218.60.56/~jnz1568/getInfo.php?workbook=20_05.xlsx&amp;sheet=U0&amp;row=2312&amp;col=6&amp;number=3.8&amp;sourceID=14","3.8")</f>
        <v>3.8</v>
      </c>
      <c r="G2312" s="4" t="str">
        <f>HYPERLINK("http://141.218.60.56/~jnz1568/getInfo.php?workbook=20_05.xlsx&amp;sheet=U0&amp;row=2312&amp;col=7&amp;number=8.44e-05&amp;sourceID=14","8.44e-05")</f>
        <v>8.44e-05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HYPERLINK("http://141.218.60.56/~jnz1568/getInfo.php?workbook=20_05.xlsx&amp;sheet=U0&amp;row=2313&amp;col=6&amp;number=3.9&amp;sourceID=14","3.9")</f>
        <v>3.9</v>
      </c>
      <c r="G2313" s="4" t="str">
        <f>HYPERLINK("http://141.218.60.56/~jnz1568/getInfo.php?workbook=20_05.xlsx&amp;sheet=U0&amp;row=2313&amp;col=7&amp;number=8.44e-05&amp;sourceID=14","8.44e-05")</f>
        <v>8.44e-05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HYPERLINK("http://141.218.60.56/~jnz1568/getInfo.php?workbook=20_05.xlsx&amp;sheet=U0&amp;row=2314&amp;col=6&amp;number=4&amp;sourceID=14","4")</f>
        <v>4</v>
      </c>
      <c r="G2314" s="4" t="str">
        <f>HYPERLINK("http://141.218.60.56/~jnz1568/getInfo.php?workbook=20_05.xlsx&amp;sheet=U0&amp;row=2314&amp;col=7&amp;number=8.43e-05&amp;sourceID=14","8.43e-05")</f>
        <v>8.43e-05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HYPERLINK("http://141.218.60.56/~jnz1568/getInfo.php?workbook=20_05.xlsx&amp;sheet=U0&amp;row=2315&amp;col=6&amp;number=4.1&amp;sourceID=14","4.1")</f>
        <v>4.1</v>
      </c>
      <c r="G2315" s="4" t="str">
        <f>HYPERLINK("http://141.218.60.56/~jnz1568/getInfo.php?workbook=20_05.xlsx&amp;sheet=U0&amp;row=2315&amp;col=7&amp;number=8.42e-05&amp;sourceID=14","8.42e-05")</f>
        <v>8.42e-05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HYPERLINK("http://141.218.60.56/~jnz1568/getInfo.php?workbook=20_05.xlsx&amp;sheet=U0&amp;row=2316&amp;col=6&amp;number=4.2&amp;sourceID=14","4.2")</f>
        <v>4.2</v>
      </c>
      <c r="G2316" s="4" t="str">
        <f>HYPERLINK("http://141.218.60.56/~jnz1568/getInfo.php?workbook=20_05.xlsx&amp;sheet=U0&amp;row=2316&amp;col=7&amp;number=8.42e-05&amp;sourceID=14","8.42e-05")</f>
        <v>8.42e-05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HYPERLINK("http://141.218.60.56/~jnz1568/getInfo.php?workbook=20_05.xlsx&amp;sheet=U0&amp;row=2317&amp;col=6&amp;number=4.3&amp;sourceID=14","4.3")</f>
        <v>4.3</v>
      </c>
      <c r="G2317" s="4" t="str">
        <f>HYPERLINK("http://141.218.60.56/~jnz1568/getInfo.php?workbook=20_05.xlsx&amp;sheet=U0&amp;row=2317&amp;col=7&amp;number=8.41e-05&amp;sourceID=14","8.41e-05")</f>
        <v>8.41e-05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HYPERLINK("http://141.218.60.56/~jnz1568/getInfo.php?workbook=20_05.xlsx&amp;sheet=U0&amp;row=2318&amp;col=6&amp;number=4.4&amp;sourceID=14","4.4")</f>
        <v>4.4</v>
      </c>
      <c r="G2318" s="4" t="str">
        <f>HYPERLINK("http://141.218.60.56/~jnz1568/getInfo.php?workbook=20_05.xlsx&amp;sheet=U0&amp;row=2318&amp;col=7&amp;number=8.39e-05&amp;sourceID=14","8.39e-05")</f>
        <v>8.39e-05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HYPERLINK("http://141.218.60.56/~jnz1568/getInfo.php?workbook=20_05.xlsx&amp;sheet=U0&amp;row=2319&amp;col=6&amp;number=4.5&amp;sourceID=14","4.5")</f>
        <v>4.5</v>
      </c>
      <c r="G2319" s="4" t="str">
        <f>HYPERLINK("http://141.218.60.56/~jnz1568/getInfo.php?workbook=20_05.xlsx&amp;sheet=U0&amp;row=2319&amp;col=7&amp;number=8.37e-05&amp;sourceID=14","8.37e-05")</f>
        <v>8.37e-05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HYPERLINK("http://141.218.60.56/~jnz1568/getInfo.php?workbook=20_05.xlsx&amp;sheet=U0&amp;row=2320&amp;col=6&amp;number=4.6&amp;sourceID=14","4.6")</f>
        <v>4.6</v>
      </c>
      <c r="G2320" s="4" t="str">
        <f>HYPERLINK("http://141.218.60.56/~jnz1568/getInfo.php?workbook=20_05.xlsx&amp;sheet=U0&amp;row=2320&amp;col=7&amp;number=8.35e-05&amp;sourceID=14","8.35e-05")</f>
        <v>8.35e-05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HYPERLINK("http://141.218.60.56/~jnz1568/getInfo.php?workbook=20_05.xlsx&amp;sheet=U0&amp;row=2321&amp;col=6&amp;number=4.7&amp;sourceID=14","4.7")</f>
        <v>4.7</v>
      </c>
      <c r="G2321" s="4" t="str">
        <f>HYPERLINK("http://141.218.60.56/~jnz1568/getInfo.php?workbook=20_05.xlsx&amp;sheet=U0&amp;row=2321&amp;col=7&amp;number=8.32e-05&amp;sourceID=14","8.32e-05")</f>
        <v>8.32e-05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HYPERLINK("http://141.218.60.56/~jnz1568/getInfo.php?workbook=20_05.xlsx&amp;sheet=U0&amp;row=2322&amp;col=6&amp;number=4.8&amp;sourceID=14","4.8")</f>
        <v>4.8</v>
      </c>
      <c r="G2322" s="4" t="str">
        <f>HYPERLINK("http://141.218.60.56/~jnz1568/getInfo.php?workbook=20_05.xlsx&amp;sheet=U0&amp;row=2322&amp;col=7&amp;number=8.29e-05&amp;sourceID=14","8.29e-05")</f>
        <v>8.29e-05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HYPERLINK("http://141.218.60.56/~jnz1568/getInfo.php?workbook=20_05.xlsx&amp;sheet=U0&amp;row=2323&amp;col=6&amp;number=4.9&amp;sourceID=14","4.9")</f>
        <v>4.9</v>
      </c>
      <c r="G2323" s="4" t="str">
        <f>HYPERLINK("http://141.218.60.56/~jnz1568/getInfo.php?workbook=20_05.xlsx&amp;sheet=U0&amp;row=2323&amp;col=7&amp;number=8.25e-05&amp;sourceID=14","8.25e-05")</f>
        <v>8.25e-05</v>
      </c>
    </row>
    <row r="2324" spans="1:7">
      <c r="A2324" s="3">
        <v>20</v>
      </c>
      <c r="B2324" s="3">
        <v>5</v>
      </c>
      <c r="C2324" s="3">
        <v>1</v>
      </c>
      <c r="D2324" s="3">
        <v>72</v>
      </c>
      <c r="E2324" s="3">
        <v>1</v>
      </c>
      <c r="F2324" s="4" t="str">
        <f>HYPERLINK("http://141.218.60.56/~jnz1568/getInfo.php?workbook=20_05.xlsx&amp;sheet=U0&amp;row=2324&amp;col=6&amp;number=3&amp;sourceID=14","3")</f>
        <v>3</v>
      </c>
      <c r="G2324" s="4" t="str">
        <f>HYPERLINK("http://141.218.60.56/~jnz1568/getInfo.php?workbook=20_05.xlsx&amp;sheet=U0&amp;row=2324&amp;col=7&amp;number=7.89e-05&amp;sourceID=14","7.89e-05")</f>
        <v>7.89e-05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HYPERLINK("http://141.218.60.56/~jnz1568/getInfo.php?workbook=20_05.xlsx&amp;sheet=U0&amp;row=2325&amp;col=6&amp;number=3.1&amp;sourceID=14","3.1")</f>
        <v>3.1</v>
      </c>
      <c r="G2325" s="4" t="str">
        <f>HYPERLINK("http://141.218.60.56/~jnz1568/getInfo.php?workbook=20_05.xlsx&amp;sheet=U0&amp;row=2325&amp;col=7&amp;number=7.89e-05&amp;sourceID=14","7.89e-05")</f>
        <v>7.89e-05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HYPERLINK("http://141.218.60.56/~jnz1568/getInfo.php?workbook=20_05.xlsx&amp;sheet=U0&amp;row=2326&amp;col=6&amp;number=3.2&amp;sourceID=14","3.2")</f>
        <v>3.2</v>
      </c>
      <c r="G2326" s="4" t="str">
        <f>HYPERLINK("http://141.218.60.56/~jnz1568/getInfo.php?workbook=20_05.xlsx&amp;sheet=U0&amp;row=2326&amp;col=7&amp;number=7.89e-05&amp;sourceID=14","7.89e-05")</f>
        <v>7.89e-05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HYPERLINK("http://141.218.60.56/~jnz1568/getInfo.php?workbook=20_05.xlsx&amp;sheet=U0&amp;row=2327&amp;col=6&amp;number=3.3&amp;sourceID=14","3.3")</f>
        <v>3.3</v>
      </c>
      <c r="G2327" s="4" t="str">
        <f>HYPERLINK("http://141.218.60.56/~jnz1568/getInfo.php?workbook=20_05.xlsx&amp;sheet=U0&amp;row=2327&amp;col=7&amp;number=7.89e-05&amp;sourceID=14","7.89e-05")</f>
        <v>7.89e-05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HYPERLINK("http://141.218.60.56/~jnz1568/getInfo.php?workbook=20_05.xlsx&amp;sheet=U0&amp;row=2328&amp;col=6&amp;number=3.4&amp;sourceID=14","3.4")</f>
        <v>3.4</v>
      </c>
      <c r="G2328" s="4" t="str">
        <f>HYPERLINK("http://141.218.60.56/~jnz1568/getInfo.php?workbook=20_05.xlsx&amp;sheet=U0&amp;row=2328&amp;col=7&amp;number=7.88e-05&amp;sourceID=14","7.88e-05")</f>
        <v>7.88e-05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HYPERLINK("http://141.218.60.56/~jnz1568/getInfo.php?workbook=20_05.xlsx&amp;sheet=U0&amp;row=2329&amp;col=6&amp;number=3.5&amp;sourceID=14","3.5")</f>
        <v>3.5</v>
      </c>
      <c r="G2329" s="4" t="str">
        <f>HYPERLINK("http://141.218.60.56/~jnz1568/getInfo.php?workbook=20_05.xlsx&amp;sheet=U0&amp;row=2329&amp;col=7&amp;number=7.88e-05&amp;sourceID=14","7.88e-05")</f>
        <v>7.88e-05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HYPERLINK("http://141.218.60.56/~jnz1568/getInfo.php?workbook=20_05.xlsx&amp;sheet=U0&amp;row=2330&amp;col=6&amp;number=3.6&amp;sourceID=14","3.6")</f>
        <v>3.6</v>
      </c>
      <c r="G2330" s="4" t="str">
        <f>HYPERLINK("http://141.218.60.56/~jnz1568/getInfo.php?workbook=20_05.xlsx&amp;sheet=U0&amp;row=2330&amp;col=7&amp;number=7.88e-05&amp;sourceID=14","7.88e-05")</f>
        <v>7.88e-05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HYPERLINK("http://141.218.60.56/~jnz1568/getInfo.php?workbook=20_05.xlsx&amp;sheet=U0&amp;row=2331&amp;col=6&amp;number=3.7&amp;sourceID=14","3.7")</f>
        <v>3.7</v>
      </c>
      <c r="G2331" s="4" t="str">
        <f>HYPERLINK("http://141.218.60.56/~jnz1568/getInfo.php?workbook=20_05.xlsx&amp;sheet=U0&amp;row=2331&amp;col=7&amp;number=7.88e-05&amp;sourceID=14","7.88e-05")</f>
        <v>7.88e-05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HYPERLINK("http://141.218.60.56/~jnz1568/getInfo.php?workbook=20_05.xlsx&amp;sheet=U0&amp;row=2332&amp;col=6&amp;number=3.8&amp;sourceID=14","3.8")</f>
        <v>3.8</v>
      </c>
      <c r="G2332" s="4" t="str">
        <f>HYPERLINK("http://141.218.60.56/~jnz1568/getInfo.php?workbook=20_05.xlsx&amp;sheet=U0&amp;row=2332&amp;col=7&amp;number=7.88e-05&amp;sourceID=14","7.88e-05")</f>
        <v>7.88e-05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HYPERLINK("http://141.218.60.56/~jnz1568/getInfo.php?workbook=20_05.xlsx&amp;sheet=U0&amp;row=2333&amp;col=6&amp;number=3.9&amp;sourceID=14","3.9")</f>
        <v>3.9</v>
      </c>
      <c r="G2333" s="4" t="str">
        <f>HYPERLINK("http://141.218.60.56/~jnz1568/getInfo.php?workbook=20_05.xlsx&amp;sheet=U0&amp;row=2333&amp;col=7&amp;number=7.87e-05&amp;sourceID=14","7.87e-05")</f>
        <v>7.87e-05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HYPERLINK("http://141.218.60.56/~jnz1568/getInfo.php?workbook=20_05.xlsx&amp;sheet=U0&amp;row=2334&amp;col=6&amp;number=4&amp;sourceID=14","4")</f>
        <v>4</v>
      </c>
      <c r="G2334" s="4" t="str">
        <f>HYPERLINK("http://141.218.60.56/~jnz1568/getInfo.php?workbook=20_05.xlsx&amp;sheet=U0&amp;row=2334&amp;col=7&amp;number=7.87e-05&amp;sourceID=14","7.87e-05")</f>
        <v>7.87e-05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HYPERLINK("http://141.218.60.56/~jnz1568/getInfo.php?workbook=20_05.xlsx&amp;sheet=U0&amp;row=2335&amp;col=6&amp;number=4.1&amp;sourceID=14","4.1")</f>
        <v>4.1</v>
      </c>
      <c r="G2335" s="4" t="str">
        <f>HYPERLINK("http://141.218.60.56/~jnz1568/getInfo.php?workbook=20_05.xlsx&amp;sheet=U0&amp;row=2335&amp;col=7&amp;number=7.86e-05&amp;sourceID=14","7.86e-05")</f>
        <v>7.86e-05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HYPERLINK("http://141.218.60.56/~jnz1568/getInfo.php?workbook=20_05.xlsx&amp;sheet=U0&amp;row=2336&amp;col=6&amp;number=4.2&amp;sourceID=14","4.2")</f>
        <v>4.2</v>
      </c>
      <c r="G2336" s="4" t="str">
        <f>HYPERLINK("http://141.218.60.56/~jnz1568/getInfo.php?workbook=20_05.xlsx&amp;sheet=U0&amp;row=2336&amp;col=7&amp;number=7.85e-05&amp;sourceID=14","7.85e-05")</f>
        <v>7.85e-05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HYPERLINK("http://141.218.60.56/~jnz1568/getInfo.php?workbook=20_05.xlsx&amp;sheet=U0&amp;row=2337&amp;col=6&amp;number=4.3&amp;sourceID=14","4.3")</f>
        <v>4.3</v>
      </c>
      <c r="G2337" s="4" t="str">
        <f>HYPERLINK("http://141.218.60.56/~jnz1568/getInfo.php?workbook=20_05.xlsx&amp;sheet=U0&amp;row=2337&amp;col=7&amp;number=7.84e-05&amp;sourceID=14","7.84e-05")</f>
        <v>7.84e-05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HYPERLINK("http://141.218.60.56/~jnz1568/getInfo.php?workbook=20_05.xlsx&amp;sheet=U0&amp;row=2338&amp;col=6&amp;number=4.4&amp;sourceID=14","4.4")</f>
        <v>4.4</v>
      </c>
      <c r="G2338" s="4" t="str">
        <f>HYPERLINK("http://141.218.60.56/~jnz1568/getInfo.php?workbook=20_05.xlsx&amp;sheet=U0&amp;row=2338&amp;col=7&amp;number=7.83e-05&amp;sourceID=14","7.83e-05")</f>
        <v>7.83e-05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HYPERLINK("http://141.218.60.56/~jnz1568/getInfo.php?workbook=20_05.xlsx&amp;sheet=U0&amp;row=2339&amp;col=6&amp;number=4.5&amp;sourceID=14","4.5")</f>
        <v>4.5</v>
      </c>
      <c r="G2339" s="4" t="str">
        <f>HYPERLINK("http://141.218.60.56/~jnz1568/getInfo.php?workbook=20_05.xlsx&amp;sheet=U0&amp;row=2339&amp;col=7&amp;number=7.81e-05&amp;sourceID=14","7.81e-05")</f>
        <v>7.81e-05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HYPERLINK("http://141.218.60.56/~jnz1568/getInfo.php?workbook=20_05.xlsx&amp;sheet=U0&amp;row=2340&amp;col=6&amp;number=4.6&amp;sourceID=14","4.6")</f>
        <v>4.6</v>
      </c>
      <c r="G2340" s="4" t="str">
        <f>HYPERLINK("http://141.218.60.56/~jnz1568/getInfo.php?workbook=20_05.xlsx&amp;sheet=U0&amp;row=2340&amp;col=7&amp;number=7.79e-05&amp;sourceID=14","7.79e-05")</f>
        <v>7.79e-05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HYPERLINK("http://141.218.60.56/~jnz1568/getInfo.php?workbook=20_05.xlsx&amp;sheet=U0&amp;row=2341&amp;col=6&amp;number=4.7&amp;sourceID=14","4.7")</f>
        <v>4.7</v>
      </c>
      <c r="G2341" s="4" t="str">
        <f>HYPERLINK("http://141.218.60.56/~jnz1568/getInfo.php?workbook=20_05.xlsx&amp;sheet=U0&amp;row=2341&amp;col=7&amp;number=7.77e-05&amp;sourceID=14","7.77e-05")</f>
        <v>7.77e-05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HYPERLINK("http://141.218.60.56/~jnz1568/getInfo.php?workbook=20_05.xlsx&amp;sheet=U0&amp;row=2342&amp;col=6&amp;number=4.8&amp;sourceID=14","4.8")</f>
        <v>4.8</v>
      </c>
      <c r="G2342" s="4" t="str">
        <f>HYPERLINK("http://141.218.60.56/~jnz1568/getInfo.php?workbook=20_05.xlsx&amp;sheet=U0&amp;row=2342&amp;col=7&amp;number=7.74e-05&amp;sourceID=14","7.74e-05")</f>
        <v>7.74e-05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HYPERLINK("http://141.218.60.56/~jnz1568/getInfo.php?workbook=20_05.xlsx&amp;sheet=U0&amp;row=2343&amp;col=6&amp;number=4.9&amp;sourceID=14","4.9")</f>
        <v>4.9</v>
      </c>
      <c r="G2343" s="4" t="str">
        <f>HYPERLINK("http://141.218.60.56/~jnz1568/getInfo.php?workbook=20_05.xlsx&amp;sheet=U0&amp;row=2343&amp;col=7&amp;number=7.7e-05&amp;sourceID=14","7.7e-05")</f>
        <v>7.7e-05</v>
      </c>
    </row>
    <row r="2344" spans="1:7">
      <c r="A2344" s="3">
        <v>20</v>
      </c>
      <c r="B2344" s="3">
        <v>5</v>
      </c>
      <c r="C2344" s="3">
        <v>1</v>
      </c>
      <c r="D2344" s="3">
        <v>73</v>
      </c>
      <c r="E2344" s="3">
        <v>1</v>
      </c>
      <c r="F2344" s="4" t="str">
        <f>HYPERLINK("http://141.218.60.56/~jnz1568/getInfo.php?workbook=20_05.xlsx&amp;sheet=U0&amp;row=2344&amp;col=6&amp;number=3&amp;sourceID=14","3")</f>
        <v>3</v>
      </c>
      <c r="G2344" s="4" t="str">
        <f>HYPERLINK("http://141.218.60.56/~jnz1568/getInfo.php?workbook=20_05.xlsx&amp;sheet=U0&amp;row=2344&amp;col=7&amp;number=0.0187&amp;sourceID=14","0.0187")</f>
        <v>0.0187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HYPERLINK("http://141.218.60.56/~jnz1568/getInfo.php?workbook=20_05.xlsx&amp;sheet=U0&amp;row=2345&amp;col=6&amp;number=3.1&amp;sourceID=14","3.1")</f>
        <v>3.1</v>
      </c>
      <c r="G2345" s="4" t="str">
        <f>HYPERLINK("http://141.218.60.56/~jnz1568/getInfo.php?workbook=20_05.xlsx&amp;sheet=U0&amp;row=2345&amp;col=7&amp;number=0.0187&amp;sourceID=14","0.0187")</f>
        <v>0.0187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HYPERLINK("http://141.218.60.56/~jnz1568/getInfo.php?workbook=20_05.xlsx&amp;sheet=U0&amp;row=2346&amp;col=6&amp;number=3.2&amp;sourceID=14","3.2")</f>
        <v>3.2</v>
      </c>
      <c r="G2346" s="4" t="str">
        <f>HYPERLINK("http://141.218.60.56/~jnz1568/getInfo.php?workbook=20_05.xlsx&amp;sheet=U0&amp;row=2346&amp;col=7&amp;number=0.0187&amp;sourceID=14","0.0187")</f>
        <v>0.0187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HYPERLINK("http://141.218.60.56/~jnz1568/getInfo.php?workbook=20_05.xlsx&amp;sheet=U0&amp;row=2347&amp;col=6&amp;number=3.3&amp;sourceID=14","3.3")</f>
        <v>3.3</v>
      </c>
      <c r="G2347" s="4" t="str">
        <f>HYPERLINK("http://141.218.60.56/~jnz1568/getInfo.php?workbook=20_05.xlsx&amp;sheet=U0&amp;row=2347&amp;col=7&amp;number=0.0187&amp;sourceID=14","0.0187")</f>
        <v>0.0187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HYPERLINK("http://141.218.60.56/~jnz1568/getInfo.php?workbook=20_05.xlsx&amp;sheet=U0&amp;row=2348&amp;col=6&amp;number=3.4&amp;sourceID=14","3.4")</f>
        <v>3.4</v>
      </c>
      <c r="G2348" s="4" t="str">
        <f>HYPERLINK("http://141.218.60.56/~jnz1568/getInfo.php?workbook=20_05.xlsx&amp;sheet=U0&amp;row=2348&amp;col=7&amp;number=0.0187&amp;sourceID=14","0.0187")</f>
        <v>0.0187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HYPERLINK("http://141.218.60.56/~jnz1568/getInfo.php?workbook=20_05.xlsx&amp;sheet=U0&amp;row=2349&amp;col=6&amp;number=3.5&amp;sourceID=14","3.5")</f>
        <v>3.5</v>
      </c>
      <c r="G2349" s="4" t="str">
        <f>HYPERLINK("http://141.218.60.56/~jnz1568/getInfo.php?workbook=20_05.xlsx&amp;sheet=U0&amp;row=2349&amp;col=7&amp;number=0.0187&amp;sourceID=14","0.0187")</f>
        <v>0.0187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HYPERLINK("http://141.218.60.56/~jnz1568/getInfo.php?workbook=20_05.xlsx&amp;sheet=U0&amp;row=2350&amp;col=6&amp;number=3.6&amp;sourceID=14","3.6")</f>
        <v>3.6</v>
      </c>
      <c r="G2350" s="4" t="str">
        <f>HYPERLINK("http://141.218.60.56/~jnz1568/getInfo.php?workbook=20_05.xlsx&amp;sheet=U0&amp;row=2350&amp;col=7&amp;number=0.0187&amp;sourceID=14","0.0187")</f>
        <v>0.0187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HYPERLINK("http://141.218.60.56/~jnz1568/getInfo.php?workbook=20_05.xlsx&amp;sheet=U0&amp;row=2351&amp;col=6&amp;number=3.7&amp;sourceID=14","3.7")</f>
        <v>3.7</v>
      </c>
      <c r="G2351" s="4" t="str">
        <f>HYPERLINK("http://141.218.60.56/~jnz1568/getInfo.php?workbook=20_05.xlsx&amp;sheet=U0&amp;row=2351&amp;col=7&amp;number=0.0187&amp;sourceID=14","0.0187")</f>
        <v>0.0187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HYPERLINK("http://141.218.60.56/~jnz1568/getInfo.php?workbook=20_05.xlsx&amp;sheet=U0&amp;row=2352&amp;col=6&amp;number=3.8&amp;sourceID=14","3.8")</f>
        <v>3.8</v>
      </c>
      <c r="G2352" s="4" t="str">
        <f>HYPERLINK("http://141.218.60.56/~jnz1568/getInfo.php?workbook=20_05.xlsx&amp;sheet=U0&amp;row=2352&amp;col=7&amp;number=0.0187&amp;sourceID=14","0.0187")</f>
        <v>0.0187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HYPERLINK("http://141.218.60.56/~jnz1568/getInfo.php?workbook=20_05.xlsx&amp;sheet=U0&amp;row=2353&amp;col=6&amp;number=3.9&amp;sourceID=14","3.9")</f>
        <v>3.9</v>
      </c>
      <c r="G2353" s="4" t="str">
        <f>HYPERLINK("http://141.218.60.56/~jnz1568/getInfo.php?workbook=20_05.xlsx&amp;sheet=U0&amp;row=2353&amp;col=7&amp;number=0.0187&amp;sourceID=14","0.0187")</f>
        <v>0.0187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HYPERLINK("http://141.218.60.56/~jnz1568/getInfo.php?workbook=20_05.xlsx&amp;sheet=U0&amp;row=2354&amp;col=6&amp;number=4&amp;sourceID=14","4")</f>
        <v>4</v>
      </c>
      <c r="G2354" s="4" t="str">
        <f>HYPERLINK("http://141.218.60.56/~jnz1568/getInfo.php?workbook=20_05.xlsx&amp;sheet=U0&amp;row=2354&amp;col=7&amp;number=0.0187&amp;sourceID=14","0.0187")</f>
        <v>0.0187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HYPERLINK("http://141.218.60.56/~jnz1568/getInfo.php?workbook=20_05.xlsx&amp;sheet=U0&amp;row=2355&amp;col=6&amp;number=4.1&amp;sourceID=14","4.1")</f>
        <v>4.1</v>
      </c>
      <c r="G2355" s="4" t="str">
        <f>HYPERLINK("http://141.218.60.56/~jnz1568/getInfo.php?workbook=20_05.xlsx&amp;sheet=U0&amp;row=2355&amp;col=7&amp;number=0.0187&amp;sourceID=14","0.0187")</f>
        <v>0.0187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HYPERLINK("http://141.218.60.56/~jnz1568/getInfo.php?workbook=20_05.xlsx&amp;sheet=U0&amp;row=2356&amp;col=6&amp;number=4.2&amp;sourceID=14","4.2")</f>
        <v>4.2</v>
      </c>
      <c r="G2356" s="4" t="str">
        <f>HYPERLINK("http://141.218.60.56/~jnz1568/getInfo.php?workbook=20_05.xlsx&amp;sheet=U0&amp;row=2356&amp;col=7&amp;number=0.0187&amp;sourceID=14","0.0187")</f>
        <v>0.0187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HYPERLINK("http://141.218.60.56/~jnz1568/getInfo.php?workbook=20_05.xlsx&amp;sheet=U0&amp;row=2357&amp;col=6&amp;number=4.3&amp;sourceID=14","4.3")</f>
        <v>4.3</v>
      </c>
      <c r="G2357" s="4" t="str">
        <f>HYPERLINK("http://141.218.60.56/~jnz1568/getInfo.php?workbook=20_05.xlsx&amp;sheet=U0&amp;row=2357&amp;col=7&amp;number=0.0187&amp;sourceID=14","0.0187")</f>
        <v>0.0187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HYPERLINK("http://141.218.60.56/~jnz1568/getInfo.php?workbook=20_05.xlsx&amp;sheet=U0&amp;row=2358&amp;col=6&amp;number=4.4&amp;sourceID=14","4.4")</f>
        <v>4.4</v>
      </c>
      <c r="G2358" s="4" t="str">
        <f>HYPERLINK("http://141.218.60.56/~jnz1568/getInfo.php?workbook=20_05.xlsx&amp;sheet=U0&amp;row=2358&amp;col=7&amp;number=0.0187&amp;sourceID=14","0.0187")</f>
        <v>0.0187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HYPERLINK("http://141.218.60.56/~jnz1568/getInfo.php?workbook=20_05.xlsx&amp;sheet=U0&amp;row=2359&amp;col=6&amp;number=4.5&amp;sourceID=14","4.5")</f>
        <v>4.5</v>
      </c>
      <c r="G2359" s="4" t="str">
        <f>HYPERLINK("http://141.218.60.56/~jnz1568/getInfo.php?workbook=20_05.xlsx&amp;sheet=U0&amp;row=2359&amp;col=7&amp;number=0.0187&amp;sourceID=14","0.0187")</f>
        <v>0.0187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HYPERLINK("http://141.218.60.56/~jnz1568/getInfo.php?workbook=20_05.xlsx&amp;sheet=U0&amp;row=2360&amp;col=6&amp;number=4.6&amp;sourceID=14","4.6")</f>
        <v>4.6</v>
      </c>
      <c r="G2360" s="4" t="str">
        <f>HYPERLINK("http://141.218.60.56/~jnz1568/getInfo.php?workbook=20_05.xlsx&amp;sheet=U0&amp;row=2360&amp;col=7&amp;number=0.0187&amp;sourceID=14","0.0187")</f>
        <v>0.0187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HYPERLINK("http://141.218.60.56/~jnz1568/getInfo.php?workbook=20_05.xlsx&amp;sheet=U0&amp;row=2361&amp;col=6&amp;number=4.7&amp;sourceID=14","4.7")</f>
        <v>4.7</v>
      </c>
      <c r="G2361" s="4" t="str">
        <f>HYPERLINK("http://141.218.60.56/~jnz1568/getInfo.php?workbook=20_05.xlsx&amp;sheet=U0&amp;row=2361&amp;col=7&amp;number=0.0187&amp;sourceID=14","0.0187")</f>
        <v>0.0187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HYPERLINK("http://141.218.60.56/~jnz1568/getInfo.php?workbook=20_05.xlsx&amp;sheet=U0&amp;row=2362&amp;col=6&amp;number=4.8&amp;sourceID=14","4.8")</f>
        <v>4.8</v>
      </c>
      <c r="G2362" s="4" t="str">
        <f>HYPERLINK("http://141.218.60.56/~jnz1568/getInfo.php?workbook=20_05.xlsx&amp;sheet=U0&amp;row=2362&amp;col=7&amp;number=0.0187&amp;sourceID=14","0.0187")</f>
        <v>0.0187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HYPERLINK("http://141.218.60.56/~jnz1568/getInfo.php?workbook=20_05.xlsx&amp;sheet=U0&amp;row=2363&amp;col=6&amp;number=4.9&amp;sourceID=14","4.9")</f>
        <v>4.9</v>
      </c>
      <c r="G2363" s="4" t="str">
        <f>HYPERLINK("http://141.218.60.56/~jnz1568/getInfo.php?workbook=20_05.xlsx&amp;sheet=U0&amp;row=2363&amp;col=7&amp;number=0.0187&amp;sourceID=14","0.0187")</f>
        <v>0.0187</v>
      </c>
    </row>
    <row r="2364" spans="1:7">
      <c r="A2364" s="3">
        <v>20</v>
      </c>
      <c r="B2364" s="3">
        <v>5</v>
      </c>
      <c r="C2364" s="3">
        <v>1</v>
      </c>
      <c r="D2364" s="3">
        <v>74</v>
      </c>
      <c r="E2364" s="3">
        <v>1</v>
      </c>
      <c r="F2364" s="4" t="str">
        <f>HYPERLINK("http://141.218.60.56/~jnz1568/getInfo.php?workbook=20_05.xlsx&amp;sheet=U0&amp;row=2364&amp;col=6&amp;number=3&amp;sourceID=14","3")</f>
        <v>3</v>
      </c>
      <c r="G2364" s="4" t="str">
        <f>HYPERLINK("http://141.218.60.56/~jnz1568/getInfo.php?workbook=20_05.xlsx&amp;sheet=U0&amp;row=2364&amp;col=7&amp;number=0.0016&amp;sourceID=14","0.0016")</f>
        <v>0.0016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HYPERLINK("http://141.218.60.56/~jnz1568/getInfo.php?workbook=20_05.xlsx&amp;sheet=U0&amp;row=2365&amp;col=6&amp;number=3.1&amp;sourceID=14","3.1")</f>
        <v>3.1</v>
      </c>
      <c r="G2365" s="4" t="str">
        <f>HYPERLINK("http://141.218.60.56/~jnz1568/getInfo.php?workbook=20_05.xlsx&amp;sheet=U0&amp;row=2365&amp;col=7&amp;number=0.0016&amp;sourceID=14","0.0016")</f>
        <v>0.0016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HYPERLINK("http://141.218.60.56/~jnz1568/getInfo.php?workbook=20_05.xlsx&amp;sheet=U0&amp;row=2366&amp;col=6&amp;number=3.2&amp;sourceID=14","3.2")</f>
        <v>3.2</v>
      </c>
      <c r="G2366" s="4" t="str">
        <f>HYPERLINK("http://141.218.60.56/~jnz1568/getInfo.php?workbook=20_05.xlsx&amp;sheet=U0&amp;row=2366&amp;col=7&amp;number=0.0016&amp;sourceID=14","0.0016")</f>
        <v>0.0016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HYPERLINK("http://141.218.60.56/~jnz1568/getInfo.php?workbook=20_05.xlsx&amp;sheet=U0&amp;row=2367&amp;col=6&amp;number=3.3&amp;sourceID=14","3.3")</f>
        <v>3.3</v>
      </c>
      <c r="G2367" s="4" t="str">
        <f>HYPERLINK("http://141.218.60.56/~jnz1568/getInfo.php?workbook=20_05.xlsx&amp;sheet=U0&amp;row=2367&amp;col=7&amp;number=0.0016&amp;sourceID=14","0.0016")</f>
        <v>0.0016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HYPERLINK("http://141.218.60.56/~jnz1568/getInfo.php?workbook=20_05.xlsx&amp;sheet=U0&amp;row=2368&amp;col=6&amp;number=3.4&amp;sourceID=14","3.4")</f>
        <v>3.4</v>
      </c>
      <c r="G2368" s="4" t="str">
        <f>HYPERLINK("http://141.218.60.56/~jnz1568/getInfo.php?workbook=20_05.xlsx&amp;sheet=U0&amp;row=2368&amp;col=7&amp;number=0.0016&amp;sourceID=14","0.0016")</f>
        <v>0.0016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HYPERLINK("http://141.218.60.56/~jnz1568/getInfo.php?workbook=20_05.xlsx&amp;sheet=U0&amp;row=2369&amp;col=6&amp;number=3.5&amp;sourceID=14","3.5")</f>
        <v>3.5</v>
      </c>
      <c r="G2369" s="4" t="str">
        <f>HYPERLINK("http://141.218.60.56/~jnz1568/getInfo.php?workbook=20_05.xlsx&amp;sheet=U0&amp;row=2369&amp;col=7&amp;number=0.00159&amp;sourceID=14","0.00159")</f>
        <v>0.00159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HYPERLINK("http://141.218.60.56/~jnz1568/getInfo.php?workbook=20_05.xlsx&amp;sheet=U0&amp;row=2370&amp;col=6&amp;number=3.6&amp;sourceID=14","3.6")</f>
        <v>3.6</v>
      </c>
      <c r="G2370" s="4" t="str">
        <f>HYPERLINK("http://141.218.60.56/~jnz1568/getInfo.php?workbook=20_05.xlsx&amp;sheet=U0&amp;row=2370&amp;col=7&amp;number=0.00159&amp;sourceID=14","0.00159")</f>
        <v>0.00159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HYPERLINK("http://141.218.60.56/~jnz1568/getInfo.php?workbook=20_05.xlsx&amp;sheet=U0&amp;row=2371&amp;col=6&amp;number=3.7&amp;sourceID=14","3.7")</f>
        <v>3.7</v>
      </c>
      <c r="G2371" s="4" t="str">
        <f>HYPERLINK("http://141.218.60.56/~jnz1568/getInfo.php?workbook=20_05.xlsx&amp;sheet=U0&amp;row=2371&amp;col=7&amp;number=0.00159&amp;sourceID=14","0.00159")</f>
        <v>0.00159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HYPERLINK("http://141.218.60.56/~jnz1568/getInfo.php?workbook=20_05.xlsx&amp;sheet=U0&amp;row=2372&amp;col=6&amp;number=3.8&amp;sourceID=14","3.8")</f>
        <v>3.8</v>
      </c>
      <c r="G2372" s="4" t="str">
        <f>HYPERLINK("http://141.218.60.56/~jnz1568/getInfo.php?workbook=20_05.xlsx&amp;sheet=U0&amp;row=2372&amp;col=7&amp;number=0.00159&amp;sourceID=14","0.00159")</f>
        <v>0.00159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HYPERLINK("http://141.218.60.56/~jnz1568/getInfo.php?workbook=20_05.xlsx&amp;sheet=U0&amp;row=2373&amp;col=6&amp;number=3.9&amp;sourceID=14","3.9")</f>
        <v>3.9</v>
      </c>
      <c r="G2373" s="4" t="str">
        <f>HYPERLINK("http://141.218.60.56/~jnz1568/getInfo.php?workbook=20_05.xlsx&amp;sheet=U0&amp;row=2373&amp;col=7&amp;number=0.00159&amp;sourceID=14","0.00159")</f>
        <v>0.00159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HYPERLINK("http://141.218.60.56/~jnz1568/getInfo.php?workbook=20_05.xlsx&amp;sheet=U0&amp;row=2374&amp;col=6&amp;number=4&amp;sourceID=14","4")</f>
        <v>4</v>
      </c>
      <c r="G2374" s="4" t="str">
        <f>HYPERLINK("http://141.218.60.56/~jnz1568/getInfo.php?workbook=20_05.xlsx&amp;sheet=U0&amp;row=2374&amp;col=7&amp;number=0.00159&amp;sourceID=14","0.00159")</f>
        <v>0.00159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HYPERLINK("http://141.218.60.56/~jnz1568/getInfo.php?workbook=20_05.xlsx&amp;sheet=U0&amp;row=2375&amp;col=6&amp;number=4.1&amp;sourceID=14","4.1")</f>
        <v>4.1</v>
      </c>
      <c r="G2375" s="4" t="str">
        <f>HYPERLINK("http://141.218.60.56/~jnz1568/getInfo.php?workbook=20_05.xlsx&amp;sheet=U0&amp;row=2375&amp;col=7&amp;number=0.00159&amp;sourceID=14","0.00159")</f>
        <v>0.00159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HYPERLINK("http://141.218.60.56/~jnz1568/getInfo.php?workbook=20_05.xlsx&amp;sheet=U0&amp;row=2376&amp;col=6&amp;number=4.2&amp;sourceID=14","4.2")</f>
        <v>4.2</v>
      </c>
      <c r="G2376" s="4" t="str">
        <f>HYPERLINK("http://141.218.60.56/~jnz1568/getInfo.php?workbook=20_05.xlsx&amp;sheet=U0&amp;row=2376&amp;col=7&amp;number=0.00159&amp;sourceID=14","0.00159")</f>
        <v>0.00159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HYPERLINK("http://141.218.60.56/~jnz1568/getInfo.php?workbook=20_05.xlsx&amp;sheet=U0&amp;row=2377&amp;col=6&amp;number=4.3&amp;sourceID=14","4.3")</f>
        <v>4.3</v>
      </c>
      <c r="G2377" s="4" t="str">
        <f>HYPERLINK("http://141.218.60.56/~jnz1568/getInfo.php?workbook=20_05.xlsx&amp;sheet=U0&amp;row=2377&amp;col=7&amp;number=0.00159&amp;sourceID=14","0.00159")</f>
        <v>0.00159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HYPERLINK("http://141.218.60.56/~jnz1568/getInfo.php?workbook=20_05.xlsx&amp;sheet=U0&amp;row=2378&amp;col=6&amp;number=4.4&amp;sourceID=14","4.4")</f>
        <v>4.4</v>
      </c>
      <c r="G2378" s="4" t="str">
        <f>HYPERLINK("http://141.218.60.56/~jnz1568/getInfo.php?workbook=20_05.xlsx&amp;sheet=U0&amp;row=2378&amp;col=7&amp;number=0.00159&amp;sourceID=14","0.00159")</f>
        <v>0.00159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HYPERLINK("http://141.218.60.56/~jnz1568/getInfo.php?workbook=20_05.xlsx&amp;sheet=U0&amp;row=2379&amp;col=6&amp;number=4.5&amp;sourceID=14","4.5")</f>
        <v>4.5</v>
      </c>
      <c r="G2379" s="4" t="str">
        <f>HYPERLINK("http://141.218.60.56/~jnz1568/getInfo.php?workbook=20_05.xlsx&amp;sheet=U0&amp;row=2379&amp;col=7&amp;number=0.00158&amp;sourceID=14","0.00158")</f>
        <v>0.00158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HYPERLINK("http://141.218.60.56/~jnz1568/getInfo.php?workbook=20_05.xlsx&amp;sheet=U0&amp;row=2380&amp;col=6&amp;number=4.6&amp;sourceID=14","4.6")</f>
        <v>4.6</v>
      </c>
      <c r="G2380" s="4" t="str">
        <f>HYPERLINK("http://141.218.60.56/~jnz1568/getInfo.php?workbook=20_05.xlsx&amp;sheet=U0&amp;row=2380&amp;col=7&amp;number=0.00158&amp;sourceID=14","0.00158")</f>
        <v>0.00158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HYPERLINK("http://141.218.60.56/~jnz1568/getInfo.php?workbook=20_05.xlsx&amp;sheet=U0&amp;row=2381&amp;col=6&amp;number=4.7&amp;sourceID=14","4.7")</f>
        <v>4.7</v>
      </c>
      <c r="G2381" s="4" t="str">
        <f>HYPERLINK("http://141.218.60.56/~jnz1568/getInfo.php?workbook=20_05.xlsx&amp;sheet=U0&amp;row=2381&amp;col=7&amp;number=0.00158&amp;sourceID=14","0.00158")</f>
        <v>0.00158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HYPERLINK("http://141.218.60.56/~jnz1568/getInfo.php?workbook=20_05.xlsx&amp;sheet=U0&amp;row=2382&amp;col=6&amp;number=4.8&amp;sourceID=14","4.8")</f>
        <v>4.8</v>
      </c>
      <c r="G2382" s="4" t="str">
        <f>HYPERLINK("http://141.218.60.56/~jnz1568/getInfo.php?workbook=20_05.xlsx&amp;sheet=U0&amp;row=2382&amp;col=7&amp;number=0.00157&amp;sourceID=14","0.00157")</f>
        <v>0.00157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HYPERLINK("http://141.218.60.56/~jnz1568/getInfo.php?workbook=20_05.xlsx&amp;sheet=U0&amp;row=2383&amp;col=6&amp;number=4.9&amp;sourceID=14","4.9")</f>
        <v>4.9</v>
      </c>
      <c r="G2383" s="4" t="str">
        <f>HYPERLINK("http://141.218.60.56/~jnz1568/getInfo.php?workbook=20_05.xlsx&amp;sheet=U0&amp;row=2383&amp;col=7&amp;number=0.00157&amp;sourceID=14","0.00157")</f>
        <v>0.00157</v>
      </c>
    </row>
    <row r="2384" spans="1:7">
      <c r="A2384" s="3">
        <v>20</v>
      </c>
      <c r="B2384" s="3">
        <v>5</v>
      </c>
      <c r="C2384" s="3">
        <v>1</v>
      </c>
      <c r="D2384" s="3">
        <v>75</v>
      </c>
      <c r="E2384" s="3">
        <v>1</v>
      </c>
      <c r="F2384" s="4" t="str">
        <f>HYPERLINK("http://141.218.60.56/~jnz1568/getInfo.php?workbook=20_05.xlsx&amp;sheet=U0&amp;row=2384&amp;col=6&amp;number=3&amp;sourceID=14","3")</f>
        <v>3</v>
      </c>
      <c r="G2384" s="4" t="str">
        <f>HYPERLINK("http://141.218.60.56/~jnz1568/getInfo.php?workbook=20_05.xlsx&amp;sheet=U0&amp;row=2384&amp;col=7&amp;number=0.0469&amp;sourceID=14","0.0469")</f>
        <v>0.0469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HYPERLINK("http://141.218.60.56/~jnz1568/getInfo.php?workbook=20_05.xlsx&amp;sheet=U0&amp;row=2385&amp;col=6&amp;number=3.1&amp;sourceID=14","3.1")</f>
        <v>3.1</v>
      </c>
      <c r="G2385" s="4" t="str">
        <f>HYPERLINK("http://141.218.60.56/~jnz1568/getInfo.php?workbook=20_05.xlsx&amp;sheet=U0&amp;row=2385&amp;col=7&amp;number=0.0469&amp;sourceID=14","0.0469")</f>
        <v>0.0469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HYPERLINK("http://141.218.60.56/~jnz1568/getInfo.php?workbook=20_05.xlsx&amp;sheet=U0&amp;row=2386&amp;col=6&amp;number=3.2&amp;sourceID=14","3.2")</f>
        <v>3.2</v>
      </c>
      <c r="G2386" s="4" t="str">
        <f>HYPERLINK("http://141.218.60.56/~jnz1568/getInfo.php?workbook=20_05.xlsx&amp;sheet=U0&amp;row=2386&amp;col=7&amp;number=0.0469&amp;sourceID=14","0.0469")</f>
        <v>0.0469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HYPERLINK("http://141.218.60.56/~jnz1568/getInfo.php?workbook=20_05.xlsx&amp;sheet=U0&amp;row=2387&amp;col=6&amp;number=3.3&amp;sourceID=14","3.3")</f>
        <v>3.3</v>
      </c>
      <c r="G2387" s="4" t="str">
        <f>HYPERLINK("http://141.218.60.56/~jnz1568/getInfo.php?workbook=20_05.xlsx&amp;sheet=U0&amp;row=2387&amp;col=7&amp;number=0.0469&amp;sourceID=14","0.0469")</f>
        <v>0.0469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HYPERLINK("http://141.218.60.56/~jnz1568/getInfo.php?workbook=20_05.xlsx&amp;sheet=U0&amp;row=2388&amp;col=6&amp;number=3.4&amp;sourceID=14","3.4")</f>
        <v>3.4</v>
      </c>
      <c r="G2388" s="4" t="str">
        <f>HYPERLINK("http://141.218.60.56/~jnz1568/getInfo.php?workbook=20_05.xlsx&amp;sheet=U0&amp;row=2388&amp;col=7&amp;number=0.0469&amp;sourceID=14","0.0469")</f>
        <v>0.0469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HYPERLINK("http://141.218.60.56/~jnz1568/getInfo.php?workbook=20_05.xlsx&amp;sheet=U0&amp;row=2389&amp;col=6&amp;number=3.5&amp;sourceID=14","3.5")</f>
        <v>3.5</v>
      </c>
      <c r="G2389" s="4" t="str">
        <f>HYPERLINK("http://141.218.60.56/~jnz1568/getInfo.php?workbook=20_05.xlsx&amp;sheet=U0&amp;row=2389&amp;col=7&amp;number=0.0469&amp;sourceID=14","0.0469")</f>
        <v>0.0469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HYPERLINK("http://141.218.60.56/~jnz1568/getInfo.php?workbook=20_05.xlsx&amp;sheet=U0&amp;row=2390&amp;col=6&amp;number=3.6&amp;sourceID=14","3.6")</f>
        <v>3.6</v>
      </c>
      <c r="G2390" s="4" t="str">
        <f>HYPERLINK("http://141.218.60.56/~jnz1568/getInfo.php?workbook=20_05.xlsx&amp;sheet=U0&amp;row=2390&amp;col=7&amp;number=0.0469&amp;sourceID=14","0.0469")</f>
        <v>0.0469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HYPERLINK("http://141.218.60.56/~jnz1568/getInfo.php?workbook=20_05.xlsx&amp;sheet=U0&amp;row=2391&amp;col=6&amp;number=3.7&amp;sourceID=14","3.7")</f>
        <v>3.7</v>
      </c>
      <c r="G2391" s="4" t="str">
        <f>HYPERLINK("http://141.218.60.56/~jnz1568/getInfo.php?workbook=20_05.xlsx&amp;sheet=U0&amp;row=2391&amp;col=7&amp;number=0.0469&amp;sourceID=14","0.0469")</f>
        <v>0.0469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HYPERLINK("http://141.218.60.56/~jnz1568/getInfo.php?workbook=20_05.xlsx&amp;sheet=U0&amp;row=2392&amp;col=6&amp;number=3.8&amp;sourceID=14","3.8")</f>
        <v>3.8</v>
      </c>
      <c r="G2392" s="4" t="str">
        <f>HYPERLINK("http://141.218.60.56/~jnz1568/getInfo.php?workbook=20_05.xlsx&amp;sheet=U0&amp;row=2392&amp;col=7&amp;number=0.0469&amp;sourceID=14","0.0469")</f>
        <v>0.0469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HYPERLINK("http://141.218.60.56/~jnz1568/getInfo.php?workbook=20_05.xlsx&amp;sheet=U0&amp;row=2393&amp;col=6&amp;number=3.9&amp;sourceID=14","3.9")</f>
        <v>3.9</v>
      </c>
      <c r="G2393" s="4" t="str">
        <f>HYPERLINK("http://141.218.60.56/~jnz1568/getInfo.php?workbook=20_05.xlsx&amp;sheet=U0&amp;row=2393&amp;col=7&amp;number=0.0469&amp;sourceID=14","0.0469")</f>
        <v>0.0469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HYPERLINK("http://141.218.60.56/~jnz1568/getInfo.php?workbook=20_05.xlsx&amp;sheet=U0&amp;row=2394&amp;col=6&amp;number=4&amp;sourceID=14","4")</f>
        <v>4</v>
      </c>
      <c r="G2394" s="4" t="str">
        <f>HYPERLINK("http://141.218.60.56/~jnz1568/getInfo.php?workbook=20_05.xlsx&amp;sheet=U0&amp;row=2394&amp;col=7&amp;number=0.0469&amp;sourceID=14","0.0469")</f>
        <v>0.0469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HYPERLINK("http://141.218.60.56/~jnz1568/getInfo.php?workbook=20_05.xlsx&amp;sheet=U0&amp;row=2395&amp;col=6&amp;number=4.1&amp;sourceID=14","4.1")</f>
        <v>4.1</v>
      </c>
      <c r="G2395" s="4" t="str">
        <f>HYPERLINK("http://141.218.60.56/~jnz1568/getInfo.php?workbook=20_05.xlsx&amp;sheet=U0&amp;row=2395&amp;col=7&amp;number=0.0469&amp;sourceID=14","0.0469")</f>
        <v>0.0469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HYPERLINK("http://141.218.60.56/~jnz1568/getInfo.php?workbook=20_05.xlsx&amp;sheet=U0&amp;row=2396&amp;col=6&amp;number=4.2&amp;sourceID=14","4.2")</f>
        <v>4.2</v>
      </c>
      <c r="G2396" s="4" t="str">
        <f>HYPERLINK("http://141.218.60.56/~jnz1568/getInfo.php?workbook=20_05.xlsx&amp;sheet=U0&amp;row=2396&amp;col=7&amp;number=0.0469&amp;sourceID=14","0.0469")</f>
        <v>0.0469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HYPERLINK("http://141.218.60.56/~jnz1568/getInfo.php?workbook=20_05.xlsx&amp;sheet=U0&amp;row=2397&amp;col=6&amp;number=4.3&amp;sourceID=14","4.3")</f>
        <v>4.3</v>
      </c>
      <c r="G2397" s="4" t="str">
        <f>HYPERLINK("http://141.218.60.56/~jnz1568/getInfo.php?workbook=20_05.xlsx&amp;sheet=U0&amp;row=2397&amp;col=7&amp;number=0.0469&amp;sourceID=14","0.0469")</f>
        <v>0.0469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HYPERLINK("http://141.218.60.56/~jnz1568/getInfo.php?workbook=20_05.xlsx&amp;sheet=U0&amp;row=2398&amp;col=6&amp;number=4.4&amp;sourceID=14","4.4")</f>
        <v>4.4</v>
      </c>
      <c r="G2398" s="4" t="str">
        <f>HYPERLINK("http://141.218.60.56/~jnz1568/getInfo.php?workbook=20_05.xlsx&amp;sheet=U0&amp;row=2398&amp;col=7&amp;number=0.047&amp;sourceID=14","0.047")</f>
        <v>0.047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HYPERLINK("http://141.218.60.56/~jnz1568/getInfo.php?workbook=20_05.xlsx&amp;sheet=U0&amp;row=2399&amp;col=6&amp;number=4.5&amp;sourceID=14","4.5")</f>
        <v>4.5</v>
      </c>
      <c r="G2399" s="4" t="str">
        <f>HYPERLINK("http://141.218.60.56/~jnz1568/getInfo.php?workbook=20_05.xlsx&amp;sheet=U0&amp;row=2399&amp;col=7&amp;number=0.047&amp;sourceID=14","0.047")</f>
        <v>0.047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HYPERLINK("http://141.218.60.56/~jnz1568/getInfo.php?workbook=20_05.xlsx&amp;sheet=U0&amp;row=2400&amp;col=6&amp;number=4.6&amp;sourceID=14","4.6")</f>
        <v>4.6</v>
      </c>
      <c r="G2400" s="4" t="str">
        <f>HYPERLINK("http://141.218.60.56/~jnz1568/getInfo.php?workbook=20_05.xlsx&amp;sheet=U0&amp;row=2400&amp;col=7&amp;number=0.047&amp;sourceID=14","0.047")</f>
        <v>0.047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HYPERLINK("http://141.218.60.56/~jnz1568/getInfo.php?workbook=20_05.xlsx&amp;sheet=U0&amp;row=2401&amp;col=6&amp;number=4.7&amp;sourceID=14","4.7")</f>
        <v>4.7</v>
      </c>
      <c r="G2401" s="4" t="str">
        <f>HYPERLINK("http://141.218.60.56/~jnz1568/getInfo.php?workbook=20_05.xlsx&amp;sheet=U0&amp;row=2401&amp;col=7&amp;number=0.047&amp;sourceID=14","0.047")</f>
        <v>0.047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HYPERLINK("http://141.218.60.56/~jnz1568/getInfo.php?workbook=20_05.xlsx&amp;sheet=U0&amp;row=2402&amp;col=6&amp;number=4.8&amp;sourceID=14","4.8")</f>
        <v>4.8</v>
      </c>
      <c r="G2402" s="4" t="str">
        <f>HYPERLINK("http://141.218.60.56/~jnz1568/getInfo.php?workbook=20_05.xlsx&amp;sheet=U0&amp;row=2402&amp;col=7&amp;number=0.047&amp;sourceID=14","0.047")</f>
        <v>0.047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HYPERLINK("http://141.218.60.56/~jnz1568/getInfo.php?workbook=20_05.xlsx&amp;sheet=U0&amp;row=2403&amp;col=6&amp;number=4.9&amp;sourceID=14","4.9")</f>
        <v>4.9</v>
      </c>
      <c r="G2403" s="4" t="str">
        <f>HYPERLINK("http://141.218.60.56/~jnz1568/getInfo.php?workbook=20_05.xlsx&amp;sheet=U0&amp;row=2403&amp;col=7&amp;number=0.0471&amp;sourceID=14","0.0471")</f>
        <v>0.0471</v>
      </c>
    </row>
    <row r="2404" spans="1:7">
      <c r="A2404" s="3">
        <v>20</v>
      </c>
      <c r="B2404" s="3">
        <v>5</v>
      </c>
      <c r="C2404" s="3">
        <v>1</v>
      </c>
      <c r="D2404" s="3">
        <v>76</v>
      </c>
      <c r="E2404" s="3">
        <v>1</v>
      </c>
      <c r="F2404" s="4" t="str">
        <f>HYPERLINK("http://141.218.60.56/~jnz1568/getInfo.php?workbook=20_05.xlsx&amp;sheet=U0&amp;row=2404&amp;col=6&amp;number=3&amp;sourceID=14","3")</f>
        <v>3</v>
      </c>
      <c r="G2404" s="4" t="str">
        <f>HYPERLINK("http://141.218.60.56/~jnz1568/getInfo.php?workbook=20_05.xlsx&amp;sheet=U0&amp;row=2404&amp;col=7&amp;number=0.0014&amp;sourceID=14","0.0014")</f>
        <v>0.0014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HYPERLINK("http://141.218.60.56/~jnz1568/getInfo.php?workbook=20_05.xlsx&amp;sheet=U0&amp;row=2405&amp;col=6&amp;number=3.1&amp;sourceID=14","3.1")</f>
        <v>3.1</v>
      </c>
      <c r="G2405" s="4" t="str">
        <f>HYPERLINK("http://141.218.60.56/~jnz1568/getInfo.php?workbook=20_05.xlsx&amp;sheet=U0&amp;row=2405&amp;col=7&amp;number=0.0014&amp;sourceID=14","0.0014")</f>
        <v>0.0014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HYPERLINK("http://141.218.60.56/~jnz1568/getInfo.php?workbook=20_05.xlsx&amp;sheet=U0&amp;row=2406&amp;col=6&amp;number=3.2&amp;sourceID=14","3.2")</f>
        <v>3.2</v>
      </c>
      <c r="G2406" s="4" t="str">
        <f>HYPERLINK("http://141.218.60.56/~jnz1568/getInfo.php?workbook=20_05.xlsx&amp;sheet=U0&amp;row=2406&amp;col=7&amp;number=0.0014&amp;sourceID=14","0.0014")</f>
        <v>0.0014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HYPERLINK("http://141.218.60.56/~jnz1568/getInfo.php?workbook=20_05.xlsx&amp;sheet=U0&amp;row=2407&amp;col=6&amp;number=3.3&amp;sourceID=14","3.3")</f>
        <v>3.3</v>
      </c>
      <c r="G2407" s="4" t="str">
        <f>HYPERLINK("http://141.218.60.56/~jnz1568/getInfo.php?workbook=20_05.xlsx&amp;sheet=U0&amp;row=2407&amp;col=7&amp;number=0.0014&amp;sourceID=14","0.0014")</f>
        <v>0.0014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HYPERLINK("http://141.218.60.56/~jnz1568/getInfo.php?workbook=20_05.xlsx&amp;sheet=U0&amp;row=2408&amp;col=6&amp;number=3.4&amp;sourceID=14","3.4")</f>
        <v>3.4</v>
      </c>
      <c r="G2408" s="4" t="str">
        <f>HYPERLINK("http://141.218.60.56/~jnz1568/getInfo.php?workbook=20_05.xlsx&amp;sheet=U0&amp;row=2408&amp;col=7&amp;number=0.0014&amp;sourceID=14","0.0014")</f>
        <v>0.0014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HYPERLINK("http://141.218.60.56/~jnz1568/getInfo.php?workbook=20_05.xlsx&amp;sheet=U0&amp;row=2409&amp;col=6&amp;number=3.5&amp;sourceID=14","3.5")</f>
        <v>3.5</v>
      </c>
      <c r="G2409" s="4" t="str">
        <f>HYPERLINK("http://141.218.60.56/~jnz1568/getInfo.php?workbook=20_05.xlsx&amp;sheet=U0&amp;row=2409&amp;col=7&amp;number=0.0014&amp;sourceID=14","0.0014")</f>
        <v>0.0014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HYPERLINK("http://141.218.60.56/~jnz1568/getInfo.php?workbook=20_05.xlsx&amp;sheet=U0&amp;row=2410&amp;col=6&amp;number=3.6&amp;sourceID=14","3.6")</f>
        <v>3.6</v>
      </c>
      <c r="G2410" s="4" t="str">
        <f>HYPERLINK("http://141.218.60.56/~jnz1568/getInfo.php?workbook=20_05.xlsx&amp;sheet=U0&amp;row=2410&amp;col=7&amp;number=0.0014&amp;sourceID=14","0.0014")</f>
        <v>0.0014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HYPERLINK("http://141.218.60.56/~jnz1568/getInfo.php?workbook=20_05.xlsx&amp;sheet=U0&amp;row=2411&amp;col=6&amp;number=3.7&amp;sourceID=14","3.7")</f>
        <v>3.7</v>
      </c>
      <c r="G2411" s="4" t="str">
        <f>HYPERLINK("http://141.218.60.56/~jnz1568/getInfo.php?workbook=20_05.xlsx&amp;sheet=U0&amp;row=2411&amp;col=7&amp;number=0.0014&amp;sourceID=14","0.0014")</f>
        <v>0.0014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HYPERLINK("http://141.218.60.56/~jnz1568/getInfo.php?workbook=20_05.xlsx&amp;sheet=U0&amp;row=2412&amp;col=6&amp;number=3.8&amp;sourceID=14","3.8")</f>
        <v>3.8</v>
      </c>
      <c r="G2412" s="4" t="str">
        <f>HYPERLINK("http://141.218.60.56/~jnz1568/getInfo.php?workbook=20_05.xlsx&amp;sheet=U0&amp;row=2412&amp;col=7&amp;number=0.0014&amp;sourceID=14","0.0014")</f>
        <v>0.0014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HYPERLINK("http://141.218.60.56/~jnz1568/getInfo.php?workbook=20_05.xlsx&amp;sheet=U0&amp;row=2413&amp;col=6&amp;number=3.9&amp;sourceID=14","3.9")</f>
        <v>3.9</v>
      </c>
      <c r="G2413" s="4" t="str">
        <f>HYPERLINK("http://141.218.60.56/~jnz1568/getInfo.php?workbook=20_05.xlsx&amp;sheet=U0&amp;row=2413&amp;col=7&amp;number=0.0014&amp;sourceID=14","0.0014")</f>
        <v>0.0014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HYPERLINK("http://141.218.60.56/~jnz1568/getInfo.php?workbook=20_05.xlsx&amp;sheet=U0&amp;row=2414&amp;col=6&amp;number=4&amp;sourceID=14","4")</f>
        <v>4</v>
      </c>
      <c r="G2414" s="4" t="str">
        <f>HYPERLINK("http://141.218.60.56/~jnz1568/getInfo.php?workbook=20_05.xlsx&amp;sheet=U0&amp;row=2414&amp;col=7&amp;number=0.0014&amp;sourceID=14","0.0014")</f>
        <v>0.0014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HYPERLINK("http://141.218.60.56/~jnz1568/getInfo.php?workbook=20_05.xlsx&amp;sheet=U0&amp;row=2415&amp;col=6&amp;number=4.1&amp;sourceID=14","4.1")</f>
        <v>4.1</v>
      </c>
      <c r="G2415" s="4" t="str">
        <f>HYPERLINK("http://141.218.60.56/~jnz1568/getInfo.php?workbook=20_05.xlsx&amp;sheet=U0&amp;row=2415&amp;col=7&amp;number=0.0014&amp;sourceID=14","0.0014")</f>
        <v>0.0014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HYPERLINK("http://141.218.60.56/~jnz1568/getInfo.php?workbook=20_05.xlsx&amp;sheet=U0&amp;row=2416&amp;col=6&amp;number=4.2&amp;sourceID=14","4.2")</f>
        <v>4.2</v>
      </c>
      <c r="G2416" s="4" t="str">
        <f>HYPERLINK("http://141.218.60.56/~jnz1568/getInfo.php?workbook=20_05.xlsx&amp;sheet=U0&amp;row=2416&amp;col=7&amp;number=0.0014&amp;sourceID=14","0.0014")</f>
        <v>0.0014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HYPERLINK("http://141.218.60.56/~jnz1568/getInfo.php?workbook=20_05.xlsx&amp;sheet=U0&amp;row=2417&amp;col=6&amp;number=4.3&amp;sourceID=14","4.3")</f>
        <v>4.3</v>
      </c>
      <c r="G2417" s="4" t="str">
        <f>HYPERLINK("http://141.218.60.56/~jnz1568/getInfo.php?workbook=20_05.xlsx&amp;sheet=U0&amp;row=2417&amp;col=7&amp;number=0.0014&amp;sourceID=14","0.0014")</f>
        <v>0.0014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HYPERLINK("http://141.218.60.56/~jnz1568/getInfo.php?workbook=20_05.xlsx&amp;sheet=U0&amp;row=2418&amp;col=6&amp;number=4.4&amp;sourceID=14","4.4")</f>
        <v>4.4</v>
      </c>
      <c r="G2418" s="4" t="str">
        <f>HYPERLINK("http://141.218.60.56/~jnz1568/getInfo.php?workbook=20_05.xlsx&amp;sheet=U0&amp;row=2418&amp;col=7&amp;number=0.00139&amp;sourceID=14","0.00139")</f>
        <v>0.00139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HYPERLINK("http://141.218.60.56/~jnz1568/getInfo.php?workbook=20_05.xlsx&amp;sheet=U0&amp;row=2419&amp;col=6&amp;number=4.5&amp;sourceID=14","4.5")</f>
        <v>4.5</v>
      </c>
      <c r="G2419" s="4" t="str">
        <f>HYPERLINK("http://141.218.60.56/~jnz1568/getInfo.php?workbook=20_05.xlsx&amp;sheet=U0&amp;row=2419&amp;col=7&amp;number=0.00139&amp;sourceID=14","0.00139")</f>
        <v>0.00139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HYPERLINK("http://141.218.60.56/~jnz1568/getInfo.php?workbook=20_05.xlsx&amp;sheet=U0&amp;row=2420&amp;col=6&amp;number=4.6&amp;sourceID=14","4.6")</f>
        <v>4.6</v>
      </c>
      <c r="G2420" s="4" t="str">
        <f>HYPERLINK("http://141.218.60.56/~jnz1568/getInfo.php?workbook=20_05.xlsx&amp;sheet=U0&amp;row=2420&amp;col=7&amp;number=0.00139&amp;sourceID=14","0.00139")</f>
        <v>0.00139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HYPERLINK("http://141.218.60.56/~jnz1568/getInfo.php?workbook=20_05.xlsx&amp;sheet=U0&amp;row=2421&amp;col=6&amp;number=4.7&amp;sourceID=14","4.7")</f>
        <v>4.7</v>
      </c>
      <c r="G2421" s="4" t="str">
        <f>HYPERLINK("http://141.218.60.56/~jnz1568/getInfo.php?workbook=20_05.xlsx&amp;sheet=U0&amp;row=2421&amp;col=7&amp;number=0.00139&amp;sourceID=14","0.00139")</f>
        <v>0.00139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HYPERLINK("http://141.218.60.56/~jnz1568/getInfo.php?workbook=20_05.xlsx&amp;sheet=U0&amp;row=2422&amp;col=6&amp;number=4.8&amp;sourceID=14","4.8")</f>
        <v>4.8</v>
      </c>
      <c r="G2422" s="4" t="str">
        <f>HYPERLINK("http://141.218.60.56/~jnz1568/getInfo.php?workbook=20_05.xlsx&amp;sheet=U0&amp;row=2422&amp;col=7&amp;number=0.00138&amp;sourceID=14","0.00138")</f>
        <v>0.00138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HYPERLINK("http://141.218.60.56/~jnz1568/getInfo.php?workbook=20_05.xlsx&amp;sheet=U0&amp;row=2423&amp;col=6&amp;number=4.9&amp;sourceID=14","4.9")</f>
        <v>4.9</v>
      </c>
      <c r="G2423" s="4" t="str">
        <f>HYPERLINK("http://141.218.60.56/~jnz1568/getInfo.php?workbook=20_05.xlsx&amp;sheet=U0&amp;row=2423&amp;col=7&amp;number=0.00137&amp;sourceID=14","0.00137")</f>
        <v>0.00137</v>
      </c>
    </row>
    <row r="2424" spans="1:7">
      <c r="A2424" s="3">
        <v>20</v>
      </c>
      <c r="B2424" s="3">
        <v>5</v>
      </c>
      <c r="C2424" s="3">
        <v>1</v>
      </c>
      <c r="D2424" s="3">
        <v>77</v>
      </c>
      <c r="E2424" s="3">
        <v>1</v>
      </c>
      <c r="F2424" s="4" t="str">
        <f>HYPERLINK("http://141.218.60.56/~jnz1568/getInfo.php?workbook=20_05.xlsx&amp;sheet=U0&amp;row=2424&amp;col=6&amp;number=3&amp;sourceID=14","3")</f>
        <v>3</v>
      </c>
      <c r="G2424" s="4" t="str">
        <f>HYPERLINK("http://141.218.60.56/~jnz1568/getInfo.php?workbook=20_05.xlsx&amp;sheet=U0&amp;row=2424&amp;col=7&amp;number=0.00755&amp;sourceID=14","0.00755")</f>
        <v>0.00755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HYPERLINK("http://141.218.60.56/~jnz1568/getInfo.php?workbook=20_05.xlsx&amp;sheet=U0&amp;row=2425&amp;col=6&amp;number=3.1&amp;sourceID=14","3.1")</f>
        <v>3.1</v>
      </c>
      <c r="G2425" s="4" t="str">
        <f>HYPERLINK("http://141.218.60.56/~jnz1568/getInfo.php?workbook=20_05.xlsx&amp;sheet=U0&amp;row=2425&amp;col=7&amp;number=0.00755&amp;sourceID=14","0.00755")</f>
        <v>0.00755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HYPERLINK("http://141.218.60.56/~jnz1568/getInfo.php?workbook=20_05.xlsx&amp;sheet=U0&amp;row=2426&amp;col=6&amp;number=3.2&amp;sourceID=14","3.2")</f>
        <v>3.2</v>
      </c>
      <c r="G2426" s="4" t="str">
        <f>HYPERLINK("http://141.218.60.56/~jnz1568/getInfo.php?workbook=20_05.xlsx&amp;sheet=U0&amp;row=2426&amp;col=7&amp;number=0.00755&amp;sourceID=14","0.00755")</f>
        <v>0.00755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HYPERLINK("http://141.218.60.56/~jnz1568/getInfo.php?workbook=20_05.xlsx&amp;sheet=U0&amp;row=2427&amp;col=6&amp;number=3.3&amp;sourceID=14","3.3")</f>
        <v>3.3</v>
      </c>
      <c r="G2427" s="4" t="str">
        <f>HYPERLINK("http://141.218.60.56/~jnz1568/getInfo.php?workbook=20_05.xlsx&amp;sheet=U0&amp;row=2427&amp;col=7&amp;number=0.00755&amp;sourceID=14","0.00755")</f>
        <v>0.00755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HYPERLINK("http://141.218.60.56/~jnz1568/getInfo.php?workbook=20_05.xlsx&amp;sheet=U0&amp;row=2428&amp;col=6&amp;number=3.4&amp;sourceID=14","3.4")</f>
        <v>3.4</v>
      </c>
      <c r="G2428" s="4" t="str">
        <f>HYPERLINK("http://141.218.60.56/~jnz1568/getInfo.php?workbook=20_05.xlsx&amp;sheet=U0&amp;row=2428&amp;col=7&amp;number=0.00755&amp;sourceID=14","0.00755")</f>
        <v>0.00755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HYPERLINK("http://141.218.60.56/~jnz1568/getInfo.php?workbook=20_05.xlsx&amp;sheet=U0&amp;row=2429&amp;col=6&amp;number=3.5&amp;sourceID=14","3.5")</f>
        <v>3.5</v>
      </c>
      <c r="G2429" s="4" t="str">
        <f>HYPERLINK("http://141.218.60.56/~jnz1568/getInfo.php?workbook=20_05.xlsx&amp;sheet=U0&amp;row=2429&amp;col=7&amp;number=0.00755&amp;sourceID=14","0.00755")</f>
        <v>0.00755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HYPERLINK("http://141.218.60.56/~jnz1568/getInfo.php?workbook=20_05.xlsx&amp;sheet=U0&amp;row=2430&amp;col=6&amp;number=3.6&amp;sourceID=14","3.6")</f>
        <v>3.6</v>
      </c>
      <c r="G2430" s="4" t="str">
        <f>HYPERLINK("http://141.218.60.56/~jnz1568/getInfo.php?workbook=20_05.xlsx&amp;sheet=U0&amp;row=2430&amp;col=7&amp;number=0.00755&amp;sourceID=14","0.00755")</f>
        <v>0.00755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HYPERLINK("http://141.218.60.56/~jnz1568/getInfo.php?workbook=20_05.xlsx&amp;sheet=U0&amp;row=2431&amp;col=6&amp;number=3.7&amp;sourceID=14","3.7")</f>
        <v>3.7</v>
      </c>
      <c r="G2431" s="4" t="str">
        <f>HYPERLINK("http://141.218.60.56/~jnz1568/getInfo.php?workbook=20_05.xlsx&amp;sheet=U0&amp;row=2431&amp;col=7&amp;number=0.00755&amp;sourceID=14","0.00755")</f>
        <v>0.00755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HYPERLINK("http://141.218.60.56/~jnz1568/getInfo.php?workbook=20_05.xlsx&amp;sheet=U0&amp;row=2432&amp;col=6&amp;number=3.8&amp;sourceID=14","3.8")</f>
        <v>3.8</v>
      </c>
      <c r="G2432" s="4" t="str">
        <f>HYPERLINK("http://141.218.60.56/~jnz1568/getInfo.php?workbook=20_05.xlsx&amp;sheet=U0&amp;row=2432&amp;col=7&amp;number=0.00755&amp;sourceID=14","0.00755")</f>
        <v>0.00755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HYPERLINK("http://141.218.60.56/~jnz1568/getInfo.php?workbook=20_05.xlsx&amp;sheet=U0&amp;row=2433&amp;col=6&amp;number=3.9&amp;sourceID=14","3.9")</f>
        <v>3.9</v>
      </c>
      <c r="G2433" s="4" t="str">
        <f>HYPERLINK("http://141.218.60.56/~jnz1568/getInfo.php?workbook=20_05.xlsx&amp;sheet=U0&amp;row=2433&amp;col=7&amp;number=0.00755&amp;sourceID=14","0.00755")</f>
        <v>0.00755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HYPERLINK("http://141.218.60.56/~jnz1568/getInfo.php?workbook=20_05.xlsx&amp;sheet=U0&amp;row=2434&amp;col=6&amp;number=4&amp;sourceID=14","4")</f>
        <v>4</v>
      </c>
      <c r="G2434" s="4" t="str">
        <f>HYPERLINK("http://141.218.60.56/~jnz1568/getInfo.php?workbook=20_05.xlsx&amp;sheet=U0&amp;row=2434&amp;col=7&amp;number=0.00755&amp;sourceID=14","0.00755")</f>
        <v>0.00755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HYPERLINK("http://141.218.60.56/~jnz1568/getInfo.php?workbook=20_05.xlsx&amp;sheet=U0&amp;row=2435&amp;col=6&amp;number=4.1&amp;sourceID=14","4.1")</f>
        <v>4.1</v>
      </c>
      <c r="G2435" s="4" t="str">
        <f>HYPERLINK("http://141.218.60.56/~jnz1568/getInfo.php?workbook=20_05.xlsx&amp;sheet=U0&amp;row=2435&amp;col=7&amp;number=0.00755&amp;sourceID=14","0.00755")</f>
        <v>0.00755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HYPERLINK("http://141.218.60.56/~jnz1568/getInfo.php?workbook=20_05.xlsx&amp;sheet=U0&amp;row=2436&amp;col=6&amp;number=4.2&amp;sourceID=14","4.2")</f>
        <v>4.2</v>
      </c>
      <c r="G2436" s="4" t="str">
        <f>HYPERLINK("http://141.218.60.56/~jnz1568/getInfo.php?workbook=20_05.xlsx&amp;sheet=U0&amp;row=2436&amp;col=7&amp;number=0.00755&amp;sourceID=14","0.00755")</f>
        <v>0.00755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HYPERLINK("http://141.218.60.56/~jnz1568/getInfo.php?workbook=20_05.xlsx&amp;sheet=U0&amp;row=2437&amp;col=6&amp;number=4.3&amp;sourceID=14","4.3")</f>
        <v>4.3</v>
      </c>
      <c r="G2437" s="4" t="str">
        <f>HYPERLINK("http://141.218.60.56/~jnz1568/getInfo.php?workbook=20_05.xlsx&amp;sheet=U0&amp;row=2437&amp;col=7&amp;number=0.00755&amp;sourceID=14","0.00755")</f>
        <v>0.00755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HYPERLINK("http://141.218.60.56/~jnz1568/getInfo.php?workbook=20_05.xlsx&amp;sheet=U0&amp;row=2438&amp;col=6&amp;number=4.4&amp;sourceID=14","4.4")</f>
        <v>4.4</v>
      </c>
      <c r="G2438" s="4" t="str">
        <f>HYPERLINK("http://141.218.60.56/~jnz1568/getInfo.php?workbook=20_05.xlsx&amp;sheet=U0&amp;row=2438&amp;col=7&amp;number=0.00756&amp;sourceID=14","0.00756")</f>
        <v>0.00756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HYPERLINK("http://141.218.60.56/~jnz1568/getInfo.php?workbook=20_05.xlsx&amp;sheet=U0&amp;row=2439&amp;col=6&amp;number=4.5&amp;sourceID=14","4.5")</f>
        <v>4.5</v>
      </c>
      <c r="G2439" s="4" t="str">
        <f>HYPERLINK("http://141.218.60.56/~jnz1568/getInfo.php?workbook=20_05.xlsx&amp;sheet=U0&amp;row=2439&amp;col=7&amp;number=0.00756&amp;sourceID=14","0.00756")</f>
        <v>0.00756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HYPERLINK("http://141.218.60.56/~jnz1568/getInfo.php?workbook=20_05.xlsx&amp;sheet=U0&amp;row=2440&amp;col=6&amp;number=4.6&amp;sourceID=14","4.6")</f>
        <v>4.6</v>
      </c>
      <c r="G2440" s="4" t="str">
        <f>HYPERLINK("http://141.218.60.56/~jnz1568/getInfo.php?workbook=20_05.xlsx&amp;sheet=U0&amp;row=2440&amp;col=7&amp;number=0.00756&amp;sourceID=14","0.00756")</f>
        <v>0.00756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HYPERLINK("http://141.218.60.56/~jnz1568/getInfo.php?workbook=20_05.xlsx&amp;sheet=U0&amp;row=2441&amp;col=6&amp;number=4.7&amp;sourceID=14","4.7")</f>
        <v>4.7</v>
      </c>
      <c r="G2441" s="4" t="str">
        <f>HYPERLINK("http://141.218.60.56/~jnz1568/getInfo.php?workbook=20_05.xlsx&amp;sheet=U0&amp;row=2441&amp;col=7&amp;number=0.00757&amp;sourceID=14","0.00757")</f>
        <v>0.00757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HYPERLINK("http://141.218.60.56/~jnz1568/getInfo.php?workbook=20_05.xlsx&amp;sheet=U0&amp;row=2442&amp;col=6&amp;number=4.8&amp;sourceID=14","4.8")</f>
        <v>4.8</v>
      </c>
      <c r="G2442" s="4" t="str">
        <f>HYPERLINK("http://141.218.60.56/~jnz1568/getInfo.php?workbook=20_05.xlsx&amp;sheet=U0&amp;row=2442&amp;col=7&amp;number=0.00757&amp;sourceID=14","0.00757")</f>
        <v>0.00757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HYPERLINK("http://141.218.60.56/~jnz1568/getInfo.php?workbook=20_05.xlsx&amp;sheet=U0&amp;row=2443&amp;col=6&amp;number=4.9&amp;sourceID=14","4.9")</f>
        <v>4.9</v>
      </c>
      <c r="G2443" s="4" t="str">
        <f>HYPERLINK("http://141.218.60.56/~jnz1568/getInfo.php?workbook=20_05.xlsx&amp;sheet=U0&amp;row=2443&amp;col=7&amp;number=0.00758&amp;sourceID=14","0.00758")</f>
        <v>0.00758</v>
      </c>
    </row>
    <row r="2444" spans="1:7">
      <c r="A2444" s="3">
        <v>20</v>
      </c>
      <c r="B2444" s="3">
        <v>5</v>
      </c>
      <c r="C2444" s="3">
        <v>1</v>
      </c>
      <c r="D2444" s="3">
        <v>78</v>
      </c>
      <c r="E2444" s="3">
        <v>1</v>
      </c>
      <c r="F2444" s="4" t="str">
        <f>HYPERLINK("http://141.218.60.56/~jnz1568/getInfo.php?workbook=20_05.xlsx&amp;sheet=U0&amp;row=2444&amp;col=6&amp;number=3&amp;sourceID=14","3")</f>
        <v>3</v>
      </c>
      <c r="G2444" s="4" t="str">
        <f>HYPERLINK("http://141.218.60.56/~jnz1568/getInfo.php?workbook=20_05.xlsx&amp;sheet=U0&amp;row=2444&amp;col=7&amp;number=2.25e-05&amp;sourceID=14","2.25e-05")</f>
        <v>2.25e-05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HYPERLINK("http://141.218.60.56/~jnz1568/getInfo.php?workbook=20_05.xlsx&amp;sheet=U0&amp;row=2445&amp;col=6&amp;number=3.1&amp;sourceID=14","3.1")</f>
        <v>3.1</v>
      </c>
      <c r="G2445" s="4" t="str">
        <f>HYPERLINK("http://141.218.60.56/~jnz1568/getInfo.php?workbook=20_05.xlsx&amp;sheet=U0&amp;row=2445&amp;col=7&amp;number=2.25e-05&amp;sourceID=14","2.25e-05")</f>
        <v>2.25e-05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HYPERLINK("http://141.218.60.56/~jnz1568/getInfo.php?workbook=20_05.xlsx&amp;sheet=U0&amp;row=2446&amp;col=6&amp;number=3.2&amp;sourceID=14","3.2")</f>
        <v>3.2</v>
      </c>
      <c r="G2446" s="4" t="str">
        <f>HYPERLINK("http://141.218.60.56/~jnz1568/getInfo.php?workbook=20_05.xlsx&amp;sheet=U0&amp;row=2446&amp;col=7&amp;number=2.25e-05&amp;sourceID=14","2.25e-05")</f>
        <v>2.25e-05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HYPERLINK("http://141.218.60.56/~jnz1568/getInfo.php?workbook=20_05.xlsx&amp;sheet=U0&amp;row=2447&amp;col=6&amp;number=3.3&amp;sourceID=14","3.3")</f>
        <v>3.3</v>
      </c>
      <c r="G2447" s="4" t="str">
        <f>HYPERLINK("http://141.218.60.56/~jnz1568/getInfo.php?workbook=20_05.xlsx&amp;sheet=U0&amp;row=2447&amp;col=7&amp;number=2.25e-05&amp;sourceID=14","2.25e-05")</f>
        <v>2.25e-05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HYPERLINK("http://141.218.60.56/~jnz1568/getInfo.php?workbook=20_05.xlsx&amp;sheet=U0&amp;row=2448&amp;col=6&amp;number=3.4&amp;sourceID=14","3.4")</f>
        <v>3.4</v>
      </c>
      <c r="G2448" s="4" t="str">
        <f>HYPERLINK("http://141.218.60.56/~jnz1568/getInfo.php?workbook=20_05.xlsx&amp;sheet=U0&amp;row=2448&amp;col=7&amp;number=2.25e-05&amp;sourceID=14","2.25e-05")</f>
        <v>2.25e-05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HYPERLINK("http://141.218.60.56/~jnz1568/getInfo.php?workbook=20_05.xlsx&amp;sheet=U0&amp;row=2449&amp;col=6&amp;number=3.5&amp;sourceID=14","3.5")</f>
        <v>3.5</v>
      </c>
      <c r="G2449" s="4" t="str">
        <f>HYPERLINK("http://141.218.60.56/~jnz1568/getInfo.php?workbook=20_05.xlsx&amp;sheet=U0&amp;row=2449&amp;col=7&amp;number=2.25e-05&amp;sourceID=14","2.25e-05")</f>
        <v>2.25e-05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HYPERLINK("http://141.218.60.56/~jnz1568/getInfo.php?workbook=20_05.xlsx&amp;sheet=U0&amp;row=2450&amp;col=6&amp;number=3.6&amp;sourceID=14","3.6")</f>
        <v>3.6</v>
      </c>
      <c r="G2450" s="4" t="str">
        <f>HYPERLINK("http://141.218.60.56/~jnz1568/getInfo.php?workbook=20_05.xlsx&amp;sheet=U0&amp;row=2450&amp;col=7&amp;number=2.25e-05&amp;sourceID=14","2.25e-05")</f>
        <v>2.25e-05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HYPERLINK("http://141.218.60.56/~jnz1568/getInfo.php?workbook=20_05.xlsx&amp;sheet=U0&amp;row=2451&amp;col=6&amp;number=3.7&amp;sourceID=14","3.7")</f>
        <v>3.7</v>
      </c>
      <c r="G2451" s="4" t="str">
        <f>HYPERLINK("http://141.218.60.56/~jnz1568/getInfo.php?workbook=20_05.xlsx&amp;sheet=U0&amp;row=2451&amp;col=7&amp;number=2.25e-05&amp;sourceID=14","2.25e-05")</f>
        <v>2.25e-05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HYPERLINK("http://141.218.60.56/~jnz1568/getInfo.php?workbook=20_05.xlsx&amp;sheet=U0&amp;row=2452&amp;col=6&amp;number=3.8&amp;sourceID=14","3.8")</f>
        <v>3.8</v>
      </c>
      <c r="G2452" s="4" t="str">
        <f>HYPERLINK("http://141.218.60.56/~jnz1568/getInfo.php?workbook=20_05.xlsx&amp;sheet=U0&amp;row=2452&amp;col=7&amp;number=2.24e-05&amp;sourceID=14","2.24e-05")</f>
        <v>2.24e-05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HYPERLINK("http://141.218.60.56/~jnz1568/getInfo.php?workbook=20_05.xlsx&amp;sheet=U0&amp;row=2453&amp;col=6&amp;number=3.9&amp;sourceID=14","3.9")</f>
        <v>3.9</v>
      </c>
      <c r="G2453" s="4" t="str">
        <f>HYPERLINK("http://141.218.60.56/~jnz1568/getInfo.php?workbook=20_05.xlsx&amp;sheet=U0&amp;row=2453&amp;col=7&amp;number=2.24e-05&amp;sourceID=14","2.24e-05")</f>
        <v>2.24e-05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HYPERLINK("http://141.218.60.56/~jnz1568/getInfo.php?workbook=20_05.xlsx&amp;sheet=U0&amp;row=2454&amp;col=6&amp;number=4&amp;sourceID=14","4")</f>
        <v>4</v>
      </c>
      <c r="G2454" s="4" t="str">
        <f>HYPERLINK("http://141.218.60.56/~jnz1568/getInfo.php?workbook=20_05.xlsx&amp;sheet=U0&amp;row=2454&amp;col=7&amp;number=2.24e-05&amp;sourceID=14","2.24e-05")</f>
        <v>2.24e-05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HYPERLINK("http://141.218.60.56/~jnz1568/getInfo.php?workbook=20_05.xlsx&amp;sheet=U0&amp;row=2455&amp;col=6&amp;number=4.1&amp;sourceID=14","4.1")</f>
        <v>4.1</v>
      </c>
      <c r="G2455" s="4" t="str">
        <f>HYPERLINK("http://141.218.60.56/~jnz1568/getInfo.php?workbook=20_05.xlsx&amp;sheet=U0&amp;row=2455&amp;col=7&amp;number=2.24e-05&amp;sourceID=14","2.24e-05")</f>
        <v>2.24e-05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HYPERLINK("http://141.218.60.56/~jnz1568/getInfo.php?workbook=20_05.xlsx&amp;sheet=U0&amp;row=2456&amp;col=6&amp;number=4.2&amp;sourceID=14","4.2")</f>
        <v>4.2</v>
      </c>
      <c r="G2456" s="4" t="str">
        <f>HYPERLINK("http://141.218.60.56/~jnz1568/getInfo.php?workbook=20_05.xlsx&amp;sheet=U0&amp;row=2456&amp;col=7&amp;number=2.24e-05&amp;sourceID=14","2.24e-05")</f>
        <v>2.24e-05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HYPERLINK("http://141.218.60.56/~jnz1568/getInfo.php?workbook=20_05.xlsx&amp;sheet=U0&amp;row=2457&amp;col=6&amp;number=4.3&amp;sourceID=14","4.3")</f>
        <v>4.3</v>
      </c>
      <c r="G2457" s="4" t="str">
        <f>HYPERLINK("http://141.218.60.56/~jnz1568/getInfo.php?workbook=20_05.xlsx&amp;sheet=U0&amp;row=2457&amp;col=7&amp;number=2.24e-05&amp;sourceID=14","2.24e-05")</f>
        <v>2.24e-05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HYPERLINK("http://141.218.60.56/~jnz1568/getInfo.php?workbook=20_05.xlsx&amp;sheet=U0&amp;row=2458&amp;col=6&amp;number=4.4&amp;sourceID=14","4.4")</f>
        <v>4.4</v>
      </c>
      <c r="G2458" s="4" t="str">
        <f>HYPERLINK("http://141.218.60.56/~jnz1568/getInfo.php?workbook=20_05.xlsx&amp;sheet=U0&amp;row=2458&amp;col=7&amp;number=2.23e-05&amp;sourceID=14","2.23e-05")</f>
        <v>2.23e-05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HYPERLINK("http://141.218.60.56/~jnz1568/getInfo.php?workbook=20_05.xlsx&amp;sheet=U0&amp;row=2459&amp;col=6&amp;number=4.5&amp;sourceID=14","4.5")</f>
        <v>4.5</v>
      </c>
      <c r="G2459" s="4" t="str">
        <f>HYPERLINK("http://141.218.60.56/~jnz1568/getInfo.php?workbook=20_05.xlsx&amp;sheet=U0&amp;row=2459&amp;col=7&amp;number=2.23e-05&amp;sourceID=14","2.23e-05")</f>
        <v>2.23e-05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HYPERLINK("http://141.218.60.56/~jnz1568/getInfo.php?workbook=20_05.xlsx&amp;sheet=U0&amp;row=2460&amp;col=6&amp;number=4.6&amp;sourceID=14","4.6")</f>
        <v>4.6</v>
      </c>
      <c r="G2460" s="4" t="str">
        <f>HYPERLINK("http://141.218.60.56/~jnz1568/getInfo.php?workbook=20_05.xlsx&amp;sheet=U0&amp;row=2460&amp;col=7&amp;number=2.23e-05&amp;sourceID=14","2.23e-05")</f>
        <v>2.23e-05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HYPERLINK("http://141.218.60.56/~jnz1568/getInfo.php?workbook=20_05.xlsx&amp;sheet=U0&amp;row=2461&amp;col=6&amp;number=4.7&amp;sourceID=14","4.7")</f>
        <v>4.7</v>
      </c>
      <c r="G2461" s="4" t="str">
        <f>HYPERLINK("http://141.218.60.56/~jnz1568/getInfo.php?workbook=20_05.xlsx&amp;sheet=U0&amp;row=2461&amp;col=7&amp;number=2.22e-05&amp;sourceID=14","2.22e-05")</f>
        <v>2.22e-05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HYPERLINK("http://141.218.60.56/~jnz1568/getInfo.php?workbook=20_05.xlsx&amp;sheet=U0&amp;row=2462&amp;col=6&amp;number=4.8&amp;sourceID=14","4.8")</f>
        <v>4.8</v>
      </c>
      <c r="G2462" s="4" t="str">
        <f>HYPERLINK("http://141.218.60.56/~jnz1568/getInfo.php?workbook=20_05.xlsx&amp;sheet=U0&amp;row=2462&amp;col=7&amp;number=2.21e-05&amp;sourceID=14","2.21e-05")</f>
        <v>2.21e-05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HYPERLINK("http://141.218.60.56/~jnz1568/getInfo.php?workbook=20_05.xlsx&amp;sheet=U0&amp;row=2463&amp;col=6&amp;number=4.9&amp;sourceID=14","4.9")</f>
        <v>4.9</v>
      </c>
      <c r="G2463" s="4" t="str">
        <f>HYPERLINK("http://141.218.60.56/~jnz1568/getInfo.php?workbook=20_05.xlsx&amp;sheet=U0&amp;row=2463&amp;col=7&amp;number=2.21e-05&amp;sourceID=14","2.21e-05")</f>
        <v>2.21e-05</v>
      </c>
    </row>
    <row r="2464" spans="1:7">
      <c r="A2464" s="3">
        <v>20</v>
      </c>
      <c r="B2464" s="3">
        <v>5</v>
      </c>
      <c r="C2464" s="3">
        <v>1</v>
      </c>
      <c r="D2464" s="3">
        <v>79</v>
      </c>
      <c r="E2464" s="3">
        <v>1</v>
      </c>
      <c r="F2464" s="4" t="str">
        <f>HYPERLINK("http://141.218.60.56/~jnz1568/getInfo.php?workbook=20_05.xlsx&amp;sheet=U0&amp;row=2464&amp;col=6&amp;number=3&amp;sourceID=14","3")</f>
        <v>3</v>
      </c>
      <c r="G2464" s="4" t="str">
        <f>HYPERLINK("http://141.218.60.56/~jnz1568/getInfo.php?workbook=20_05.xlsx&amp;sheet=U0&amp;row=2464&amp;col=7&amp;number=0.000277&amp;sourceID=14","0.000277")</f>
        <v>0.000277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HYPERLINK("http://141.218.60.56/~jnz1568/getInfo.php?workbook=20_05.xlsx&amp;sheet=U0&amp;row=2465&amp;col=6&amp;number=3.1&amp;sourceID=14","3.1")</f>
        <v>3.1</v>
      </c>
      <c r="G2465" s="4" t="str">
        <f>HYPERLINK("http://141.218.60.56/~jnz1568/getInfo.php?workbook=20_05.xlsx&amp;sheet=U0&amp;row=2465&amp;col=7&amp;number=0.000277&amp;sourceID=14","0.000277")</f>
        <v>0.000277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HYPERLINK("http://141.218.60.56/~jnz1568/getInfo.php?workbook=20_05.xlsx&amp;sheet=U0&amp;row=2466&amp;col=6&amp;number=3.2&amp;sourceID=14","3.2")</f>
        <v>3.2</v>
      </c>
      <c r="G2466" s="4" t="str">
        <f>HYPERLINK("http://141.218.60.56/~jnz1568/getInfo.php?workbook=20_05.xlsx&amp;sheet=U0&amp;row=2466&amp;col=7&amp;number=0.000277&amp;sourceID=14","0.000277")</f>
        <v>0.000277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HYPERLINK("http://141.218.60.56/~jnz1568/getInfo.php?workbook=20_05.xlsx&amp;sheet=U0&amp;row=2467&amp;col=6&amp;number=3.3&amp;sourceID=14","3.3")</f>
        <v>3.3</v>
      </c>
      <c r="G2467" s="4" t="str">
        <f>HYPERLINK("http://141.218.60.56/~jnz1568/getInfo.php?workbook=20_05.xlsx&amp;sheet=U0&amp;row=2467&amp;col=7&amp;number=0.000277&amp;sourceID=14","0.000277")</f>
        <v>0.000277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HYPERLINK("http://141.218.60.56/~jnz1568/getInfo.php?workbook=20_05.xlsx&amp;sheet=U0&amp;row=2468&amp;col=6&amp;number=3.4&amp;sourceID=14","3.4")</f>
        <v>3.4</v>
      </c>
      <c r="G2468" s="4" t="str">
        <f>HYPERLINK("http://141.218.60.56/~jnz1568/getInfo.php?workbook=20_05.xlsx&amp;sheet=U0&amp;row=2468&amp;col=7&amp;number=0.000277&amp;sourceID=14","0.000277")</f>
        <v>0.000277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HYPERLINK("http://141.218.60.56/~jnz1568/getInfo.php?workbook=20_05.xlsx&amp;sheet=U0&amp;row=2469&amp;col=6&amp;number=3.5&amp;sourceID=14","3.5")</f>
        <v>3.5</v>
      </c>
      <c r="G2469" s="4" t="str">
        <f>HYPERLINK("http://141.218.60.56/~jnz1568/getInfo.php?workbook=20_05.xlsx&amp;sheet=U0&amp;row=2469&amp;col=7&amp;number=0.000277&amp;sourceID=14","0.000277")</f>
        <v>0.000277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HYPERLINK("http://141.218.60.56/~jnz1568/getInfo.php?workbook=20_05.xlsx&amp;sheet=U0&amp;row=2470&amp;col=6&amp;number=3.6&amp;sourceID=14","3.6")</f>
        <v>3.6</v>
      </c>
      <c r="G2470" s="4" t="str">
        <f>HYPERLINK("http://141.218.60.56/~jnz1568/getInfo.php?workbook=20_05.xlsx&amp;sheet=U0&amp;row=2470&amp;col=7&amp;number=0.000277&amp;sourceID=14","0.000277")</f>
        <v>0.000277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HYPERLINK("http://141.218.60.56/~jnz1568/getInfo.php?workbook=20_05.xlsx&amp;sheet=U0&amp;row=2471&amp;col=6&amp;number=3.7&amp;sourceID=14","3.7")</f>
        <v>3.7</v>
      </c>
      <c r="G2471" s="4" t="str">
        <f>HYPERLINK("http://141.218.60.56/~jnz1568/getInfo.php?workbook=20_05.xlsx&amp;sheet=U0&amp;row=2471&amp;col=7&amp;number=0.000277&amp;sourceID=14","0.000277")</f>
        <v>0.000277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HYPERLINK("http://141.218.60.56/~jnz1568/getInfo.php?workbook=20_05.xlsx&amp;sheet=U0&amp;row=2472&amp;col=6&amp;number=3.8&amp;sourceID=14","3.8")</f>
        <v>3.8</v>
      </c>
      <c r="G2472" s="4" t="str">
        <f>HYPERLINK("http://141.218.60.56/~jnz1568/getInfo.php?workbook=20_05.xlsx&amp;sheet=U0&amp;row=2472&amp;col=7&amp;number=0.000277&amp;sourceID=14","0.000277")</f>
        <v>0.000277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HYPERLINK("http://141.218.60.56/~jnz1568/getInfo.php?workbook=20_05.xlsx&amp;sheet=U0&amp;row=2473&amp;col=6&amp;number=3.9&amp;sourceID=14","3.9")</f>
        <v>3.9</v>
      </c>
      <c r="G2473" s="4" t="str">
        <f>HYPERLINK("http://141.218.60.56/~jnz1568/getInfo.php?workbook=20_05.xlsx&amp;sheet=U0&amp;row=2473&amp;col=7&amp;number=0.000277&amp;sourceID=14","0.000277")</f>
        <v>0.000277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HYPERLINK("http://141.218.60.56/~jnz1568/getInfo.php?workbook=20_05.xlsx&amp;sheet=U0&amp;row=2474&amp;col=6&amp;number=4&amp;sourceID=14","4")</f>
        <v>4</v>
      </c>
      <c r="G2474" s="4" t="str">
        <f>HYPERLINK("http://141.218.60.56/~jnz1568/getInfo.php?workbook=20_05.xlsx&amp;sheet=U0&amp;row=2474&amp;col=7&amp;number=0.000276&amp;sourceID=14","0.000276")</f>
        <v>0.000276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HYPERLINK("http://141.218.60.56/~jnz1568/getInfo.php?workbook=20_05.xlsx&amp;sheet=U0&amp;row=2475&amp;col=6&amp;number=4.1&amp;sourceID=14","4.1")</f>
        <v>4.1</v>
      </c>
      <c r="G2475" s="4" t="str">
        <f>HYPERLINK("http://141.218.60.56/~jnz1568/getInfo.php?workbook=20_05.xlsx&amp;sheet=U0&amp;row=2475&amp;col=7&amp;number=0.000276&amp;sourceID=14","0.000276")</f>
        <v>0.000276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HYPERLINK("http://141.218.60.56/~jnz1568/getInfo.php?workbook=20_05.xlsx&amp;sheet=U0&amp;row=2476&amp;col=6&amp;number=4.2&amp;sourceID=14","4.2")</f>
        <v>4.2</v>
      </c>
      <c r="G2476" s="4" t="str">
        <f>HYPERLINK("http://141.218.60.56/~jnz1568/getInfo.php?workbook=20_05.xlsx&amp;sheet=U0&amp;row=2476&amp;col=7&amp;number=0.000276&amp;sourceID=14","0.000276")</f>
        <v>0.000276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HYPERLINK("http://141.218.60.56/~jnz1568/getInfo.php?workbook=20_05.xlsx&amp;sheet=U0&amp;row=2477&amp;col=6&amp;number=4.3&amp;sourceID=14","4.3")</f>
        <v>4.3</v>
      </c>
      <c r="G2477" s="4" t="str">
        <f>HYPERLINK("http://141.218.60.56/~jnz1568/getInfo.php?workbook=20_05.xlsx&amp;sheet=U0&amp;row=2477&amp;col=7&amp;number=0.000276&amp;sourceID=14","0.000276")</f>
        <v>0.000276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HYPERLINK("http://141.218.60.56/~jnz1568/getInfo.php?workbook=20_05.xlsx&amp;sheet=U0&amp;row=2478&amp;col=6&amp;number=4.4&amp;sourceID=14","4.4")</f>
        <v>4.4</v>
      </c>
      <c r="G2478" s="4" t="str">
        <f>HYPERLINK("http://141.218.60.56/~jnz1568/getInfo.php?workbook=20_05.xlsx&amp;sheet=U0&amp;row=2478&amp;col=7&amp;number=0.000276&amp;sourceID=14","0.000276")</f>
        <v>0.000276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HYPERLINK("http://141.218.60.56/~jnz1568/getInfo.php?workbook=20_05.xlsx&amp;sheet=U0&amp;row=2479&amp;col=6&amp;number=4.5&amp;sourceID=14","4.5")</f>
        <v>4.5</v>
      </c>
      <c r="G2479" s="4" t="str">
        <f>HYPERLINK("http://141.218.60.56/~jnz1568/getInfo.php?workbook=20_05.xlsx&amp;sheet=U0&amp;row=2479&amp;col=7&amp;number=0.000276&amp;sourceID=14","0.000276")</f>
        <v>0.000276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HYPERLINK("http://141.218.60.56/~jnz1568/getInfo.php?workbook=20_05.xlsx&amp;sheet=U0&amp;row=2480&amp;col=6&amp;number=4.6&amp;sourceID=14","4.6")</f>
        <v>4.6</v>
      </c>
      <c r="G2480" s="4" t="str">
        <f>HYPERLINK("http://141.218.60.56/~jnz1568/getInfo.php?workbook=20_05.xlsx&amp;sheet=U0&amp;row=2480&amp;col=7&amp;number=0.000276&amp;sourceID=14","0.000276")</f>
        <v>0.000276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HYPERLINK("http://141.218.60.56/~jnz1568/getInfo.php?workbook=20_05.xlsx&amp;sheet=U0&amp;row=2481&amp;col=6&amp;number=4.7&amp;sourceID=14","4.7")</f>
        <v>4.7</v>
      </c>
      <c r="G2481" s="4" t="str">
        <f>HYPERLINK("http://141.218.60.56/~jnz1568/getInfo.php?workbook=20_05.xlsx&amp;sheet=U0&amp;row=2481&amp;col=7&amp;number=0.000275&amp;sourceID=14","0.000275")</f>
        <v>0.000275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HYPERLINK("http://141.218.60.56/~jnz1568/getInfo.php?workbook=20_05.xlsx&amp;sheet=U0&amp;row=2482&amp;col=6&amp;number=4.8&amp;sourceID=14","4.8")</f>
        <v>4.8</v>
      </c>
      <c r="G2482" s="4" t="str">
        <f>HYPERLINK("http://141.218.60.56/~jnz1568/getInfo.php?workbook=20_05.xlsx&amp;sheet=U0&amp;row=2482&amp;col=7&amp;number=0.000275&amp;sourceID=14","0.000275")</f>
        <v>0.000275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HYPERLINK("http://141.218.60.56/~jnz1568/getInfo.php?workbook=20_05.xlsx&amp;sheet=U0&amp;row=2483&amp;col=6&amp;number=4.9&amp;sourceID=14","4.9")</f>
        <v>4.9</v>
      </c>
      <c r="G2483" s="4" t="str">
        <f>HYPERLINK("http://141.218.60.56/~jnz1568/getInfo.php?workbook=20_05.xlsx&amp;sheet=U0&amp;row=2483&amp;col=7&amp;number=0.000275&amp;sourceID=14","0.000275")</f>
        <v>0.000275</v>
      </c>
    </row>
    <row r="2484" spans="1:7">
      <c r="A2484" s="3">
        <v>20</v>
      </c>
      <c r="B2484" s="3">
        <v>5</v>
      </c>
      <c r="C2484" s="3">
        <v>1</v>
      </c>
      <c r="D2484" s="3">
        <v>80</v>
      </c>
      <c r="E2484" s="3">
        <v>1</v>
      </c>
      <c r="F2484" s="4" t="str">
        <f>HYPERLINK("http://141.218.60.56/~jnz1568/getInfo.php?workbook=20_05.xlsx&amp;sheet=U0&amp;row=2484&amp;col=6&amp;number=3&amp;sourceID=14","3")</f>
        <v>3</v>
      </c>
      <c r="G2484" s="4" t="str">
        <f>HYPERLINK("http://141.218.60.56/~jnz1568/getInfo.php?workbook=20_05.xlsx&amp;sheet=U0&amp;row=2484&amp;col=7&amp;number=0.000419&amp;sourceID=14","0.000419")</f>
        <v>0.000419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HYPERLINK("http://141.218.60.56/~jnz1568/getInfo.php?workbook=20_05.xlsx&amp;sheet=U0&amp;row=2485&amp;col=6&amp;number=3.1&amp;sourceID=14","3.1")</f>
        <v>3.1</v>
      </c>
      <c r="G2485" s="4" t="str">
        <f>HYPERLINK("http://141.218.60.56/~jnz1568/getInfo.php?workbook=20_05.xlsx&amp;sheet=U0&amp;row=2485&amp;col=7&amp;number=0.000419&amp;sourceID=14","0.000419")</f>
        <v>0.000419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HYPERLINK("http://141.218.60.56/~jnz1568/getInfo.php?workbook=20_05.xlsx&amp;sheet=U0&amp;row=2486&amp;col=6&amp;number=3.2&amp;sourceID=14","3.2")</f>
        <v>3.2</v>
      </c>
      <c r="G2486" s="4" t="str">
        <f>HYPERLINK("http://141.218.60.56/~jnz1568/getInfo.php?workbook=20_05.xlsx&amp;sheet=U0&amp;row=2486&amp;col=7&amp;number=0.000419&amp;sourceID=14","0.000419")</f>
        <v>0.000419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HYPERLINK("http://141.218.60.56/~jnz1568/getInfo.php?workbook=20_05.xlsx&amp;sheet=U0&amp;row=2487&amp;col=6&amp;number=3.3&amp;sourceID=14","3.3")</f>
        <v>3.3</v>
      </c>
      <c r="G2487" s="4" t="str">
        <f>HYPERLINK("http://141.218.60.56/~jnz1568/getInfo.php?workbook=20_05.xlsx&amp;sheet=U0&amp;row=2487&amp;col=7&amp;number=0.000419&amp;sourceID=14","0.000419")</f>
        <v>0.000419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HYPERLINK("http://141.218.60.56/~jnz1568/getInfo.php?workbook=20_05.xlsx&amp;sheet=U0&amp;row=2488&amp;col=6&amp;number=3.4&amp;sourceID=14","3.4")</f>
        <v>3.4</v>
      </c>
      <c r="G2488" s="4" t="str">
        <f>HYPERLINK("http://141.218.60.56/~jnz1568/getInfo.php?workbook=20_05.xlsx&amp;sheet=U0&amp;row=2488&amp;col=7&amp;number=0.000419&amp;sourceID=14","0.000419")</f>
        <v>0.000419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HYPERLINK("http://141.218.60.56/~jnz1568/getInfo.php?workbook=20_05.xlsx&amp;sheet=U0&amp;row=2489&amp;col=6&amp;number=3.5&amp;sourceID=14","3.5")</f>
        <v>3.5</v>
      </c>
      <c r="G2489" s="4" t="str">
        <f>HYPERLINK("http://141.218.60.56/~jnz1568/getInfo.php?workbook=20_05.xlsx&amp;sheet=U0&amp;row=2489&amp;col=7&amp;number=0.000419&amp;sourceID=14","0.000419")</f>
        <v>0.000419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HYPERLINK("http://141.218.60.56/~jnz1568/getInfo.php?workbook=20_05.xlsx&amp;sheet=U0&amp;row=2490&amp;col=6&amp;number=3.6&amp;sourceID=14","3.6")</f>
        <v>3.6</v>
      </c>
      <c r="G2490" s="4" t="str">
        <f>HYPERLINK("http://141.218.60.56/~jnz1568/getInfo.php?workbook=20_05.xlsx&amp;sheet=U0&amp;row=2490&amp;col=7&amp;number=0.000419&amp;sourceID=14","0.000419")</f>
        <v>0.000419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HYPERLINK("http://141.218.60.56/~jnz1568/getInfo.php?workbook=20_05.xlsx&amp;sheet=U0&amp;row=2491&amp;col=6&amp;number=3.7&amp;sourceID=14","3.7")</f>
        <v>3.7</v>
      </c>
      <c r="G2491" s="4" t="str">
        <f>HYPERLINK("http://141.218.60.56/~jnz1568/getInfo.php?workbook=20_05.xlsx&amp;sheet=U0&amp;row=2491&amp;col=7&amp;number=0.000419&amp;sourceID=14","0.000419")</f>
        <v>0.000419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HYPERLINK("http://141.218.60.56/~jnz1568/getInfo.php?workbook=20_05.xlsx&amp;sheet=U0&amp;row=2492&amp;col=6&amp;number=3.8&amp;sourceID=14","3.8")</f>
        <v>3.8</v>
      </c>
      <c r="G2492" s="4" t="str">
        <f>HYPERLINK("http://141.218.60.56/~jnz1568/getInfo.php?workbook=20_05.xlsx&amp;sheet=U0&amp;row=2492&amp;col=7&amp;number=0.000418&amp;sourceID=14","0.000418")</f>
        <v>0.000418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HYPERLINK("http://141.218.60.56/~jnz1568/getInfo.php?workbook=20_05.xlsx&amp;sheet=U0&amp;row=2493&amp;col=6&amp;number=3.9&amp;sourceID=14","3.9")</f>
        <v>3.9</v>
      </c>
      <c r="G2493" s="4" t="str">
        <f>HYPERLINK("http://141.218.60.56/~jnz1568/getInfo.php?workbook=20_05.xlsx&amp;sheet=U0&amp;row=2493&amp;col=7&amp;number=0.000418&amp;sourceID=14","0.000418")</f>
        <v>0.000418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HYPERLINK("http://141.218.60.56/~jnz1568/getInfo.php?workbook=20_05.xlsx&amp;sheet=U0&amp;row=2494&amp;col=6&amp;number=4&amp;sourceID=14","4")</f>
        <v>4</v>
      </c>
      <c r="G2494" s="4" t="str">
        <f>HYPERLINK("http://141.218.60.56/~jnz1568/getInfo.php?workbook=20_05.xlsx&amp;sheet=U0&amp;row=2494&amp;col=7&amp;number=0.000418&amp;sourceID=14","0.000418")</f>
        <v>0.000418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HYPERLINK("http://141.218.60.56/~jnz1568/getInfo.php?workbook=20_05.xlsx&amp;sheet=U0&amp;row=2495&amp;col=6&amp;number=4.1&amp;sourceID=14","4.1")</f>
        <v>4.1</v>
      </c>
      <c r="G2495" s="4" t="str">
        <f>HYPERLINK("http://141.218.60.56/~jnz1568/getInfo.php?workbook=20_05.xlsx&amp;sheet=U0&amp;row=2495&amp;col=7&amp;number=0.000418&amp;sourceID=14","0.000418")</f>
        <v>0.000418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HYPERLINK("http://141.218.60.56/~jnz1568/getInfo.php?workbook=20_05.xlsx&amp;sheet=U0&amp;row=2496&amp;col=6&amp;number=4.2&amp;sourceID=14","4.2")</f>
        <v>4.2</v>
      </c>
      <c r="G2496" s="4" t="str">
        <f>HYPERLINK("http://141.218.60.56/~jnz1568/getInfo.php?workbook=20_05.xlsx&amp;sheet=U0&amp;row=2496&amp;col=7&amp;number=0.000417&amp;sourceID=14","0.000417")</f>
        <v>0.000417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HYPERLINK("http://141.218.60.56/~jnz1568/getInfo.php?workbook=20_05.xlsx&amp;sheet=U0&amp;row=2497&amp;col=6&amp;number=4.3&amp;sourceID=14","4.3")</f>
        <v>4.3</v>
      </c>
      <c r="G2497" s="4" t="str">
        <f>HYPERLINK("http://141.218.60.56/~jnz1568/getInfo.php?workbook=20_05.xlsx&amp;sheet=U0&amp;row=2497&amp;col=7&amp;number=0.000417&amp;sourceID=14","0.000417")</f>
        <v>0.000417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HYPERLINK("http://141.218.60.56/~jnz1568/getInfo.php?workbook=20_05.xlsx&amp;sheet=U0&amp;row=2498&amp;col=6&amp;number=4.4&amp;sourceID=14","4.4")</f>
        <v>4.4</v>
      </c>
      <c r="G2498" s="4" t="str">
        <f>HYPERLINK("http://141.218.60.56/~jnz1568/getInfo.php?workbook=20_05.xlsx&amp;sheet=U0&amp;row=2498&amp;col=7&amp;number=0.000416&amp;sourceID=14","0.000416")</f>
        <v>0.000416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HYPERLINK("http://141.218.60.56/~jnz1568/getInfo.php?workbook=20_05.xlsx&amp;sheet=U0&amp;row=2499&amp;col=6&amp;number=4.5&amp;sourceID=14","4.5")</f>
        <v>4.5</v>
      </c>
      <c r="G2499" s="4" t="str">
        <f>HYPERLINK("http://141.218.60.56/~jnz1568/getInfo.php?workbook=20_05.xlsx&amp;sheet=U0&amp;row=2499&amp;col=7&amp;number=0.000416&amp;sourceID=14","0.000416")</f>
        <v>0.000416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HYPERLINK("http://141.218.60.56/~jnz1568/getInfo.php?workbook=20_05.xlsx&amp;sheet=U0&amp;row=2500&amp;col=6&amp;number=4.6&amp;sourceID=14","4.6")</f>
        <v>4.6</v>
      </c>
      <c r="G2500" s="4" t="str">
        <f>HYPERLINK("http://141.218.60.56/~jnz1568/getInfo.php?workbook=20_05.xlsx&amp;sheet=U0&amp;row=2500&amp;col=7&amp;number=0.000415&amp;sourceID=14","0.000415")</f>
        <v>0.000415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HYPERLINK("http://141.218.60.56/~jnz1568/getInfo.php?workbook=20_05.xlsx&amp;sheet=U0&amp;row=2501&amp;col=6&amp;number=4.7&amp;sourceID=14","4.7")</f>
        <v>4.7</v>
      </c>
      <c r="G2501" s="4" t="str">
        <f>HYPERLINK("http://141.218.60.56/~jnz1568/getInfo.php?workbook=20_05.xlsx&amp;sheet=U0&amp;row=2501&amp;col=7&amp;number=0.000413&amp;sourceID=14","0.000413")</f>
        <v>0.000413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HYPERLINK("http://141.218.60.56/~jnz1568/getInfo.php?workbook=20_05.xlsx&amp;sheet=U0&amp;row=2502&amp;col=6&amp;number=4.8&amp;sourceID=14","4.8")</f>
        <v>4.8</v>
      </c>
      <c r="G2502" s="4" t="str">
        <f>HYPERLINK("http://141.218.60.56/~jnz1568/getInfo.php?workbook=20_05.xlsx&amp;sheet=U0&amp;row=2502&amp;col=7&amp;number=0.000412&amp;sourceID=14","0.000412")</f>
        <v>0.000412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HYPERLINK("http://141.218.60.56/~jnz1568/getInfo.php?workbook=20_05.xlsx&amp;sheet=U0&amp;row=2503&amp;col=6&amp;number=4.9&amp;sourceID=14","4.9")</f>
        <v>4.9</v>
      </c>
      <c r="G2503" s="4" t="str">
        <f>HYPERLINK("http://141.218.60.56/~jnz1568/getInfo.php?workbook=20_05.xlsx&amp;sheet=U0&amp;row=2503&amp;col=7&amp;number=0.00041&amp;sourceID=14","0.00041")</f>
        <v>0.00041</v>
      </c>
    </row>
    <row r="2504" spans="1:7">
      <c r="A2504" s="3">
        <v>20</v>
      </c>
      <c r="B2504" s="3">
        <v>5</v>
      </c>
      <c r="C2504" s="3">
        <v>1</v>
      </c>
      <c r="D2504" s="3">
        <v>81</v>
      </c>
      <c r="E2504" s="3">
        <v>1</v>
      </c>
      <c r="F2504" s="4" t="str">
        <f>HYPERLINK("http://141.218.60.56/~jnz1568/getInfo.php?workbook=20_05.xlsx&amp;sheet=U0&amp;row=2504&amp;col=6&amp;number=3&amp;sourceID=14","3")</f>
        <v>3</v>
      </c>
      <c r="G2504" s="4" t="str">
        <f>HYPERLINK("http://141.218.60.56/~jnz1568/getInfo.php?workbook=20_05.xlsx&amp;sheet=U0&amp;row=2504&amp;col=7&amp;number=0.000185&amp;sourceID=14","0.000185")</f>
        <v>0.000185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HYPERLINK("http://141.218.60.56/~jnz1568/getInfo.php?workbook=20_05.xlsx&amp;sheet=U0&amp;row=2505&amp;col=6&amp;number=3.1&amp;sourceID=14","3.1")</f>
        <v>3.1</v>
      </c>
      <c r="G2505" s="4" t="str">
        <f>HYPERLINK("http://141.218.60.56/~jnz1568/getInfo.php?workbook=20_05.xlsx&amp;sheet=U0&amp;row=2505&amp;col=7&amp;number=0.000185&amp;sourceID=14","0.000185")</f>
        <v>0.000185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HYPERLINK("http://141.218.60.56/~jnz1568/getInfo.php?workbook=20_05.xlsx&amp;sheet=U0&amp;row=2506&amp;col=6&amp;number=3.2&amp;sourceID=14","3.2")</f>
        <v>3.2</v>
      </c>
      <c r="G2506" s="4" t="str">
        <f>HYPERLINK("http://141.218.60.56/~jnz1568/getInfo.php?workbook=20_05.xlsx&amp;sheet=U0&amp;row=2506&amp;col=7&amp;number=0.000185&amp;sourceID=14","0.000185")</f>
        <v>0.000185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HYPERLINK("http://141.218.60.56/~jnz1568/getInfo.php?workbook=20_05.xlsx&amp;sheet=U0&amp;row=2507&amp;col=6&amp;number=3.3&amp;sourceID=14","3.3")</f>
        <v>3.3</v>
      </c>
      <c r="G2507" s="4" t="str">
        <f>HYPERLINK("http://141.218.60.56/~jnz1568/getInfo.php?workbook=20_05.xlsx&amp;sheet=U0&amp;row=2507&amp;col=7&amp;number=0.000185&amp;sourceID=14","0.000185")</f>
        <v>0.000185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HYPERLINK("http://141.218.60.56/~jnz1568/getInfo.php?workbook=20_05.xlsx&amp;sheet=U0&amp;row=2508&amp;col=6&amp;number=3.4&amp;sourceID=14","3.4")</f>
        <v>3.4</v>
      </c>
      <c r="G2508" s="4" t="str">
        <f>HYPERLINK("http://141.218.60.56/~jnz1568/getInfo.php?workbook=20_05.xlsx&amp;sheet=U0&amp;row=2508&amp;col=7&amp;number=0.000185&amp;sourceID=14","0.000185")</f>
        <v>0.000185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HYPERLINK("http://141.218.60.56/~jnz1568/getInfo.php?workbook=20_05.xlsx&amp;sheet=U0&amp;row=2509&amp;col=6&amp;number=3.5&amp;sourceID=14","3.5")</f>
        <v>3.5</v>
      </c>
      <c r="G2509" s="4" t="str">
        <f>HYPERLINK("http://141.218.60.56/~jnz1568/getInfo.php?workbook=20_05.xlsx&amp;sheet=U0&amp;row=2509&amp;col=7&amp;number=0.000185&amp;sourceID=14","0.000185")</f>
        <v>0.000185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HYPERLINK("http://141.218.60.56/~jnz1568/getInfo.php?workbook=20_05.xlsx&amp;sheet=U0&amp;row=2510&amp;col=6&amp;number=3.6&amp;sourceID=14","3.6")</f>
        <v>3.6</v>
      </c>
      <c r="G2510" s="4" t="str">
        <f>HYPERLINK("http://141.218.60.56/~jnz1568/getInfo.php?workbook=20_05.xlsx&amp;sheet=U0&amp;row=2510&amp;col=7&amp;number=0.000185&amp;sourceID=14","0.000185")</f>
        <v>0.000185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HYPERLINK("http://141.218.60.56/~jnz1568/getInfo.php?workbook=20_05.xlsx&amp;sheet=U0&amp;row=2511&amp;col=6&amp;number=3.7&amp;sourceID=14","3.7")</f>
        <v>3.7</v>
      </c>
      <c r="G2511" s="4" t="str">
        <f>HYPERLINK("http://141.218.60.56/~jnz1568/getInfo.php?workbook=20_05.xlsx&amp;sheet=U0&amp;row=2511&amp;col=7&amp;number=0.000185&amp;sourceID=14","0.000185")</f>
        <v>0.000185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HYPERLINK("http://141.218.60.56/~jnz1568/getInfo.php?workbook=20_05.xlsx&amp;sheet=U0&amp;row=2512&amp;col=6&amp;number=3.8&amp;sourceID=14","3.8")</f>
        <v>3.8</v>
      </c>
      <c r="G2512" s="4" t="str">
        <f>HYPERLINK("http://141.218.60.56/~jnz1568/getInfo.php?workbook=20_05.xlsx&amp;sheet=U0&amp;row=2512&amp;col=7&amp;number=0.000185&amp;sourceID=14","0.000185")</f>
        <v>0.000185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HYPERLINK("http://141.218.60.56/~jnz1568/getInfo.php?workbook=20_05.xlsx&amp;sheet=U0&amp;row=2513&amp;col=6&amp;number=3.9&amp;sourceID=14","3.9")</f>
        <v>3.9</v>
      </c>
      <c r="G2513" s="4" t="str">
        <f>HYPERLINK("http://141.218.60.56/~jnz1568/getInfo.php?workbook=20_05.xlsx&amp;sheet=U0&amp;row=2513&amp;col=7&amp;number=0.000185&amp;sourceID=14","0.000185")</f>
        <v>0.000185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HYPERLINK("http://141.218.60.56/~jnz1568/getInfo.php?workbook=20_05.xlsx&amp;sheet=U0&amp;row=2514&amp;col=6&amp;number=4&amp;sourceID=14","4")</f>
        <v>4</v>
      </c>
      <c r="G2514" s="4" t="str">
        <f>HYPERLINK("http://141.218.60.56/~jnz1568/getInfo.php?workbook=20_05.xlsx&amp;sheet=U0&amp;row=2514&amp;col=7&amp;number=0.000185&amp;sourceID=14","0.000185")</f>
        <v>0.000185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HYPERLINK("http://141.218.60.56/~jnz1568/getInfo.php?workbook=20_05.xlsx&amp;sheet=U0&amp;row=2515&amp;col=6&amp;number=4.1&amp;sourceID=14","4.1")</f>
        <v>4.1</v>
      </c>
      <c r="G2515" s="4" t="str">
        <f>HYPERLINK("http://141.218.60.56/~jnz1568/getInfo.php?workbook=20_05.xlsx&amp;sheet=U0&amp;row=2515&amp;col=7&amp;number=0.000185&amp;sourceID=14","0.000185")</f>
        <v>0.000185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HYPERLINK("http://141.218.60.56/~jnz1568/getInfo.php?workbook=20_05.xlsx&amp;sheet=U0&amp;row=2516&amp;col=6&amp;number=4.2&amp;sourceID=14","4.2")</f>
        <v>4.2</v>
      </c>
      <c r="G2516" s="4" t="str">
        <f>HYPERLINK("http://141.218.60.56/~jnz1568/getInfo.php?workbook=20_05.xlsx&amp;sheet=U0&amp;row=2516&amp;col=7&amp;number=0.000184&amp;sourceID=14","0.000184")</f>
        <v>0.000184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HYPERLINK("http://141.218.60.56/~jnz1568/getInfo.php?workbook=20_05.xlsx&amp;sheet=U0&amp;row=2517&amp;col=6&amp;number=4.3&amp;sourceID=14","4.3")</f>
        <v>4.3</v>
      </c>
      <c r="G2517" s="4" t="str">
        <f>HYPERLINK("http://141.218.60.56/~jnz1568/getInfo.php?workbook=20_05.xlsx&amp;sheet=U0&amp;row=2517&amp;col=7&amp;number=0.000184&amp;sourceID=14","0.000184")</f>
        <v>0.000184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HYPERLINK("http://141.218.60.56/~jnz1568/getInfo.php?workbook=20_05.xlsx&amp;sheet=U0&amp;row=2518&amp;col=6&amp;number=4.4&amp;sourceID=14","4.4")</f>
        <v>4.4</v>
      </c>
      <c r="G2518" s="4" t="str">
        <f>HYPERLINK("http://141.218.60.56/~jnz1568/getInfo.php?workbook=20_05.xlsx&amp;sheet=U0&amp;row=2518&amp;col=7&amp;number=0.000184&amp;sourceID=14","0.000184")</f>
        <v>0.000184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HYPERLINK("http://141.218.60.56/~jnz1568/getInfo.php?workbook=20_05.xlsx&amp;sheet=U0&amp;row=2519&amp;col=6&amp;number=4.5&amp;sourceID=14","4.5")</f>
        <v>4.5</v>
      </c>
      <c r="G2519" s="4" t="str">
        <f>HYPERLINK("http://141.218.60.56/~jnz1568/getInfo.php?workbook=20_05.xlsx&amp;sheet=U0&amp;row=2519&amp;col=7&amp;number=0.000184&amp;sourceID=14","0.000184")</f>
        <v>0.000184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HYPERLINK("http://141.218.60.56/~jnz1568/getInfo.php?workbook=20_05.xlsx&amp;sheet=U0&amp;row=2520&amp;col=6&amp;number=4.6&amp;sourceID=14","4.6")</f>
        <v>4.6</v>
      </c>
      <c r="G2520" s="4" t="str">
        <f>HYPERLINK("http://141.218.60.56/~jnz1568/getInfo.php?workbook=20_05.xlsx&amp;sheet=U0&amp;row=2520&amp;col=7&amp;number=0.000183&amp;sourceID=14","0.000183")</f>
        <v>0.000183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HYPERLINK("http://141.218.60.56/~jnz1568/getInfo.php?workbook=20_05.xlsx&amp;sheet=U0&amp;row=2521&amp;col=6&amp;number=4.7&amp;sourceID=14","4.7")</f>
        <v>4.7</v>
      </c>
      <c r="G2521" s="4" t="str">
        <f>HYPERLINK("http://141.218.60.56/~jnz1568/getInfo.php?workbook=20_05.xlsx&amp;sheet=U0&amp;row=2521&amp;col=7&amp;number=0.000183&amp;sourceID=14","0.000183")</f>
        <v>0.000183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HYPERLINK("http://141.218.60.56/~jnz1568/getInfo.php?workbook=20_05.xlsx&amp;sheet=U0&amp;row=2522&amp;col=6&amp;number=4.8&amp;sourceID=14","4.8")</f>
        <v>4.8</v>
      </c>
      <c r="G2522" s="4" t="str">
        <f>HYPERLINK("http://141.218.60.56/~jnz1568/getInfo.php?workbook=20_05.xlsx&amp;sheet=U0&amp;row=2522&amp;col=7&amp;number=0.000183&amp;sourceID=14","0.000183")</f>
        <v>0.000183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HYPERLINK("http://141.218.60.56/~jnz1568/getInfo.php?workbook=20_05.xlsx&amp;sheet=U0&amp;row=2523&amp;col=6&amp;number=4.9&amp;sourceID=14","4.9")</f>
        <v>4.9</v>
      </c>
      <c r="G2523" s="4" t="str">
        <f>HYPERLINK("http://141.218.60.56/~jnz1568/getInfo.php?workbook=20_05.xlsx&amp;sheet=U0&amp;row=2523&amp;col=7&amp;number=0.000182&amp;sourceID=14","0.000182")</f>
        <v>0.000182</v>
      </c>
    </row>
    <row r="2524" spans="1:7">
      <c r="A2524" s="3">
        <v>20</v>
      </c>
      <c r="B2524" s="3">
        <v>5</v>
      </c>
      <c r="C2524" s="3">
        <v>1</v>
      </c>
      <c r="D2524" s="3">
        <v>82</v>
      </c>
      <c r="E2524" s="3">
        <v>1</v>
      </c>
      <c r="F2524" s="4" t="str">
        <f>HYPERLINK("http://141.218.60.56/~jnz1568/getInfo.php?workbook=20_05.xlsx&amp;sheet=U0&amp;row=2524&amp;col=6&amp;number=3&amp;sourceID=14","3")</f>
        <v>3</v>
      </c>
      <c r="G2524" s="4" t="str">
        <f>HYPERLINK("http://141.218.60.56/~jnz1568/getInfo.php?workbook=20_05.xlsx&amp;sheet=U0&amp;row=2524&amp;col=7&amp;number=4.62e-05&amp;sourceID=14","4.62e-05")</f>
        <v>4.62e-05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HYPERLINK("http://141.218.60.56/~jnz1568/getInfo.php?workbook=20_05.xlsx&amp;sheet=U0&amp;row=2525&amp;col=6&amp;number=3.1&amp;sourceID=14","3.1")</f>
        <v>3.1</v>
      </c>
      <c r="G2525" s="4" t="str">
        <f>HYPERLINK("http://141.218.60.56/~jnz1568/getInfo.php?workbook=20_05.xlsx&amp;sheet=U0&amp;row=2525&amp;col=7&amp;number=4.62e-05&amp;sourceID=14","4.62e-05")</f>
        <v>4.62e-05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HYPERLINK("http://141.218.60.56/~jnz1568/getInfo.php?workbook=20_05.xlsx&amp;sheet=U0&amp;row=2526&amp;col=6&amp;number=3.2&amp;sourceID=14","3.2")</f>
        <v>3.2</v>
      </c>
      <c r="G2526" s="4" t="str">
        <f>HYPERLINK("http://141.218.60.56/~jnz1568/getInfo.php?workbook=20_05.xlsx&amp;sheet=U0&amp;row=2526&amp;col=7&amp;number=4.62e-05&amp;sourceID=14","4.62e-05")</f>
        <v>4.62e-05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HYPERLINK("http://141.218.60.56/~jnz1568/getInfo.php?workbook=20_05.xlsx&amp;sheet=U0&amp;row=2527&amp;col=6&amp;number=3.3&amp;sourceID=14","3.3")</f>
        <v>3.3</v>
      </c>
      <c r="G2527" s="4" t="str">
        <f>HYPERLINK("http://141.218.60.56/~jnz1568/getInfo.php?workbook=20_05.xlsx&amp;sheet=U0&amp;row=2527&amp;col=7&amp;number=4.62e-05&amp;sourceID=14","4.62e-05")</f>
        <v>4.62e-05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HYPERLINK("http://141.218.60.56/~jnz1568/getInfo.php?workbook=20_05.xlsx&amp;sheet=U0&amp;row=2528&amp;col=6&amp;number=3.4&amp;sourceID=14","3.4")</f>
        <v>3.4</v>
      </c>
      <c r="G2528" s="4" t="str">
        <f>HYPERLINK("http://141.218.60.56/~jnz1568/getInfo.php?workbook=20_05.xlsx&amp;sheet=U0&amp;row=2528&amp;col=7&amp;number=4.62e-05&amp;sourceID=14","4.62e-05")</f>
        <v>4.62e-05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HYPERLINK("http://141.218.60.56/~jnz1568/getInfo.php?workbook=20_05.xlsx&amp;sheet=U0&amp;row=2529&amp;col=6&amp;number=3.5&amp;sourceID=14","3.5")</f>
        <v>3.5</v>
      </c>
      <c r="G2529" s="4" t="str">
        <f>HYPERLINK("http://141.218.60.56/~jnz1568/getInfo.php?workbook=20_05.xlsx&amp;sheet=U0&amp;row=2529&amp;col=7&amp;number=4.62e-05&amp;sourceID=14","4.62e-05")</f>
        <v>4.62e-05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HYPERLINK("http://141.218.60.56/~jnz1568/getInfo.php?workbook=20_05.xlsx&amp;sheet=U0&amp;row=2530&amp;col=6&amp;number=3.6&amp;sourceID=14","3.6")</f>
        <v>3.6</v>
      </c>
      <c r="G2530" s="4" t="str">
        <f>HYPERLINK("http://141.218.60.56/~jnz1568/getInfo.php?workbook=20_05.xlsx&amp;sheet=U0&amp;row=2530&amp;col=7&amp;number=4.62e-05&amp;sourceID=14","4.62e-05")</f>
        <v>4.62e-05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HYPERLINK("http://141.218.60.56/~jnz1568/getInfo.php?workbook=20_05.xlsx&amp;sheet=U0&amp;row=2531&amp;col=6&amp;number=3.7&amp;sourceID=14","3.7")</f>
        <v>3.7</v>
      </c>
      <c r="G2531" s="4" t="str">
        <f>HYPERLINK("http://141.218.60.56/~jnz1568/getInfo.php?workbook=20_05.xlsx&amp;sheet=U0&amp;row=2531&amp;col=7&amp;number=4.62e-05&amp;sourceID=14","4.62e-05")</f>
        <v>4.62e-05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HYPERLINK("http://141.218.60.56/~jnz1568/getInfo.php?workbook=20_05.xlsx&amp;sheet=U0&amp;row=2532&amp;col=6&amp;number=3.8&amp;sourceID=14","3.8")</f>
        <v>3.8</v>
      </c>
      <c r="G2532" s="4" t="str">
        <f>HYPERLINK("http://141.218.60.56/~jnz1568/getInfo.php?workbook=20_05.xlsx&amp;sheet=U0&amp;row=2532&amp;col=7&amp;number=4.62e-05&amp;sourceID=14","4.62e-05")</f>
        <v>4.62e-05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HYPERLINK("http://141.218.60.56/~jnz1568/getInfo.php?workbook=20_05.xlsx&amp;sheet=U0&amp;row=2533&amp;col=6&amp;number=3.9&amp;sourceID=14","3.9")</f>
        <v>3.9</v>
      </c>
      <c r="G2533" s="4" t="str">
        <f>HYPERLINK("http://141.218.60.56/~jnz1568/getInfo.php?workbook=20_05.xlsx&amp;sheet=U0&amp;row=2533&amp;col=7&amp;number=4.62e-05&amp;sourceID=14","4.62e-05")</f>
        <v>4.62e-05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HYPERLINK("http://141.218.60.56/~jnz1568/getInfo.php?workbook=20_05.xlsx&amp;sheet=U0&amp;row=2534&amp;col=6&amp;number=4&amp;sourceID=14","4")</f>
        <v>4</v>
      </c>
      <c r="G2534" s="4" t="str">
        <f>HYPERLINK("http://141.218.60.56/~jnz1568/getInfo.php?workbook=20_05.xlsx&amp;sheet=U0&amp;row=2534&amp;col=7&amp;number=4.61e-05&amp;sourceID=14","4.61e-05")</f>
        <v>4.61e-05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HYPERLINK("http://141.218.60.56/~jnz1568/getInfo.php?workbook=20_05.xlsx&amp;sheet=U0&amp;row=2535&amp;col=6&amp;number=4.1&amp;sourceID=14","4.1")</f>
        <v>4.1</v>
      </c>
      <c r="G2535" s="4" t="str">
        <f>HYPERLINK("http://141.218.60.56/~jnz1568/getInfo.php?workbook=20_05.xlsx&amp;sheet=U0&amp;row=2535&amp;col=7&amp;number=4.61e-05&amp;sourceID=14","4.61e-05")</f>
        <v>4.61e-05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HYPERLINK("http://141.218.60.56/~jnz1568/getInfo.php?workbook=20_05.xlsx&amp;sheet=U0&amp;row=2536&amp;col=6&amp;number=4.2&amp;sourceID=14","4.2")</f>
        <v>4.2</v>
      </c>
      <c r="G2536" s="4" t="str">
        <f>HYPERLINK("http://141.218.60.56/~jnz1568/getInfo.php?workbook=20_05.xlsx&amp;sheet=U0&amp;row=2536&amp;col=7&amp;number=4.61e-05&amp;sourceID=14","4.61e-05")</f>
        <v>4.61e-05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HYPERLINK("http://141.218.60.56/~jnz1568/getInfo.php?workbook=20_05.xlsx&amp;sheet=U0&amp;row=2537&amp;col=6&amp;number=4.3&amp;sourceID=14","4.3")</f>
        <v>4.3</v>
      </c>
      <c r="G2537" s="4" t="str">
        <f>HYPERLINK("http://141.218.60.56/~jnz1568/getInfo.php?workbook=20_05.xlsx&amp;sheet=U0&amp;row=2537&amp;col=7&amp;number=4.6e-05&amp;sourceID=14","4.6e-05")</f>
        <v>4.6e-05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HYPERLINK("http://141.218.60.56/~jnz1568/getInfo.php?workbook=20_05.xlsx&amp;sheet=U0&amp;row=2538&amp;col=6&amp;number=4.4&amp;sourceID=14","4.4")</f>
        <v>4.4</v>
      </c>
      <c r="G2538" s="4" t="str">
        <f>HYPERLINK("http://141.218.60.56/~jnz1568/getInfo.php?workbook=20_05.xlsx&amp;sheet=U0&amp;row=2538&amp;col=7&amp;number=4.6e-05&amp;sourceID=14","4.6e-05")</f>
        <v>4.6e-05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HYPERLINK("http://141.218.60.56/~jnz1568/getInfo.php?workbook=20_05.xlsx&amp;sheet=U0&amp;row=2539&amp;col=6&amp;number=4.5&amp;sourceID=14","4.5")</f>
        <v>4.5</v>
      </c>
      <c r="G2539" s="4" t="str">
        <f>HYPERLINK("http://141.218.60.56/~jnz1568/getInfo.php?workbook=20_05.xlsx&amp;sheet=U0&amp;row=2539&amp;col=7&amp;number=4.59e-05&amp;sourceID=14","4.59e-05")</f>
        <v>4.59e-05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HYPERLINK("http://141.218.60.56/~jnz1568/getInfo.php?workbook=20_05.xlsx&amp;sheet=U0&amp;row=2540&amp;col=6&amp;number=4.6&amp;sourceID=14","4.6")</f>
        <v>4.6</v>
      </c>
      <c r="G2540" s="4" t="str">
        <f>HYPERLINK("http://141.218.60.56/~jnz1568/getInfo.php?workbook=20_05.xlsx&amp;sheet=U0&amp;row=2540&amp;col=7&amp;number=4.58e-05&amp;sourceID=14","4.58e-05")</f>
        <v>4.58e-05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HYPERLINK("http://141.218.60.56/~jnz1568/getInfo.php?workbook=20_05.xlsx&amp;sheet=U0&amp;row=2541&amp;col=6&amp;number=4.7&amp;sourceID=14","4.7")</f>
        <v>4.7</v>
      </c>
      <c r="G2541" s="4" t="str">
        <f>HYPERLINK("http://141.218.60.56/~jnz1568/getInfo.php?workbook=20_05.xlsx&amp;sheet=U0&amp;row=2541&amp;col=7&amp;number=4.57e-05&amp;sourceID=14","4.57e-05")</f>
        <v>4.57e-05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HYPERLINK("http://141.218.60.56/~jnz1568/getInfo.php?workbook=20_05.xlsx&amp;sheet=U0&amp;row=2542&amp;col=6&amp;number=4.8&amp;sourceID=14","4.8")</f>
        <v>4.8</v>
      </c>
      <c r="G2542" s="4" t="str">
        <f>HYPERLINK("http://141.218.60.56/~jnz1568/getInfo.php?workbook=20_05.xlsx&amp;sheet=U0&amp;row=2542&amp;col=7&amp;number=4.56e-05&amp;sourceID=14","4.56e-05")</f>
        <v>4.56e-05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HYPERLINK("http://141.218.60.56/~jnz1568/getInfo.php?workbook=20_05.xlsx&amp;sheet=U0&amp;row=2543&amp;col=6&amp;number=4.9&amp;sourceID=14","4.9")</f>
        <v>4.9</v>
      </c>
      <c r="G2543" s="4" t="str">
        <f>HYPERLINK("http://141.218.60.56/~jnz1568/getInfo.php?workbook=20_05.xlsx&amp;sheet=U0&amp;row=2543&amp;col=7&amp;number=4.54e-05&amp;sourceID=14","4.54e-05")</f>
        <v>4.54e-05</v>
      </c>
    </row>
    <row r="2544" spans="1:7">
      <c r="A2544" s="3">
        <v>20</v>
      </c>
      <c r="B2544" s="3">
        <v>5</v>
      </c>
      <c r="C2544" s="3">
        <v>1</v>
      </c>
      <c r="D2544" s="3">
        <v>83</v>
      </c>
      <c r="E2544" s="3">
        <v>1</v>
      </c>
      <c r="F2544" s="4" t="str">
        <f>HYPERLINK("http://141.218.60.56/~jnz1568/getInfo.php?workbook=20_05.xlsx&amp;sheet=U0&amp;row=2544&amp;col=6&amp;number=3&amp;sourceID=14","3")</f>
        <v>3</v>
      </c>
      <c r="G2544" s="4" t="str">
        <f>HYPERLINK("http://141.218.60.56/~jnz1568/getInfo.php?workbook=20_05.xlsx&amp;sheet=U0&amp;row=2544&amp;col=7&amp;number=1.76e-05&amp;sourceID=14","1.76e-05")</f>
        <v>1.76e-05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HYPERLINK("http://141.218.60.56/~jnz1568/getInfo.php?workbook=20_05.xlsx&amp;sheet=U0&amp;row=2545&amp;col=6&amp;number=3.1&amp;sourceID=14","3.1")</f>
        <v>3.1</v>
      </c>
      <c r="G2545" s="4" t="str">
        <f>HYPERLINK("http://141.218.60.56/~jnz1568/getInfo.php?workbook=20_05.xlsx&amp;sheet=U0&amp;row=2545&amp;col=7&amp;number=1.76e-05&amp;sourceID=14","1.76e-05")</f>
        <v>1.76e-05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HYPERLINK("http://141.218.60.56/~jnz1568/getInfo.php?workbook=20_05.xlsx&amp;sheet=U0&amp;row=2546&amp;col=6&amp;number=3.2&amp;sourceID=14","3.2")</f>
        <v>3.2</v>
      </c>
      <c r="G2546" s="4" t="str">
        <f>HYPERLINK("http://141.218.60.56/~jnz1568/getInfo.php?workbook=20_05.xlsx&amp;sheet=U0&amp;row=2546&amp;col=7&amp;number=1.76e-05&amp;sourceID=14","1.76e-05")</f>
        <v>1.76e-05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HYPERLINK("http://141.218.60.56/~jnz1568/getInfo.php?workbook=20_05.xlsx&amp;sheet=U0&amp;row=2547&amp;col=6&amp;number=3.3&amp;sourceID=14","3.3")</f>
        <v>3.3</v>
      </c>
      <c r="G2547" s="4" t="str">
        <f>HYPERLINK("http://141.218.60.56/~jnz1568/getInfo.php?workbook=20_05.xlsx&amp;sheet=U0&amp;row=2547&amp;col=7&amp;number=1.76e-05&amp;sourceID=14","1.76e-05")</f>
        <v>1.76e-05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HYPERLINK("http://141.218.60.56/~jnz1568/getInfo.php?workbook=20_05.xlsx&amp;sheet=U0&amp;row=2548&amp;col=6&amp;number=3.4&amp;sourceID=14","3.4")</f>
        <v>3.4</v>
      </c>
      <c r="G2548" s="4" t="str">
        <f>HYPERLINK("http://141.218.60.56/~jnz1568/getInfo.php?workbook=20_05.xlsx&amp;sheet=U0&amp;row=2548&amp;col=7&amp;number=1.76e-05&amp;sourceID=14","1.76e-05")</f>
        <v>1.76e-05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HYPERLINK("http://141.218.60.56/~jnz1568/getInfo.php?workbook=20_05.xlsx&amp;sheet=U0&amp;row=2549&amp;col=6&amp;number=3.5&amp;sourceID=14","3.5")</f>
        <v>3.5</v>
      </c>
      <c r="G2549" s="4" t="str">
        <f>HYPERLINK("http://141.218.60.56/~jnz1568/getInfo.php?workbook=20_05.xlsx&amp;sheet=U0&amp;row=2549&amp;col=7&amp;number=1.76e-05&amp;sourceID=14","1.76e-05")</f>
        <v>1.76e-05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HYPERLINK("http://141.218.60.56/~jnz1568/getInfo.php?workbook=20_05.xlsx&amp;sheet=U0&amp;row=2550&amp;col=6&amp;number=3.6&amp;sourceID=14","3.6")</f>
        <v>3.6</v>
      </c>
      <c r="G2550" s="4" t="str">
        <f>HYPERLINK("http://141.218.60.56/~jnz1568/getInfo.php?workbook=20_05.xlsx&amp;sheet=U0&amp;row=2550&amp;col=7&amp;number=1.76e-05&amp;sourceID=14","1.76e-05")</f>
        <v>1.76e-05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HYPERLINK("http://141.218.60.56/~jnz1568/getInfo.php?workbook=20_05.xlsx&amp;sheet=U0&amp;row=2551&amp;col=6&amp;number=3.7&amp;sourceID=14","3.7")</f>
        <v>3.7</v>
      </c>
      <c r="G2551" s="4" t="str">
        <f>HYPERLINK("http://141.218.60.56/~jnz1568/getInfo.php?workbook=20_05.xlsx&amp;sheet=U0&amp;row=2551&amp;col=7&amp;number=1.76e-05&amp;sourceID=14","1.76e-05")</f>
        <v>1.76e-05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HYPERLINK("http://141.218.60.56/~jnz1568/getInfo.php?workbook=20_05.xlsx&amp;sheet=U0&amp;row=2552&amp;col=6&amp;number=3.8&amp;sourceID=14","3.8")</f>
        <v>3.8</v>
      </c>
      <c r="G2552" s="4" t="str">
        <f>HYPERLINK("http://141.218.60.56/~jnz1568/getInfo.php?workbook=20_05.xlsx&amp;sheet=U0&amp;row=2552&amp;col=7&amp;number=1.76e-05&amp;sourceID=14","1.76e-05")</f>
        <v>1.76e-05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HYPERLINK("http://141.218.60.56/~jnz1568/getInfo.php?workbook=20_05.xlsx&amp;sheet=U0&amp;row=2553&amp;col=6&amp;number=3.9&amp;sourceID=14","3.9")</f>
        <v>3.9</v>
      </c>
      <c r="G2553" s="4" t="str">
        <f>HYPERLINK("http://141.218.60.56/~jnz1568/getInfo.php?workbook=20_05.xlsx&amp;sheet=U0&amp;row=2553&amp;col=7&amp;number=1.76e-05&amp;sourceID=14","1.76e-05")</f>
        <v>1.76e-05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HYPERLINK("http://141.218.60.56/~jnz1568/getInfo.php?workbook=20_05.xlsx&amp;sheet=U0&amp;row=2554&amp;col=6&amp;number=4&amp;sourceID=14","4")</f>
        <v>4</v>
      </c>
      <c r="G2554" s="4" t="str">
        <f>HYPERLINK("http://141.218.60.56/~jnz1568/getInfo.php?workbook=20_05.xlsx&amp;sheet=U0&amp;row=2554&amp;col=7&amp;number=1.76e-05&amp;sourceID=14","1.76e-05")</f>
        <v>1.76e-05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HYPERLINK("http://141.218.60.56/~jnz1568/getInfo.php?workbook=20_05.xlsx&amp;sheet=U0&amp;row=2555&amp;col=6&amp;number=4.1&amp;sourceID=14","4.1")</f>
        <v>4.1</v>
      </c>
      <c r="G2555" s="4" t="str">
        <f>HYPERLINK("http://141.218.60.56/~jnz1568/getInfo.php?workbook=20_05.xlsx&amp;sheet=U0&amp;row=2555&amp;col=7&amp;number=1.75e-05&amp;sourceID=14","1.75e-05")</f>
        <v>1.75e-05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HYPERLINK("http://141.218.60.56/~jnz1568/getInfo.php?workbook=20_05.xlsx&amp;sheet=U0&amp;row=2556&amp;col=6&amp;number=4.2&amp;sourceID=14","4.2")</f>
        <v>4.2</v>
      </c>
      <c r="G2556" s="4" t="str">
        <f>HYPERLINK("http://141.218.60.56/~jnz1568/getInfo.php?workbook=20_05.xlsx&amp;sheet=U0&amp;row=2556&amp;col=7&amp;number=1.75e-05&amp;sourceID=14","1.75e-05")</f>
        <v>1.75e-05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HYPERLINK("http://141.218.60.56/~jnz1568/getInfo.php?workbook=20_05.xlsx&amp;sheet=U0&amp;row=2557&amp;col=6&amp;number=4.3&amp;sourceID=14","4.3")</f>
        <v>4.3</v>
      </c>
      <c r="G2557" s="4" t="str">
        <f>HYPERLINK("http://141.218.60.56/~jnz1568/getInfo.php?workbook=20_05.xlsx&amp;sheet=U0&amp;row=2557&amp;col=7&amp;number=1.75e-05&amp;sourceID=14","1.75e-05")</f>
        <v>1.75e-05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HYPERLINK("http://141.218.60.56/~jnz1568/getInfo.php?workbook=20_05.xlsx&amp;sheet=U0&amp;row=2558&amp;col=6&amp;number=4.4&amp;sourceID=14","4.4")</f>
        <v>4.4</v>
      </c>
      <c r="G2558" s="4" t="str">
        <f>HYPERLINK("http://141.218.60.56/~jnz1568/getInfo.php?workbook=20_05.xlsx&amp;sheet=U0&amp;row=2558&amp;col=7&amp;number=1.75e-05&amp;sourceID=14","1.75e-05")</f>
        <v>1.75e-05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HYPERLINK("http://141.218.60.56/~jnz1568/getInfo.php?workbook=20_05.xlsx&amp;sheet=U0&amp;row=2559&amp;col=6&amp;number=4.5&amp;sourceID=14","4.5")</f>
        <v>4.5</v>
      </c>
      <c r="G2559" s="4" t="str">
        <f>HYPERLINK("http://141.218.60.56/~jnz1568/getInfo.php?workbook=20_05.xlsx&amp;sheet=U0&amp;row=2559&amp;col=7&amp;number=1.75e-05&amp;sourceID=14","1.75e-05")</f>
        <v>1.75e-05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HYPERLINK("http://141.218.60.56/~jnz1568/getInfo.php?workbook=20_05.xlsx&amp;sheet=U0&amp;row=2560&amp;col=6&amp;number=4.6&amp;sourceID=14","4.6")</f>
        <v>4.6</v>
      </c>
      <c r="G2560" s="4" t="str">
        <f>HYPERLINK("http://141.218.60.56/~jnz1568/getInfo.php?workbook=20_05.xlsx&amp;sheet=U0&amp;row=2560&amp;col=7&amp;number=1.74e-05&amp;sourceID=14","1.74e-05")</f>
        <v>1.74e-05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HYPERLINK("http://141.218.60.56/~jnz1568/getInfo.php?workbook=20_05.xlsx&amp;sheet=U0&amp;row=2561&amp;col=6&amp;number=4.7&amp;sourceID=14","4.7")</f>
        <v>4.7</v>
      </c>
      <c r="G2561" s="4" t="str">
        <f>HYPERLINK("http://141.218.60.56/~jnz1568/getInfo.php?workbook=20_05.xlsx&amp;sheet=U0&amp;row=2561&amp;col=7&amp;number=1.74e-05&amp;sourceID=14","1.74e-05")</f>
        <v>1.74e-05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HYPERLINK("http://141.218.60.56/~jnz1568/getInfo.php?workbook=20_05.xlsx&amp;sheet=U0&amp;row=2562&amp;col=6&amp;number=4.8&amp;sourceID=14","4.8")</f>
        <v>4.8</v>
      </c>
      <c r="G2562" s="4" t="str">
        <f>HYPERLINK("http://141.218.60.56/~jnz1568/getInfo.php?workbook=20_05.xlsx&amp;sheet=U0&amp;row=2562&amp;col=7&amp;number=1.73e-05&amp;sourceID=14","1.73e-05")</f>
        <v>1.73e-05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HYPERLINK("http://141.218.60.56/~jnz1568/getInfo.php?workbook=20_05.xlsx&amp;sheet=U0&amp;row=2563&amp;col=6&amp;number=4.9&amp;sourceID=14","4.9")</f>
        <v>4.9</v>
      </c>
      <c r="G2563" s="4" t="str">
        <f>HYPERLINK("http://141.218.60.56/~jnz1568/getInfo.php?workbook=20_05.xlsx&amp;sheet=U0&amp;row=2563&amp;col=7&amp;number=1.73e-05&amp;sourceID=14","1.73e-05")</f>
        <v>1.73e-05</v>
      </c>
    </row>
    <row r="2564" spans="1:7">
      <c r="A2564" s="3">
        <v>20</v>
      </c>
      <c r="B2564" s="3">
        <v>5</v>
      </c>
      <c r="C2564" s="3">
        <v>1</v>
      </c>
      <c r="D2564" s="3">
        <v>84</v>
      </c>
      <c r="E2564" s="3">
        <v>1</v>
      </c>
      <c r="F2564" s="4" t="str">
        <f>HYPERLINK("http://141.218.60.56/~jnz1568/getInfo.php?workbook=20_05.xlsx&amp;sheet=U0&amp;row=2564&amp;col=6&amp;number=3&amp;sourceID=14","3")</f>
        <v>3</v>
      </c>
      <c r="G2564" s="4" t="str">
        <f>HYPERLINK("http://141.218.60.56/~jnz1568/getInfo.php?workbook=20_05.xlsx&amp;sheet=U0&amp;row=2564&amp;col=7&amp;number=6.7e-05&amp;sourceID=14","6.7e-05")</f>
        <v>6.7e-05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HYPERLINK("http://141.218.60.56/~jnz1568/getInfo.php?workbook=20_05.xlsx&amp;sheet=U0&amp;row=2565&amp;col=6&amp;number=3.1&amp;sourceID=14","3.1")</f>
        <v>3.1</v>
      </c>
      <c r="G2565" s="4" t="str">
        <f>HYPERLINK("http://141.218.60.56/~jnz1568/getInfo.php?workbook=20_05.xlsx&amp;sheet=U0&amp;row=2565&amp;col=7&amp;number=6.7e-05&amp;sourceID=14","6.7e-05")</f>
        <v>6.7e-05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HYPERLINK("http://141.218.60.56/~jnz1568/getInfo.php?workbook=20_05.xlsx&amp;sheet=U0&amp;row=2566&amp;col=6&amp;number=3.2&amp;sourceID=14","3.2")</f>
        <v>3.2</v>
      </c>
      <c r="G2566" s="4" t="str">
        <f>HYPERLINK("http://141.218.60.56/~jnz1568/getInfo.php?workbook=20_05.xlsx&amp;sheet=U0&amp;row=2566&amp;col=7&amp;number=6.7e-05&amp;sourceID=14","6.7e-05")</f>
        <v>6.7e-05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HYPERLINK("http://141.218.60.56/~jnz1568/getInfo.php?workbook=20_05.xlsx&amp;sheet=U0&amp;row=2567&amp;col=6&amp;number=3.3&amp;sourceID=14","3.3")</f>
        <v>3.3</v>
      </c>
      <c r="G2567" s="4" t="str">
        <f>HYPERLINK("http://141.218.60.56/~jnz1568/getInfo.php?workbook=20_05.xlsx&amp;sheet=U0&amp;row=2567&amp;col=7&amp;number=6.7e-05&amp;sourceID=14","6.7e-05")</f>
        <v>6.7e-05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HYPERLINK("http://141.218.60.56/~jnz1568/getInfo.php?workbook=20_05.xlsx&amp;sheet=U0&amp;row=2568&amp;col=6&amp;number=3.4&amp;sourceID=14","3.4")</f>
        <v>3.4</v>
      </c>
      <c r="G2568" s="4" t="str">
        <f>HYPERLINK("http://141.218.60.56/~jnz1568/getInfo.php?workbook=20_05.xlsx&amp;sheet=U0&amp;row=2568&amp;col=7&amp;number=6.7e-05&amp;sourceID=14","6.7e-05")</f>
        <v>6.7e-05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HYPERLINK("http://141.218.60.56/~jnz1568/getInfo.php?workbook=20_05.xlsx&amp;sheet=U0&amp;row=2569&amp;col=6&amp;number=3.5&amp;sourceID=14","3.5")</f>
        <v>3.5</v>
      </c>
      <c r="G2569" s="4" t="str">
        <f>HYPERLINK("http://141.218.60.56/~jnz1568/getInfo.php?workbook=20_05.xlsx&amp;sheet=U0&amp;row=2569&amp;col=7&amp;number=6.7e-05&amp;sourceID=14","6.7e-05")</f>
        <v>6.7e-05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HYPERLINK("http://141.218.60.56/~jnz1568/getInfo.php?workbook=20_05.xlsx&amp;sheet=U0&amp;row=2570&amp;col=6&amp;number=3.6&amp;sourceID=14","3.6")</f>
        <v>3.6</v>
      </c>
      <c r="G2570" s="4" t="str">
        <f>HYPERLINK("http://141.218.60.56/~jnz1568/getInfo.php?workbook=20_05.xlsx&amp;sheet=U0&amp;row=2570&amp;col=7&amp;number=6.7e-05&amp;sourceID=14","6.7e-05")</f>
        <v>6.7e-05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HYPERLINK("http://141.218.60.56/~jnz1568/getInfo.php?workbook=20_05.xlsx&amp;sheet=U0&amp;row=2571&amp;col=6&amp;number=3.7&amp;sourceID=14","3.7")</f>
        <v>3.7</v>
      </c>
      <c r="G2571" s="4" t="str">
        <f>HYPERLINK("http://141.218.60.56/~jnz1568/getInfo.php?workbook=20_05.xlsx&amp;sheet=U0&amp;row=2571&amp;col=7&amp;number=6.7e-05&amp;sourceID=14","6.7e-05")</f>
        <v>6.7e-05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HYPERLINK("http://141.218.60.56/~jnz1568/getInfo.php?workbook=20_05.xlsx&amp;sheet=U0&amp;row=2572&amp;col=6&amp;number=3.8&amp;sourceID=14","3.8")</f>
        <v>3.8</v>
      </c>
      <c r="G2572" s="4" t="str">
        <f>HYPERLINK("http://141.218.60.56/~jnz1568/getInfo.php?workbook=20_05.xlsx&amp;sheet=U0&amp;row=2572&amp;col=7&amp;number=6.7e-05&amp;sourceID=14","6.7e-05")</f>
        <v>6.7e-05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HYPERLINK("http://141.218.60.56/~jnz1568/getInfo.php?workbook=20_05.xlsx&amp;sheet=U0&amp;row=2573&amp;col=6&amp;number=3.9&amp;sourceID=14","3.9")</f>
        <v>3.9</v>
      </c>
      <c r="G2573" s="4" t="str">
        <f>HYPERLINK("http://141.218.60.56/~jnz1568/getInfo.php?workbook=20_05.xlsx&amp;sheet=U0&amp;row=2573&amp;col=7&amp;number=6.7e-05&amp;sourceID=14","6.7e-05")</f>
        <v>6.7e-05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HYPERLINK("http://141.218.60.56/~jnz1568/getInfo.php?workbook=20_05.xlsx&amp;sheet=U0&amp;row=2574&amp;col=6&amp;number=4&amp;sourceID=14","4")</f>
        <v>4</v>
      </c>
      <c r="G2574" s="4" t="str">
        <f>HYPERLINK("http://141.218.60.56/~jnz1568/getInfo.php?workbook=20_05.xlsx&amp;sheet=U0&amp;row=2574&amp;col=7&amp;number=6.7e-05&amp;sourceID=14","6.7e-05")</f>
        <v>6.7e-05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HYPERLINK("http://141.218.60.56/~jnz1568/getInfo.php?workbook=20_05.xlsx&amp;sheet=U0&amp;row=2575&amp;col=6&amp;number=4.1&amp;sourceID=14","4.1")</f>
        <v>4.1</v>
      </c>
      <c r="G2575" s="4" t="str">
        <f>HYPERLINK("http://141.218.60.56/~jnz1568/getInfo.php?workbook=20_05.xlsx&amp;sheet=U0&amp;row=2575&amp;col=7&amp;number=6.7e-05&amp;sourceID=14","6.7e-05")</f>
        <v>6.7e-05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HYPERLINK("http://141.218.60.56/~jnz1568/getInfo.php?workbook=20_05.xlsx&amp;sheet=U0&amp;row=2576&amp;col=6&amp;number=4.2&amp;sourceID=14","4.2")</f>
        <v>4.2</v>
      </c>
      <c r="G2576" s="4" t="str">
        <f>HYPERLINK("http://141.218.60.56/~jnz1568/getInfo.php?workbook=20_05.xlsx&amp;sheet=U0&amp;row=2576&amp;col=7&amp;number=6.7e-05&amp;sourceID=14","6.7e-05")</f>
        <v>6.7e-05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HYPERLINK("http://141.218.60.56/~jnz1568/getInfo.php?workbook=20_05.xlsx&amp;sheet=U0&amp;row=2577&amp;col=6&amp;number=4.3&amp;sourceID=14","4.3")</f>
        <v>4.3</v>
      </c>
      <c r="G2577" s="4" t="str">
        <f>HYPERLINK("http://141.218.60.56/~jnz1568/getInfo.php?workbook=20_05.xlsx&amp;sheet=U0&amp;row=2577&amp;col=7&amp;number=6.7e-05&amp;sourceID=14","6.7e-05")</f>
        <v>6.7e-05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HYPERLINK("http://141.218.60.56/~jnz1568/getInfo.php?workbook=20_05.xlsx&amp;sheet=U0&amp;row=2578&amp;col=6&amp;number=4.4&amp;sourceID=14","4.4")</f>
        <v>4.4</v>
      </c>
      <c r="G2578" s="4" t="str">
        <f>HYPERLINK("http://141.218.60.56/~jnz1568/getInfo.php?workbook=20_05.xlsx&amp;sheet=U0&amp;row=2578&amp;col=7&amp;number=6.7e-05&amp;sourceID=14","6.7e-05")</f>
        <v>6.7e-05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HYPERLINK("http://141.218.60.56/~jnz1568/getInfo.php?workbook=20_05.xlsx&amp;sheet=U0&amp;row=2579&amp;col=6&amp;number=4.5&amp;sourceID=14","4.5")</f>
        <v>4.5</v>
      </c>
      <c r="G2579" s="4" t="str">
        <f>HYPERLINK("http://141.218.60.56/~jnz1568/getInfo.php?workbook=20_05.xlsx&amp;sheet=U0&amp;row=2579&amp;col=7&amp;number=6.7e-05&amp;sourceID=14","6.7e-05")</f>
        <v>6.7e-05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HYPERLINK("http://141.218.60.56/~jnz1568/getInfo.php?workbook=20_05.xlsx&amp;sheet=U0&amp;row=2580&amp;col=6&amp;number=4.6&amp;sourceID=14","4.6")</f>
        <v>4.6</v>
      </c>
      <c r="G2580" s="4" t="str">
        <f>HYPERLINK("http://141.218.60.56/~jnz1568/getInfo.php?workbook=20_05.xlsx&amp;sheet=U0&amp;row=2580&amp;col=7&amp;number=6.7e-05&amp;sourceID=14","6.7e-05")</f>
        <v>6.7e-05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HYPERLINK("http://141.218.60.56/~jnz1568/getInfo.php?workbook=20_05.xlsx&amp;sheet=U0&amp;row=2581&amp;col=6&amp;number=4.7&amp;sourceID=14","4.7")</f>
        <v>4.7</v>
      </c>
      <c r="G2581" s="4" t="str">
        <f>HYPERLINK("http://141.218.60.56/~jnz1568/getInfo.php?workbook=20_05.xlsx&amp;sheet=U0&amp;row=2581&amp;col=7&amp;number=6.7e-05&amp;sourceID=14","6.7e-05")</f>
        <v>6.7e-05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HYPERLINK("http://141.218.60.56/~jnz1568/getInfo.php?workbook=20_05.xlsx&amp;sheet=U0&amp;row=2582&amp;col=6&amp;number=4.8&amp;sourceID=14","4.8")</f>
        <v>4.8</v>
      </c>
      <c r="G2582" s="4" t="str">
        <f>HYPERLINK("http://141.218.60.56/~jnz1568/getInfo.php?workbook=20_05.xlsx&amp;sheet=U0&amp;row=2582&amp;col=7&amp;number=6.7e-05&amp;sourceID=14","6.7e-05")</f>
        <v>6.7e-05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HYPERLINK("http://141.218.60.56/~jnz1568/getInfo.php?workbook=20_05.xlsx&amp;sheet=U0&amp;row=2583&amp;col=6&amp;number=4.9&amp;sourceID=14","4.9")</f>
        <v>4.9</v>
      </c>
      <c r="G2583" s="4" t="str">
        <f>HYPERLINK("http://141.218.60.56/~jnz1568/getInfo.php?workbook=20_05.xlsx&amp;sheet=U0&amp;row=2583&amp;col=7&amp;number=6.7e-05&amp;sourceID=14","6.7e-05")</f>
        <v>6.7e-05</v>
      </c>
    </row>
    <row r="2584" spans="1:7">
      <c r="A2584" s="3">
        <v>20</v>
      </c>
      <c r="B2584" s="3">
        <v>5</v>
      </c>
      <c r="C2584" s="3">
        <v>1</v>
      </c>
      <c r="D2584" s="3">
        <v>85</v>
      </c>
      <c r="E2584" s="3">
        <v>1</v>
      </c>
      <c r="F2584" s="4" t="str">
        <f>HYPERLINK("http://141.218.60.56/~jnz1568/getInfo.php?workbook=20_05.xlsx&amp;sheet=U0&amp;row=2584&amp;col=6&amp;number=3&amp;sourceID=14","3")</f>
        <v>3</v>
      </c>
      <c r="G2584" s="4" t="str">
        <f>HYPERLINK("http://141.218.60.56/~jnz1568/getInfo.php?workbook=20_05.xlsx&amp;sheet=U0&amp;row=2584&amp;col=7&amp;number=7.88e-05&amp;sourceID=14","7.88e-05")</f>
        <v>7.88e-05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HYPERLINK("http://141.218.60.56/~jnz1568/getInfo.php?workbook=20_05.xlsx&amp;sheet=U0&amp;row=2585&amp;col=6&amp;number=3.1&amp;sourceID=14","3.1")</f>
        <v>3.1</v>
      </c>
      <c r="G2585" s="4" t="str">
        <f>HYPERLINK("http://141.218.60.56/~jnz1568/getInfo.php?workbook=20_05.xlsx&amp;sheet=U0&amp;row=2585&amp;col=7&amp;number=7.88e-05&amp;sourceID=14","7.88e-05")</f>
        <v>7.88e-05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HYPERLINK("http://141.218.60.56/~jnz1568/getInfo.php?workbook=20_05.xlsx&amp;sheet=U0&amp;row=2586&amp;col=6&amp;number=3.2&amp;sourceID=14","3.2")</f>
        <v>3.2</v>
      </c>
      <c r="G2586" s="4" t="str">
        <f>HYPERLINK("http://141.218.60.56/~jnz1568/getInfo.php?workbook=20_05.xlsx&amp;sheet=U0&amp;row=2586&amp;col=7&amp;number=7.88e-05&amp;sourceID=14","7.88e-05")</f>
        <v>7.88e-05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HYPERLINK("http://141.218.60.56/~jnz1568/getInfo.php?workbook=20_05.xlsx&amp;sheet=U0&amp;row=2587&amp;col=6&amp;number=3.3&amp;sourceID=14","3.3")</f>
        <v>3.3</v>
      </c>
      <c r="G2587" s="4" t="str">
        <f>HYPERLINK("http://141.218.60.56/~jnz1568/getInfo.php?workbook=20_05.xlsx&amp;sheet=U0&amp;row=2587&amp;col=7&amp;number=7.88e-05&amp;sourceID=14","7.88e-05")</f>
        <v>7.88e-05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HYPERLINK("http://141.218.60.56/~jnz1568/getInfo.php?workbook=20_05.xlsx&amp;sheet=U0&amp;row=2588&amp;col=6&amp;number=3.4&amp;sourceID=14","3.4")</f>
        <v>3.4</v>
      </c>
      <c r="G2588" s="4" t="str">
        <f>HYPERLINK("http://141.218.60.56/~jnz1568/getInfo.php?workbook=20_05.xlsx&amp;sheet=U0&amp;row=2588&amp;col=7&amp;number=7.88e-05&amp;sourceID=14","7.88e-05")</f>
        <v>7.88e-05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HYPERLINK("http://141.218.60.56/~jnz1568/getInfo.php?workbook=20_05.xlsx&amp;sheet=U0&amp;row=2589&amp;col=6&amp;number=3.5&amp;sourceID=14","3.5")</f>
        <v>3.5</v>
      </c>
      <c r="G2589" s="4" t="str">
        <f>HYPERLINK("http://141.218.60.56/~jnz1568/getInfo.php?workbook=20_05.xlsx&amp;sheet=U0&amp;row=2589&amp;col=7&amp;number=7.88e-05&amp;sourceID=14","7.88e-05")</f>
        <v>7.88e-05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HYPERLINK("http://141.218.60.56/~jnz1568/getInfo.php?workbook=20_05.xlsx&amp;sheet=U0&amp;row=2590&amp;col=6&amp;number=3.6&amp;sourceID=14","3.6")</f>
        <v>3.6</v>
      </c>
      <c r="G2590" s="4" t="str">
        <f>HYPERLINK("http://141.218.60.56/~jnz1568/getInfo.php?workbook=20_05.xlsx&amp;sheet=U0&amp;row=2590&amp;col=7&amp;number=7.88e-05&amp;sourceID=14","7.88e-05")</f>
        <v>7.88e-05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HYPERLINK("http://141.218.60.56/~jnz1568/getInfo.php?workbook=20_05.xlsx&amp;sheet=U0&amp;row=2591&amp;col=6&amp;number=3.7&amp;sourceID=14","3.7")</f>
        <v>3.7</v>
      </c>
      <c r="G2591" s="4" t="str">
        <f>HYPERLINK("http://141.218.60.56/~jnz1568/getInfo.php?workbook=20_05.xlsx&amp;sheet=U0&amp;row=2591&amp;col=7&amp;number=7.88e-05&amp;sourceID=14","7.88e-05")</f>
        <v>7.88e-05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HYPERLINK("http://141.218.60.56/~jnz1568/getInfo.php?workbook=20_05.xlsx&amp;sheet=U0&amp;row=2592&amp;col=6&amp;number=3.8&amp;sourceID=14","3.8")</f>
        <v>3.8</v>
      </c>
      <c r="G2592" s="4" t="str">
        <f>HYPERLINK("http://141.218.60.56/~jnz1568/getInfo.php?workbook=20_05.xlsx&amp;sheet=U0&amp;row=2592&amp;col=7&amp;number=7.88e-05&amp;sourceID=14","7.88e-05")</f>
        <v>7.88e-05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HYPERLINK("http://141.218.60.56/~jnz1568/getInfo.php?workbook=20_05.xlsx&amp;sheet=U0&amp;row=2593&amp;col=6&amp;number=3.9&amp;sourceID=14","3.9")</f>
        <v>3.9</v>
      </c>
      <c r="G2593" s="4" t="str">
        <f>HYPERLINK("http://141.218.60.56/~jnz1568/getInfo.php?workbook=20_05.xlsx&amp;sheet=U0&amp;row=2593&amp;col=7&amp;number=7.88e-05&amp;sourceID=14","7.88e-05")</f>
        <v>7.88e-05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HYPERLINK("http://141.218.60.56/~jnz1568/getInfo.php?workbook=20_05.xlsx&amp;sheet=U0&amp;row=2594&amp;col=6&amp;number=4&amp;sourceID=14","4")</f>
        <v>4</v>
      </c>
      <c r="G2594" s="4" t="str">
        <f>HYPERLINK("http://141.218.60.56/~jnz1568/getInfo.php?workbook=20_05.xlsx&amp;sheet=U0&amp;row=2594&amp;col=7&amp;number=7.88e-05&amp;sourceID=14","7.88e-05")</f>
        <v>7.88e-05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HYPERLINK("http://141.218.60.56/~jnz1568/getInfo.php?workbook=20_05.xlsx&amp;sheet=U0&amp;row=2595&amp;col=6&amp;number=4.1&amp;sourceID=14","4.1")</f>
        <v>4.1</v>
      </c>
      <c r="G2595" s="4" t="str">
        <f>HYPERLINK("http://141.218.60.56/~jnz1568/getInfo.php?workbook=20_05.xlsx&amp;sheet=U0&amp;row=2595&amp;col=7&amp;number=7.88e-05&amp;sourceID=14","7.88e-05")</f>
        <v>7.88e-05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HYPERLINK("http://141.218.60.56/~jnz1568/getInfo.php?workbook=20_05.xlsx&amp;sheet=U0&amp;row=2596&amp;col=6&amp;number=4.2&amp;sourceID=14","4.2")</f>
        <v>4.2</v>
      </c>
      <c r="G2596" s="4" t="str">
        <f>HYPERLINK("http://141.218.60.56/~jnz1568/getInfo.php?workbook=20_05.xlsx&amp;sheet=U0&amp;row=2596&amp;col=7&amp;number=7.88e-05&amp;sourceID=14","7.88e-05")</f>
        <v>7.88e-05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HYPERLINK("http://141.218.60.56/~jnz1568/getInfo.php?workbook=20_05.xlsx&amp;sheet=U0&amp;row=2597&amp;col=6&amp;number=4.3&amp;sourceID=14","4.3")</f>
        <v>4.3</v>
      </c>
      <c r="G2597" s="4" t="str">
        <f>HYPERLINK("http://141.218.60.56/~jnz1568/getInfo.php?workbook=20_05.xlsx&amp;sheet=U0&amp;row=2597&amp;col=7&amp;number=7.88e-05&amp;sourceID=14","7.88e-05")</f>
        <v>7.88e-05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HYPERLINK("http://141.218.60.56/~jnz1568/getInfo.php?workbook=20_05.xlsx&amp;sheet=U0&amp;row=2598&amp;col=6&amp;number=4.4&amp;sourceID=14","4.4")</f>
        <v>4.4</v>
      </c>
      <c r="G2598" s="4" t="str">
        <f>HYPERLINK("http://141.218.60.56/~jnz1568/getInfo.php?workbook=20_05.xlsx&amp;sheet=U0&amp;row=2598&amp;col=7&amp;number=7.88e-05&amp;sourceID=14","7.88e-05")</f>
        <v>7.88e-05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HYPERLINK("http://141.218.60.56/~jnz1568/getInfo.php?workbook=20_05.xlsx&amp;sheet=U0&amp;row=2599&amp;col=6&amp;number=4.5&amp;sourceID=14","4.5")</f>
        <v>4.5</v>
      </c>
      <c r="G2599" s="4" t="str">
        <f>HYPERLINK("http://141.218.60.56/~jnz1568/getInfo.php?workbook=20_05.xlsx&amp;sheet=U0&amp;row=2599&amp;col=7&amp;number=7.88e-05&amp;sourceID=14","7.88e-05")</f>
        <v>7.88e-05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HYPERLINK("http://141.218.60.56/~jnz1568/getInfo.php?workbook=20_05.xlsx&amp;sheet=U0&amp;row=2600&amp;col=6&amp;number=4.6&amp;sourceID=14","4.6")</f>
        <v>4.6</v>
      </c>
      <c r="G2600" s="4" t="str">
        <f>HYPERLINK("http://141.218.60.56/~jnz1568/getInfo.php?workbook=20_05.xlsx&amp;sheet=U0&amp;row=2600&amp;col=7&amp;number=7.88e-05&amp;sourceID=14","7.88e-05")</f>
        <v>7.88e-05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HYPERLINK("http://141.218.60.56/~jnz1568/getInfo.php?workbook=20_05.xlsx&amp;sheet=U0&amp;row=2601&amp;col=6&amp;number=4.7&amp;sourceID=14","4.7")</f>
        <v>4.7</v>
      </c>
      <c r="G2601" s="4" t="str">
        <f>HYPERLINK("http://141.218.60.56/~jnz1568/getInfo.php?workbook=20_05.xlsx&amp;sheet=U0&amp;row=2601&amp;col=7&amp;number=7.88e-05&amp;sourceID=14","7.88e-05")</f>
        <v>7.88e-05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HYPERLINK("http://141.218.60.56/~jnz1568/getInfo.php?workbook=20_05.xlsx&amp;sheet=U0&amp;row=2602&amp;col=6&amp;number=4.8&amp;sourceID=14","4.8")</f>
        <v>4.8</v>
      </c>
      <c r="G2602" s="4" t="str">
        <f>HYPERLINK("http://141.218.60.56/~jnz1568/getInfo.php?workbook=20_05.xlsx&amp;sheet=U0&amp;row=2602&amp;col=7&amp;number=7.88e-05&amp;sourceID=14","7.88e-05")</f>
        <v>7.88e-05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HYPERLINK("http://141.218.60.56/~jnz1568/getInfo.php?workbook=20_05.xlsx&amp;sheet=U0&amp;row=2603&amp;col=6&amp;number=4.9&amp;sourceID=14","4.9")</f>
        <v>4.9</v>
      </c>
      <c r="G2603" s="4" t="str">
        <f>HYPERLINK("http://141.218.60.56/~jnz1568/getInfo.php?workbook=20_05.xlsx&amp;sheet=U0&amp;row=2603&amp;col=7&amp;number=7.88e-05&amp;sourceID=14","7.88e-05")</f>
        <v>7.88e-05</v>
      </c>
    </row>
    <row r="2604" spans="1:7">
      <c r="A2604" s="3">
        <v>20</v>
      </c>
      <c r="B2604" s="3">
        <v>5</v>
      </c>
      <c r="C2604" s="3">
        <v>1</v>
      </c>
      <c r="D2604" s="3">
        <v>86</v>
      </c>
      <c r="E2604" s="3">
        <v>1</v>
      </c>
      <c r="F2604" s="4" t="str">
        <f>HYPERLINK("http://141.218.60.56/~jnz1568/getInfo.php?workbook=20_05.xlsx&amp;sheet=U0&amp;row=2604&amp;col=6&amp;number=3&amp;sourceID=14","3")</f>
        <v>3</v>
      </c>
      <c r="G2604" s="4" t="str">
        <f>HYPERLINK("http://141.218.60.56/~jnz1568/getInfo.php?workbook=20_05.xlsx&amp;sheet=U0&amp;row=2604&amp;col=7&amp;number=4.28e-05&amp;sourceID=14","4.28e-05")</f>
        <v>4.28e-05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HYPERLINK("http://141.218.60.56/~jnz1568/getInfo.php?workbook=20_05.xlsx&amp;sheet=U0&amp;row=2605&amp;col=6&amp;number=3.1&amp;sourceID=14","3.1")</f>
        <v>3.1</v>
      </c>
      <c r="G2605" s="4" t="str">
        <f>HYPERLINK("http://141.218.60.56/~jnz1568/getInfo.php?workbook=20_05.xlsx&amp;sheet=U0&amp;row=2605&amp;col=7&amp;number=4.28e-05&amp;sourceID=14","4.28e-05")</f>
        <v>4.28e-05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HYPERLINK("http://141.218.60.56/~jnz1568/getInfo.php?workbook=20_05.xlsx&amp;sheet=U0&amp;row=2606&amp;col=6&amp;number=3.2&amp;sourceID=14","3.2")</f>
        <v>3.2</v>
      </c>
      <c r="G2606" s="4" t="str">
        <f>HYPERLINK("http://141.218.60.56/~jnz1568/getInfo.php?workbook=20_05.xlsx&amp;sheet=U0&amp;row=2606&amp;col=7&amp;number=4.28e-05&amp;sourceID=14","4.28e-05")</f>
        <v>4.28e-05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HYPERLINK("http://141.218.60.56/~jnz1568/getInfo.php?workbook=20_05.xlsx&amp;sheet=U0&amp;row=2607&amp;col=6&amp;number=3.3&amp;sourceID=14","3.3")</f>
        <v>3.3</v>
      </c>
      <c r="G2607" s="4" t="str">
        <f>HYPERLINK("http://141.218.60.56/~jnz1568/getInfo.php?workbook=20_05.xlsx&amp;sheet=U0&amp;row=2607&amp;col=7&amp;number=4.28e-05&amp;sourceID=14","4.28e-05")</f>
        <v>4.28e-05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HYPERLINK("http://141.218.60.56/~jnz1568/getInfo.php?workbook=20_05.xlsx&amp;sheet=U0&amp;row=2608&amp;col=6&amp;number=3.4&amp;sourceID=14","3.4")</f>
        <v>3.4</v>
      </c>
      <c r="G2608" s="4" t="str">
        <f>HYPERLINK("http://141.218.60.56/~jnz1568/getInfo.php?workbook=20_05.xlsx&amp;sheet=U0&amp;row=2608&amp;col=7&amp;number=4.28e-05&amp;sourceID=14","4.28e-05")</f>
        <v>4.28e-05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HYPERLINK("http://141.218.60.56/~jnz1568/getInfo.php?workbook=20_05.xlsx&amp;sheet=U0&amp;row=2609&amp;col=6&amp;number=3.5&amp;sourceID=14","3.5")</f>
        <v>3.5</v>
      </c>
      <c r="G2609" s="4" t="str">
        <f>HYPERLINK("http://141.218.60.56/~jnz1568/getInfo.php?workbook=20_05.xlsx&amp;sheet=U0&amp;row=2609&amp;col=7&amp;number=4.28e-05&amp;sourceID=14","4.28e-05")</f>
        <v>4.28e-05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HYPERLINK("http://141.218.60.56/~jnz1568/getInfo.php?workbook=20_05.xlsx&amp;sheet=U0&amp;row=2610&amp;col=6&amp;number=3.6&amp;sourceID=14","3.6")</f>
        <v>3.6</v>
      </c>
      <c r="G2610" s="4" t="str">
        <f>HYPERLINK("http://141.218.60.56/~jnz1568/getInfo.php?workbook=20_05.xlsx&amp;sheet=U0&amp;row=2610&amp;col=7&amp;number=4.28e-05&amp;sourceID=14","4.28e-05")</f>
        <v>4.28e-05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HYPERLINK("http://141.218.60.56/~jnz1568/getInfo.php?workbook=20_05.xlsx&amp;sheet=U0&amp;row=2611&amp;col=6&amp;number=3.7&amp;sourceID=14","3.7")</f>
        <v>3.7</v>
      </c>
      <c r="G2611" s="4" t="str">
        <f>HYPERLINK("http://141.218.60.56/~jnz1568/getInfo.php?workbook=20_05.xlsx&amp;sheet=U0&amp;row=2611&amp;col=7&amp;number=4.28e-05&amp;sourceID=14","4.28e-05")</f>
        <v>4.28e-05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HYPERLINK("http://141.218.60.56/~jnz1568/getInfo.php?workbook=20_05.xlsx&amp;sheet=U0&amp;row=2612&amp;col=6&amp;number=3.8&amp;sourceID=14","3.8")</f>
        <v>3.8</v>
      </c>
      <c r="G2612" s="4" t="str">
        <f>HYPERLINK("http://141.218.60.56/~jnz1568/getInfo.php?workbook=20_05.xlsx&amp;sheet=U0&amp;row=2612&amp;col=7&amp;number=4.28e-05&amp;sourceID=14","4.28e-05")</f>
        <v>4.28e-05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HYPERLINK("http://141.218.60.56/~jnz1568/getInfo.php?workbook=20_05.xlsx&amp;sheet=U0&amp;row=2613&amp;col=6&amp;number=3.9&amp;sourceID=14","3.9")</f>
        <v>3.9</v>
      </c>
      <c r="G2613" s="4" t="str">
        <f>HYPERLINK("http://141.218.60.56/~jnz1568/getInfo.php?workbook=20_05.xlsx&amp;sheet=U0&amp;row=2613&amp;col=7&amp;number=4.28e-05&amp;sourceID=14","4.28e-05")</f>
        <v>4.28e-05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HYPERLINK("http://141.218.60.56/~jnz1568/getInfo.php?workbook=20_05.xlsx&amp;sheet=U0&amp;row=2614&amp;col=6&amp;number=4&amp;sourceID=14","4")</f>
        <v>4</v>
      </c>
      <c r="G2614" s="4" t="str">
        <f>HYPERLINK("http://141.218.60.56/~jnz1568/getInfo.php?workbook=20_05.xlsx&amp;sheet=U0&amp;row=2614&amp;col=7&amp;number=4.28e-05&amp;sourceID=14","4.28e-05")</f>
        <v>4.28e-05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HYPERLINK("http://141.218.60.56/~jnz1568/getInfo.php?workbook=20_05.xlsx&amp;sheet=U0&amp;row=2615&amp;col=6&amp;number=4.1&amp;sourceID=14","4.1")</f>
        <v>4.1</v>
      </c>
      <c r="G2615" s="4" t="str">
        <f>HYPERLINK("http://141.218.60.56/~jnz1568/getInfo.php?workbook=20_05.xlsx&amp;sheet=U0&amp;row=2615&amp;col=7&amp;number=4.28e-05&amp;sourceID=14","4.28e-05")</f>
        <v>4.28e-05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HYPERLINK("http://141.218.60.56/~jnz1568/getInfo.php?workbook=20_05.xlsx&amp;sheet=U0&amp;row=2616&amp;col=6&amp;number=4.2&amp;sourceID=14","4.2")</f>
        <v>4.2</v>
      </c>
      <c r="G2616" s="4" t="str">
        <f>HYPERLINK("http://141.218.60.56/~jnz1568/getInfo.php?workbook=20_05.xlsx&amp;sheet=U0&amp;row=2616&amp;col=7&amp;number=4.27e-05&amp;sourceID=14","4.27e-05")</f>
        <v>4.27e-05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HYPERLINK("http://141.218.60.56/~jnz1568/getInfo.php?workbook=20_05.xlsx&amp;sheet=U0&amp;row=2617&amp;col=6&amp;number=4.3&amp;sourceID=14","4.3")</f>
        <v>4.3</v>
      </c>
      <c r="G2617" s="4" t="str">
        <f>HYPERLINK("http://141.218.60.56/~jnz1568/getInfo.php?workbook=20_05.xlsx&amp;sheet=U0&amp;row=2617&amp;col=7&amp;number=4.27e-05&amp;sourceID=14","4.27e-05")</f>
        <v>4.27e-05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HYPERLINK("http://141.218.60.56/~jnz1568/getInfo.php?workbook=20_05.xlsx&amp;sheet=U0&amp;row=2618&amp;col=6&amp;number=4.4&amp;sourceID=14","4.4")</f>
        <v>4.4</v>
      </c>
      <c r="G2618" s="4" t="str">
        <f>HYPERLINK("http://141.218.60.56/~jnz1568/getInfo.php?workbook=20_05.xlsx&amp;sheet=U0&amp;row=2618&amp;col=7&amp;number=4.27e-05&amp;sourceID=14","4.27e-05")</f>
        <v>4.27e-05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HYPERLINK("http://141.218.60.56/~jnz1568/getInfo.php?workbook=20_05.xlsx&amp;sheet=U0&amp;row=2619&amp;col=6&amp;number=4.5&amp;sourceID=14","4.5")</f>
        <v>4.5</v>
      </c>
      <c r="G2619" s="4" t="str">
        <f>HYPERLINK("http://141.218.60.56/~jnz1568/getInfo.php?workbook=20_05.xlsx&amp;sheet=U0&amp;row=2619&amp;col=7&amp;number=4.27e-05&amp;sourceID=14","4.27e-05")</f>
        <v>4.27e-05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HYPERLINK("http://141.218.60.56/~jnz1568/getInfo.php?workbook=20_05.xlsx&amp;sheet=U0&amp;row=2620&amp;col=6&amp;number=4.6&amp;sourceID=14","4.6")</f>
        <v>4.6</v>
      </c>
      <c r="G2620" s="4" t="str">
        <f>HYPERLINK("http://141.218.60.56/~jnz1568/getInfo.php?workbook=20_05.xlsx&amp;sheet=U0&amp;row=2620&amp;col=7&amp;number=4.26e-05&amp;sourceID=14","4.26e-05")</f>
        <v>4.26e-05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HYPERLINK("http://141.218.60.56/~jnz1568/getInfo.php?workbook=20_05.xlsx&amp;sheet=U0&amp;row=2621&amp;col=6&amp;number=4.7&amp;sourceID=14","4.7")</f>
        <v>4.7</v>
      </c>
      <c r="G2621" s="4" t="str">
        <f>HYPERLINK("http://141.218.60.56/~jnz1568/getInfo.php?workbook=20_05.xlsx&amp;sheet=U0&amp;row=2621&amp;col=7&amp;number=4.26e-05&amp;sourceID=14","4.26e-05")</f>
        <v>4.26e-05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HYPERLINK("http://141.218.60.56/~jnz1568/getInfo.php?workbook=20_05.xlsx&amp;sheet=U0&amp;row=2622&amp;col=6&amp;number=4.8&amp;sourceID=14","4.8")</f>
        <v>4.8</v>
      </c>
      <c r="G2622" s="4" t="str">
        <f>HYPERLINK("http://141.218.60.56/~jnz1568/getInfo.php?workbook=20_05.xlsx&amp;sheet=U0&amp;row=2622&amp;col=7&amp;number=4.25e-05&amp;sourceID=14","4.25e-05")</f>
        <v>4.25e-05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HYPERLINK("http://141.218.60.56/~jnz1568/getInfo.php?workbook=20_05.xlsx&amp;sheet=U0&amp;row=2623&amp;col=6&amp;number=4.9&amp;sourceID=14","4.9")</f>
        <v>4.9</v>
      </c>
      <c r="G2623" s="4" t="str">
        <f>HYPERLINK("http://141.218.60.56/~jnz1568/getInfo.php?workbook=20_05.xlsx&amp;sheet=U0&amp;row=2623&amp;col=7&amp;number=4.24e-05&amp;sourceID=14","4.24e-05")</f>
        <v>4.24e-05</v>
      </c>
    </row>
    <row r="2624" spans="1:7">
      <c r="A2624" s="3">
        <v>20</v>
      </c>
      <c r="B2624" s="3">
        <v>5</v>
      </c>
      <c r="C2624" s="3">
        <v>1</v>
      </c>
      <c r="D2624" s="3">
        <v>87</v>
      </c>
      <c r="E2624" s="3">
        <v>1</v>
      </c>
      <c r="F2624" s="4" t="str">
        <f>HYPERLINK("http://141.218.60.56/~jnz1568/getInfo.php?workbook=20_05.xlsx&amp;sheet=U0&amp;row=2624&amp;col=6&amp;number=3&amp;sourceID=14","3")</f>
        <v>3</v>
      </c>
      <c r="G2624" s="4" t="str">
        <f>HYPERLINK("http://141.218.60.56/~jnz1568/getInfo.php?workbook=20_05.xlsx&amp;sheet=U0&amp;row=2624&amp;col=7&amp;number=0.00897&amp;sourceID=14","0.00897")</f>
        <v>0.00897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HYPERLINK("http://141.218.60.56/~jnz1568/getInfo.php?workbook=20_05.xlsx&amp;sheet=U0&amp;row=2625&amp;col=6&amp;number=3.1&amp;sourceID=14","3.1")</f>
        <v>3.1</v>
      </c>
      <c r="G2625" s="4" t="str">
        <f>HYPERLINK("http://141.218.60.56/~jnz1568/getInfo.php?workbook=20_05.xlsx&amp;sheet=U0&amp;row=2625&amp;col=7&amp;number=0.00897&amp;sourceID=14","0.00897")</f>
        <v>0.00897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HYPERLINK("http://141.218.60.56/~jnz1568/getInfo.php?workbook=20_05.xlsx&amp;sheet=U0&amp;row=2626&amp;col=6&amp;number=3.2&amp;sourceID=14","3.2")</f>
        <v>3.2</v>
      </c>
      <c r="G2626" s="4" t="str">
        <f>HYPERLINK("http://141.218.60.56/~jnz1568/getInfo.php?workbook=20_05.xlsx&amp;sheet=U0&amp;row=2626&amp;col=7&amp;number=0.00897&amp;sourceID=14","0.00897")</f>
        <v>0.00897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HYPERLINK("http://141.218.60.56/~jnz1568/getInfo.php?workbook=20_05.xlsx&amp;sheet=U0&amp;row=2627&amp;col=6&amp;number=3.3&amp;sourceID=14","3.3")</f>
        <v>3.3</v>
      </c>
      <c r="G2627" s="4" t="str">
        <f>HYPERLINK("http://141.218.60.56/~jnz1568/getInfo.php?workbook=20_05.xlsx&amp;sheet=U0&amp;row=2627&amp;col=7&amp;number=0.00897&amp;sourceID=14","0.00897")</f>
        <v>0.00897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HYPERLINK("http://141.218.60.56/~jnz1568/getInfo.php?workbook=20_05.xlsx&amp;sheet=U0&amp;row=2628&amp;col=6&amp;number=3.4&amp;sourceID=14","3.4")</f>
        <v>3.4</v>
      </c>
      <c r="G2628" s="4" t="str">
        <f>HYPERLINK("http://141.218.60.56/~jnz1568/getInfo.php?workbook=20_05.xlsx&amp;sheet=U0&amp;row=2628&amp;col=7&amp;number=0.00897&amp;sourceID=14","0.00897")</f>
        <v>0.00897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HYPERLINK("http://141.218.60.56/~jnz1568/getInfo.php?workbook=20_05.xlsx&amp;sheet=U0&amp;row=2629&amp;col=6&amp;number=3.5&amp;sourceID=14","3.5")</f>
        <v>3.5</v>
      </c>
      <c r="G2629" s="4" t="str">
        <f>HYPERLINK("http://141.218.60.56/~jnz1568/getInfo.php?workbook=20_05.xlsx&amp;sheet=U0&amp;row=2629&amp;col=7&amp;number=0.00897&amp;sourceID=14","0.00897")</f>
        <v>0.00897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HYPERLINK("http://141.218.60.56/~jnz1568/getInfo.php?workbook=20_05.xlsx&amp;sheet=U0&amp;row=2630&amp;col=6&amp;number=3.6&amp;sourceID=14","3.6")</f>
        <v>3.6</v>
      </c>
      <c r="G2630" s="4" t="str">
        <f>HYPERLINK("http://141.218.60.56/~jnz1568/getInfo.php?workbook=20_05.xlsx&amp;sheet=U0&amp;row=2630&amp;col=7&amp;number=0.00897&amp;sourceID=14","0.00897")</f>
        <v>0.00897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HYPERLINK("http://141.218.60.56/~jnz1568/getInfo.php?workbook=20_05.xlsx&amp;sheet=U0&amp;row=2631&amp;col=6&amp;number=3.7&amp;sourceID=14","3.7")</f>
        <v>3.7</v>
      </c>
      <c r="G2631" s="4" t="str">
        <f>HYPERLINK("http://141.218.60.56/~jnz1568/getInfo.php?workbook=20_05.xlsx&amp;sheet=U0&amp;row=2631&amp;col=7&amp;number=0.00897&amp;sourceID=14","0.00897")</f>
        <v>0.00897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HYPERLINK("http://141.218.60.56/~jnz1568/getInfo.php?workbook=20_05.xlsx&amp;sheet=U0&amp;row=2632&amp;col=6&amp;number=3.8&amp;sourceID=14","3.8")</f>
        <v>3.8</v>
      </c>
      <c r="G2632" s="4" t="str">
        <f>HYPERLINK("http://141.218.60.56/~jnz1568/getInfo.php?workbook=20_05.xlsx&amp;sheet=U0&amp;row=2632&amp;col=7&amp;number=0.00896&amp;sourceID=14","0.00896")</f>
        <v>0.00896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HYPERLINK("http://141.218.60.56/~jnz1568/getInfo.php?workbook=20_05.xlsx&amp;sheet=U0&amp;row=2633&amp;col=6&amp;number=3.9&amp;sourceID=14","3.9")</f>
        <v>3.9</v>
      </c>
      <c r="G2633" s="4" t="str">
        <f>HYPERLINK("http://141.218.60.56/~jnz1568/getInfo.php?workbook=20_05.xlsx&amp;sheet=U0&amp;row=2633&amp;col=7&amp;number=0.00896&amp;sourceID=14","0.00896")</f>
        <v>0.00896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HYPERLINK("http://141.218.60.56/~jnz1568/getInfo.php?workbook=20_05.xlsx&amp;sheet=U0&amp;row=2634&amp;col=6&amp;number=4&amp;sourceID=14","4")</f>
        <v>4</v>
      </c>
      <c r="G2634" s="4" t="str">
        <f>HYPERLINK("http://141.218.60.56/~jnz1568/getInfo.php?workbook=20_05.xlsx&amp;sheet=U0&amp;row=2634&amp;col=7&amp;number=0.00896&amp;sourceID=14","0.00896")</f>
        <v>0.00896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HYPERLINK("http://141.218.60.56/~jnz1568/getInfo.php?workbook=20_05.xlsx&amp;sheet=U0&amp;row=2635&amp;col=6&amp;number=4.1&amp;sourceID=14","4.1")</f>
        <v>4.1</v>
      </c>
      <c r="G2635" s="4" t="str">
        <f>HYPERLINK("http://141.218.60.56/~jnz1568/getInfo.php?workbook=20_05.xlsx&amp;sheet=U0&amp;row=2635&amp;col=7&amp;number=0.00896&amp;sourceID=14","0.00896")</f>
        <v>0.00896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HYPERLINK("http://141.218.60.56/~jnz1568/getInfo.php?workbook=20_05.xlsx&amp;sheet=U0&amp;row=2636&amp;col=6&amp;number=4.2&amp;sourceID=14","4.2")</f>
        <v>4.2</v>
      </c>
      <c r="G2636" s="4" t="str">
        <f>HYPERLINK("http://141.218.60.56/~jnz1568/getInfo.php?workbook=20_05.xlsx&amp;sheet=U0&amp;row=2636&amp;col=7&amp;number=0.00895&amp;sourceID=14","0.00895")</f>
        <v>0.00895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HYPERLINK("http://141.218.60.56/~jnz1568/getInfo.php?workbook=20_05.xlsx&amp;sheet=U0&amp;row=2637&amp;col=6&amp;number=4.3&amp;sourceID=14","4.3")</f>
        <v>4.3</v>
      </c>
      <c r="G2637" s="4" t="str">
        <f>HYPERLINK("http://141.218.60.56/~jnz1568/getInfo.php?workbook=20_05.xlsx&amp;sheet=U0&amp;row=2637&amp;col=7&amp;number=0.00895&amp;sourceID=14","0.00895")</f>
        <v>0.00895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HYPERLINK("http://141.218.60.56/~jnz1568/getInfo.php?workbook=20_05.xlsx&amp;sheet=U0&amp;row=2638&amp;col=6&amp;number=4.4&amp;sourceID=14","4.4")</f>
        <v>4.4</v>
      </c>
      <c r="G2638" s="4" t="str">
        <f>HYPERLINK("http://141.218.60.56/~jnz1568/getInfo.php?workbook=20_05.xlsx&amp;sheet=U0&amp;row=2638&amp;col=7&amp;number=0.00894&amp;sourceID=14","0.00894")</f>
        <v>0.00894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HYPERLINK("http://141.218.60.56/~jnz1568/getInfo.php?workbook=20_05.xlsx&amp;sheet=U0&amp;row=2639&amp;col=6&amp;number=4.5&amp;sourceID=14","4.5")</f>
        <v>4.5</v>
      </c>
      <c r="G2639" s="4" t="str">
        <f>HYPERLINK("http://141.218.60.56/~jnz1568/getInfo.php?workbook=20_05.xlsx&amp;sheet=U0&amp;row=2639&amp;col=7&amp;number=0.00893&amp;sourceID=14","0.00893")</f>
        <v>0.00893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HYPERLINK("http://141.218.60.56/~jnz1568/getInfo.php?workbook=20_05.xlsx&amp;sheet=U0&amp;row=2640&amp;col=6&amp;number=4.6&amp;sourceID=14","4.6")</f>
        <v>4.6</v>
      </c>
      <c r="G2640" s="4" t="str">
        <f>HYPERLINK("http://141.218.60.56/~jnz1568/getInfo.php?workbook=20_05.xlsx&amp;sheet=U0&amp;row=2640&amp;col=7&amp;number=0.00892&amp;sourceID=14","0.00892")</f>
        <v>0.00892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HYPERLINK("http://141.218.60.56/~jnz1568/getInfo.php?workbook=20_05.xlsx&amp;sheet=U0&amp;row=2641&amp;col=6&amp;number=4.7&amp;sourceID=14","4.7")</f>
        <v>4.7</v>
      </c>
      <c r="G2641" s="4" t="str">
        <f>HYPERLINK("http://141.218.60.56/~jnz1568/getInfo.php?workbook=20_05.xlsx&amp;sheet=U0&amp;row=2641&amp;col=7&amp;number=0.00891&amp;sourceID=14","0.00891")</f>
        <v>0.00891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HYPERLINK("http://141.218.60.56/~jnz1568/getInfo.php?workbook=20_05.xlsx&amp;sheet=U0&amp;row=2642&amp;col=6&amp;number=4.8&amp;sourceID=14","4.8")</f>
        <v>4.8</v>
      </c>
      <c r="G2642" s="4" t="str">
        <f>HYPERLINK("http://141.218.60.56/~jnz1568/getInfo.php?workbook=20_05.xlsx&amp;sheet=U0&amp;row=2642&amp;col=7&amp;number=0.0089&amp;sourceID=14","0.0089")</f>
        <v>0.0089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HYPERLINK("http://141.218.60.56/~jnz1568/getInfo.php?workbook=20_05.xlsx&amp;sheet=U0&amp;row=2643&amp;col=6&amp;number=4.9&amp;sourceID=14","4.9")</f>
        <v>4.9</v>
      </c>
      <c r="G2643" s="4" t="str">
        <f>HYPERLINK("http://141.218.60.56/~jnz1568/getInfo.php?workbook=20_05.xlsx&amp;sheet=U0&amp;row=2643&amp;col=7&amp;number=0.00888&amp;sourceID=14","0.00888")</f>
        <v>0.00888</v>
      </c>
    </row>
    <row r="2644" spans="1:7">
      <c r="A2644" s="3">
        <v>20</v>
      </c>
      <c r="B2644" s="3">
        <v>5</v>
      </c>
      <c r="C2644" s="3">
        <v>1</v>
      </c>
      <c r="D2644" s="3">
        <v>88</v>
      </c>
      <c r="E2644" s="3">
        <v>1</v>
      </c>
      <c r="F2644" s="4" t="str">
        <f>HYPERLINK("http://141.218.60.56/~jnz1568/getInfo.php?workbook=20_05.xlsx&amp;sheet=U0&amp;row=2644&amp;col=6&amp;number=3&amp;sourceID=14","3")</f>
        <v>3</v>
      </c>
      <c r="G2644" s="4" t="str">
        <f>HYPERLINK("http://141.218.60.56/~jnz1568/getInfo.php?workbook=20_05.xlsx&amp;sheet=U0&amp;row=2644&amp;col=7&amp;number=0.00186&amp;sourceID=14","0.00186")</f>
        <v>0.00186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HYPERLINK("http://141.218.60.56/~jnz1568/getInfo.php?workbook=20_05.xlsx&amp;sheet=U0&amp;row=2645&amp;col=6&amp;number=3.1&amp;sourceID=14","3.1")</f>
        <v>3.1</v>
      </c>
      <c r="G2645" s="4" t="str">
        <f>HYPERLINK("http://141.218.60.56/~jnz1568/getInfo.php?workbook=20_05.xlsx&amp;sheet=U0&amp;row=2645&amp;col=7&amp;number=0.00186&amp;sourceID=14","0.00186")</f>
        <v>0.00186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HYPERLINK("http://141.218.60.56/~jnz1568/getInfo.php?workbook=20_05.xlsx&amp;sheet=U0&amp;row=2646&amp;col=6&amp;number=3.2&amp;sourceID=14","3.2")</f>
        <v>3.2</v>
      </c>
      <c r="G2646" s="4" t="str">
        <f>HYPERLINK("http://141.218.60.56/~jnz1568/getInfo.php?workbook=20_05.xlsx&amp;sheet=U0&amp;row=2646&amp;col=7&amp;number=0.00186&amp;sourceID=14","0.00186")</f>
        <v>0.00186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HYPERLINK("http://141.218.60.56/~jnz1568/getInfo.php?workbook=20_05.xlsx&amp;sheet=U0&amp;row=2647&amp;col=6&amp;number=3.3&amp;sourceID=14","3.3")</f>
        <v>3.3</v>
      </c>
      <c r="G2647" s="4" t="str">
        <f>HYPERLINK("http://141.218.60.56/~jnz1568/getInfo.php?workbook=20_05.xlsx&amp;sheet=U0&amp;row=2647&amp;col=7&amp;number=0.00186&amp;sourceID=14","0.00186")</f>
        <v>0.00186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HYPERLINK("http://141.218.60.56/~jnz1568/getInfo.php?workbook=20_05.xlsx&amp;sheet=U0&amp;row=2648&amp;col=6&amp;number=3.4&amp;sourceID=14","3.4")</f>
        <v>3.4</v>
      </c>
      <c r="G2648" s="4" t="str">
        <f>HYPERLINK("http://141.218.60.56/~jnz1568/getInfo.php?workbook=20_05.xlsx&amp;sheet=U0&amp;row=2648&amp;col=7&amp;number=0.00186&amp;sourceID=14","0.00186")</f>
        <v>0.00186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HYPERLINK("http://141.218.60.56/~jnz1568/getInfo.php?workbook=20_05.xlsx&amp;sheet=U0&amp;row=2649&amp;col=6&amp;number=3.5&amp;sourceID=14","3.5")</f>
        <v>3.5</v>
      </c>
      <c r="G2649" s="4" t="str">
        <f>HYPERLINK("http://141.218.60.56/~jnz1568/getInfo.php?workbook=20_05.xlsx&amp;sheet=U0&amp;row=2649&amp;col=7&amp;number=0.00186&amp;sourceID=14","0.00186")</f>
        <v>0.00186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HYPERLINK("http://141.218.60.56/~jnz1568/getInfo.php?workbook=20_05.xlsx&amp;sheet=U0&amp;row=2650&amp;col=6&amp;number=3.6&amp;sourceID=14","3.6")</f>
        <v>3.6</v>
      </c>
      <c r="G2650" s="4" t="str">
        <f>HYPERLINK("http://141.218.60.56/~jnz1568/getInfo.php?workbook=20_05.xlsx&amp;sheet=U0&amp;row=2650&amp;col=7&amp;number=0.00186&amp;sourceID=14","0.00186")</f>
        <v>0.00186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HYPERLINK("http://141.218.60.56/~jnz1568/getInfo.php?workbook=20_05.xlsx&amp;sheet=U0&amp;row=2651&amp;col=6&amp;number=3.7&amp;sourceID=14","3.7")</f>
        <v>3.7</v>
      </c>
      <c r="G2651" s="4" t="str">
        <f>HYPERLINK("http://141.218.60.56/~jnz1568/getInfo.php?workbook=20_05.xlsx&amp;sheet=U0&amp;row=2651&amp;col=7&amp;number=0.00186&amp;sourceID=14","0.00186")</f>
        <v>0.00186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HYPERLINK("http://141.218.60.56/~jnz1568/getInfo.php?workbook=20_05.xlsx&amp;sheet=U0&amp;row=2652&amp;col=6&amp;number=3.8&amp;sourceID=14","3.8")</f>
        <v>3.8</v>
      </c>
      <c r="G2652" s="4" t="str">
        <f>HYPERLINK("http://141.218.60.56/~jnz1568/getInfo.php?workbook=20_05.xlsx&amp;sheet=U0&amp;row=2652&amp;col=7&amp;number=0.00186&amp;sourceID=14","0.00186")</f>
        <v>0.00186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HYPERLINK("http://141.218.60.56/~jnz1568/getInfo.php?workbook=20_05.xlsx&amp;sheet=U0&amp;row=2653&amp;col=6&amp;number=3.9&amp;sourceID=14","3.9")</f>
        <v>3.9</v>
      </c>
      <c r="G2653" s="4" t="str">
        <f>HYPERLINK("http://141.218.60.56/~jnz1568/getInfo.php?workbook=20_05.xlsx&amp;sheet=U0&amp;row=2653&amp;col=7&amp;number=0.00186&amp;sourceID=14","0.00186")</f>
        <v>0.00186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HYPERLINK("http://141.218.60.56/~jnz1568/getInfo.php?workbook=20_05.xlsx&amp;sheet=U0&amp;row=2654&amp;col=6&amp;number=4&amp;sourceID=14","4")</f>
        <v>4</v>
      </c>
      <c r="G2654" s="4" t="str">
        <f>HYPERLINK("http://141.218.60.56/~jnz1568/getInfo.php?workbook=20_05.xlsx&amp;sheet=U0&amp;row=2654&amp;col=7&amp;number=0.00186&amp;sourceID=14","0.00186")</f>
        <v>0.00186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HYPERLINK("http://141.218.60.56/~jnz1568/getInfo.php?workbook=20_05.xlsx&amp;sheet=U0&amp;row=2655&amp;col=6&amp;number=4.1&amp;sourceID=14","4.1")</f>
        <v>4.1</v>
      </c>
      <c r="G2655" s="4" t="str">
        <f>HYPERLINK("http://141.218.60.56/~jnz1568/getInfo.php?workbook=20_05.xlsx&amp;sheet=U0&amp;row=2655&amp;col=7&amp;number=0.00185&amp;sourceID=14","0.00185")</f>
        <v>0.00185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HYPERLINK("http://141.218.60.56/~jnz1568/getInfo.php?workbook=20_05.xlsx&amp;sheet=U0&amp;row=2656&amp;col=6&amp;number=4.2&amp;sourceID=14","4.2")</f>
        <v>4.2</v>
      </c>
      <c r="G2656" s="4" t="str">
        <f>HYPERLINK("http://141.218.60.56/~jnz1568/getInfo.php?workbook=20_05.xlsx&amp;sheet=U0&amp;row=2656&amp;col=7&amp;number=0.00185&amp;sourceID=14","0.00185")</f>
        <v>0.00185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HYPERLINK("http://141.218.60.56/~jnz1568/getInfo.php?workbook=20_05.xlsx&amp;sheet=U0&amp;row=2657&amp;col=6&amp;number=4.3&amp;sourceID=14","4.3")</f>
        <v>4.3</v>
      </c>
      <c r="G2657" s="4" t="str">
        <f>HYPERLINK("http://141.218.60.56/~jnz1568/getInfo.php?workbook=20_05.xlsx&amp;sheet=U0&amp;row=2657&amp;col=7&amp;number=0.00185&amp;sourceID=14","0.00185")</f>
        <v>0.00185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HYPERLINK("http://141.218.60.56/~jnz1568/getInfo.php?workbook=20_05.xlsx&amp;sheet=U0&amp;row=2658&amp;col=6&amp;number=4.4&amp;sourceID=14","4.4")</f>
        <v>4.4</v>
      </c>
      <c r="G2658" s="4" t="str">
        <f>HYPERLINK("http://141.218.60.56/~jnz1568/getInfo.php?workbook=20_05.xlsx&amp;sheet=U0&amp;row=2658&amp;col=7&amp;number=0.00185&amp;sourceID=14","0.00185")</f>
        <v>0.00185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HYPERLINK("http://141.218.60.56/~jnz1568/getInfo.php?workbook=20_05.xlsx&amp;sheet=U0&amp;row=2659&amp;col=6&amp;number=4.5&amp;sourceID=14","4.5")</f>
        <v>4.5</v>
      </c>
      <c r="G2659" s="4" t="str">
        <f>HYPERLINK("http://141.218.60.56/~jnz1568/getInfo.php?workbook=20_05.xlsx&amp;sheet=U0&amp;row=2659&amp;col=7&amp;number=0.00184&amp;sourceID=14","0.00184")</f>
        <v>0.00184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HYPERLINK("http://141.218.60.56/~jnz1568/getInfo.php?workbook=20_05.xlsx&amp;sheet=U0&amp;row=2660&amp;col=6&amp;number=4.6&amp;sourceID=14","4.6")</f>
        <v>4.6</v>
      </c>
      <c r="G2660" s="4" t="str">
        <f>HYPERLINK("http://141.218.60.56/~jnz1568/getInfo.php?workbook=20_05.xlsx&amp;sheet=U0&amp;row=2660&amp;col=7&amp;number=0.00184&amp;sourceID=14","0.00184")</f>
        <v>0.00184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HYPERLINK("http://141.218.60.56/~jnz1568/getInfo.php?workbook=20_05.xlsx&amp;sheet=U0&amp;row=2661&amp;col=6&amp;number=4.7&amp;sourceID=14","4.7")</f>
        <v>4.7</v>
      </c>
      <c r="G2661" s="4" t="str">
        <f>HYPERLINK("http://141.218.60.56/~jnz1568/getInfo.php?workbook=20_05.xlsx&amp;sheet=U0&amp;row=2661&amp;col=7&amp;number=0.00183&amp;sourceID=14","0.00183")</f>
        <v>0.00183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HYPERLINK("http://141.218.60.56/~jnz1568/getInfo.php?workbook=20_05.xlsx&amp;sheet=U0&amp;row=2662&amp;col=6&amp;number=4.8&amp;sourceID=14","4.8")</f>
        <v>4.8</v>
      </c>
      <c r="G2662" s="4" t="str">
        <f>HYPERLINK("http://141.218.60.56/~jnz1568/getInfo.php?workbook=20_05.xlsx&amp;sheet=U0&amp;row=2662&amp;col=7&amp;number=0.00183&amp;sourceID=14","0.00183")</f>
        <v>0.00183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HYPERLINK("http://141.218.60.56/~jnz1568/getInfo.php?workbook=20_05.xlsx&amp;sheet=U0&amp;row=2663&amp;col=6&amp;number=4.9&amp;sourceID=14","4.9")</f>
        <v>4.9</v>
      </c>
      <c r="G2663" s="4" t="str">
        <f>HYPERLINK("http://141.218.60.56/~jnz1568/getInfo.php?workbook=20_05.xlsx&amp;sheet=U0&amp;row=2663&amp;col=7&amp;number=0.00182&amp;sourceID=14","0.00182")</f>
        <v>0.00182</v>
      </c>
    </row>
    <row r="2664" spans="1:7">
      <c r="A2664" s="3">
        <v>20</v>
      </c>
      <c r="B2664" s="3">
        <v>5</v>
      </c>
      <c r="C2664" s="3">
        <v>1</v>
      </c>
      <c r="D2664" s="3">
        <v>89</v>
      </c>
      <c r="E2664" s="3">
        <v>1</v>
      </c>
      <c r="F2664" s="4" t="str">
        <f>HYPERLINK("http://141.218.60.56/~jnz1568/getInfo.php?workbook=20_05.xlsx&amp;sheet=U0&amp;row=2664&amp;col=6&amp;number=3&amp;sourceID=14","3")</f>
        <v>3</v>
      </c>
      <c r="G2664" s="4" t="str">
        <f>HYPERLINK("http://141.218.60.56/~jnz1568/getInfo.php?workbook=20_05.xlsx&amp;sheet=U0&amp;row=2664&amp;col=7&amp;number=0.000254&amp;sourceID=14","0.000254")</f>
        <v>0.000254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HYPERLINK("http://141.218.60.56/~jnz1568/getInfo.php?workbook=20_05.xlsx&amp;sheet=U0&amp;row=2665&amp;col=6&amp;number=3.1&amp;sourceID=14","3.1")</f>
        <v>3.1</v>
      </c>
      <c r="G2665" s="4" t="str">
        <f>HYPERLINK("http://141.218.60.56/~jnz1568/getInfo.php?workbook=20_05.xlsx&amp;sheet=U0&amp;row=2665&amp;col=7&amp;number=0.000254&amp;sourceID=14","0.000254")</f>
        <v>0.000254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HYPERLINK("http://141.218.60.56/~jnz1568/getInfo.php?workbook=20_05.xlsx&amp;sheet=U0&amp;row=2666&amp;col=6&amp;number=3.2&amp;sourceID=14","3.2")</f>
        <v>3.2</v>
      </c>
      <c r="G2666" s="4" t="str">
        <f>HYPERLINK("http://141.218.60.56/~jnz1568/getInfo.php?workbook=20_05.xlsx&amp;sheet=U0&amp;row=2666&amp;col=7&amp;number=0.000254&amp;sourceID=14","0.000254")</f>
        <v>0.000254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HYPERLINK("http://141.218.60.56/~jnz1568/getInfo.php?workbook=20_05.xlsx&amp;sheet=U0&amp;row=2667&amp;col=6&amp;number=3.3&amp;sourceID=14","3.3")</f>
        <v>3.3</v>
      </c>
      <c r="G2667" s="4" t="str">
        <f>HYPERLINK("http://141.218.60.56/~jnz1568/getInfo.php?workbook=20_05.xlsx&amp;sheet=U0&amp;row=2667&amp;col=7&amp;number=0.000254&amp;sourceID=14","0.000254")</f>
        <v>0.000254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HYPERLINK("http://141.218.60.56/~jnz1568/getInfo.php?workbook=20_05.xlsx&amp;sheet=U0&amp;row=2668&amp;col=6&amp;number=3.4&amp;sourceID=14","3.4")</f>
        <v>3.4</v>
      </c>
      <c r="G2668" s="4" t="str">
        <f>HYPERLINK("http://141.218.60.56/~jnz1568/getInfo.php?workbook=20_05.xlsx&amp;sheet=U0&amp;row=2668&amp;col=7&amp;number=0.000254&amp;sourceID=14","0.000254")</f>
        <v>0.000254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HYPERLINK("http://141.218.60.56/~jnz1568/getInfo.php?workbook=20_05.xlsx&amp;sheet=U0&amp;row=2669&amp;col=6&amp;number=3.5&amp;sourceID=14","3.5")</f>
        <v>3.5</v>
      </c>
      <c r="G2669" s="4" t="str">
        <f>HYPERLINK("http://141.218.60.56/~jnz1568/getInfo.php?workbook=20_05.xlsx&amp;sheet=U0&amp;row=2669&amp;col=7&amp;number=0.000254&amp;sourceID=14","0.000254")</f>
        <v>0.000254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HYPERLINK("http://141.218.60.56/~jnz1568/getInfo.php?workbook=20_05.xlsx&amp;sheet=U0&amp;row=2670&amp;col=6&amp;number=3.6&amp;sourceID=14","3.6")</f>
        <v>3.6</v>
      </c>
      <c r="G2670" s="4" t="str">
        <f>HYPERLINK("http://141.218.60.56/~jnz1568/getInfo.php?workbook=20_05.xlsx&amp;sheet=U0&amp;row=2670&amp;col=7&amp;number=0.000254&amp;sourceID=14","0.000254")</f>
        <v>0.000254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HYPERLINK("http://141.218.60.56/~jnz1568/getInfo.php?workbook=20_05.xlsx&amp;sheet=U0&amp;row=2671&amp;col=6&amp;number=3.7&amp;sourceID=14","3.7")</f>
        <v>3.7</v>
      </c>
      <c r="G2671" s="4" t="str">
        <f>HYPERLINK("http://141.218.60.56/~jnz1568/getInfo.php?workbook=20_05.xlsx&amp;sheet=U0&amp;row=2671&amp;col=7&amp;number=0.000254&amp;sourceID=14","0.000254")</f>
        <v>0.000254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HYPERLINK("http://141.218.60.56/~jnz1568/getInfo.php?workbook=20_05.xlsx&amp;sheet=U0&amp;row=2672&amp;col=6&amp;number=3.8&amp;sourceID=14","3.8")</f>
        <v>3.8</v>
      </c>
      <c r="G2672" s="4" t="str">
        <f>HYPERLINK("http://141.218.60.56/~jnz1568/getInfo.php?workbook=20_05.xlsx&amp;sheet=U0&amp;row=2672&amp;col=7&amp;number=0.000254&amp;sourceID=14","0.000254")</f>
        <v>0.000254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HYPERLINK("http://141.218.60.56/~jnz1568/getInfo.php?workbook=20_05.xlsx&amp;sheet=U0&amp;row=2673&amp;col=6&amp;number=3.9&amp;sourceID=14","3.9")</f>
        <v>3.9</v>
      </c>
      <c r="G2673" s="4" t="str">
        <f>HYPERLINK("http://141.218.60.56/~jnz1568/getInfo.php?workbook=20_05.xlsx&amp;sheet=U0&amp;row=2673&amp;col=7&amp;number=0.000254&amp;sourceID=14","0.000254")</f>
        <v>0.000254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HYPERLINK("http://141.218.60.56/~jnz1568/getInfo.php?workbook=20_05.xlsx&amp;sheet=U0&amp;row=2674&amp;col=6&amp;number=4&amp;sourceID=14","4")</f>
        <v>4</v>
      </c>
      <c r="G2674" s="4" t="str">
        <f>HYPERLINK("http://141.218.60.56/~jnz1568/getInfo.php?workbook=20_05.xlsx&amp;sheet=U0&amp;row=2674&amp;col=7&amp;number=0.000254&amp;sourceID=14","0.000254")</f>
        <v>0.000254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HYPERLINK("http://141.218.60.56/~jnz1568/getInfo.php?workbook=20_05.xlsx&amp;sheet=U0&amp;row=2675&amp;col=6&amp;number=4.1&amp;sourceID=14","4.1")</f>
        <v>4.1</v>
      </c>
      <c r="G2675" s="4" t="str">
        <f>HYPERLINK("http://141.218.60.56/~jnz1568/getInfo.php?workbook=20_05.xlsx&amp;sheet=U0&amp;row=2675&amp;col=7&amp;number=0.000254&amp;sourceID=14","0.000254")</f>
        <v>0.000254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HYPERLINK("http://141.218.60.56/~jnz1568/getInfo.php?workbook=20_05.xlsx&amp;sheet=U0&amp;row=2676&amp;col=6&amp;number=4.2&amp;sourceID=14","4.2")</f>
        <v>4.2</v>
      </c>
      <c r="G2676" s="4" t="str">
        <f>HYPERLINK("http://141.218.60.56/~jnz1568/getInfo.php?workbook=20_05.xlsx&amp;sheet=U0&amp;row=2676&amp;col=7&amp;number=0.000254&amp;sourceID=14","0.000254")</f>
        <v>0.000254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HYPERLINK("http://141.218.60.56/~jnz1568/getInfo.php?workbook=20_05.xlsx&amp;sheet=U0&amp;row=2677&amp;col=6&amp;number=4.3&amp;sourceID=14","4.3")</f>
        <v>4.3</v>
      </c>
      <c r="G2677" s="4" t="str">
        <f>HYPERLINK("http://141.218.60.56/~jnz1568/getInfo.php?workbook=20_05.xlsx&amp;sheet=U0&amp;row=2677&amp;col=7&amp;number=0.000253&amp;sourceID=14","0.000253")</f>
        <v>0.000253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HYPERLINK("http://141.218.60.56/~jnz1568/getInfo.php?workbook=20_05.xlsx&amp;sheet=U0&amp;row=2678&amp;col=6&amp;number=4.4&amp;sourceID=14","4.4")</f>
        <v>4.4</v>
      </c>
      <c r="G2678" s="4" t="str">
        <f>HYPERLINK("http://141.218.60.56/~jnz1568/getInfo.php?workbook=20_05.xlsx&amp;sheet=U0&amp;row=2678&amp;col=7&amp;number=0.000253&amp;sourceID=14","0.000253")</f>
        <v>0.000253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HYPERLINK("http://141.218.60.56/~jnz1568/getInfo.php?workbook=20_05.xlsx&amp;sheet=U0&amp;row=2679&amp;col=6&amp;number=4.5&amp;sourceID=14","4.5")</f>
        <v>4.5</v>
      </c>
      <c r="G2679" s="4" t="str">
        <f>HYPERLINK("http://141.218.60.56/~jnz1568/getInfo.php?workbook=20_05.xlsx&amp;sheet=U0&amp;row=2679&amp;col=7&amp;number=0.000253&amp;sourceID=14","0.000253")</f>
        <v>0.000253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HYPERLINK("http://141.218.60.56/~jnz1568/getInfo.php?workbook=20_05.xlsx&amp;sheet=U0&amp;row=2680&amp;col=6&amp;number=4.6&amp;sourceID=14","4.6")</f>
        <v>4.6</v>
      </c>
      <c r="G2680" s="4" t="str">
        <f>HYPERLINK("http://141.218.60.56/~jnz1568/getInfo.php?workbook=20_05.xlsx&amp;sheet=U0&amp;row=2680&amp;col=7&amp;number=0.000253&amp;sourceID=14","0.000253")</f>
        <v>0.000253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HYPERLINK("http://141.218.60.56/~jnz1568/getInfo.php?workbook=20_05.xlsx&amp;sheet=U0&amp;row=2681&amp;col=6&amp;number=4.7&amp;sourceID=14","4.7")</f>
        <v>4.7</v>
      </c>
      <c r="G2681" s="4" t="str">
        <f>HYPERLINK("http://141.218.60.56/~jnz1568/getInfo.php?workbook=20_05.xlsx&amp;sheet=U0&amp;row=2681&amp;col=7&amp;number=0.000252&amp;sourceID=14","0.000252")</f>
        <v>0.000252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HYPERLINK("http://141.218.60.56/~jnz1568/getInfo.php?workbook=20_05.xlsx&amp;sheet=U0&amp;row=2682&amp;col=6&amp;number=4.8&amp;sourceID=14","4.8")</f>
        <v>4.8</v>
      </c>
      <c r="G2682" s="4" t="str">
        <f>HYPERLINK("http://141.218.60.56/~jnz1568/getInfo.php?workbook=20_05.xlsx&amp;sheet=U0&amp;row=2682&amp;col=7&amp;number=0.000252&amp;sourceID=14","0.000252")</f>
        <v>0.000252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HYPERLINK("http://141.218.60.56/~jnz1568/getInfo.php?workbook=20_05.xlsx&amp;sheet=U0&amp;row=2683&amp;col=6&amp;number=4.9&amp;sourceID=14","4.9")</f>
        <v>4.9</v>
      </c>
      <c r="G2683" s="4" t="str">
        <f>HYPERLINK("http://141.218.60.56/~jnz1568/getInfo.php?workbook=20_05.xlsx&amp;sheet=U0&amp;row=2683&amp;col=7&amp;number=0.000251&amp;sourceID=14","0.000251")</f>
        <v>0.000251</v>
      </c>
    </row>
    <row r="2684" spans="1:7">
      <c r="A2684" s="3">
        <v>20</v>
      </c>
      <c r="B2684" s="3">
        <v>5</v>
      </c>
      <c r="C2684" s="3">
        <v>1</v>
      </c>
      <c r="D2684" s="3">
        <v>90</v>
      </c>
      <c r="E2684" s="3">
        <v>1</v>
      </c>
      <c r="F2684" s="4" t="str">
        <f>HYPERLINK("http://141.218.60.56/~jnz1568/getInfo.php?workbook=20_05.xlsx&amp;sheet=U0&amp;row=2684&amp;col=6&amp;number=3&amp;sourceID=14","3")</f>
        <v>3</v>
      </c>
      <c r="G2684" s="4" t="str">
        <f>HYPERLINK("http://141.218.60.56/~jnz1568/getInfo.php?workbook=20_05.xlsx&amp;sheet=U0&amp;row=2684&amp;col=7&amp;number=0.00404&amp;sourceID=14","0.00404")</f>
        <v>0.00404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HYPERLINK("http://141.218.60.56/~jnz1568/getInfo.php?workbook=20_05.xlsx&amp;sheet=U0&amp;row=2685&amp;col=6&amp;number=3.1&amp;sourceID=14","3.1")</f>
        <v>3.1</v>
      </c>
      <c r="G2685" s="4" t="str">
        <f>HYPERLINK("http://141.218.60.56/~jnz1568/getInfo.php?workbook=20_05.xlsx&amp;sheet=U0&amp;row=2685&amp;col=7&amp;number=0.00404&amp;sourceID=14","0.00404")</f>
        <v>0.00404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HYPERLINK("http://141.218.60.56/~jnz1568/getInfo.php?workbook=20_05.xlsx&amp;sheet=U0&amp;row=2686&amp;col=6&amp;number=3.2&amp;sourceID=14","3.2")</f>
        <v>3.2</v>
      </c>
      <c r="G2686" s="4" t="str">
        <f>HYPERLINK("http://141.218.60.56/~jnz1568/getInfo.php?workbook=20_05.xlsx&amp;sheet=U0&amp;row=2686&amp;col=7&amp;number=0.00404&amp;sourceID=14","0.00404")</f>
        <v>0.00404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HYPERLINK("http://141.218.60.56/~jnz1568/getInfo.php?workbook=20_05.xlsx&amp;sheet=U0&amp;row=2687&amp;col=6&amp;number=3.3&amp;sourceID=14","3.3")</f>
        <v>3.3</v>
      </c>
      <c r="G2687" s="4" t="str">
        <f>HYPERLINK("http://141.218.60.56/~jnz1568/getInfo.php?workbook=20_05.xlsx&amp;sheet=U0&amp;row=2687&amp;col=7&amp;number=0.00404&amp;sourceID=14","0.00404")</f>
        <v>0.00404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HYPERLINK("http://141.218.60.56/~jnz1568/getInfo.php?workbook=20_05.xlsx&amp;sheet=U0&amp;row=2688&amp;col=6&amp;number=3.4&amp;sourceID=14","3.4")</f>
        <v>3.4</v>
      </c>
      <c r="G2688" s="4" t="str">
        <f>HYPERLINK("http://141.218.60.56/~jnz1568/getInfo.php?workbook=20_05.xlsx&amp;sheet=U0&amp;row=2688&amp;col=7&amp;number=0.00404&amp;sourceID=14","0.00404")</f>
        <v>0.00404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HYPERLINK("http://141.218.60.56/~jnz1568/getInfo.php?workbook=20_05.xlsx&amp;sheet=U0&amp;row=2689&amp;col=6&amp;number=3.5&amp;sourceID=14","3.5")</f>
        <v>3.5</v>
      </c>
      <c r="G2689" s="4" t="str">
        <f>HYPERLINK("http://141.218.60.56/~jnz1568/getInfo.php?workbook=20_05.xlsx&amp;sheet=U0&amp;row=2689&amp;col=7&amp;number=0.00404&amp;sourceID=14","0.00404")</f>
        <v>0.00404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HYPERLINK("http://141.218.60.56/~jnz1568/getInfo.php?workbook=20_05.xlsx&amp;sheet=U0&amp;row=2690&amp;col=6&amp;number=3.6&amp;sourceID=14","3.6")</f>
        <v>3.6</v>
      </c>
      <c r="G2690" s="4" t="str">
        <f>HYPERLINK("http://141.218.60.56/~jnz1568/getInfo.php?workbook=20_05.xlsx&amp;sheet=U0&amp;row=2690&amp;col=7&amp;number=0.00404&amp;sourceID=14","0.00404")</f>
        <v>0.00404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HYPERLINK("http://141.218.60.56/~jnz1568/getInfo.php?workbook=20_05.xlsx&amp;sheet=U0&amp;row=2691&amp;col=6&amp;number=3.7&amp;sourceID=14","3.7")</f>
        <v>3.7</v>
      </c>
      <c r="G2691" s="4" t="str">
        <f>HYPERLINK("http://141.218.60.56/~jnz1568/getInfo.php?workbook=20_05.xlsx&amp;sheet=U0&amp;row=2691&amp;col=7&amp;number=0.00404&amp;sourceID=14","0.00404")</f>
        <v>0.00404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HYPERLINK("http://141.218.60.56/~jnz1568/getInfo.php?workbook=20_05.xlsx&amp;sheet=U0&amp;row=2692&amp;col=6&amp;number=3.8&amp;sourceID=14","3.8")</f>
        <v>3.8</v>
      </c>
      <c r="G2692" s="4" t="str">
        <f>HYPERLINK("http://141.218.60.56/~jnz1568/getInfo.php?workbook=20_05.xlsx&amp;sheet=U0&amp;row=2692&amp;col=7&amp;number=0.00404&amp;sourceID=14","0.00404")</f>
        <v>0.00404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HYPERLINK("http://141.218.60.56/~jnz1568/getInfo.php?workbook=20_05.xlsx&amp;sheet=U0&amp;row=2693&amp;col=6&amp;number=3.9&amp;sourceID=14","3.9")</f>
        <v>3.9</v>
      </c>
      <c r="G2693" s="4" t="str">
        <f>HYPERLINK("http://141.218.60.56/~jnz1568/getInfo.php?workbook=20_05.xlsx&amp;sheet=U0&amp;row=2693&amp;col=7&amp;number=0.00404&amp;sourceID=14","0.00404")</f>
        <v>0.00404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HYPERLINK("http://141.218.60.56/~jnz1568/getInfo.php?workbook=20_05.xlsx&amp;sheet=U0&amp;row=2694&amp;col=6&amp;number=4&amp;sourceID=14","4")</f>
        <v>4</v>
      </c>
      <c r="G2694" s="4" t="str">
        <f>HYPERLINK("http://141.218.60.56/~jnz1568/getInfo.php?workbook=20_05.xlsx&amp;sheet=U0&amp;row=2694&amp;col=7&amp;number=0.00403&amp;sourceID=14","0.00403")</f>
        <v>0.00403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HYPERLINK("http://141.218.60.56/~jnz1568/getInfo.php?workbook=20_05.xlsx&amp;sheet=U0&amp;row=2695&amp;col=6&amp;number=4.1&amp;sourceID=14","4.1")</f>
        <v>4.1</v>
      </c>
      <c r="G2695" s="4" t="str">
        <f>HYPERLINK("http://141.218.60.56/~jnz1568/getInfo.php?workbook=20_05.xlsx&amp;sheet=U0&amp;row=2695&amp;col=7&amp;number=0.00403&amp;sourceID=14","0.00403")</f>
        <v>0.00403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HYPERLINK("http://141.218.60.56/~jnz1568/getInfo.php?workbook=20_05.xlsx&amp;sheet=U0&amp;row=2696&amp;col=6&amp;number=4.2&amp;sourceID=14","4.2")</f>
        <v>4.2</v>
      </c>
      <c r="G2696" s="4" t="str">
        <f>HYPERLINK("http://141.218.60.56/~jnz1568/getInfo.php?workbook=20_05.xlsx&amp;sheet=U0&amp;row=2696&amp;col=7&amp;number=0.00403&amp;sourceID=14","0.00403")</f>
        <v>0.00403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HYPERLINK("http://141.218.60.56/~jnz1568/getInfo.php?workbook=20_05.xlsx&amp;sheet=U0&amp;row=2697&amp;col=6&amp;number=4.3&amp;sourceID=14","4.3")</f>
        <v>4.3</v>
      </c>
      <c r="G2697" s="4" t="str">
        <f>HYPERLINK("http://141.218.60.56/~jnz1568/getInfo.php?workbook=20_05.xlsx&amp;sheet=U0&amp;row=2697&amp;col=7&amp;number=0.00402&amp;sourceID=14","0.00402")</f>
        <v>0.00402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HYPERLINK("http://141.218.60.56/~jnz1568/getInfo.php?workbook=20_05.xlsx&amp;sheet=U0&amp;row=2698&amp;col=6&amp;number=4.4&amp;sourceID=14","4.4")</f>
        <v>4.4</v>
      </c>
      <c r="G2698" s="4" t="str">
        <f>HYPERLINK("http://141.218.60.56/~jnz1568/getInfo.php?workbook=20_05.xlsx&amp;sheet=U0&amp;row=2698&amp;col=7&amp;number=0.00402&amp;sourceID=14","0.00402")</f>
        <v>0.00402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HYPERLINK("http://141.218.60.56/~jnz1568/getInfo.php?workbook=20_05.xlsx&amp;sheet=U0&amp;row=2699&amp;col=6&amp;number=4.5&amp;sourceID=14","4.5")</f>
        <v>4.5</v>
      </c>
      <c r="G2699" s="4" t="str">
        <f>HYPERLINK("http://141.218.60.56/~jnz1568/getInfo.php?workbook=20_05.xlsx&amp;sheet=U0&amp;row=2699&amp;col=7&amp;number=0.00401&amp;sourceID=14","0.00401")</f>
        <v>0.00401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HYPERLINK("http://141.218.60.56/~jnz1568/getInfo.php?workbook=20_05.xlsx&amp;sheet=U0&amp;row=2700&amp;col=6&amp;number=4.6&amp;sourceID=14","4.6")</f>
        <v>4.6</v>
      </c>
      <c r="G2700" s="4" t="str">
        <f>HYPERLINK("http://141.218.60.56/~jnz1568/getInfo.php?workbook=20_05.xlsx&amp;sheet=U0&amp;row=2700&amp;col=7&amp;number=0.00401&amp;sourceID=14","0.00401")</f>
        <v>0.00401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HYPERLINK("http://141.218.60.56/~jnz1568/getInfo.php?workbook=20_05.xlsx&amp;sheet=U0&amp;row=2701&amp;col=6&amp;number=4.7&amp;sourceID=14","4.7")</f>
        <v>4.7</v>
      </c>
      <c r="G2701" s="4" t="str">
        <f>HYPERLINK("http://141.218.60.56/~jnz1568/getInfo.php?workbook=20_05.xlsx&amp;sheet=U0&amp;row=2701&amp;col=7&amp;number=0.004&amp;sourceID=14","0.004")</f>
        <v>0.004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HYPERLINK("http://141.218.60.56/~jnz1568/getInfo.php?workbook=20_05.xlsx&amp;sheet=U0&amp;row=2702&amp;col=6&amp;number=4.8&amp;sourceID=14","4.8")</f>
        <v>4.8</v>
      </c>
      <c r="G2702" s="4" t="str">
        <f>HYPERLINK("http://141.218.60.56/~jnz1568/getInfo.php?workbook=20_05.xlsx&amp;sheet=U0&amp;row=2702&amp;col=7&amp;number=0.00398&amp;sourceID=14","0.00398")</f>
        <v>0.00398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HYPERLINK("http://141.218.60.56/~jnz1568/getInfo.php?workbook=20_05.xlsx&amp;sheet=U0&amp;row=2703&amp;col=6&amp;number=4.9&amp;sourceID=14","4.9")</f>
        <v>4.9</v>
      </c>
      <c r="G2703" s="4" t="str">
        <f>HYPERLINK("http://141.218.60.56/~jnz1568/getInfo.php?workbook=20_05.xlsx&amp;sheet=U0&amp;row=2703&amp;col=7&amp;number=0.00397&amp;sourceID=14","0.00397")</f>
        <v>0.00397</v>
      </c>
    </row>
    <row r="2704" spans="1:7">
      <c r="A2704" s="3">
        <v>20</v>
      </c>
      <c r="B2704" s="3">
        <v>5</v>
      </c>
      <c r="C2704" s="3">
        <v>1</v>
      </c>
      <c r="D2704" s="3">
        <v>91</v>
      </c>
      <c r="E2704" s="3">
        <v>1</v>
      </c>
      <c r="F2704" s="4" t="str">
        <f>HYPERLINK("http://141.218.60.56/~jnz1568/getInfo.php?workbook=20_05.xlsx&amp;sheet=U0&amp;row=2704&amp;col=6&amp;number=3&amp;sourceID=14","3")</f>
        <v>3</v>
      </c>
      <c r="G2704" s="4" t="str">
        <f>HYPERLINK("http://141.218.60.56/~jnz1568/getInfo.php?workbook=20_05.xlsx&amp;sheet=U0&amp;row=2704&amp;col=7&amp;number=0.00356&amp;sourceID=14","0.00356")</f>
        <v>0.00356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HYPERLINK("http://141.218.60.56/~jnz1568/getInfo.php?workbook=20_05.xlsx&amp;sheet=U0&amp;row=2705&amp;col=6&amp;number=3.1&amp;sourceID=14","3.1")</f>
        <v>3.1</v>
      </c>
      <c r="G2705" s="4" t="str">
        <f>HYPERLINK("http://141.218.60.56/~jnz1568/getInfo.php?workbook=20_05.xlsx&amp;sheet=U0&amp;row=2705&amp;col=7&amp;number=0.00356&amp;sourceID=14","0.00356")</f>
        <v>0.00356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HYPERLINK("http://141.218.60.56/~jnz1568/getInfo.php?workbook=20_05.xlsx&amp;sheet=U0&amp;row=2706&amp;col=6&amp;number=3.2&amp;sourceID=14","3.2")</f>
        <v>3.2</v>
      </c>
      <c r="G2706" s="4" t="str">
        <f>HYPERLINK("http://141.218.60.56/~jnz1568/getInfo.php?workbook=20_05.xlsx&amp;sheet=U0&amp;row=2706&amp;col=7&amp;number=0.00356&amp;sourceID=14","0.00356")</f>
        <v>0.00356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HYPERLINK("http://141.218.60.56/~jnz1568/getInfo.php?workbook=20_05.xlsx&amp;sheet=U0&amp;row=2707&amp;col=6&amp;number=3.3&amp;sourceID=14","3.3")</f>
        <v>3.3</v>
      </c>
      <c r="G2707" s="4" t="str">
        <f>HYPERLINK("http://141.218.60.56/~jnz1568/getInfo.php?workbook=20_05.xlsx&amp;sheet=U0&amp;row=2707&amp;col=7&amp;number=0.00356&amp;sourceID=14","0.00356")</f>
        <v>0.00356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HYPERLINK("http://141.218.60.56/~jnz1568/getInfo.php?workbook=20_05.xlsx&amp;sheet=U0&amp;row=2708&amp;col=6&amp;number=3.4&amp;sourceID=14","3.4")</f>
        <v>3.4</v>
      </c>
      <c r="G2708" s="4" t="str">
        <f>HYPERLINK("http://141.218.60.56/~jnz1568/getInfo.php?workbook=20_05.xlsx&amp;sheet=U0&amp;row=2708&amp;col=7&amp;number=0.00356&amp;sourceID=14","0.00356")</f>
        <v>0.00356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HYPERLINK("http://141.218.60.56/~jnz1568/getInfo.php?workbook=20_05.xlsx&amp;sheet=U0&amp;row=2709&amp;col=6&amp;number=3.5&amp;sourceID=14","3.5")</f>
        <v>3.5</v>
      </c>
      <c r="G2709" s="4" t="str">
        <f>HYPERLINK("http://141.218.60.56/~jnz1568/getInfo.php?workbook=20_05.xlsx&amp;sheet=U0&amp;row=2709&amp;col=7&amp;number=0.00356&amp;sourceID=14","0.00356")</f>
        <v>0.00356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HYPERLINK("http://141.218.60.56/~jnz1568/getInfo.php?workbook=20_05.xlsx&amp;sheet=U0&amp;row=2710&amp;col=6&amp;number=3.6&amp;sourceID=14","3.6")</f>
        <v>3.6</v>
      </c>
      <c r="G2710" s="4" t="str">
        <f>HYPERLINK("http://141.218.60.56/~jnz1568/getInfo.php?workbook=20_05.xlsx&amp;sheet=U0&amp;row=2710&amp;col=7&amp;number=0.00356&amp;sourceID=14","0.00356")</f>
        <v>0.00356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HYPERLINK("http://141.218.60.56/~jnz1568/getInfo.php?workbook=20_05.xlsx&amp;sheet=U0&amp;row=2711&amp;col=6&amp;number=3.7&amp;sourceID=14","3.7")</f>
        <v>3.7</v>
      </c>
      <c r="G2711" s="4" t="str">
        <f>HYPERLINK("http://141.218.60.56/~jnz1568/getInfo.php?workbook=20_05.xlsx&amp;sheet=U0&amp;row=2711&amp;col=7&amp;number=0.00356&amp;sourceID=14","0.00356")</f>
        <v>0.00356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HYPERLINK("http://141.218.60.56/~jnz1568/getInfo.php?workbook=20_05.xlsx&amp;sheet=U0&amp;row=2712&amp;col=6&amp;number=3.8&amp;sourceID=14","3.8")</f>
        <v>3.8</v>
      </c>
      <c r="G2712" s="4" t="str">
        <f>HYPERLINK("http://141.218.60.56/~jnz1568/getInfo.php?workbook=20_05.xlsx&amp;sheet=U0&amp;row=2712&amp;col=7&amp;number=0.00356&amp;sourceID=14","0.00356")</f>
        <v>0.00356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HYPERLINK("http://141.218.60.56/~jnz1568/getInfo.php?workbook=20_05.xlsx&amp;sheet=U0&amp;row=2713&amp;col=6&amp;number=3.9&amp;sourceID=14","3.9")</f>
        <v>3.9</v>
      </c>
      <c r="G2713" s="4" t="str">
        <f>HYPERLINK("http://141.218.60.56/~jnz1568/getInfo.php?workbook=20_05.xlsx&amp;sheet=U0&amp;row=2713&amp;col=7&amp;number=0.00356&amp;sourceID=14","0.00356")</f>
        <v>0.00356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HYPERLINK("http://141.218.60.56/~jnz1568/getInfo.php?workbook=20_05.xlsx&amp;sheet=U0&amp;row=2714&amp;col=6&amp;number=4&amp;sourceID=14","4")</f>
        <v>4</v>
      </c>
      <c r="G2714" s="4" t="str">
        <f>HYPERLINK("http://141.218.60.56/~jnz1568/getInfo.php?workbook=20_05.xlsx&amp;sheet=U0&amp;row=2714&amp;col=7&amp;number=0.00356&amp;sourceID=14","0.00356")</f>
        <v>0.00356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HYPERLINK("http://141.218.60.56/~jnz1568/getInfo.php?workbook=20_05.xlsx&amp;sheet=U0&amp;row=2715&amp;col=6&amp;number=4.1&amp;sourceID=14","4.1")</f>
        <v>4.1</v>
      </c>
      <c r="G2715" s="4" t="str">
        <f>HYPERLINK("http://141.218.60.56/~jnz1568/getInfo.php?workbook=20_05.xlsx&amp;sheet=U0&amp;row=2715&amp;col=7&amp;number=0.00356&amp;sourceID=14","0.00356")</f>
        <v>0.00356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HYPERLINK("http://141.218.60.56/~jnz1568/getInfo.php?workbook=20_05.xlsx&amp;sheet=U0&amp;row=2716&amp;col=6&amp;number=4.2&amp;sourceID=14","4.2")</f>
        <v>4.2</v>
      </c>
      <c r="G2716" s="4" t="str">
        <f>HYPERLINK("http://141.218.60.56/~jnz1568/getInfo.php?workbook=20_05.xlsx&amp;sheet=U0&amp;row=2716&amp;col=7&amp;number=0.00355&amp;sourceID=14","0.00355")</f>
        <v>0.00355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HYPERLINK("http://141.218.60.56/~jnz1568/getInfo.php?workbook=20_05.xlsx&amp;sheet=U0&amp;row=2717&amp;col=6&amp;number=4.3&amp;sourceID=14","4.3")</f>
        <v>4.3</v>
      </c>
      <c r="G2717" s="4" t="str">
        <f>HYPERLINK("http://141.218.60.56/~jnz1568/getInfo.php?workbook=20_05.xlsx&amp;sheet=U0&amp;row=2717&amp;col=7&amp;number=0.00355&amp;sourceID=14","0.00355")</f>
        <v>0.00355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HYPERLINK("http://141.218.60.56/~jnz1568/getInfo.php?workbook=20_05.xlsx&amp;sheet=U0&amp;row=2718&amp;col=6&amp;number=4.4&amp;sourceID=14","4.4")</f>
        <v>4.4</v>
      </c>
      <c r="G2718" s="4" t="str">
        <f>HYPERLINK("http://141.218.60.56/~jnz1568/getInfo.php?workbook=20_05.xlsx&amp;sheet=U0&amp;row=2718&amp;col=7&amp;number=0.00355&amp;sourceID=14","0.00355")</f>
        <v>0.00355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HYPERLINK("http://141.218.60.56/~jnz1568/getInfo.php?workbook=20_05.xlsx&amp;sheet=U0&amp;row=2719&amp;col=6&amp;number=4.5&amp;sourceID=14","4.5")</f>
        <v>4.5</v>
      </c>
      <c r="G2719" s="4" t="str">
        <f>HYPERLINK("http://141.218.60.56/~jnz1568/getInfo.php?workbook=20_05.xlsx&amp;sheet=U0&amp;row=2719&amp;col=7&amp;number=0.00354&amp;sourceID=14","0.00354")</f>
        <v>0.00354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HYPERLINK("http://141.218.60.56/~jnz1568/getInfo.php?workbook=20_05.xlsx&amp;sheet=U0&amp;row=2720&amp;col=6&amp;number=4.6&amp;sourceID=14","4.6")</f>
        <v>4.6</v>
      </c>
      <c r="G2720" s="4" t="str">
        <f>HYPERLINK("http://141.218.60.56/~jnz1568/getInfo.php?workbook=20_05.xlsx&amp;sheet=U0&amp;row=2720&amp;col=7&amp;number=0.00354&amp;sourceID=14","0.00354")</f>
        <v>0.00354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HYPERLINK("http://141.218.60.56/~jnz1568/getInfo.php?workbook=20_05.xlsx&amp;sheet=U0&amp;row=2721&amp;col=6&amp;number=4.7&amp;sourceID=14","4.7")</f>
        <v>4.7</v>
      </c>
      <c r="G2721" s="4" t="str">
        <f>HYPERLINK("http://141.218.60.56/~jnz1568/getInfo.php?workbook=20_05.xlsx&amp;sheet=U0&amp;row=2721&amp;col=7&amp;number=0.00353&amp;sourceID=14","0.00353")</f>
        <v>0.00353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HYPERLINK("http://141.218.60.56/~jnz1568/getInfo.php?workbook=20_05.xlsx&amp;sheet=U0&amp;row=2722&amp;col=6&amp;number=4.8&amp;sourceID=14","4.8")</f>
        <v>4.8</v>
      </c>
      <c r="G2722" s="4" t="str">
        <f>HYPERLINK("http://141.218.60.56/~jnz1568/getInfo.php?workbook=20_05.xlsx&amp;sheet=U0&amp;row=2722&amp;col=7&amp;number=0.00353&amp;sourceID=14","0.00353")</f>
        <v>0.00353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HYPERLINK("http://141.218.60.56/~jnz1568/getInfo.php?workbook=20_05.xlsx&amp;sheet=U0&amp;row=2723&amp;col=6&amp;number=4.9&amp;sourceID=14","4.9")</f>
        <v>4.9</v>
      </c>
      <c r="G2723" s="4" t="str">
        <f>HYPERLINK("http://141.218.60.56/~jnz1568/getInfo.php?workbook=20_05.xlsx&amp;sheet=U0&amp;row=2723&amp;col=7&amp;number=0.00352&amp;sourceID=14","0.00352")</f>
        <v>0.00352</v>
      </c>
    </row>
    <row r="2724" spans="1:7">
      <c r="A2724" s="3">
        <v>20</v>
      </c>
      <c r="B2724" s="3">
        <v>5</v>
      </c>
      <c r="C2724" s="3">
        <v>1</v>
      </c>
      <c r="D2724" s="3">
        <v>92</v>
      </c>
      <c r="E2724" s="3">
        <v>1</v>
      </c>
      <c r="F2724" s="4" t="str">
        <f>HYPERLINK("http://141.218.60.56/~jnz1568/getInfo.php?workbook=20_05.xlsx&amp;sheet=U0&amp;row=2724&amp;col=6&amp;number=3&amp;sourceID=14","3")</f>
        <v>3</v>
      </c>
      <c r="G2724" s="4" t="str">
        <f>HYPERLINK("http://141.218.60.56/~jnz1568/getInfo.php?workbook=20_05.xlsx&amp;sheet=U0&amp;row=2724&amp;col=7&amp;number=0.00551&amp;sourceID=14","0.00551")</f>
        <v>0.00551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HYPERLINK("http://141.218.60.56/~jnz1568/getInfo.php?workbook=20_05.xlsx&amp;sheet=U0&amp;row=2725&amp;col=6&amp;number=3.1&amp;sourceID=14","3.1")</f>
        <v>3.1</v>
      </c>
      <c r="G2725" s="4" t="str">
        <f>HYPERLINK("http://141.218.60.56/~jnz1568/getInfo.php?workbook=20_05.xlsx&amp;sheet=U0&amp;row=2725&amp;col=7&amp;number=0.00551&amp;sourceID=14","0.00551")</f>
        <v>0.00551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HYPERLINK("http://141.218.60.56/~jnz1568/getInfo.php?workbook=20_05.xlsx&amp;sheet=U0&amp;row=2726&amp;col=6&amp;number=3.2&amp;sourceID=14","3.2")</f>
        <v>3.2</v>
      </c>
      <c r="G2726" s="4" t="str">
        <f>HYPERLINK("http://141.218.60.56/~jnz1568/getInfo.php?workbook=20_05.xlsx&amp;sheet=U0&amp;row=2726&amp;col=7&amp;number=0.00551&amp;sourceID=14","0.00551")</f>
        <v>0.00551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HYPERLINK("http://141.218.60.56/~jnz1568/getInfo.php?workbook=20_05.xlsx&amp;sheet=U0&amp;row=2727&amp;col=6&amp;number=3.3&amp;sourceID=14","3.3")</f>
        <v>3.3</v>
      </c>
      <c r="G2727" s="4" t="str">
        <f>HYPERLINK("http://141.218.60.56/~jnz1568/getInfo.php?workbook=20_05.xlsx&amp;sheet=U0&amp;row=2727&amp;col=7&amp;number=0.00551&amp;sourceID=14","0.00551")</f>
        <v>0.00551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HYPERLINK("http://141.218.60.56/~jnz1568/getInfo.php?workbook=20_05.xlsx&amp;sheet=U0&amp;row=2728&amp;col=6&amp;number=3.4&amp;sourceID=14","3.4")</f>
        <v>3.4</v>
      </c>
      <c r="G2728" s="4" t="str">
        <f>HYPERLINK("http://141.218.60.56/~jnz1568/getInfo.php?workbook=20_05.xlsx&amp;sheet=U0&amp;row=2728&amp;col=7&amp;number=0.00551&amp;sourceID=14","0.00551")</f>
        <v>0.00551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HYPERLINK("http://141.218.60.56/~jnz1568/getInfo.php?workbook=20_05.xlsx&amp;sheet=U0&amp;row=2729&amp;col=6&amp;number=3.5&amp;sourceID=14","3.5")</f>
        <v>3.5</v>
      </c>
      <c r="G2729" s="4" t="str">
        <f>HYPERLINK("http://141.218.60.56/~jnz1568/getInfo.php?workbook=20_05.xlsx&amp;sheet=U0&amp;row=2729&amp;col=7&amp;number=0.00551&amp;sourceID=14","0.00551")</f>
        <v>0.00551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HYPERLINK("http://141.218.60.56/~jnz1568/getInfo.php?workbook=20_05.xlsx&amp;sheet=U0&amp;row=2730&amp;col=6&amp;number=3.6&amp;sourceID=14","3.6")</f>
        <v>3.6</v>
      </c>
      <c r="G2730" s="4" t="str">
        <f>HYPERLINK("http://141.218.60.56/~jnz1568/getInfo.php?workbook=20_05.xlsx&amp;sheet=U0&amp;row=2730&amp;col=7&amp;number=0.00551&amp;sourceID=14","0.00551")</f>
        <v>0.00551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HYPERLINK("http://141.218.60.56/~jnz1568/getInfo.php?workbook=20_05.xlsx&amp;sheet=U0&amp;row=2731&amp;col=6&amp;number=3.7&amp;sourceID=14","3.7")</f>
        <v>3.7</v>
      </c>
      <c r="G2731" s="4" t="str">
        <f>HYPERLINK("http://141.218.60.56/~jnz1568/getInfo.php?workbook=20_05.xlsx&amp;sheet=U0&amp;row=2731&amp;col=7&amp;number=0.00551&amp;sourceID=14","0.00551")</f>
        <v>0.00551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HYPERLINK("http://141.218.60.56/~jnz1568/getInfo.php?workbook=20_05.xlsx&amp;sheet=U0&amp;row=2732&amp;col=6&amp;number=3.8&amp;sourceID=14","3.8")</f>
        <v>3.8</v>
      </c>
      <c r="G2732" s="4" t="str">
        <f>HYPERLINK("http://141.218.60.56/~jnz1568/getInfo.php?workbook=20_05.xlsx&amp;sheet=U0&amp;row=2732&amp;col=7&amp;number=0.00551&amp;sourceID=14","0.00551")</f>
        <v>0.00551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HYPERLINK("http://141.218.60.56/~jnz1568/getInfo.php?workbook=20_05.xlsx&amp;sheet=U0&amp;row=2733&amp;col=6&amp;number=3.9&amp;sourceID=14","3.9")</f>
        <v>3.9</v>
      </c>
      <c r="G2733" s="4" t="str">
        <f>HYPERLINK("http://141.218.60.56/~jnz1568/getInfo.php?workbook=20_05.xlsx&amp;sheet=U0&amp;row=2733&amp;col=7&amp;number=0.00552&amp;sourceID=14","0.00552")</f>
        <v>0.00552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HYPERLINK("http://141.218.60.56/~jnz1568/getInfo.php?workbook=20_05.xlsx&amp;sheet=U0&amp;row=2734&amp;col=6&amp;number=4&amp;sourceID=14","4")</f>
        <v>4</v>
      </c>
      <c r="G2734" s="4" t="str">
        <f>HYPERLINK("http://141.218.60.56/~jnz1568/getInfo.php?workbook=20_05.xlsx&amp;sheet=U0&amp;row=2734&amp;col=7&amp;number=0.00552&amp;sourceID=14","0.00552")</f>
        <v>0.00552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HYPERLINK("http://141.218.60.56/~jnz1568/getInfo.php?workbook=20_05.xlsx&amp;sheet=U0&amp;row=2735&amp;col=6&amp;number=4.1&amp;sourceID=14","4.1")</f>
        <v>4.1</v>
      </c>
      <c r="G2735" s="4" t="str">
        <f>HYPERLINK("http://141.218.60.56/~jnz1568/getInfo.php?workbook=20_05.xlsx&amp;sheet=U0&amp;row=2735&amp;col=7&amp;number=0.00552&amp;sourceID=14","0.00552")</f>
        <v>0.00552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HYPERLINK("http://141.218.60.56/~jnz1568/getInfo.php?workbook=20_05.xlsx&amp;sheet=U0&amp;row=2736&amp;col=6&amp;number=4.2&amp;sourceID=14","4.2")</f>
        <v>4.2</v>
      </c>
      <c r="G2736" s="4" t="str">
        <f>HYPERLINK("http://141.218.60.56/~jnz1568/getInfo.php?workbook=20_05.xlsx&amp;sheet=U0&amp;row=2736&amp;col=7&amp;number=0.00552&amp;sourceID=14","0.00552")</f>
        <v>0.00552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HYPERLINK("http://141.218.60.56/~jnz1568/getInfo.php?workbook=20_05.xlsx&amp;sheet=U0&amp;row=2737&amp;col=6&amp;number=4.3&amp;sourceID=14","4.3")</f>
        <v>4.3</v>
      </c>
      <c r="G2737" s="4" t="str">
        <f>HYPERLINK("http://141.218.60.56/~jnz1568/getInfo.php?workbook=20_05.xlsx&amp;sheet=U0&amp;row=2737&amp;col=7&amp;number=0.00553&amp;sourceID=14","0.00553")</f>
        <v>0.00553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HYPERLINK("http://141.218.60.56/~jnz1568/getInfo.php?workbook=20_05.xlsx&amp;sheet=U0&amp;row=2738&amp;col=6&amp;number=4.4&amp;sourceID=14","4.4")</f>
        <v>4.4</v>
      </c>
      <c r="G2738" s="4" t="str">
        <f>HYPERLINK("http://141.218.60.56/~jnz1568/getInfo.php?workbook=20_05.xlsx&amp;sheet=U0&amp;row=2738&amp;col=7&amp;number=0.00553&amp;sourceID=14","0.00553")</f>
        <v>0.00553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HYPERLINK("http://141.218.60.56/~jnz1568/getInfo.php?workbook=20_05.xlsx&amp;sheet=U0&amp;row=2739&amp;col=6&amp;number=4.5&amp;sourceID=14","4.5")</f>
        <v>4.5</v>
      </c>
      <c r="G2739" s="4" t="str">
        <f>HYPERLINK("http://141.218.60.56/~jnz1568/getInfo.php?workbook=20_05.xlsx&amp;sheet=U0&amp;row=2739&amp;col=7&amp;number=0.00554&amp;sourceID=14","0.00554")</f>
        <v>0.00554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HYPERLINK("http://141.218.60.56/~jnz1568/getInfo.php?workbook=20_05.xlsx&amp;sheet=U0&amp;row=2740&amp;col=6&amp;number=4.6&amp;sourceID=14","4.6")</f>
        <v>4.6</v>
      </c>
      <c r="G2740" s="4" t="str">
        <f>HYPERLINK("http://141.218.60.56/~jnz1568/getInfo.php?workbook=20_05.xlsx&amp;sheet=U0&amp;row=2740&amp;col=7&amp;number=0.00554&amp;sourceID=14","0.00554")</f>
        <v>0.00554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HYPERLINK("http://141.218.60.56/~jnz1568/getInfo.php?workbook=20_05.xlsx&amp;sheet=U0&amp;row=2741&amp;col=6&amp;number=4.7&amp;sourceID=14","4.7")</f>
        <v>4.7</v>
      </c>
      <c r="G2741" s="4" t="str">
        <f>HYPERLINK("http://141.218.60.56/~jnz1568/getInfo.php?workbook=20_05.xlsx&amp;sheet=U0&amp;row=2741&amp;col=7&amp;number=0.00555&amp;sourceID=14","0.00555")</f>
        <v>0.00555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HYPERLINK("http://141.218.60.56/~jnz1568/getInfo.php?workbook=20_05.xlsx&amp;sheet=U0&amp;row=2742&amp;col=6&amp;number=4.8&amp;sourceID=14","4.8")</f>
        <v>4.8</v>
      </c>
      <c r="G2742" s="4" t="str">
        <f>HYPERLINK("http://141.218.60.56/~jnz1568/getInfo.php?workbook=20_05.xlsx&amp;sheet=U0&amp;row=2742&amp;col=7&amp;number=0.00557&amp;sourceID=14","0.00557")</f>
        <v>0.00557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HYPERLINK("http://141.218.60.56/~jnz1568/getInfo.php?workbook=20_05.xlsx&amp;sheet=U0&amp;row=2743&amp;col=6&amp;number=4.9&amp;sourceID=14","4.9")</f>
        <v>4.9</v>
      </c>
      <c r="G2743" s="4" t="str">
        <f>HYPERLINK("http://141.218.60.56/~jnz1568/getInfo.php?workbook=20_05.xlsx&amp;sheet=U0&amp;row=2743&amp;col=7&amp;number=0.00558&amp;sourceID=14","0.00558")</f>
        <v>0.00558</v>
      </c>
    </row>
    <row r="2744" spans="1:7">
      <c r="A2744" s="3">
        <v>20</v>
      </c>
      <c r="B2744" s="3">
        <v>5</v>
      </c>
      <c r="C2744" s="3">
        <v>1</v>
      </c>
      <c r="D2744" s="3">
        <v>93</v>
      </c>
      <c r="E2744" s="3">
        <v>1</v>
      </c>
      <c r="F2744" s="4" t="str">
        <f>HYPERLINK("http://141.218.60.56/~jnz1568/getInfo.php?workbook=20_05.xlsx&amp;sheet=U0&amp;row=2744&amp;col=6&amp;number=3&amp;sourceID=14","3")</f>
        <v>3</v>
      </c>
      <c r="G2744" s="4" t="str">
        <f>HYPERLINK("http://141.218.60.56/~jnz1568/getInfo.php?workbook=20_05.xlsx&amp;sheet=U0&amp;row=2744&amp;col=7&amp;number=0.00452&amp;sourceID=14","0.00452")</f>
        <v>0.00452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HYPERLINK("http://141.218.60.56/~jnz1568/getInfo.php?workbook=20_05.xlsx&amp;sheet=U0&amp;row=2745&amp;col=6&amp;number=3.1&amp;sourceID=14","3.1")</f>
        <v>3.1</v>
      </c>
      <c r="G2745" s="4" t="str">
        <f>HYPERLINK("http://141.218.60.56/~jnz1568/getInfo.php?workbook=20_05.xlsx&amp;sheet=U0&amp;row=2745&amp;col=7&amp;number=0.00452&amp;sourceID=14","0.00452")</f>
        <v>0.00452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HYPERLINK("http://141.218.60.56/~jnz1568/getInfo.php?workbook=20_05.xlsx&amp;sheet=U0&amp;row=2746&amp;col=6&amp;number=3.2&amp;sourceID=14","3.2")</f>
        <v>3.2</v>
      </c>
      <c r="G2746" s="4" t="str">
        <f>HYPERLINK("http://141.218.60.56/~jnz1568/getInfo.php?workbook=20_05.xlsx&amp;sheet=U0&amp;row=2746&amp;col=7&amp;number=0.00452&amp;sourceID=14","0.00452")</f>
        <v>0.00452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HYPERLINK("http://141.218.60.56/~jnz1568/getInfo.php?workbook=20_05.xlsx&amp;sheet=U0&amp;row=2747&amp;col=6&amp;number=3.3&amp;sourceID=14","3.3")</f>
        <v>3.3</v>
      </c>
      <c r="G2747" s="4" t="str">
        <f>HYPERLINK("http://141.218.60.56/~jnz1568/getInfo.php?workbook=20_05.xlsx&amp;sheet=U0&amp;row=2747&amp;col=7&amp;number=0.00452&amp;sourceID=14","0.00452")</f>
        <v>0.00452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HYPERLINK("http://141.218.60.56/~jnz1568/getInfo.php?workbook=20_05.xlsx&amp;sheet=U0&amp;row=2748&amp;col=6&amp;number=3.4&amp;sourceID=14","3.4")</f>
        <v>3.4</v>
      </c>
      <c r="G2748" s="4" t="str">
        <f>HYPERLINK("http://141.218.60.56/~jnz1568/getInfo.php?workbook=20_05.xlsx&amp;sheet=U0&amp;row=2748&amp;col=7&amp;number=0.00452&amp;sourceID=14","0.00452")</f>
        <v>0.00452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HYPERLINK("http://141.218.60.56/~jnz1568/getInfo.php?workbook=20_05.xlsx&amp;sheet=U0&amp;row=2749&amp;col=6&amp;number=3.5&amp;sourceID=14","3.5")</f>
        <v>3.5</v>
      </c>
      <c r="G2749" s="4" t="str">
        <f>HYPERLINK("http://141.218.60.56/~jnz1568/getInfo.php?workbook=20_05.xlsx&amp;sheet=U0&amp;row=2749&amp;col=7&amp;number=0.00452&amp;sourceID=14","0.00452")</f>
        <v>0.00452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HYPERLINK("http://141.218.60.56/~jnz1568/getInfo.php?workbook=20_05.xlsx&amp;sheet=U0&amp;row=2750&amp;col=6&amp;number=3.6&amp;sourceID=14","3.6")</f>
        <v>3.6</v>
      </c>
      <c r="G2750" s="4" t="str">
        <f>HYPERLINK("http://141.218.60.56/~jnz1568/getInfo.php?workbook=20_05.xlsx&amp;sheet=U0&amp;row=2750&amp;col=7&amp;number=0.00452&amp;sourceID=14","0.00452")</f>
        <v>0.00452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HYPERLINK("http://141.218.60.56/~jnz1568/getInfo.php?workbook=20_05.xlsx&amp;sheet=U0&amp;row=2751&amp;col=6&amp;number=3.7&amp;sourceID=14","3.7")</f>
        <v>3.7</v>
      </c>
      <c r="G2751" s="4" t="str">
        <f>HYPERLINK("http://141.218.60.56/~jnz1568/getInfo.php?workbook=20_05.xlsx&amp;sheet=U0&amp;row=2751&amp;col=7&amp;number=0.00452&amp;sourceID=14","0.00452")</f>
        <v>0.00452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HYPERLINK("http://141.218.60.56/~jnz1568/getInfo.php?workbook=20_05.xlsx&amp;sheet=U0&amp;row=2752&amp;col=6&amp;number=3.8&amp;sourceID=14","3.8")</f>
        <v>3.8</v>
      </c>
      <c r="G2752" s="4" t="str">
        <f>HYPERLINK("http://141.218.60.56/~jnz1568/getInfo.php?workbook=20_05.xlsx&amp;sheet=U0&amp;row=2752&amp;col=7&amp;number=0.00452&amp;sourceID=14","0.00452")</f>
        <v>0.00452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HYPERLINK("http://141.218.60.56/~jnz1568/getInfo.php?workbook=20_05.xlsx&amp;sheet=U0&amp;row=2753&amp;col=6&amp;number=3.9&amp;sourceID=14","3.9")</f>
        <v>3.9</v>
      </c>
      <c r="G2753" s="4" t="str">
        <f>HYPERLINK("http://141.218.60.56/~jnz1568/getInfo.php?workbook=20_05.xlsx&amp;sheet=U0&amp;row=2753&amp;col=7&amp;number=0.00453&amp;sourceID=14","0.00453")</f>
        <v>0.00453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HYPERLINK("http://141.218.60.56/~jnz1568/getInfo.php?workbook=20_05.xlsx&amp;sheet=U0&amp;row=2754&amp;col=6&amp;number=4&amp;sourceID=14","4")</f>
        <v>4</v>
      </c>
      <c r="G2754" s="4" t="str">
        <f>HYPERLINK("http://141.218.60.56/~jnz1568/getInfo.php?workbook=20_05.xlsx&amp;sheet=U0&amp;row=2754&amp;col=7&amp;number=0.00453&amp;sourceID=14","0.00453")</f>
        <v>0.00453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HYPERLINK("http://141.218.60.56/~jnz1568/getInfo.php?workbook=20_05.xlsx&amp;sheet=U0&amp;row=2755&amp;col=6&amp;number=4.1&amp;sourceID=14","4.1")</f>
        <v>4.1</v>
      </c>
      <c r="G2755" s="4" t="str">
        <f>HYPERLINK("http://141.218.60.56/~jnz1568/getInfo.php?workbook=20_05.xlsx&amp;sheet=U0&amp;row=2755&amp;col=7&amp;number=0.00453&amp;sourceID=14","0.00453")</f>
        <v>0.00453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HYPERLINK("http://141.218.60.56/~jnz1568/getInfo.php?workbook=20_05.xlsx&amp;sheet=U0&amp;row=2756&amp;col=6&amp;number=4.2&amp;sourceID=14","4.2")</f>
        <v>4.2</v>
      </c>
      <c r="G2756" s="4" t="str">
        <f>HYPERLINK("http://141.218.60.56/~jnz1568/getInfo.php?workbook=20_05.xlsx&amp;sheet=U0&amp;row=2756&amp;col=7&amp;number=0.00453&amp;sourceID=14","0.00453")</f>
        <v>0.00453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HYPERLINK("http://141.218.60.56/~jnz1568/getInfo.php?workbook=20_05.xlsx&amp;sheet=U0&amp;row=2757&amp;col=6&amp;number=4.3&amp;sourceID=14","4.3")</f>
        <v>4.3</v>
      </c>
      <c r="G2757" s="4" t="str">
        <f>HYPERLINK("http://141.218.60.56/~jnz1568/getInfo.php?workbook=20_05.xlsx&amp;sheet=U0&amp;row=2757&amp;col=7&amp;number=0.00453&amp;sourceID=14","0.00453")</f>
        <v>0.00453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HYPERLINK("http://141.218.60.56/~jnz1568/getInfo.php?workbook=20_05.xlsx&amp;sheet=U0&amp;row=2758&amp;col=6&amp;number=4.4&amp;sourceID=14","4.4")</f>
        <v>4.4</v>
      </c>
      <c r="G2758" s="4" t="str">
        <f>HYPERLINK("http://141.218.60.56/~jnz1568/getInfo.php?workbook=20_05.xlsx&amp;sheet=U0&amp;row=2758&amp;col=7&amp;number=0.00454&amp;sourceID=14","0.00454")</f>
        <v>0.00454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HYPERLINK("http://141.218.60.56/~jnz1568/getInfo.php?workbook=20_05.xlsx&amp;sheet=U0&amp;row=2759&amp;col=6&amp;number=4.5&amp;sourceID=14","4.5")</f>
        <v>4.5</v>
      </c>
      <c r="G2759" s="4" t="str">
        <f>HYPERLINK("http://141.218.60.56/~jnz1568/getInfo.php?workbook=20_05.xlsx&amp;sheet=U0&amp;row=2759&amp;col=7&amp;number=0.00454&amp;sourceID=14","0.00454")</f>
        <v>0.00454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HYPERLINK("http://141.218.60.56/~jnz1568/getInfo.php?workbook=20_05.xlsx&amp;sheet=U0&amp;row=2760&amp;col=6&amp;number=4.6&amp;sourceID=14","4.6")</f>
        <v>4.6</v>
      </c>
      <c r="G2760" s="4" t="str">
        <f>HYPERLINK("http://141.218.60.56/~jnz1568/getInfo.php?workbook=20_05.xlsx&amp;sheet=U0&amp;row=2760&amp;col=7&amp;number=0.00455&amp;sourceID=14","0.00455")</f>
        <v>0.00455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HYPERLINK("http://141.218.60.56/~jnz1568/getInfo.php?workbook=20_05.xlsx&amp;sheet=U0&amp;row=2761&amp;col=6&amp;number=4.7&amp;sourceID=14","4.7")</f>
        <v>4.7</v>
      </c>
      <c r="G2761" s="4" t="str">
        <f>HYPERLINK("http://141.218.60.56/~jnz1568/getInfo.php?workbook=20_05.xlsx&amp;sheet=U0&amp;row=2761&amp;col=7&amp;number=0.00456&amp;sourceID=14","0.00456")</f>
        <v>0.00456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HYPERLINK("http://141.218.60.56/~jnz1568/getInfo.php?workbook=20_05.xlsx&amp;sheet=U0&amp;row=2762&amp;col=6&amp;number=4.8&amp;sourceID=14","4.8")</f>
        <v>4.8</v>
      </c>
      <c r="G2762" s="4" t="str">
        <f>HYPERLINK("http://141.218.60.56/~jnz1568/getInfo.php?workbook=20_05.xlsx&amp;sheet=U0&amp;row=2762&amp;col=7&amp;number=0.00457&amp;sourceID=14","0.00457")</f>
        <v>0.00457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HYPERLINK("http://141.218.60.56/~jnz1568/getInfo.php?workbook=20_05.xlsx&amp;sheet=U0&amp;row=2763&amp;col=6&amp;number=4.9&amp;sourceID=14","4.9")</f>
        <v>4.9</v>
      </c>
      <c r="G2763" s="4" t="str">
        <f>HYPERLINK("http://141.218.60.56/~jnz1568/getInfo.php?workbook=20_05.xlsx&amp;sheet=U0&amp;row=2763&amp;col=7&amp;number=0.00458&amp;sourceID=14","0.00458")</f>
        <v>0.00458</v>
      </c>
    </row>
    <row r="2764" spans="1:7">
      <c r="A2764" s="3">
        <v>20</v>
      </c>
      <c r="B2764" s="3">
        <v>5</v>
      </c>
      <c r="C2764" s="3">
        <v>1</v>
      </c>
      <c r="D2764" s="3">
        <v>94</v>
      </c>
      <c r="E2764" s="3">
        <v>1</v>
      </c>
      <c r="F2764" s="4" t="str">
        <f>HYPERLINK("http://141.218.60.56/~jnz1568/getInfo.php?workbook=20_05.xlsx&amp;sheet=U0&amp;row=2764&amp;col=6&amp;number=3&amp;sourceID=14","3")</f>
        <v>3</v>
      </c>
      <c r="G2764" s="4" t="str">
        <f>HYPERLINK("http://141.218.60.56/~jnz1568/getInfo.php?workbook=20_05.xlsx&amp;sheet=U0&amp;row=2764&amp;col=7&amp;number=0.00029&amp;sourceID=14","0.00029")</f>
        <v>0.00029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HYPERLINK("http://141.218.60.56/~jnz1568/getInfo.php?workbook=20_05.xlsx&amp;sheet=U0&amp;row=2765&amp;col=6&amp;number=3.1&amp;sourceID=14","3.1")</f>
        <v>3.1</v>
      </c>
      <c r="G2765" s="4" t="str">
        <f>HYPERLINK("http://141.218.60.56/~jnz1568/getInfo.php?workbook=20_05.xlsx&amp;sheet=U0&amp;row=2765&amp;col=7&amp;number=0.00029&amp;sourceID=14","0.00029")</f>
        <v>0.00029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HYPERLINK("http://141.218.60.56/~jnz1568/getInfo.php?workbook=20_05.xlsx&amp;sheet=U0&amp;row=2766&amp;col=6&amp;number=3.2&amp;sourceID=14","3.2")</f>
        <v>3.2</v>
      </c>
      <c r="G2766" s="4" t="str">
        <f>HYPERLINK("http://141.218.60.56/~jnz1568/getInfo.php?workbook=20_05.xlsx&amp;sheet=U0&amp;row=2766&amp;col=7&amp;number=0.00029&amp;sourceID=14","0.00029")</f>
        <v>0.00029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HYPERLINK("http://141.218.60.56/~jnz1568/getInfo.php?workbook=20_05.xlsx&amp;sheet=U0&amp;row=2767&amp;col=6&amp;number=3.3&amp;sourceID=14","3.3")</f>
        <v>3.3</v>
      </c>
      <c r="G2767" s="4" t="str">
        <f>HYPERLINK("http://141.218.60.56/~jnz1568/getInfo.php?workbook=20_05.xlsx&amp;sheet=U0&amp;row=2767&amp;col=7&amp;number=0.00029&amp;sourceID=14","0.00029")</f>
        <v>0.00029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HYPERLINK("http://141.218.60.56/~jnz1568/getInfo.php?workbook=20_05.xlsx&amp;sheet=U0&amp;row=2768&amp;col=6&amp;number=3.4&amp;sourceID=14","3.4")</f>
        <v>3.4</v>
      </c>
      <c r="G2768" s="4" t="str">
        <f>HYPERLINK("http://141.218.60.56/~jnz1568/getInfo.php?workbook=20_05.xlsx&amp;sheet=U0&amp;row=2768&amp;col=7&amp;number=0.00029&amp;sourceID=14","0.00029")</f>
        <v>0.00029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HYPERLINK("http://141.218.60.56/~jnz1568/getInfo.php?workbook=20_05.xlsx&amp;sheet=U0&amp;row=2769&amp;col=6&amp;number=3.5&amp;sourceID=14","3.5")</f>
        <v>3.5</v>
      </c>
      <c r="G2769" s="4" t="str">
        <f>HYPERLINK("http://141.218.60.56/~jnz1568/getInfo.php?workbook=20_05.xlsx&amp;sheet=U0&amp;row=2769&amp;col=7&amp;number=0.00029&amp;sourceID=14","0.00029")</f>
        <v>0.00029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HYPERLINK("http://141.218.60.56/~jnz1568/getInfo.php?workbook=20_05.xlsx&amp;sheet=U0&amp;row=2770&amp;col=6&amp;number=3.6&amp;sourceID=14","3.6")</f>
        <v>3.6</v>
      </c>
      <c r="G2770" s="4" t="str">
        <f>HYPERLINK("http://141.218.60.56/~jnz1568/getInfo.php?workbook=20_05.xlsx&amp;sheet=U0&amp;row=2770&amp;col=7&amp;number=0.00029&amp;sourceID=14","0.00029")</f>
        <v>0.00029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HYPERLINK("http://141.218.60.56/~jnz1568/getInfo.php?workbook=20_05.xlsx&amp;sheet=U0&amp;row=2771&amp;col=6&amp;number=3.7&amp;sourceID=14","3.7")</f>
        <v>3.7</v>
      </c>
      <c r="G2771" s="4" t="str">
        <f>HYPERLINK("http://141.218.60.56/~jnz1568/getInfo.php?workbook=20_05.xlsx&amp;sheet=U0&amp;row=2771&amp;col=7&amp;number=0.00029&amp;sourceID=14","0.00029")</f>
        <v>0.00029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HYPERLINK("http://141.218.60.56/~jnz1568/getInfo.php?workbook=20_05.xlsx&amp;sheet=U0&amp;row=2772&amp;col=6&amp;number=3.8&amp;sourceID=14","3.8")</f>
        <v>3.8</v>
      </c>
      <c r="G2772" s="4" t="str">
        <f>HYPERLINK("http://141.218.60.56/~jnz1568/getInfo.php?workbook=20_05.xlsx&amp;sheet=U0&amp;row=2772&amp;col=7&amp;number=0.00029&amp;sourceID=14","0.00029")</f>
        <v>0.00029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HYPERLINK("http://141.218.60.56/~jnz1568/getInfo.php?workbook=20_05.xlsx&amp;sheet=U0&amp;row=2773&amp;col=6&amp;number=3.9&amp;sourceID=14","3.9")</f>
        <v>3.9</v>
      </c>
      <c r="G2773" s="4" t="str">
        <f>HYPERLINK("http://141.218.60.56/~jnz1568/getInfo.php?workbook=20_05.xlsx&amp;sheet=U0&amp;row=2773&amp;col=7&amp;number=0.00029&amp;sourceID=14","0.00029")</f>
        <v>0.00029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HYPERLINK("http://141.218.60.56/~jnz1568/getInfo.php?workbook=20_05.xlsx&amp;sheet=U0&amp;row=2774&amp;col=6&amp;number=4&amp;sourceID=14","4")</f>
        <v>4</v>
      </c>
      <c r="G2774" s="4" t="str">
        <f>HYPERLINK("http://141.218.60.56/~jnz1568/getInfo.php?workbook=20_05.xlsx&amp;sheet=U0&amp;row=2774&amp;col=7&amp;number=0.00029&amp;sourceID=14","0.00029")</f>
        <v>0.00029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HYPERLINK("http://141.218.60.56/~jnz1568/getInfo.php?workbook=20_05.xlsx&amp;sheet=U0&amp;row=2775&amp;col=6&amp;number=4.1&amp;sourceID=14","4.1")</f>
        <v>4.1</v>
      </c>
      <c r="G2775" s="4" t="str">
        <f>HYPERLINK("http://141.218.60.56/~jnz1568/getInfo.php?workbook=20_05.xlsx&amp;sheet=U0&amp;row=2775&amp;col=7&amp;number=0.00029&amp;sourceID=14","0.00029")</f>
        <v>0.00029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HYPERLINK("http://141.218.60.56/~jnz1568/getInfo.php?workbook=20_05.xlsx&amp;sheet=U0&amp;row=2776&amp;col=6&amp;number=4.2&amp;sourceID=14","4.2")</f>
        <v>4.2</v>
      </c>
      <c r="G2776" s="4" t="str">
        <f>HYPERLINK("http://141.218.60.56/~jnz1568/getInfo.php?workbook=20_05.xlsx&amp;sheet=U0&amp;row=2776&amp;col=7&amp;number=0.00029&amp;sourceID=14","0.00029")</f>
        <v>0.00029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HYPERLINK("http://141.218.60.56/~jnz1568/getInfo.php?workbook=20_05.xlsx&amp;sheet=U0&amp;row=2777&amp;col=6&amp;number=4.3&amp;sourceID=14","4.3")</f>
        <v>4.3</v>
      </c>
      <c r="G2777" s="4" t="str">
        <f>HYPERLINK("http://141.218.60.56/~jnz1568/getInfo.php?workbook=20_05.xlsx&amp;sheet=U0&amp;row=2777&amp;col=7&amp;number=0.00029&amp;sourceID=14","0.00029")</f>
        <v>0.00029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HYPERLINK("http://141.218.60.56/~jnz1568/getInfo.php?workbook=20_05.xlsx&amp;sheet=U0&amp;row=2778&amp;col=6&amp;number=4.4&amp;sourceID=14","4.4")</f>
        <v>4.4</v>
      </c>
      <c r="G2778" s="4" t="str">
        <f>HYPERLINK("http://141.218.60.56/~jnz1568/getInfo.php?workbook=20_05.xlsx&amp;sheet=U0&amp;row=2778&amp;col=7&amp;number=0.00029&amp;sourceID=14","0.00029")</f>
        <v>0.00029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HYPERLINK("http://141.218.60.56/~jnz1568/getInfo.php?workbook=20_05.xlsx&amp;sheet=U0&amp;row=2779&amp;col=6&amp;number=4.5&amp;sourceID=14","4.5")</f>
        <v>4.5</v>
      </c>
      <c r="G2779" s="4" t="str">
        <f>HYPERLINK("http://141.218.60.56/~jnz1568/getInfo.php?workbook=20_05.xlsx&amp;sheet=U0&amp;row=2779&amp;col=7&amp;number=0.00029&amp;sourceID=14","0.00029")</f>
        <v>0.00029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HYPERLINK("http://141.218.60.56/~jnz1568/getInfo.php?workbook=20_05.xlsx&amp;sheet=U0&amp;row=2780&amp;col=6&amp;number=4.6&amp;sourceID=14","4.6")</f>
        <v>4.6</v>
      </c>
      <c r="G2780" s="4" t="str">
        <f>HYPERLINK("http://141.218.60.56/~jnz1568/getInfo.php?workbook=20_05.xlsx&amp;sheet=U0&amp;row=2780&amp;col=7&amp;number=0.00029&amp;sourceID=14","0.00029")</f>
        <v>0.00029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HYPERLINK("http://141.218.60.56/~jnz1568/getInfo.php?workbook=20_05.xlsx&amp;sheet=U0&amp;row=2781&amp;col=6&amp;number=4.7&amp;sourceID=14","4.7")</f>
        <v>4.7</v>
      </c>
      <c r="G2781" s="4" t="str">
        <f>HYPERLINK("http://141.218.60.56/~jnz1568/getInfo.php?workbook=20_05.xlsx&amp;sheet=U0&amp;row=2781&amp;col=7&amp;number=0.00029&amp;sourceID=14","0.00029")</f>
        <v>0.00029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HYPERLINK("http://141.218.60.56/~jnz1568/getInfo.php?workbook=20_05.xlsx&amp;sheet=U0&amp;row=2782&amp;col=6&amp;number=4.8&amp;sourceID=14","4.8")</f>
        <v>4.8</v>
      </c>
      <c r="G2782" s="4" t="str">
        <f>HYPERLINK("http://141.218.60.56/~jnz1568/getInfo.php?workbook=20_05.xlsx&amp;sheet=U0&amp;row=2782&amp;col=7&amp;number=0.00029&amp;sourceID=14","0.00029")</f>
        <v>0.00029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HYPERLINK("http://141.218.60.56/~jnz1568/getInfo.php?workbook=20_05.xlsx&amp;sheet=U0&amp;row=2783&amp;col=6&amp;number=4.9&amp;sourceID=14","4.9")</f>
        <v>4.9</v>
      </c>
      <c r="G2783" s="4" t="str">
        <f>HYPERLINK("http://141.218.60.56/~jnz1568/getInfo.php?workbook=20_05.xlsx&amp;sheet=U0&amp;row=2783&amp;col=7&amp;number=0.000291&amp;sourceID=14","0.000291")</f>
        <v>0.000291</v>
      </c>
    </row>
    <row r="2784" spans="1:7">
      <c r="A2784" s="3">
        <v>20</v>
      </c>
      <c r="B2784" s="3">
        <v>5</v>
      </c>
      <c r="C2784" s="3">
        <v>1</v>
      </c>
      <c r="D2784" s="3">
        <v>95</v>
      </c>
      <c r="E2784" s="3">
        <v>1</v>
      </c>
      <c r="F2784" s="4" t="str">
        <f>HYPERLINK("http://141.218.60.56/~jnz1568/getInfo.php?workbook=20_05.xlsx&amp;sheet=U0&amp;row=2784&amp;col=6&amp;number=3&amp;sourceID=14","3")</f>
        <v>3</v>
      </c>
      <c r="G2784" s="4" t="str">
        <f>HYPERLINK("http://141.218.60.56/~jnz1568/getInfo.php?workbook=20_05.xlsx&amp;sheet=U0&amp;row=2784&amp;col=7&amp;number=0.00663&amp;sourceID=14","0.00663")</f>
        <v>0.00663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HYPERLINK("http://141.218.60.56/~jnz1568/getInfo.php?workbook=20_05.xlsx&amp;sheet=U0&amp;row=2785&amp;col=6&amp;number=3.1&amp;sourceID=14","3.1")</f>
        <v>3.1</v>
      </c>
      <c r="G2785" s="4" t="str">
        <f>HYPERLINK("http://141.218.60.56/~jnz1568/getInfo.php?workbook=20_05.xlsx&amp;sheet=U0&amp;row=2785&amp;col=7&amp;number=0.00663&amp;sourceID=14","0.00663")</f>
        <v>0.00663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HYPERLINK("http://141.218.60.56/~jnz1568/getInfo.php?workbook=20_05.xlsx&amp;sheet=U0&amp;row=2786&amp;col=6&amp;number=3.2&amp;sourceID=14","3.2")</f>
        <v>3.2</v>
      </c>
      <c r="G2786" s="4" t="str">
        <f>HYPERLINK("http://141.218.60.56/~jnz1568/getInfo.php?workbook=20_05.xlsx&amp;sheet=U0&amp;row=2786&amp;col=7&amp;number=0.00663&amp;sourceID=14","0.00663")</f>
        <v>0.00663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HYPERLINK("http://141.218.60.56/~jnz1568/getInfo.php?workbook=20_05.xlsx&amp;sheet=U0&amp;row=2787&amp;col=6&amp;number=3.3&amp;sourceID=14","3.3")</f>
        <v>3.3</v>
      </c>
      <c r="G2787" s="4" t="str">
        <f>HYPERLINK("http://141.218.60.56/~jnz1568/getInfo.php?workbook=20_05.xlsx&amp;sheet=U0&amp;row=2787&amp;col=7&amp;number=0.00663&amp;sourceID=14","0.00663")</f>
        <v>0.00663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HYPERLINK("http://141.218.60.56/~jnz1568/getInfo.php?workbook=20_05.xlsx&amp;sheet=U0&amp;row=2788&amp;col=6&amp;number=3.4&amp;sourceID=14","3.4")</f>
        <v>3.4</v>
      </c>
      <c r="G2788" s="4" t="str">
        <f>HYPERLINK("http://141.218.60.56/~jnz1568/getInfo.php?workbook=20_05.xlsx&amp;sheet=U0&amp;row=2788&amp;col=7&amp;number=0.00663&amp;sourceID=14","0.00663")</f>
        <v>0.00663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HYPERLINK("http://141.218.60.56/~jnz1568/getInfo.php?workbook=20_05.xlsx&amp;sheet=U0&amp;row=2789&amp;col=6&amp;number=3.5&amp;sourceID=14","3.5")</f>
        <v>3.5</v>
      </c>
      <c r="G2789" s="4" t="str">
        <f>HYPERLINK("http://141.218.60.56/~jnz1568/getInfo.php?workbook=20_05.xlsx&amp;sheet=U0&amp;row=2789&amp;col=7&amp;number=0.00663&amp;sourceID=14","0.00663")</f>
        <v>0.00663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HYPERLINK("http://141.218.60.56/~jnz1568/getInfo.php?workbook=20_05.xlsx&amp;sheet=U0&amp;row=2790&amp;col=6&amp;number=3.6&amp;sourceID=14","3.6")</f>
        <v>3.6</v>
      </c>
      <c r="G2790" s="4" t="str">
        <f>HYPERLINK("http://141.218.60.56/~jnz1568/getInfo.php?workbook=20_05.xlsx&amp;sheet=U0&amp;row=2790&amp;col=7&amp;number=0.00663&amp;sourceID=14","0.00663")</f>
        <v>0.00663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HYPERLINK("http://141.218.60.56/~jnz1568/getInfo.php?workbook=20_05.xlsx&amp;sheet=U0&amp;row=2791&amp;col=6&amp;number=3.7&amp;sourceID=14","3.7")</f>
        <v>3.7</v>
      </c>
      <c r="G2791" s="4" t="str">
        <f>HYPERLINK("http://141.218.60.56/~jnz1568/getInfo.php?workbook=20_05.xlsx&amp;sheet=U0&amp;row=2791&amp;col=7&amp;number=0.00663&amp;sourceID=14","0.00663")</f>
        <v>0.00663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HYPERLINK("http://141.218.60.56/~jnz1568/getInfo.php?workbook=20_05.xlsx&amp;sheet=U0&amp;row=2792&amp;col=6&amp;number=3.8&amp;sourceID=14","3.8")</f>
        <v>3.8</v>
      </c>
      <c r="G2792" s="4" t="str">
        <f>HYPERLINK("http://141.218.60.56/~jnz1568/getInfo.php?workbook=20_05.xlsx&amp;sheet=U0&amp;row=2792&amp;col=7&amp;number=0.00663&amp;sourceID=14","0.00663")</f>
        <v>0.00663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HYPERLINK("http://141.218.60.56/~jnz1568/getInfo.php?workbook=20_05.xlsx&amp;sheet=U0&amp;row=2793&amp;col=6&amp;number=3.9&amp;sourceID=14","3.9")</f>
        <v>3.9</v>
      </c>
      <c r="G2793" s="4" t="str">
        <f>HYPERLINK("http://141.218.60.56/~jnz1568/getInfo.php?workbook=20_05.xlsx&amp;sheet=U0&amp;row=2793&amp;col=7&amp;number=0.00663&amp;sourceID=14","0.00663")</f>
        <v>0.00663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HYPERLINK("http://141.218.60.56/~jnz1568/getInfo.php?workbook=20_05.xlsx&amp;sheet=U0&amp;row=2794&amp;col=6&amp;number=4&amp;sourceID=14","4")</f>
        <v>4</v>
      </c>
      <c r="G2794" s="4" t="str">
        <f>HYPERLINK("http://141.218.60.56/~jnz1568/getInfo.php?workbook=20_05.xlsx&amp;sheet=U0&amp;row=2794&amp;col=7&amp;number=0.00664&amp;sourceID=14","0.00664")</f>
        <v>0.00664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HYPERLINK("http://141.218.60.56/~jnz1568/getInfo.php?workbook=20_05.xlsx&amp;sheet=U0&amp;row=2795&amp;col=6&amp;number=4.1&amp;sourceID=14","4.1")</f>
        <v>4.1</v>
      </c>
      <c r="G2795" s="4" t="str">
        <f>HYPERLINK("http://141.218.60.56/~jnz1568/getInfo.php?workbook=20_05.xlsx&amp;sheet=U0&amp;row=2795&amp;col=7&amp;number=0.00664&amp;sourceID=14","0.00664")</f>
        <v>0.00664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HYPERLINK("http://141.218.60.56/~jnz1568/getInfo.php?workbook=20_05.xlsx&amp;sheet=U0&amp;row=2796&amp;col=6&amp;number=4.2&amp;sourceID=14","4.2")</f>
        <v>4.2</v>
      </c>
      <c r="G2796" s="4" t="str">
        <f>HYPERLINK("http://141.218.60.56/~jnz1568/getInfo.php?workbook=20_05.xlsx&amp;sheet=U0&amp;row=2796&amp;col=7&amp;number=0.00664&amp;sourceID=14","0.00664")</f>
        <v>0.00664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HYPERLINK("http://141.218.60.56/~jnz1568/getInfo.php?workbook=20_05.xlsx&amp;sheet=U0&amp;row=2797&amp;col=6&amp;number=4.3&amp;sourceID=14","4.3")</f>
        <v>4.3</v>
      </c>
      <c r="G2797" s="4" t="str">
        <f>HYPERLINK("http://141.218.60.56/~jnz1568/getInfo.php?workbook=20_05.xlsx&amp;sheet=U0&amp;row=2797&amp;col=7&amp;number=0.00665&amp;sourceID=14","0.00665")</f>
        <v>0.00665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HYPERLINK("http://141.218.60.56/~jnz1568/getInfo.php?workbook=20_05.xlsx&amp;sheet=U0&amp;row=2798&amp;col=6&amp;number=4.4&amp;sourceID=14","4.4")</f>
        <v>4.4</v>
      </c>
      <c r="G2798" s="4" t="str">
        <f>HYPERLINK("http://141.218.60.56/~jnz1568/getInfo.php?workbook=20_05.xlsx&amp;sheet=U0&amp;row=2798&amp;col=7&amp;number=0.00666&amp;sourceID=14","0.00666")</f>
        <v>0.00666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HYPERLINK("http://141.218.60.56/~jnz1568/getInfo.php?workbook=20_05.xlsx&amp;sheet=U0&amp;row=2799&amp;col=6&amp;number=4.5&amp;sourceID=14","4.5")</f>
        <v>4.5</v>
      </c>
      <c r="G2799" s="4" t="str">
        <f>HYPERLINK("http://141.218.60.56/~jnz1568/getInfo.php?workbook=20_05.xlsx&amp;sheet=U0&amp;row=2799&amp;col=7&amp;number=0.00666&amp;sourceID=14","0.00666")</f>
        <v>0.00666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HYPERLINK("http://141.218.60.56/~jnz1568/getInfo.php?workbook=20_05.xlsx&amp;sheet=U0&amp;row=2800&amp;col=6&amp;number=4.6&amp;sourceID=14","4.6")</f>
        <v>4.6</v>
      </c>
      <c r="G2800" s="4" t="str">
        <f>HYPERLINK("http://141.218.60.56/~jnz1568/getInfo.php?workbook=20_05.xlsx&amp;sheet=U0&amp;row=2800&amp;col=7&amp;number=0.00667&amp;sourceID=14","0.00667")</f>
        <v>0.00667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HYPERLINK("http://141.218.60.56/~jnz1568/getInfo.php?workbook=20_05.xlsx&amp;sheet=U0&amp;row=2801&amp;col=6&amp;number=4.7&amp;sourceID=14","4.7")</f>
        <v>4.7</v>
      </c>
      <c r="G2801" s="4" t="str">
        <f>HYPERLINK("http://141.218.60.56/~jnz1568/getInfo.php?workbook=20_05.xlsx&amp;sheet=U0&amp;row=2801&amp;col=7&amp;number=0.00669&amp;sourceID=14","0.00669")</f>
        <v>0.00669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HYPERLINK("http://141.218.60.56/~jnz1568/getInfo.php?workbook=20_05.xlsx&amp;sheet=U0&amp;row=2802&amp;col=6&amp;number=4.8&amp;sourceID=14","4.8")</f>
        <v>4.8</v>
      </c>
      <c r="G2802" s="4" t="str">
        <f>HYPERLINK("http://141.218.60.56/~jnz1568/getInfo.php?workbook=20_05.xlsx&amp;sheet=U0&amp;row=2802&amp;col=7&amp;number=0.0067&amp;sourceID=14","0.0067")</f>
        <v>0.0067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HYPERLINK("http://141.218.60.56/~jnz1568/getInfo.php?workbook=20_05.xlsx&amp;sheet=U0&amp;row=2803&amp;col=6&amp;number=4.9&amp;sourceID=14","4.9")</f>
        <v>4.9</v>
      </c>
      <c r="G2803" s="4" t="str">
        <f>HYPERLINK("http://141.218.60.56/~jnz1568/getInfo.php?workbook=20_05.xlsx&amp;sheet=U0&amp;row=2803&amp;col=7&amp;number=0.00672&amp;sourceID=14","0.00672")</f>
        <v>0.00672</v>
      </c>
    </row>
    <row r="2804" spans="1:7">
      <c r="A2804" s="3">
        <v>20</v>
      </c>
      <c r="B2804" s="3">
        <v>5</v>
      </c>
      <c r="C2804" s="3">
        <v>1</v>
      </c>
      <c r="D2804" s="3">
        <v>96</v>
      </c>
      <c r="E2804" s="3">
        <v>1</v>
      </c>
      <c r="F2804" s="4" t="str">
        <f>HYPERLINK("http://141.218.60.56/~jnz1568/getInfo.php?workbook=20_05.xlsx&amp;sheet=U0&amp;row=2804&amp;col=6&amp;number=3&amp;sourceID=14","3")</f>
        <v>3</v>
      </c>
      <c r="G2804" s="4" t="str">
        <f>HYPERLINK("http://141.218.60.56/~jnz1568/getInfo.php?workbook=20_05.xlsx&amp;sheet=U0&amp;row=2804&amp;col=7&amp;number=0.0037&amp;sourceID=14","0.0037")</f>
        <v>0.0037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HYPERLINK("http://141.218.60.56/~jnz1568/getInfo.php?workbook=20_05.xlsx&amp;sheet=U0&amp;row=2805&amp;col=6&amp;number=3.1&amp;sourceID=14","3.1")</f>
        <v>3.1</v>
      </c>
      <c r="G2805" s="4" t="str">
        <f>HYPERLINK("http://141.218.60.56/~jnz1568/getInfo.php?workbook=20_05.xlsx&amp;sheet=U0&amp;row=2805&amp;col=7&amp;number=0.0037&amp;sourceID=14","0.0037")</f>
        <v>0.0037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HYPERLINK("http://141.218.60.56/~jnz1568/getInfo.php?workbook=20_05.xlsx&amp;sheet=U0&amp;row=2806&amp;col=6&amp;number=3.2&amp;sourceID=14","3.2")</f>
        <v>3.2</v>
      </c>
      <c r="G2806" s="4" t="str">
        <f>HYPERLINK("http://141.218.60.56/~jnz1568/getInfo.php?workbook=20_05.xlsx&amp;sheet=U0&amp;row=2806&amp;col=7&amp;number=0.0037&amp;sourceID=14","0.0037")</f>
        <v>0.0037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HYPERLINK("http://141.218.60.56/~jnz1568/getInfo.php?workbook=20_05.xlsx&amp;sheet=U0&amp;row=2807&amp;col=6&amp;number=3.3&amp;sourceID=14","3.3")</f>
        <v>3.3</v>
      </c>
      <c r="G2807" s="4" t="str">
        <f>HYPERLINK("http://141.218.60.56/~jnz1568/getInfo.php?workbook=20_05.xlsx&amp;sheet=U0&amp;row=2807&amp;col=7&amp;number=0.0037&amp;sourceID=14","0.0037")</f>
        <v>0.0037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HYPERLINK("http://141.218.60.56/~jnz1568/getInfo.php?workbook=20_05.xlsx&amp;sheet=U0&amp;row=2808&amp;col=6&amp;number=3.4&amp;sourceID=14","3.4")</f>
        <v>3.4</v>
      </c>
      <c r="G2808" s="4" t="str">
        <f>HYPERLINK("http://141.218.60.56/~jnz1568/getInfo.php?workbook=20_05.xlsx&amp;sheet=U0&amp;row=2808&amp;col=7&amp;number=0.0037&amp;sourceID=14","0.0037")</f>
        <v>0.0037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HYPERLINK("http://141.218.60.56/~jnz1568/getInfo.php?workbook=20_05.xlsx&amp;sheet=U0&amp;row=2809&amp;col=6&amp;number=3.5&amp;sourceID=14","3.5")</f>
        <v>3.5</v>
      </c>
      <c r="G2809" s="4" t="str">
        <f>HYPERLINK("http://141.218.60.56/~jnz1568/getInfo.php?workbook=20_05.xlsx&amp;sheet=U0&amp;row=2809&amp;col=7&amp;number=0.0037&amp;sourceID=14","0.0037")</f>
        <v>0.0037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HYPERLINK("http://141.218.60.56/~jnz1568/getInfo.php?workbook=20_05.xlsx&amp;sheet=U0&amp;row=2810&amp;col=6&amp;number=3.6&amp;sourceID=14","3.6")</f>
        <v>3.6</v>
      </c>
      <c r="G2810" s="4" t="str">
        <f>HYPERLINK("http://141.218.60.56/~jnz1568/getInfo.php?workbook=20_05.xlsx&amp;sheet=U0&amp;row=2810&amp;col=7&amp;number=0.0037&amp;sourceID=14","0.0037")</f>
        <v>0.0037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HYPERLINK("http://141.218.60.56/~jnz1568/getInfo.php?workbook=20_05.xlsx&amp;sheet=U0&amp;row=2811&amp;col=6&amp;number=3.7&amp;sourceID=14","3.7")</f>
        <v>3.7</v>
      </c>
      <c r="G2811" s="4" t="str">
        <f>HYPERLINK("http://141.218.60.56/~jnz1568/getInfo.php?workbook=20_05.xlsx&amp;sheet=U0&amp;row=2811&amp;col=7&amp;number=0.0037&amp;sourceID=14","0.0037")</f>
        <v>0.0037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HYPERLINK("http://141.218.60.56/~jnz1568/getInfo.php?workbook=20_05.xlsx&amp;sheet=U0&amp;row=2812&amp;col=6&amp;number=3.8&amp;sourceID=14","3.8")</f>
        <v>3.8</v>
      </c>
      <c r="G2812" s="4" t="str">
        <f>HYPERLINK("http://141.218.60.56/~jnz1568/getInfo.php?workbook=20_05.xlsx&amp;sheet=U0&amp;row=2812&amp;col=7&amp;number=0.0037&amp;sourceID=14","0.0037")</f>
        <v>0.0037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HYPERLINK("http://141.218.60.56/~jnz1568/getInfo.php?workbook=20_05.xlsx&amp;sheet=U0&amp;row=2813&amp;col=6&amp;number=3.9&amp;sourceID=14","3.9")</f>
        <v>3.9</v>
      </c>
      <c r="G2813" s="4" t="str">
        <f>HYPERLINK("http://141.218.60.56/~jnz1568/getInfo.php?workbook=20_05.xlsx&amp;sheet=U0&amp;row=2813&amp;col=7&amp;number=0.0037&amp;sourceID=14","0.0037")</f>
        <v>0.0037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HYPERLINK("http://141.218.60.56/~jnz1568/getInfo.php?workbook=20_05.xlsx&amp;sheet=U0&amp;row=2814&amp;col=6&amp;number=4&amp;sourceID=14","4")</f>
        <v>4</v>
      </c>
      <c r="G2814" s="4" t="str">
        <f>HYPERLINK("http://141.218.60.56/~jnz1568/getInfo.php?workbook=20_05.xlsx&amp;sheet=U0&amp;row=2814&amp;col=7&amp;number=0.00371&amp;sourceID=14","0.00371")</f>
        <v>0.00371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HYPERLINK("http://141.218.60.56/~jnz1568/getInfo.php?workbook=20_05.xlsx&amp;sheet=U0&amp;row=2815&amp;col=6&amp;number=4.1&amp;sourceID=14","4.1")</f>
        <v>4.1</v>
      </c>
      <c r="G2815" s="4" t="str">
        <f>HYPERLINK("http://141.218.60.56/~jnz1568/getInfo.php?workbook=20_05.xlsx&amp;sheet=U0&amp;row=2815&amp;col=7&amp;number=0.00371&amp;sourceID=14","0.00371")</f>
        <v>0.00371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HYPERLINK("http://141.218.60.56/~jnz1568/getInfo.php?workbook=20_05.xlsx&amp;sheet=U0&amp;row=2816&amp;col=6&amp;number=4.2&amp;sourceID=14","4.2")</f>
        <v>4.2</v>
      </c>
      <c r="G2816" s="4" t="str">
        <f>HYPERLINK("http://141.218.60.56/~jnz1568/getInfo.php?workbook=20_05.xlsx&amp;sheet=U0&amp;row=2816&amp;col=7&amp;number=0.00371&amp;sourceID=14","0.00371")</f>
        <v>0.00371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HYPERLINK("http://141.218.60.56/~jnz1568/getInfo.php?workbook=20_05.xlsx&amp;sheet=U0&amp;row=2817&amp;col=6&amp;number=4.3&amp;sourceID=14","4.3")</f>
        <v>4.3</v>
      </c>
      <c r="G2817" s="4" t="str">
        <f>HYPERLINK("http://141.218.60.56/~jnz1568/getInfo.php?workbook=20_05.xlsx&amp;sheet=U0&amp;row=2817&amp;col=7&amp;number=0.00371&amp;sourceID=14","0.00371")</f>
        <v>0.00371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HYPERLINK("http://141.218.60.56/~jnz1568/getInfo.php?workbook=20_05.xlsx&amp;sheet=U0&amp;row=2818&amp;col=6&amp;number=4.4&amp;sourceID=14","4.4")</f>
        <v>4.4</v>
      </c>
      <c r="G2818" s="4" t="str">
        <f>HYPERLINK("http://141.218.60.56/~jnz1568/getInfo.php?workbook=20_05.xlsx&amp;sheet=U0&amp;row=2818&amp;col=7&amp;number=0.00371&amp;sourceID=14","0.00371")</f>
        <v>0.00371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HYPERLINK("http://141.218.60.56/~jnz1568/getInfo.php?workbook=20_05.xlsx&amp;sheet=U0&amp;row=2819&amp;col=6&amp;number=4.5&amp;sourceID=14","4.5")</f>
        <v>4.5</v>
      </c>
      <c r="G2819" s="4" t="str">
        <f>HYPERLINK("http://141.218.60.56/~jnz1568/getInfo.php?workbook=20_05.xlsx&amp;sheet=U0&amp;row=2819&amp;col=7&amp;number=0.00372&amp;sourceID=14","0.00372")</f>
        <v>0.00372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HYPERLINK("http://141.218.60.56/~jnz1568/getInfo.php?workbook=20_05.xlsx&amp;sheet=U0&amp;row=2820&amp;col=6&amp;number=4.6&amp;sourceID=14","4.6")</f>
        <v>4.6</v>
      </c>
      <c r="G2820" s="4" t="str">
        <f>HYPERLINK("http://141.218.60.56/~jnz1568/getInfo.php?workbook=20_05.xlsx&amp;sheet=U0&amp;row=2820&amp;col=7&amp;number=0.00372&amp;sourceID=14","0.00372")</f>
        <v>0.00372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HYPERLINK("http://141.218.60.56/~jnz1568/getInfo.php?workbook=20_05.xlsx&amp;sheet=U0&amp;row=2821&amp;col=6&amp;number=4.7&amp;sourceID=14","4.7")</f>
        <v>4.7</v>
      </c>
      <c r="G2821" s="4" t="str">
        <f>HYPERLINK("http://141.218.60.56/~jnz1568/getInfo.php?workbook=20_05.xlsx&amp;sheet=U0&amp;row=2821&amp;col=7&amp;number=0.00373&amp;sourceID=14","0.00373")</f>
        <v>0.00373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HYPERLINK("http://141.218.60.56/~jnz1568/getInfo.php?workbook=20_05.xlsx&amp;sheet=U0&amp;row=2822&amp;col=6&amp;number=4.8&amp;sourceID=14","4.8")</f>
        <v>4.8</v>
      </c>
      <c r="G2822" s="4" t="str">
        <f>HYPERLINK("http://141.218.60.56/~jnz1568/getInfo.php?workbook=20_05.xlsx&amp;sheet=U0&amp;row=2822&amp;col=7&amp;number=0.00373&amp;sourceID=14","0.00373")</f>
        <v>0.00373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HYPERLINK("http://141.218.60.56/~jnz1568/getInfo.php?workbook=20_05.xlsx&amp;sheet=U0&amp;row=2823&amp;col=6&amp;number=4.9&amp;sourceID=14","4.9")</f>
        <v>4.9</v>
      </c>
      <c r="G2823" s="4" t="str">
        <f>HYPERLINK("http://141.218.60.56/~jnz1568/getInfo.php?workbook=20_05.xlsx&amp;sheet=U0&amp;row=2823&amp;col=7&amp;number=0.00374&amp;sourceID=14","0.00374")</f>
        <v>0.00374</v>
      </c>
    </row>
    <row r="2824" spans="1:7">
      <c r="A2824" s="3">
        <v>20</v>
      </c>
      <c r="B2824" s="3">
        <v>5</v>
      </c>
      <c r="C2824" s="3">
        <v>1</v>
      </c>
      <c r="D2824" s="3">
        <v>97</v>
      </c>
      <c r="E2824" s="3">
        <v>1</v>
      </c>
      <c r="F2824" s="4" t="str">
        <f>HYPERLINK("http://141.218.60.56/~jnz1568/getInfo.php?workbook=20_05.xlsx&amp;sheet=U0&amp;row=2824&amp;col=6&amp;number=3&amp;sourceID=14","3")</f>
        <v>3</v>
      </c>
      <c r="G2824" s="4" t="str">
        <f>HYPERLINK("http://141.218.60.56/~jnz1568/getInfo.php?workbook=20_05.xlsx&amp;sheet=U0&amp;row=2824&amp;col=7&amp;number=0.00231&amp;sourceID=14","0.00231")</f>
        <v>0.00231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HYPERLINK("http://141.218.60.56/~jnz1568/getInfo.php?workbook=20_05.xlsx&amp;sheet=U0&amp;row=2825&amp;col=6&amp;number=3.1&amp;sourceID=14","3.1")</f>
        <v>3.1</v>
      </c>
      <c r="G2825" s="4" t="str">
        <f>HYPERLINK("http://141.218.60.56/~jnz1568/getInfo.php?workbook=20_05.xlsx&amp;sheet=U0&amp;row=2825&amp;col=7&amp;number=0.00231&amp;sourceID=14","0.00231")</f>
        <v>0.00231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HYPERLINK("http://141.218.60.56/~jnz1568/getInfo.php?workbook=20_05.xlsx&amp;sheet=U0&amp;row=2826&amp;col=6&amp;number=3.2&amp;sourceID=14","3.2")</f>
        <v>3.2</v>
      </c>
      <c r="G2826" s="4" t="str">
        <f>HYPERLINK("http://141.218.60.56/~jnz1568/getInfo.php?workbook=20_05.xlsx&amp;sheet=U0&amp;row=2826&amp;col=7&amp;number=0.00231&amp;sourceID=14","0.00231")</f>
        <v>0.00231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HYPERLINK("http://141.218.60.56/~jnz1568/getInfo.php?workbook=20_05.xlsx&amp;sheet=U0&amp;row=2827&amp;col=6&amp;number=3.3&amp;sourceID=14","3.3")</f>
        <v>3.3</v>
      </c>
      <c r="G2827" s="4" t="str">
        <f>HYPERLINK("http://141.218.60.56/~jnz1568/getInfo.php?workbook=20_05.xlsx&amp;sheet=U0&amp;row=2827&amp;col=7&amp;number=0.00231&amp;sourceID=14","0.00231")</f>
        <v>0.00231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HYPERLINK("http://141.218.60.56/~jnz1568/getInfo.php?workbook=20_05.xlsx&amp;sheet=U0&amp;row=2828&amp;col=6&amp;number=3.4&amp;sourceID=14","3.4")</f>
        <v>3.4</v>
      </c>
      <c r="G2828" s="4" t="str">
        <f>HYPERLINK("http://141.218.60.56/~jnz1568/getInfo.php?workbook=20_05.xlsx&amp;sheet=U0&amp;row=2828&amp;col=7&amp;number=0.00231&amp;sourceID=14","0.00231")</f>
        <v>0.00231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HYPERLINK("http://141.218.60.56/~jnz1568/getInfo.php?workbook=20_05.xlsx&amp;sheet=U0&amp;row=2829&amp;col=6&amp;number=3.5&amp;sourceID=14","3.5")</f>
        <v>3.5</v>
      </c>
      <c r="G2829" s="4" t="str">
        <f>HYPERLINK("http://141.218.60.56/~jnz1568/getInfo.php?workbook=20_05.xlsx&amp;sheet=U0&amp;row=2829&amp;col=7&amp;number=0.00231&amp;sourceID=14","0.00231")</f>
        <v>0.00231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HYPERLINK("http://141.218.60.56/~jnz1568/getInfo.php?workbook=20_05.xlsx&amp;sheet=U0&amp;row=2830&amp;col=6&amp;number=3.6&amp;sourceID=14","3.6")</f>
        <v>3.6</v>
      </c>
      <c r="G2830" s="4" t="str">
        <f>HYPERLINK("http://141.218.60.56/~jnz1568/getInfo.php?workbook=20_05.xlsx&amp;sheet=U0&amp;row=2830&amp;col=7&amp;number=0.00231&amp;sourceID=14","0.00231")</f>
        <v>0.00231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HYPERLINK("http://141.218.60.56/~jnz1568/getInfo.php?workbook=20_05.xlsx&amp;sheet=U0&amp;row=2831&amp;col=6&amp;number=3.7&amp;sourceID=14","3.7")</f>
        <v>3.7</v>
      </c>
      <c r="G2831" s="4" t="str">
        <f>HYPERLINK("http://141.218.60.56/~jnz1568/getInfo.php?workbook=20_05.xlsx&amp;sheet=U0&amp;row=2831&amp;col=7&amp;number=0.00231&amp;sourceID=14","0.00231")</f>
        <v>0.00231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HYPERLINK("http://141.218.60.56/~jnz1568/getInfo.php?workbook=20_05.xlsx&amp;sheet=U0&amp;row=2832&amp;col=6&amp;number=3.8&amp;sourceID=14","3.8")</f>
        <v>3.8</v>
      </c>
      <c r="G2832" s="4" t="str">
        <f>HYPERLINK("http://141.218.60.56/~jnz1568/getInfo.php?workbook=20_05.xlsx&amp;sheet=U0&amp;row=2832&amp;col=7&amp;number=0.00231&amp;sourceID=14","0.00231")</f>
        <v>0.00231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HYPERLINK("http://141.218.60.56/~jnz1568/getInfo.php?workbook=20_05.xlsx&amp;sheet=U0&amp;row=2833&amp;col=6&amp;number=3.9&amp;sourceID=14","3.9")</f>
        <v>3.9</v>
      </c>
      <c r="G2833" s="4" t="str">
        <f>HYPERLINK("http://141.218.60.56/~jnz1568/getInfo.php?workbook=20_05.xlsx&amp;sheet=U0&amp;row=2833&amp;col=7&amp;number=0.00231&amp;sourceID=14","0.00231")</f>
        <v>0.00231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HYPERLINK("http://141.218.60.56/~jnz1568/getInfo.php?workbook=20_05.xlsx&amp;sheet=U0&amp;row=2834&amp;col=6&amp;number=4&amp;sourceID=14","4")</f>
        <v>4</v>
      </c>
      <c r="G2834" s="4" t="str">
        <f>HYPERLINK("http://141.218.60.56/~jnz1568/getInfo.php?workbook=20_05.xlsx&amp;sheet=U0&amp;row=2834&amp;col=7&amp;number=0.00231&amp;sourceID=14","0.00231")</f>
        <v>0.00231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HYPERLINK("http://141.218.60.56/~jnz1568/getInfo.php?workbook=20_05.xlsx&amp;sheet=U0&amp;row=2835&amp;col=6&amp;number=4.1&amp;sourceID=14","4.1")</f>
        <v>4.1</v>
      </c>
      <c r="G2835" s="4" t="str">
        <f>HYPERLINK("http://141.218.60.56/~jnz1568/getInfo.php?workbook=20_05.xlsx&amp;sheet=U0&amp;row=2835&amp;col=7&amp;number=0.00231&amp;sourceID=14","0.00231")</f>
        <v>0.00231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HYPERLINK("http://141.218.60.56/~jnz1568/getInfo.php?workbook=20_05.xlsx&amp;sheet=U0&amp;row=2836&amp;col=6&amp;number=4.2&amp;sourceID=14","4.2")</f>
        <v>4.2</v>
      </c>
      <c r="G2836" s="4" t="str">
        <f>HYPERLINK("http://141.218.60.56/~jnz1568/getInfo.php?workbook=20_05.xlsx&amp;sheet=U0&amp;row=2836&amp;col=7&amp;number=0.00231&amp;sourceID=14","0.00231")</f>
        <v>0.00231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HYPERLINK("http://141.218.60.56/~jnz1568/getInfo.php?workbook=20_05.xlsx&amp;sheet=U0&amp;row=2837&amp;col=6&amp;number=4.3&amp;sourceID=14","4.3")</f>
        <v>4.3</v>
      </c>
      <c r="G2837" s="4" t="str">
        <f>HYPERLINK("http://141.218.60.56/~jnz1568/getInfo.php?workbook=20_05.xlsx&amp;sheet=U0&amp;row=2837&amp;col=7&amp;number=0.00231&amp;sourceID=14","0.00231")</f>
        <v>0.00231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HYPERLINK("http://141.218.60.56/~jnz1568/getInfo.php?workbook=20_05.xlsx&amp;sheet=U0&amp;row=2838&amp;col=6&amp;number=4.4&amp;sourceID=14","4.4")</f>
        <v>4.4</v>
      </c>
      <c r="G2838" s="4" t="str">
        <f>HYPERLINK("http://141.218.60.56/~jnz1568/getInfo.php?workbook=20_05.xlsx&amp;sheet=U0&amp;row=2838&amp;col=7&amp;number=0.00231&amp;sourceID=14","0.00231")</f>
        <v>0.00231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HYPERLINK("http://141.218.60.56/~jnz1568/getInfo.php?workbook=20_05.xlsx&amp;sheet=U0&amp;row=2839&amp;col=6&amp;number=4.5&amp;sourceID=14","4.5")</f>
        <v>4.5</v>
      </c>
      <c r="G2839" s="4" t="str">
        <f>HYPERLINK("http://141.218.60.56/~jnz1568/getInfo.php?workbook=20_05.xlsx&amp;sheet=U0&amp;row=2839&amp;col=7&amp;number=0.00232&amp;sourceID=14","0.00232")</f>
        <v>0.00232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HYPERLINK("http://141.218.60.56/~jnz1568/getInfo.php?workbook=20_05.xlsx&amp;sheet=U0&amp;row=2840&amp;col=6&amp;number=4.6&amp;sourceID=14","4.6")</f>
        <v>4.6</v>
      </c>
      <c r="G2840" s="4" t="str">
        <f>HYPERLINK("http://141.218.60.56/~jnz1568/getInfo.php?workbook=20_05.xlsx&amp;sheet=U0&amp;row=2840&amp;col=7&amp;number=0.00232&amp;sourceID=14","0.00232")</f>
        <v>0.00232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HYPERLINK("http://141.218.60.56/~jnz1568/getInfo.php?workbook=20_05.xlsx&amp;sheet=U0&amp;row=2841&amp;col=6&amp;number=4.7&amp;sourceID=14","4.7")</f>
        <v>4.7</v>
      </c>
      <c r="G2841" s="4" t="str">
        <f>HYPERLINK("http://141.218.60.56/~jnz1568/getInfo.php?workbook=20_05.xlsx&amp;sheet=U0&amp;row=2841&amp;col=7&amp;number=0.00232&amp;sourceID=14","0.00232")</f>
        <v>0.00232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HYPERLINK("http://141.218.60.56/~jnz1568/getInfo.php?workbook=20_05.xlsx&amp;sheet=U0&amp;row=2842&amp;col=6&amp;number=4.8&amp;sourceID=14","4.8")</f>
        <v>4.8</v>
      </c>
      <c r="G2842" s="4" t="str">
        <f>HYPERLINK("http://141.218.60.56/~jnz1568/getInfo.php?workbook=20_05.xlsx&amp;sheet=U0&amp;row=2842&amp;col=7&amp;number=0.00232&amp;sourceID=14","0.00232")</f>
        <v>0.00232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HYPERLINK("http://141.218.60.56/~jnz1568/getInfo.php?workbook=20_05.xlsx&amp;sheet=U0&amp;row=2843&amp;col=6&amp;number=4.9&amp;sourceID=14","4.9")</f>
        <v>4.9</v>
      </c>
      <c r="G2843" s="4" t="str">
        <f>HYPERLINK("http://141.218.60.56/~jnz1568/getInfo.php?workbook=20_05.xlsx&amp;sheet=U0&amp;row=2843&amp;col=7&amp;number=0.00233&amp;sourceID=14","0.00233")</f>
        <v>0.00233</v>
      </c>
    </row>
    <row r="2844" spans="1:7">
      <c r="A2844" s="3">
        <v>20</v>
      </c>
      <c r="B2844" s="3">
        <v>5</v>
      </c>
      <c r="C2844" s="3">
        <v>1</v>
      </c>
      <c r="D2844" s="3">
        <v>98</v>
      </c>
      <c r="E2844" s="3">
        <v>1</v>
      </c>
      <c r="F2844" s="4" t="str">
        <f>HYPERLINK("http://141.218.60.56/~jnz1568/getInfo.php?workbook=20_05.xlsx&amp;sheet=U0&amp;row=2844&amp;col=6&amp;number=3&amp;sourceID=14","3")</f>
        <v>3</v>
      </c>
      <c r="G2844" s="4" t="str">
        <f>HYPERLINK("http://141.218.60.56/~jnz1568/getInfo.php?workbook=20_05.xlsx&amp;sheet=U0&amp;row=2844&amp;col=7&amp;number=0.000167&amp;sourceID=14","0.000167")</f>
        <v>0.000167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HYPERLINK("http://141.218.60.56/~jnz1568/getInfo.php?workbook=20_05.xlsx&amp;sheet=U0&amp;row=2845&amp;col=6&amp;number=3.1&amp;sourceID=14","3.1")</f>
        <v>3.1</v>
      </c>
      <c r="G2845" s="4" t="str">
        <f>HYPERLINK("http://141.218.60.56/~jnz1568/getInfo.php?workbook=20_05.xlsx&amp;sheet=U0&amp;row=2845&amp;col=7&amp;number=0.000167&amp;sourceID=14","0.000167")</f>
        <v>0.000167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HYPERLINK("http://141.218.60.56/~jnz1568/getInfo.php?workbook=20_05.xlsx&amp;sheet=U0&amp;row=2846&amp;col=6&amp;number=3.2&amp;sourceID=14","3.2")</f>
        <v>3.2</v>
      </c>
      <c r="G2846" s="4" t="str">
        <f>HYPERLINK("http://141.218.60.56/~jnz1568/getInfo.php?workbook=20_05.xlsx&amp;sheet=U0&amp;row=2846&amp;col=7&amp;number=0.000167&amp;sourceID=14","0.000167")</f>
        <v>0.000167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HYPERLINK("http://141.218.60.56/~jnz1568/getInfo.php?workbook=20_05.xlsx&amp;sheet=U0&amp;row=2847&amp;col=6&amp;number=3.3&amp;sourceID=14","3.3")</f>
        <v>3.3</v>
      </c>
      <c r="G2847" s="4" t="str">
        <f>HYPERLINK("http://141.218.60.56/~jnz1568/getInfo.php?workbook=20_05.xlsx&amp;sheet=U0&amp;row=2847&amp;col=7&amp;number=0.000167&amp;sourceID=14","0.000167")</f>
        <v>0.000167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HYPERLINK("http://141.218.60.56/~jnz1568/getInfo.php?workbook=20_05.xlsx&amp;sheet=U0&amp;row=2848&amp;col=6&amp;number=3.4&amp;sourceID=14","3.4")</f>
        <v>3.4</v>
      </c>
      <c r="G2848" s="4" t="str">
        <f>HYPERLINK("http://141.218.60.56/~jnz1568/getInfo.php?workbook=20_05.xlsx&amp;sheet=U0&amp;row=2848&amp;col=7&amp;number=0.000167&amp;sourceID=14","0.000167")</f>
        <v>0.000167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HYPERLINK("http://141.218.60.56/~jnz1568/getInfo.php?workbook=20_05.xlsx&amp;sheet=U0&amp;row=2849&amp;col=6&amp;number=3.5&amp;sourceID=14","3.5")</f>
        <v>3.5</v>
      </c>
      <c r="G2849" s="4" t="str">
        <f>HYPERLINK("http://141.218.60.56/~jnz1568/getInfo.php?workbook=20_05.xlsx&amp;sheet=U0&amp;row=2849&amp;col=7&amp;number=0.000167&amp;sourceID=14","0.000167")</f>
        <v>0.000167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HYPERLINK("http://141.218.60.56/~jnz1568/getInfo.php?workbook=20_05.xlsx&amp;sheet=U0&amp;row=2850&amp;col=6&amp;number=3.6&amp;sourceID=14","3.6")</f>
        <v>3.6</v>
      </c>
      <c r="G2850" s="4" t="str">
        <f>HYPERLINK("http://141.218.60.56/~jnz1568/getInfo.php?workbook=20_05.xlsx&amp;sheet=U0&amp;row=2850&amp;col=7&amp;number=0.000167&amp;sourceID=14","0.000167")</f>
        <v>0.000167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HYPERLINK("http://141.218.60.56/~jnz1568/getInfo.php?workbook=20_05.xlsx&amp;sheet=U0&amp;row=2851&amp;col=6&amp;number=3.7&amp;sourceID=14","3.7")</f>
        <v>3.7</v>
      </c>
      <c r="G2851" s="4" t="str">
        <f>HYPERLINK("http://141.218.60.56/~jnz1568/getInfo.php?workbook=20_05.xlsx&amp;sheet=U0&amp;row=2851&amp;col=7&amp;number=0.000166&amp;sourceID=14","0.000166")</f>
        <v>0.000166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HYPERLINK("http://141.218.60.56/~jnz1568/getInfo.php?workbook=20_05.xlsx&amp;sheet=U0&amp;row=2852&amp;col=6&amp;number=3.8&amp;sourceID=14","3.8")</f>
        <v>3.8</v>
      </c>
      <c r="G2852" s="4" t="str">
        <f>HYPERLINK("http://141.218.60.56/~jnz1568/getInfo.php?workbook=20_05.xlsx&amp;sheet=U0&amp;row=2852&amp;col=7&amp;number=0.000166&amp;sourceID=14","0.000166")</f>
        <v>0.000166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HYPERLINK("http://141.218.60.56/~jnz1568/getInfo.php?workbook=20_05.xlsx&amp;sheet=U0&amp;row=2853&amp;col=6&amp;number=3.9&amp;sourceID=14","3.9")</f>
        <v>3.9</v>
      </c>
      <c r="G2853" s="4" t="str">
        <f>HYPERLINK("http://141.218.60.56/~jnz1568/getInfo.php?workbook=20_05.xlsx&amp;sheet=U0&amp;row=2853&amp;col=7&amp;number=0.000166&amp;sourceID=14","0.000166")</f>
        <v>0.000166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HYPERLINK("http://141.218.60.56/~jnz1568/getInfo.php?workbook=20_05.xlsx&amp;sheet=U0&amp;row=2854&amp;col=6&amp;number=4&amp;sourceID=14","4")</f>
        <v>4</v>
      </c>
      <c r="G2854" s="4" t="str">
        <f>HYPERLINK("http://141.218.60.56/~jnz1568/getInfo.php?workbook=20_05.xlsx&amp;sheet=U0&amp;row=2854&amp;col=7&amp;number=0.000166&amp;sourceID=14","0.000166")</f>
        <v>0.000166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HYPERLINK("http://141.218.60.56/~jnz1568/getInfo.php?workbook=20_05.xlsx&amp;sheet=U0&amp;row=2855&amp;col=6&amp;number=4.1&amp;sourceID=14","4.1")</f>
        <v>4.1</v>
      </c>
      <c r="G2855" s="4" t="str">
        <f>HYPERLINK("http://141.218.60.56/~jnz1568/getInfo.php?workbook=20_05.xlsx&amp;sheet=U0&amp;row=2855&amp;col=7&amp;number=0.000166&amp;sourceID=14","0.000166")</f>
        <v>0.000166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HYPERLINK("http://141.218.60.56/~jnz1568/getInfo.php?workbook=20_05.xlsx&amp;sheet=U0&amp;row=2856&amp;col=6&amp;number=4.2&amp;sourceID=14","4.2")</f>
        <v>4.2</v>
      </c>
      <c r="G2856" s="4" t="str">
        <f>HYPERLINK("http://141.218.60.56/~jnz1568/getInfo.php?workbook=20_05.xlsx&amp;sheet=U0&amp;row=2856&amp;col=7&amp;number=0.000166&amp;sourceID=14","0.000166")</f>
        <v>0.000166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HYPERLINK("http://141.218.60.56/~jnz1568/getInfo.php?workbook=20_05.xlsx&amp;sheet=U0&amp;row=2857&amp;col=6&amp;number=4.3&amp;sourceID=14","4.3")</f>
        <v>4.3</v>
      </c>
      <c r="G2857" s="4" t="str">
        <f>HYPERLINK("http://141.218.60.56/~jnz1568/getInfo.php?workbook=20_05.xlsx&amp;sheet=U0&amp;row=2857&amp;col=7&amp;number=0.000166&amp;sourceID=14","0.000166")</f>
        <v>0.000166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HYPERLINK("http://141.218.60.56/~jnz1568/getInfo.php?workbook=20_05.xlsx&amp;sheet=U0&amp;row=2858&amp;col=6&amp;number=4.4&amp;sourceID=14","4.4")</f>
        <v>4.4</v>
      </c>
      <c r="G2858" s="4" t="str">
        <f>HYPERLINK("http://141.218.60.56/~jnz1568/getInfo.php?workbook=20_05.xlsx&amp;sheet=U0&amp;row=2858&amp;col=7&amp;number=0.000166&amp;sourceID=14","0.000166")</f>
        <v>0.000166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HYPERLINK("http://141.218.60.56/~jnz1568/getInfo.php?workbook=20_05.xlsx&amp;sheet=U0&amp;row=2859&amp;col=6&amp;number=4.5&amp;sourceID=14","4.5")</f>
        <v>4.5</v>
      </c>
      <c r="G2859" s="4" t="str">
        <f>HYPERLINK("http://141.218.60.56/~jnz1568/getInfo.php?workbook=20_05.xlsx&amp;sheet=U0&amp;row=2859&amp;col=7&amp;number=0.000166&amp;sourceID=14","0.000166")</f>
        <v>0.000166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HYPERLINK("http://141.218.60.56/~jnz1568/getInfo.php?workbook=20_05.xlsx&amp;sheet=U0&amp;row=2860&amp;col=6&amp;number=4.6&amp;sourceID=14","4.6")</f>
        <v>4.6</v>
      </c>
      <c r="G2860" s="4" t="str">
        <f>HYPERLINK("http://141.218.60.56/~jnz1568/getInfo.php?workbook=20_05.xlsx&amp;sheet=U0&amp;row=2860&amp;col=7&amp;number=0.000166&amp;sourceID=14","0.000166")</f>
        <v>0.000166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HYPERLINK("http://141.218.60.56/~jnz1568/getInfo.php?workbook=20_05.xlsx&amp;sheet=U0&amp;row=2861&amp;col=6&amp;number=4.7&amp;sourceID=14","4.7")</f>
        <v>4.7</v>
      </c>
      <c r="G2861" s="4" t="str">
        <f>HYPERLINK("http://141.218.60.56/~jnz1568/getInfo.php?workbook=20_05.xlsx&amp;sheet=U0&amp;row=2861&amp;col=7&amp;number=0.000165&amp;sourceID=14","0.000165")</f>
        <v>0.000165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HYPERLINK("http://141.218.60.56/~jnz1568/getInfo.php?workbook=20_05.xlsx&amp;sheet=U0&amp;row=2862&amp;col=6&amp;number=4.8&amp;sourceID=14","4.8")</f>
        <v>4.8</v>
      </c>
      <c r="G2862" s="4" t="str">
        <f>HYPERLINK("http://141.218.60.56/~jnz1568/getInfo.php?workbook=20_05.xlsx&amp;sheet=U0&amp;row=2862&amp;col=7&amp;number=0.000165&amp;sourceID=14","0.000165")</f>
        <v>0.000165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HYPERLINK("http://141.218.60.56/~jnz1568/getInfo.php?workbook=20_05.xlsx&amp;sheet=U0&amp;row=2863&amp;col=6&amp;number=4.9&amp;sourceID=14","4.9")</f>
        <v>4.9</v>
      </c>
      <c r="G2863" s="4" t="str">
        <f>HYPERLINK("http://141.218.60.56/~jnz1568/getInfo.php?workbook=20_05.xlsx&amp;sheet=U0&amp;row=2863&amp;col=7&amp;number=0.000165&amp;sourceID=14","0.000165")</f>
        <v>0.000165</v>
      </c>
    </row>
    <row r="2864" spans="1:7">
      <c r="A2864" s="3">
        <v>20</v>
      </c>
      <c r="B2864" s="3">
        <v>5</v>
      </c>
      <c r="C2864" s="3">
        <v>1</v>
      </c>
      <c r="D2864" s="3">
        <v>99</v>
      </c>
      <c r="E2864" s="3">
        <v>1</v>
      </c>
      <c r="F2864" s="4" t="str">
        <f>HYPERLINK("http://141.218.60.56/~jnz1568/getInfo.php?workbook=20_05.xlsx&amp;sheet=U0&amp;row=2864&amp;col=6&amp;number=3&amp;sourceID=14","3")</f>
        <v>3</v>
      </c>
      <c r="G2864" s="4" t="str">
        <f>HYPERLINK("http://141.218.60.56/~jnz1568/getInfo.php?workbook=20_05.xlsx&amp;sheet=U0&amp;row=2864&amp;col=7&amp;number=7.6e-05&amp;sourceID=14","7.6e-05")</f>
        <v>7.6e-05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HYPERLINK("http://141.218.60.56/~jnz1568/getInfo.php?workbook=20_05.xlsx&amp;sheet=U0&amp;row=2865&amp;col=6&amp;number=3.1&amp;sourceID=14","3.1")</f>
        <v>3.1</v>
      </c>
      <c r="G2865" s="4" t="str">
        <f>HYPERLINK("http://141.218.60.56/~jnz1568/getInfo.php?workbook=20_05.xlsx&amp;sheet=U0&amp;row=2865&amp;col=7&amp;number=7.6e-05&amp;sourceID=14","7.6e-05")</f>
        <v>7.6e-05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HYPERLINK("http://141.218.60.56/~jnz1568/getInfo.php?workbook=20_05.xlsx&amp;sheet=U0&amp;row=2866&amp;col=6&amp;number=3.2&amp;sourceID=14","3.2")</f>
        <v>3.2</v>
      </c>
      <c r="G2866" s="4" t="str">
        <f>HYPERLINK("http://141.218.60.56/~jnz1568/getInfo.php?workbook=20_05.xlsx&amp;sheet=U0&amp;row=2866&amp;col=7&amp;number=7.6e-05&amp;sourceID=14","7.6e-05")</f>
        <v>7.6e-05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HYPERLINK("http://141.218.60.56/~jnz1568/getInfo.php?workbook=20_05.xlsx&amp;sheet=U0&amp;row=2867&amp;col=6&amp;number=3.3&amp;sourceID=14","3.3")</f>
        <v>3.3</v>
      </c>
      <c r="G2867" s="4" t="str">
        <f>HYPERLINK("http://141.218.60.56/~jnz1568/getInfo.php?workbook=20_05.xlsx&amp;sheet=U0&amp;row=2867&amp;col=7&amp;number=7.6e-05&amp;sourceID=14","7.6e-05")</f>
        <v>7.6e-05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HYPERLINK("http://141.218.60.56/~jnz1568/getInfo.php?workbook=20_05.xlsx&amp;sheet=U0&amp;row=2868&amp;col=6&amp;number=3.4&amp;sourceID=14","3.4")</f>
        <v>3.4</v>
      </c>
      <c r="G2868" s="4" t="str">
        <f>HYPERLINK("http://141.218.60.56/~jnz1568/getInfo.php?workbook=20_05.xlsx&amp;sheet=U0&amp;row=2868&amp;col=7&amp;number=7.6e-05&amp;sourceID=14","7.6e-05")</f>
        <v>7.6e-05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HYPERLINK("http://141.218.60.56/~jnz1568/getInfo.php?workbook=20_05.xlsx&amp;sheet=U0&amp;row=2869&amp;col=6&amp;number=3.5&amp;sourceID=14","3.5")</f>
        <v>3.5</v>
      </c>
      <c r="G2869" s="4" t="str">
        <f>HYPERLINK("http://141.218.60.56/~jnz1568/getInfo.php?workbook=20_05.xlsx&amp;sheet=U0&amp;row=2869&amp;col=7&amp;number=7.6e-05&amp;sourceID=14","7.6e-05")</f>
        <v>7.6e-05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HYPERLINK("http://141.218.60.56/~jnz1568/getInfo.php?workbook=20_05.xlsx&amp;sheet=U0&amp;row=2870&amp;col=6&amp;number=3.6&amp;sourceID=14","3.6")</f>
        <v>3.6</v>
      </c>
      <c r="G2870" s="4" t="str">
        <f>HYPERLINK("http://141.218.60.56/~jnz1568/getInfo.php?workbook=20_05.xlsx&amp;sheet=U0&amp;row=2870&amp;col=7&amp;number=7.6e-05&amp;sourceID=14","7.6e-05")</f>
        <v>7.6e-05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HYPERLINK("http://141.218.60.56/~jnz1568/getInfo.php?workbook=20_05.xlsx&amp;sheet=U0&amp;row=2871&amp;col=6&amp;number=3.7&amp;sourceID=14","3.7")</f>
        <v>3.7</v>
      </c>
      <c r="G2871" s="4" t="str">
        <f>HYPERLINK("http://141.218.60.56/~jnz1568/getInfo.php?workbook=20_05.xlsx&amp;sheet=U0&amp;row=2871&amp;col=7&amp;number=7.59e-05&amp;sourceID=14","7.59e-05")</f>
        <v>7.59e-05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HYPERLINK("http://141.218.60.56/~jnz1568/getInfo.php?workbook=20_05.xlsx&amp;sheet=U0&amp;row=2872&amp;col=6&amp;number=3.8&amp;sourceID=14","3.8")</f>
        <v>3.8</v>
      </c>
      <c r="G2872" s="4" t="str">
        <f>HYPERLINK("http://141.218.60.56/~jnz1568/getInfo.php?workbook=20_05.xlsx&amp;sheet=U0&amp;row=2872&amp;col=7&amp;number=7.59e-05&amp;sourceID=14","7.59e-05")</f>
        <v>7.59e-05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HYPERLINK("http://141.218.60.56/~jnz1568/getInfo.php?workbook=20_05.xlsx&amp;sheet=U0&amp;row=2873&amp;col=6&amp;number=3.9&amp;sourceID=14","3.9")</f>
        <v>3.9</v>
      </c>
      <c r="G2873" s="4" t="str">
        <f>HYPERLINK("http://141.218.60.56/~jnz1568/getInfo.php?workbook=20_05.xlsx&amp;sheet=U0&amp;row=2873&amp;col=7&amp;number=7.59e-05&amp;sourceID=14","7.59e-05")</f>
        <v>7.59e-05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HYPERLINK("http://141.218.60.56/~jnz1568/getInfo.php?workbook=20_05.xlsx&amp;sheet=U0&amp;row=2874&amp;col=6&amp;number=4&amp;sourceID=14","4")</f>
        <v>4</v>
      </c>
      <c r="G2874" s="4" t="str">
        <f>HYPERLINK("http://141.218.60.56/~jnz1568/getInfo.php?workbook=20_05.xlsx&amp;sheet=U0&amp;row=2874&amp;col=7&amp;number=7.59e-05&amp;sourceID=14","7.59e-05")</f>
        <v>7.59e-05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HYPERLINK("http://141.218.60.56/~jnz1568/getInfo.php?workbook=20_05.xlsx&amp;sheet=U0&amp;row=2875&amp;col=6&amp;number=4.1&amp;sourceID=14","4.1")</f>
        <v>4.1</v>
      </c>
      <c r="G2875" s="4" t="str">
        <f>HYPERLINK("http://141.218.60.56/~jnz1568/getInfo.php?workbook=20_05.xlsx&amp;sheet=U0&amp;row=2875&amp;col=7&amp;number=7.59e-05&amp;sourceID=14","7.59e-05")</f>
        <v>7.59e-05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HYPERLINK("http://141.218.60.56/~jnz1568/getInfo.php?workbook=20_05.xlsx&amp;sheet=U0&amp;row=2876&amp;col=6&amp;number=4.2&amp;sourceID=14","4.2")</f>
        <v>4.2</v>
      </c>
      <c r="G2876" s="4" t="str">
        <f>HYPERLINK("http://141.218.60.56/~jnz1568/getInfo.php?workbook=20_05.xlsx&amp;sheet=U0&amp;row=2876&amp;col=7&amp;number=7.58e-05&amp;sourceID=14","7.58e-05")</f>
        <v>7.58e-05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HYPERLINK("http://141.218.60.56/~jnz1568/getInfo.php?workbook=20_05.xlsx&amp;sheet=U0&amp;row=2877&amp;col=6&amp;number=4.3&amp;sourceID=14","4.3")</f>
        <v>4.3</v>
      </c>
      <c r="G2877" s="4" t="str">
        <f>HYPERLINK("http://141.218.60.56/~jnz1568/getInfo.php?workbook=20_05.xlsx&amp;sheet=U0&amp;row=2877&amp;col=7&amp;number=7.58e-05&amp;sourceID=14","7.58e-05")</f>
        <v>7.58e-05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HYPERLINK("http://141.218.60.56/~jnz1568/getInfo.php?workbook=20_05.xlsx&amp;sheet=U0&amp;row=2878&amp;col=6&amp;number=4.4&amp;sourceID=14","4.4")</f>
        <v>4.4</v>
      </c>
      <c r="G2878" s="4" t="str">
        <f>HYPERLINK("http://141.218.60.56/~jnz1568/getInfo.php?workbook=20_05.xlsx&amp;sheet=U0&amp;row=2878&amp;col=7&amp;number=7.58e-05&amp;sourceID=14","7.58e-05")</f>
        <v>7.58e-05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HYPERLINK("http://141.218.60.56/~jnz1568/getInfo.php?workbook=20_05.xlsx&amp;sheet=U0&amp;row=2879&amp;col=6&amp;number=4.5&amp;sourceID=14","4.5")</f>
        <v>4.5</v>
      </c>
      <c r="G2879" s="4" t="str">
        <f>HYPERLINK("http://141.218.60.56/~jnz1568/getInfo.php?workbook=20_05.xlsx&amp;sheet=U0&amp;row=2879&amp;col=7&amp;number=7.57e-05&amp;sourceID=14","7.57e-05")</f>
        <v>7.57e-05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HYPERLINK("http://141.218.60.56/~jnz1568/getInfo.php?workbook=20_05.xlsx&amp;sheet=U0&amp;row=2880&amp;col=6&amp;number=4.6&amp;sourceID=14","4.6")</f>
        <v>4.6</v>
      </c>
      <c r="G2880" s="4" t="str">
        <f>HYPERLINK("http://141.218.60.56/~jnz1568/getInfo.php?workbook=20_05.xlsx&amp;sheet=U0&amp;row=2880&amp;col=7&amp;number=7.56e-05&amp;sourceID=14","7.56e-05")</f>
        <v>7.56e-05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HYPERLINK("http://141.218.60.56/~jnz1568/getInfo.php?workbook=20_05.xlsx&amp;sheet=U0&amp;row=2881&amp;col=6&amp;number=4.7&amp;sourceID=14","4.7")</f>
        <v>4.7</v>
      </c>
      <c r="G2881" s="4" t="str">
        <f>HYPERLINK("http://141.218.60.56/~jnz1568/getInfo.php?workbook=20_05.xlsx&amp;sheet=U0&amp;row=2881&amp;col=7&amp;number=7.55e-05&amp;sourceID=14","7.55e-05")</f>
        <v>7.55e-05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HYPERLINK("http://141.218.60.56/~jnz1568/getInfo.php?workbook=20_05.xlsx&amp;sheet=U0&amp;row=2882&amp;col=6&amp;number=4.8&amp;sourceID=14","4.8")</f>
        <v>4.8</v>
      </c>
      <c r="G2882" s="4" t="str">
        <f>HYPERLINK("http://141.218.60.56/~jnz1568/getInfo.php?workbook=20_05.xlsx&amp;sheet=U0&amp;row=2882&amp;col=7&amp;number=7.54e-05&amp;sourceID=14","7.54e-05")</f>
        <v>7.54e-05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HYPERLINK("http://141.218.60.56/~jnz1568/getInfo.php?workbook=20_05.xlsx&amp;sheet=U0&amp;row=2883&amp;col=6&amp;number=4.9&amp;sourceID=14","4.9")</f>
        <v>4.9</v>
      </c>
      <c r="G2883" s="4" t="str">
        <f>HYPERLINK("http://141.218.60.56/~jnz1568/getInfo.php?workbook=20_05.xlsx&amp;sheet=U0&amp;row=2883&amp;col=7&amp;number=7.53e-05&amp;sourceID=14","7.53e-05")</f>
        <v>7.53e-05</v>
      </c>
    </row>
    <row r="2884" spans="1:7">
      <c r="A2884" s="3">
        <v>20</v>
      </c>
      <c r="B2884" s="3">
        <v>5</v>
      </c>
      <c r="C2884" s="3">
        <v>1</v>
      </c>
      <c r="D2884" s="3">
        <v>100</v>
      </c>
      <c r="E2884" s="3">
        <v>1</v>
      </c>
      <c r="F2884" s="4" t="str">
        <f>HYPERLINK("http://141.218.60.56/~jnz1568/getInfo.php?workbook=20_05.xlsx&amp;sheet=U0&amp;row=2884&amp;col=6&amp;number=3&amp;sourceID=14","3")</f>
        <v>3</v>
      </c>
      <c r="G2884" s="4" t="str">
        <f>HYPERLINK("http://141.218.60.56/~jnz1568/getInfo.php?workbook=20_05.xlsx&amp;sheet=U0&amp;row=2884&amp;col=7&amp;number=3.83e-05&amp;sourceID=14","3.83e-05")</f>
        <v>3.83e-05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HYPERLINK("http://141.218.60.56/~jnz1568/getInfo.php?workbook=20_05.xlsx&amp;sheet=U0&amp;row=2885&amp;col=6&amp;number=3.1&amp;sourceID=14","3.1")</f>
        <v>3.1</v>
      </c>
      <c r="G2885" s="4" t="str">
        <f>HYPERLINK("http://141.218.60.56/~jnz1568/getInfo.php?workbook=20_05.xlsx&amp;sheet=U0&amp;row=2885&amp;col=7&amp;number=3.83e-05&amp;sourceID=14","3.83e-05")</f>
        <v>3.83e-05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HYPERLINK("http://141.218.60.56/~jnz1568/getInfo.php?workbook=20_05.xlsx&amp;sheet=U0&amp;row=2886&amp;col=6&amp;number=3.2&amp;sourceID=14","3.2")</f>
        <v>3.2</v>
      </c>
      <c r="G2886" s="4" t="str">
        <f>HYPERLINK("http://141.218.60.56/~jnz1568/getInfo.php?workbook=20_05.xlsx&amp;sheet=U0&amp;row=2886&amp;col=7&amp;number=3.83e-05&amp;sourceID=14","3.83e-05")</f>
        <v>3.83e-05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HYPERLINK("http://141.218.60.56/~jnz1568/getInfo.php?workbook=20_05.xlsx&amp;sheet=U0&amp;row=2887&amp;col=6&amp;number=3.3&amp;sourceID=14","3.3")</f>
        <v>3.3</v>
      </c>
      <c r="G2887" s="4" t="str">
        <f>HYPERLINK("http://141.218.60.56/~jnz1568/getInfo.php?workbook=20_05.xlsx&amp;sheet=U0&amp;row=2887&amp;col=7&amp;number=3.83e-05&amp;sourceID=14","3.83e-05")</f>
        <v>3.83e-05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HYPERLINK("http://141.218.60.56/~jnz1568/getInfo.php?workbook=20_05.xlsx&amp;sheet=U0&amp;row=2888&amp;col=6&amp;number=3.4&amp;sourceID=14","3.4")</f>
        <v>3.4</v>
      </c>
      <c r="G2888" s="4" t="str">
        <f>HYPERLINK("http://141.218.60.56/~jnz1568/getInfo.php?workbook=20_05.xlsx&amp;sheet=U0&amp;row=2888&amp;col=7&amp;number=3.83e-05&amp;sourceID=14","3.83e-05")</f>
        <v>3.83e-05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HYPERLINK("http://141.218.60.56/~jnz1568/getInfo.php?workbook=20_05.xlsx&amp;sheet=U0&amp;row=2889&amp;col=6&amp;number=3.5&amp;sourceID=14","3.5")</f>
        <v>3.5</v>
      </c>
      <c r="G2889" s="4" t="str">
        <f>HYPERLINK("http://141.218.60.56/~jnz1568/getInfo.php?workbook=20_05.xlsx&amp;sheet=U0&amp;row=2889&amp;col=7&amp;number=3.83e-05&amp;sourceID=14","3.83e-05")</f>
        <v>3.83e-05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HYPERLINK("http://141.218.60.56/~jnz1568/getInfo.php?workbook=20_05.xlsx&amp;sheet=U0&amp;row=2890&amp;col=6&amp;number=3.6&amp;sourceID=14","3.6")</f>
        <v>3.6</v>
      </c>
      <c r="G2890" s="4" t="str">
        <f>HYPERLINK("http://141.218.60.56/~jnz1568/getInfo.php?workbook=20_05.xlsx&amp;sheet=U0&amp;row=2890&amp;col=7&amp;number=3.83e-05&amp;sourceID=14","3.83e-05")</f>
        <v>3.83e-05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HYPERLINK("http://141.218.60.56/~jnz1568/getInfo.php?workbook=20_05.xlsx&amp;sheet=U0&amp;row=2891&amp;col=6&amp;number=3.7&amp;sourceID=14","3.7")</f>
        <v>3.7</v>
      </c>
      <c r="G2891" s="4" t="str">
        <f>HYPERLINK("http://141.218.60.56/~jnz1568/getInfo.php?workbook=20_05.xlsx&amp;sheet=U0&amp;row=2891&amp;col=7&amp;number=3.83e-05&amp;sourceID=14","3.83e-05")</f>
        <v>3.83e-05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HYPERLINK("http://141.218.60.56/~jnz1568/getInfo.php?workbook=20_05.xlsx&amp;sheet=U0&amp;row=2892&amp;col=6&amp;number=3.8&amp;sourceID=14","3.8")</f>
        <v>3.8</v>
      </c>
      <c r="G2892" s="4" t="str">
        <f>HYPERLINK("http://141.218.60.56/~jnz1568/getInfo.php?workbook=20_05.xlsx&amp;sheet=U0&amp;row=2892&amp;col=7&amp;number=3.83e-05&amp;sourceID=14","3.83e-05")</f>
        <v>3.83e-05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HYPERLINK("http://141.218.60.56/~jnz1568/getInfo.php?workbook=20_05.xlsx&amp;sheet=U0&amp;row=2893&amp;col=6&amp;number=3.9&amp;sourceID=14","3.9")</f>
        <v>3.9</v>
      </c>
      <c r="G2893" s="4" t="str">
        <f>HYPERLINK("http://141.218.60.56/~jnz1568/getInfo.php?workbook=20_05.xlsx&amp;sheet=U0&amp;row=2893&amp;col=7&amp;number=3.82e-05&amp;sourceID=14","3.82e-05")</f>
        <v>3.82e-05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HYPERLINK("http://141.218.60.56/~jnz1568/getInfo.php?workbook=20_05.xlsx&amp;sheet=U0&amp;row=2894&amp;col=6&amp;number=4&amp;sourceID=14","4")</f>
        <v>4</v>
      </c>
      <c r="G2894" s="4" t="str">
        <f>HYPERLINK("http://141.218.60.56/~jnz1568/getInfo.php?workbook=20_05.xlsx&amp;sheet=U0&amp;row=2894&amp;col=7&amp;number=3.82e-05&amp;sourceID=14","3.82e-05")</f>
        <v>3.82e-05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HYPERLINK("http://141.218.60.56/~jnz1568/getInfo.php?workbook=20_05.xlsx&amp;sheet=U0&amp;row=2895&amp;col=6&amp;number=4.1&amp;sourceID=14","4.1")</f>
        <v>4.1</v>
      </c>
      <c r="G2895" s="4" t="str">
        <f>HYPERLINK("http://141.218.60.56/~jnz1568/getInfo.php?workbook=20_05.xlsx&amp;sheet=U0&amp;row=2895&amp;col=7&amp;number=3.82e-05&amp;sourceID=14","3.82e-05")</f>
        <v>3.82e-05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HYPERLINK("http://141.218.60.56/~jnz1568/getInfo.php?workbook=20_05.xlsx&amp;sheet=U0&amp;row=2896&amp;col=6&amp;number=4.2&amp;sourceID=14","4.2")</f>
        <v>4.2</v>
      </c>
      <c r="G2896" s="4" t="str">
        <f>HYPERLINK("http://141.218.60.56/~jnz1568/getInfo.php?workbook=20_05.xlsx&amp;sheet=U0&amp;row=2896&amp;col=7&amp;number=3.82e-05&amp;sourceID=14","3.82e-05")</f>
        <v>3.82e-05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HYPERLINK("http://141.218.60.56/~jnz1568/getInfo.php?workbook=20_05.xlsx&amp;sheet=U0&amp;row=2897&amp;col=6&amp;number=4.3&amp;sourceID=14","4.3")</f>
        <v>4.3</v>
      </c>
      <c r="G2897" s="4" t="str">
        <f>HYPERLINK("http://141.218.60.56/~jnz1568/getInfo.php?workbook=20_05.xlsx&amp;sheet=U0&amp;row=2897&amp;col=7&amp;number=3.82e-05&amp;sourceID=14","3.82e-05")</f>
        <v>3.82e-05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HYPERLINK("http://141.218.60.56/~jnz1568/getInfo.php?workbook=20_05.xlsx&amp;sheet=U0&amp;row=2898&amp;col=6&amp;number=4.4&amp;sourceID=14","4.4")</f>
        <v>4.4</v>
      </c>
      <c r="G2898" s="4" t="str">
        <f>HYPERLINK("http://141.218.60.56/~jnz1568/getInfo.php?workbook=20_05.xlsx&amp;sheet=U0&amp;row=2898&amp;col=7&amp;number=3.81e-05&amp;sourceID=14","3.81e-05")</f>
        <v>3.81e-05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HYPERLINK("http://141.218.60.56/~jnz1568/getInfo.php?workbook=20_05.xlsx&amp;sheet=U0&amp;row=2899&amp;col=6&amp;number=4.5&amp;sourceID=14","4.5")</f>
        <v>4.5</v>
      </c>
      <c r="G2899" s="4" t="str">
        <f>HYPERLINK("http://141.218.60.56/~jnz1568/getInfo.php?workbook=20_05.xlsx&amp;sheet=U0&amp;row=2899&amp;col=7&amp;number=3.81e-05&amp;sourceID=14","3.81e-05")</f>
        <v>3.81e-05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HYPERLINK("http://141.218.60.56/~jnz1568/getInfo.php?workbook=20_05.xlsx&amp;sheet=U0&amp;row=2900&amp;col=6&amp;number=4.6&amp;sourceID=14","4.6")</f>
        <v>4.6</v>
      </c>
      <c r="G2900" s="4" t="str">
        <f>HYPERLINK("http://141.218.60.56/~jnz1568/getInfo.php?workbook=20_05.xlsx&amp;sheet=U0&amp;row=2900&amp;col=7&amp;number=3.8e-05&amp;sourceID=14","3.8e-05")</f>
        <v>3.8e-05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HYPERLINK("http://141.218.60.56/~jnz1568/getInfo.php?workbook=20_05.xlsx&amp;sheet=U0&amp;row=2901&amp;col=6&amp;number=4.7&amp;sourceID=14","4.7")</f>
        <v>4.7</v>
      </c>
      <c r="G2901" s="4" t="str">
        <f>HYPERLINK("http://141.218.60.56/~jnz1568/getInfo.php?workbook=20_05.xlsx&amp;sheet=U0&amp;row=2901&amp;col=7&amp;number=3.8e-05&amp;sourceID=14","3.8e-05")</f>
        <v>3.8e-05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HYPERLINK("http://141.218.60.56/~jnz1568/getInfo.php?workbook=20_05.xlsx&amp;sheet=U0&amp;row=2902&amp;col=6&amp;number=4.8&amp;sourceID=14","4.8")</f>
        <v>4.8</v>
      </c>
      <c r="G2902" s="4" t="str">
        <f>HYPERLINK("http://141.218.60.56/~jnz1568/getInfo.php?workbook=20_05.xlsx&amp;sheet=U0&amp;row=2902&amp;col=7&amp;number=3.79e-05&amp;sourceID=14","3.79e-05")</f>
        <v>3.79e-05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HYPERLINK("http://141.218.60.56/~jnz1568/getInfo.php?workbook=20_05.xlsx&amp;sheet=U0&amp;row=2903&amp;col=6&amp;number=4.9&amp;sourceID=14","4.9")</f>
        <v>4.9</v>
      </c>
      <c r="G2903" s="4" t="str">
        <f>HYPERLINK("http://141.218.60.56/~jnz1568/getInfo.php?workbook=20_05.xlsx&amp;sheet=U0&amp;row=2903&amp;col=7&amp;number=3.78e-05&amp;sourceID=14","3.78e-05")</f>
        <v>3.78e-05</v>
      </c>
    </row>
    <row r="2904" spans="1:7">
      <c r="A2904" s="3">
        <v>20</v>
      </c>
      <c r="B2904" s="3">
        <v>5</v>
      </c>
      <c r="C2904" s="3">
        <v>1</v>
      </c>
      <c r="D2904" s="3">
        <v>101</v>
      </c>
      <c r="E2904" s="3">
        <v>1</v>
      </c>
      <c r="F2904" s="4" t="str">
        <f>HYPERLINK("http://141.218.60.56/~jnz1568/getInfo.php?workbook=20_05.xlsx&amp;sheet=U0&amp;row=2904&amp;col=6&amp;number=3&amp;sourceID=14","3")</f>
        <v>3</v>
      </c>
      <c r="G2904" s="4" t="str">
        <f>HYPERLINK("http://141.218.60.56/~jnz1568/getInfo.php?workbook=20_05.xlsx&amp;sheet=U0&amp;row=2904&amp;col=7&amp;number=2.77e-05&amp;sourceID=14","2.77e-05")</f>
        <v>2.77e-05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HYPERLINK("http://141.218.60.56/~jnz1568/getInfo.php?workbook=20_05.xlsx&amp;sheet=U0&amp;row=2905&amp;col=6&amp;number=3.1&amp;sourceID=14","3.1")</f>
        <v>3.1</v>
      </c>
      <c r="G2905" s="4" t="str">
        <f>HYPERLINK("http://141.218.60.56/~jnz1568/getInfo.php?workbook=20_05.xlsx&amp;sheet=U0&amp;row=2905&amp;col=7&amp;number=2.77e-05&amp;sourceID=14","2.77e-05")</f>
        <v>2.77e-05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HYPERLINK("http://141.218.60.56/~jnz1568/getInfo.php?workbook=20_05.xlsx&amp;sheet=U0&amp;row=2906&amp;col=6&amp;number=3.2&amp;sourceID=14","3.2")</f>
        <v>3.2</v>
      </c>
      <c r="G2906" s="4" t="str">
        <f>HYPERLINK("http://141.218.60.56/~jnz1568/getInfo.php?workbook=20_05.xlsx&amp;sheet=U0&amp;row=2906&amp;col=7&amp;number=2.77e-05&amp;sourceID=14","2.77e-05")</f>
        <v>2.77e-05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HYPERLINK("http://141.218.60.56/~jnz1568/getInfo.php?workbook=20_05.xlsx&amp;sheet=U0&amp;row=2907&amp;col=6&amp;number=3.3&amp;sourceID=14","3.3")</f>
        <v>3.3</v>
      </c>
      <c r="G2907" s="4" t="str">
        <f>HYPERLINK("http://141.218.60.56/~jnz1568/getInfo.php?workbook=20_05.xlsx&amp;sheet=U0&amp;row=2907&amp;col=7&amp;number=2.77e-05&amp;sourceID=14","2.77e-05")</f>
        <v>2.77e-05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HYPERLINK("http://141.218.60.56/~jnz1568/getInfo.php?workbook=20_05.xlsx&amp;sheet=U0&amp;row=2908&amp;col=6&amp;number=3.4&amp;sourceID=14","3.4")</f>
        <v>3.4</v>
      </c>
      <c r="G2908" s="4" t="str">
        <f>HYPERLINK("http://141.218.60.56/~jnz1568/getInfo.php?workbook=20_05.xlsx&amp;sheet=U0&amp;row=2908&amp;col=7&amp;number=2.77e-05&amp;sourceID=14","2.77e-05")</f>
        <v>2.77e-05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HYPERLINK("http://141.218.60.56/~jnz1568/getInfo.php?workbook=20_05.xlsx&amp;sheet=U0&amp;row=2909&amp;col=6&amp;number=3.5&amp;sourceID=14","3.5")</f>
        <v>3.5</v>
      </c>
      <c r="G2909" s="4" t="str">
        <f>HYPERLINK("http://141.218.60.56/~jnz1568/getInfo.php?workbook=20_05.xlsx&amp;sheet=U0&amp;row=2909&amp;col=7&amp;number=2.77e-05&amp;sourceID=14","2.77e-05")</f>
        <v>2.77e-05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HYPERLINK("http://141.218.60.56/~jnz1568/getInfo.php?workbook=20_05.xlsx&amp;sheet=U0&amp;row=2910&amp;col=6&amp;number=3.6&amp;sourceID=14","3.6")</f>
        <v>3.6</v>
      </c>
      <c r="G2910" s="4" t="str">
        <f>HYPERLINK("http://141.218.60.56/~jnz1568/getInfo.php?workbook=20_05.xlsx&amp;sheet=U0&amp;row=2910&amp;col=7&amp;number=2.77e-05&amp;sourceID=14","2.77e-05")</f>
        <v>2.77e-05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HYPERLINK("http://141.218.60.56/~jnz1568/getInfo.php?workbook=20_05.xlsx&amp;sheet=U0&amp;row=2911&amp;col=6&amp;number=3.7&amp;sourceID=14","3.7")</f>
        <v>3.7</v>
      </c>
      <c r="G2911" s="4" t="str">
        <f>HYPERLINK("http://141.218.60.56/~jnz1568/getInfo.php?workbook=20_05.xlsx&amp;sheet=U0&amp;row=2911&amp;col=7&amp;number=2.77e-05&amp;sourceID=14","2.77e-05")</f>
        <v>2.77e-05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HYPERLINK("http://141.218.60.56/~jnz1568/getInfo.php?workbook=20_05.xlsx&amp;sheet=U0&amp;row=2912&amp;col=6&amp;number=3.8&amp;sourceID=14","3.8")</f>
        <v>3.8</v>
      </c>
      <c r="G2912" s="4" t="str">
        <f>HYPERLINK("http://141.218.60.56/~jnz1568/getInfo.php?workbook=20_05.xlsx&amp;sheet=U0&amp;row=2912&amp;col=7&amp;number=2.77e-05&amp;sourceID=14","2.77e-05")</f>
        <v>2.77e-05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HYPERLINK("http://141.218.60.56/~jnz1568/getInfo.php?workbook=20_05.xlsx&amp;sheet=U0&amp;row=2913&amp;col=6&amp;number=3.9&amp;sourceID=14","3.9")</f>
        <v>3.9</v>
      </c>
      <c r="G2913" s="4" t="str">
        <f>HYPERLINK("http://141.218.60.56/~jnz1568/getInfo.php?workbook=20_05.xlsx&amp;sheet=U0&amp;row=2913&amp;col=7&amp;number=2.77e-05&amp;sourceID=14","2.77e-05")</f>
        <v>2.77e-05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HYPERLINK("http://141.218.60.56/~jnz1568/getInfo.php?workbook=20_05.xlsx&amp;sheet=U0&amp;row=2914&amp;col=6&amp;number=4&amp;sourceID=14","4")</f>
        <v>4</v>
      </c>
      <c r="G2914" s="4" t="str">
        <f>HYPERLINK("http://141.218.60.56/~jnz1568/getInfo.php?workbook=20_05.xlsx&amp;sheet=U0&amp;row=2914&amp;col=7&amp;number=2.76e-05&amp;sourceID=14","2.76e-05")</f>
        <v>2.76e-05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HYPERLINK("http://141.218.60.56/~jnz1568/getInfo.php?workbook=20_05.xlsx&amp;sheet=U0&amp;row=2915&amp;col=6&amp;number=4.1&amp;sourceID=14","4.1")</f>
        <v>4.1</v>
      </c>
      <c r="G2915" s="4" t="str">
        <f>HYPERLINK("http://141.218.60.56/~jnz1568/getInfo.php?workbook=20_05.xlsx&amp;sheet=U0&amp;row=2915&amp;col=7&amp;number=2.76e-05&amp;sourceID=14","2.76e-05")</f>
        <v>2.76e-05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HYPERLINK("http://141.218.60.56/~jnz1568/getInfo.php?workbook=20_05.xlsx&amp;sheet=U0&amp;row=2916&amp;col=6&amp;number=4.2&amp;sourceID=14","4.2")</f>
        <v>4.2</v>
      </c>
      <c r="G2916" s="4" t="str">
        <f>HYPERLINK("http://141.218.60.56/~jnz1568/getInfo.php?workbook=20_05.xlsx&amp;sheet=U0&amp;row=2916&amp;col=7&amp;number=2.76e-05&amp;sourceID=14","2.76e-05")</f>
        <v>2.76e-05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HYPERLINK("http://141.218.60.56/~jnz1568/getInfo.php?workbook=20_05.xlsx&amp;sheet=U0&amp;row=2917&amp;col=6&amp;number=4.3&amp;sourceID=14","4.3")</f>
        <v>4.3</v>
      </c>
      <c r="G2917" s="4" t="str">
        <f>HYPERLINK("http://141.218.60.56/~jnz1568/getInfo.php?workbook=20_05.xlsx&amp;sheet=U0&amp;row=2917&amp;col=7&amp;number=2.76e-05&amp;sourceID=14","2.76e-05")</f>
        <v>2.76e-05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HYPERLINK("http://141.218.60.56/~jnz1568/getInfo.php?workbook=20_05.xlsx&amp;sheet=U0&amp;row=2918&amp;col=6&amp;number=4.4&amp;sourceID=14","4.4")</f>
        <v>4.4</v>
      </c>
      <c r="G2918" s="4" t="str">
        <f>HYPERLINK("http://141.218.60.56/~jnz1568/getInfo.php?workbook=20_05.xlsx&amp;sheet=U0&amp;row=2918&amp;col=7&amp;number=2.76e-05&amp;sourceID=14","2.76e-05")</f>
        <v>2.76e-05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HYPERLINK("http://141.218.60.56/~jnz1568/getInfo.php?workbook=20_05.xlsx&amp;sheet=U0&amp;row=2919&amp;col=6&amp;number=4.5&amp;sourceID=14","4.5")</f>
        <v>4.5</v>
      </c>
      <c r="G2919" s="4" t="str">
        <f>HYPERLINK("http://141.218.60.56/~jnz1568/getInfo.php?workbook=20_05.xlsx&amp;sheet=U0&amp;row=2919&amp;col=7&amp;number=2.75e-05&amp;sourceID=14","2.75e-05")</f>
        <v>2.75e-05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HYPERLINK("http://141.218.60.56/~jnz1568/getInfo.php?workbook=20_05.xlsx&amp;sheet=U0&amp;row=2920&amp;col=6&amp;number=4.6&amp;sourceID=14","4.6")</f>
        <v>4.6</v>
      </c>
      <c r="G2920" s="4" t="str">
        <f>HYPERLINK("http://141.218.60.56/~jnz1568/getInfo.php?workbook=20_05.xlsx&amp;sheet=U0&amp;row=2920&amp;col=7&amp;number=2.75e-05&amp;sourceID=14","2.75e-05")</f>
        <v>2.75e-05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HYPERLINK("http://141.218.60.56/~jnz1568/getInfo.php?workbook=20_05.xlsx&amp;sheet=U0&amp;row=2921&amp;col=6&amp;number=4.7&amp;sourceID=14","4.7")</f>
        <v>4.7</v>
      </c>
      <c r="G2921" s="4" t="str">
        <f>HYPERLINK("http://141.218.60.56/~jnz1568/getInfo.php?workbook=20_05.xlsx&amp;sheet=U0&amp;row=2921&amp;col=7&amp;number=2.74e-05&amp;sourceID=14","2.74e-05")</f>
        <v>2.74e-05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HYPERLINK("http://141.218.60.56/~jnz1568/getInfo.php?workbook=20_05.xlsx&amp;sheet=U0&amp;row=2922&amp;col=6&amp;number=4.8&amp;sourceID=14","4.8")</f>
        <v>4.8</v>
      </c>
      <c r="G2922" s="4" t="str">
        <f>HYPERLINK("http://141.218.60.56/~jnz1568/getInfo.php?workbook=20_05.xlsx&amp;sheet=U0&amp;row=2922&amp;col=7&amp;number=2.73e-05&amp;sourceID=14","2.73e-05")</f>
        <v>2.73e-05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HYPERLINK("http://141.218.60.56/~jnz1568/getInfo.php?workbook=20_05.xlsx&amp;sheet=U0&amp;row=2923&amp;col=6&amp;number=4.9&amp;sourceID=14","4.9")</f>
        <v>4.9</v>
      </c>
      <c r="G2923" s="4" t="str">
        <f>HYPERLINK("http://141.218.60.56/~jnz1568/getInfo.php?workbook=20_05.xlsx&amp;sheet=U0&amp;row=2923&amp;col=7&amp;number=2.72e-05&amp;sourceID=14","2.72e-05")</f>
        <v>2.72e-05</v>
      </c>
    </row>
    <row r="2924" spans="1:7">
      <c r="A2924" s="3">
        <v>20</v>
      </c>
      <c r="B2924" s="3">
        <v>5</v>
      </c>
      <c r="C2924" s="3">
        <v>1</v>
      </c>
      <c r="D2924" s="3">
        <v>102</v>
      </c>
      <c r="E2924" s="3">
        <v>1</v>
      </c>
      <c r="F2924" s="4" t="str">
        <f>HYPERLINK("http://141.218.60.56/~jnz1568/getInfo.php?workbook=20_05.xlsx&amp;sheet=U0&amp;row=2924&amp;col=6&amp;number=3&amp;sourceID=14","3")</f>
        <v>3</v>
      </c>
      <c r="G2924" s="4" t="str">
        <f>HYPERLINK("http://141.218.60.56/~jnz1568/getInfo.php?workbook=20_05.xlsx&amp;sheet=U0&amp;row=2924&amp;col=7&amp;number=5.06e-05&amp;sourceID=14","5.06e-05")</f>
        <v>5.06e-05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HYPERLINK("http://141.218.60.56/~jnz1568/getInfo.php?workbook=20_05.xlsx&amp;sheet=U0&amp;row=2925&amp;col=6&amp;number=3.1&amp;sourceID=14","3.1")</f>
        <v>3.1</v>
      </c>
      <c r="G2925" s="4" t="str">
        <f>HYPERLINK("http://141.218.60.56/~jnz1568/getInfo.php?workbook=20_05.xlsx&amp;sheet=U0&amp;row=2925&amp;col=7&amp;number=5.06e-05&amp;sourceID=14","5.06e-05")</f>
        <v>5.06e-05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HYPERLINK("http://141.218.60.56/~jnz1568/getInfo.php?workbook=20_05.xlsx&amp;sheet=U0&amp;row=2926&amp;col=6&amp;number=3.2&amp;sourceID=14","3.2")</f>
        <v>3.2</v>
      </c>
      <c r="G2926" s="4" t="str">
        <f>HYPERLINK("http://141.218.60.56/~jnz1568/getInfo.php?workbook=20_05.xlsx&amp;sheet=U0&amp;row=2926&amp;col=7&amp;number=5.06e-05&amp;sourceID=14","5.06e-05")</f>
        <v>5.06e-05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HYPERLINK("http://141.218.60.56/~jnz1568/getInfo.php?workbook=20_05.xlsx&amp;sheet=U0&amp;row=2927&amp;col=6&amp;number=3.3&amp;sourceID=14","3.3")</f>
        <v>3.3</v>
      </c>
      <c r="G2927" s="4" t="str">
        <f>HYPERLINK("http://141.218.60.56/~jnz1568/getInfo.php?workbook=20_05.xlsx&amp;sheet=U0&amp;row=2927&amp;col=7&amp;number=5.06e-05&amp;sourceID=14","5.06e-05")</f>
        <v>5.06e-05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HYPERLINK("http://141.218.60.56/~jnz1568/getInfo.php?workbook=20_05.xlsx&amp;sheet=U0&amp;row=2928&amp;col=6&amp;number=3.4&amp;sourceID=14","3.4")</f>
        <v>3.4</v>
      </c>
      <c r="G2928" s="4" t="str">
        <f>HYPERLINK("http://141.218.60.56/~jnz1568/getInfo.php?workbook=20_05.xlsx&amp;sheet=U0&amp;row=2928&amp;col=7&amp;number=5.06e-05&amp;sourceID=14","5.06e-05")</f>
        <v>5.06e-05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HYPERLINK("http://141.218.60.56/~jnz1568/getInfo.php?workbook=20_05.xlsx&amp;sheet=U0&amp;row=2929&amp;col=6&amp;number=3.5&amp;sourceID=14","3.5")</f>
        <v>3.5</v>
      </c>
      <c r="G2929" s="4" t="str">
        <f>HYPERLINK("http://141.218.60.56/~jnz1568/getInfo.php?workbook=20_05.xlsx&amp;sheet=U0&amp;row=2929&amp;col=7&amp;number=5.07e-05&amp;sourceID=14","5.07e-05")</f>
        <v>5.07e-05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HYPERLINK("http://141.218.60.56/~jnz1568/getInfo.php?workbook=20_05.xlsx&amp;sheet=U0&amp;row=2930&amp;col=6&amp;number=3.6&amp;sourceID=14","3.6")</f>
        <v>3.6</v>
      </c>
      <c r="G2930" s="4" t="str">
        <f>HYPERLINK("http://141.218.60.56/~jnz1568/getInfo.php?workbook=20_05.xlsx&amp;sheet=U0&amp;row=2930&amp;col=7&amp;number=5.07e-05&amp;sourceID=14","5.07e-05")</f>
        <v>5.07e-05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HYPERLINK("http://141.218.60.56/~jnz1568/getInfo.php?workbook=20_05.xlsx&amp;sheet=U0&amp;row=2931&amp;col=6&amp;number=3.7&amp;sourceID=14","3.7")</f>
        <v>3.7</v>
      </c>
      <c r="G2931" s="4" t="str">
        <f>HYPERLINK("http://141.218.60.56/~jnz1568/getInfo.php?workbook=20_05.xlsx&amp;sheet=U0&amp;row=2931&amp;col=7&amp;number=5.07e-05&amp;sourceID=14","5.07e-05")</f>
        <v>5.07e-05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HYPERLINK("http://141.218.60.56/~jnz1568/getInfo.php?workbook=20_05.xlsx&amp;sheet=U0&amp;row=2932&amp;col=6&amp;number=3.8&amp;sourceID=14","3.8")</f>
        <v>3.8</v>
      </c>
      <c r="G2932" s="4" t="str">
        <f>HYPERLINK("http://141.218.60.56/~jnz1568/getInfo.php?workbook=20_05.xlsx&amp;sheet=U0&amp;row=2932&amp;col=7&amp;number=5.07e-05&amp;sourceID=14","5.07e-05")</f>
        <v>5.07e-05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HYPERLINK("http://141.218.60.56/~jnz1568/getInfo.php?workbook=20_05.xlsx&amp;sheet=U0&amp;row=2933&amp;col=6&amp;number=3.9&amp;sourceID=14","3.9")</f>
        <v>3.9</v>
      </c>
      <c r="G2933" s="4" t="str">
        <f>HYPERLINK("http://141.218.60.56/~jnz1568/getInfo.php?workbook=20_05.xlsx&amp;sheet=U0&amp;row=2933&amp;col=7&amp;number=5.07e-05&amp;sourceID=14","5.07e-05")</f>
        <v>5.07e-05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HYPERLINK("http://141.218.60.56/~jnz1568/getInfo.php?workbook=20_05.xlsx&amp;sheet=U0&amp;row=2934&amp;col=6&amp;number=4&amp;sourceID=14","4")</f>
        <v>4</v>
      </c>
      <c r="G2934" s="4" t="str">
        <f>HYPERLINK("http://141.218.60.56/~jnz1568/getInfo.php?workbook=20_05.xlsx&amp;sheet=U0&amp;row=2934&amp;col=7&amp;number=5.07e-05&amp;sourceID=14","5.07e-05")</f>
        <v>5.07e-05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HYPERLINK("http://141.218.60.56/~jnz1568/getInfo.php?workbook=20_05.xlsx&amp;sheet=U0&amp;row=2935&amp;col=6&amp;number=4.1&amp;sourceID=14","4.1")</f>
        <v>4.1</v>
      </c>
      <c r="G2935" s="4" t="str">
        <f>HYPERLINK("http://141.218.60.56/~jnz1568/getInfo.php?workbook=20_05.xlsx&amp;sheet=U0&amp;row=2935&amp;col=7&amp;number=5.07e-05&amp;sourceID=14","5.07e-05")</f>
        <v>5.07e-05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HYPERLINK("http://141.218.60.56/~jnz1568/getInfo.php?workbook=20_05.xlsx&amp;sheet=U0&amp;row=2936&amp;col=6&amp;number=4.2&amp;sourceID=14","4.2")</f>
        <v>4.2</v>
      </c>
      <c r="G2936" s="4" t="str">
        <f>HYPERLINK("http://141.218.60.56/~jnz1568/getInfo.php?workbook=20_05.xlsx&amp;sheet=U0&amp;row=2936&amp;col=7&amp;number=5.07e-05&amp;sourceID=14","5.07e-05")</f>
        <v>5.07e-05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HYPERLINK("http://141.218.60.56/~jnz1568/getInfo.php?workbook=20_05.xlsx&amp;sheet=U0&amp;row=2937&amp;col=6&amp;number=4.3&amp;sourceID=14","4.3")</f>
        <v>4.3</v>
      </c>
      <c r="G2937" s="4" t="str">
        <f>HYPERLINK("http://141.218.60.56/~jnz1568/getInfo.php?workbook=20_05.xlsx&amp;sheet=U0&amp;row=2937&amp;col=7&amp;number=5.08e-05&amp;sourceID=14","5.08e-05")</f>
        <v>5.08e-05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HYPERLINK("http://141.218.60.56/~jnz1568/getInfo.php?workbook=20_05.xlsx&amp;sheet=U0&amp;row=2938&amp;col=6&amp;number=4.4&amp;sourceID=14","4.4")</f>
        <v>4.4</v>
      </c>
      <c r="G2938" s="4" t="str">
        <f>HYPERLINK("http://141.218.60.56/~jnz1568/getInfo.php?workbook=20_05.xlsx&amp;sheet=U0&amp;row=2938&amp;col=7&amp;number=5.08e-05&amp;sourceID=14","5.08e-05")</f>
        <v>5.08e-05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HYPERLINK("http://141.218.60.56/~jnz1568/getInfo.php?workbook=20_05.xlsx&amp;sheet=U0&amp;row=2939&amp;col=6&amp;number=4.5&amp;sourceID=14","4.5")</f>
        <v>4.5</v>
      </c>
      <c r="G2939" s="4" t="str">
        <f>HYPERLINK("http://141.218.60.56/~jnz1568/getInfo.php?workbook=20_05.xlsx&amp;sheet=U0&amp;row=2939&amp;col=7&amp;number=5.08e-05&amp;sourceID=14","5.08e-05")</f>
        <v>5.08e-05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HYPERLINK("http://141.218.60.56/~jnz1568/getInfo.php?workbook=20_05.xlsx&amp;sheet=U0&amp;row=2940&amp;col=6&amp;number=4.6&amp;sourceID=14","4.6")</f>
        <v>4.6</v>
      </c>
      <c r="G2940" s="4" t="str">
        <f>HYPERLINK("http://141.218.60.56/~jnz1568/getInfo.php?workbook=20_05.xlsx&amp;sheet=U0&amp;row=2940&amp;col=7&amp;number=5.09e-05&amp;sourceID=14","5.09e-05")</f>
        <v>5.09e-05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HYPERLINK("http://141.218.60.56/~jnz1568/getInfo.php?workbook=20_05.xlsx&amp;sheet=U0&amp;row=2941&amp;col=6&amp;number=4.7&amp;sourceID=14","4.7")</f>
        <v>4.7</v>
      </c>
      <c r="G2941" s="4" t="str">
        <f>HYPERLINK("http://141.218.60.56/~jnz1568/getInfo.php?workbook=20_05.xlsx&amp;sheet=U0&amp;row=2941&amp;col=7&amp;number=5.1e-05&amp;sourceID=14","5.1e-05")</f>
        <v>5.1e-05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HYPERLINK("http://141.218.60.56/~jnz1568/getInfo.php?workbook=20_05.xlsx&amp;sheet=U0&amp;row=2942&amp;col=6&amp;number=4.8&amp;sourceID=14","4.8")</f>
        <v>4.8</v>
      </c>
      <c r="G2942" s="4" t="str">
        <f>HYPERLINK("http://141.218.60.56/~jnz1568/getInfo.php?workbook=20_05.xlsx&amp;sheet=U0&amp;row=2942&amp;col=7&amp;number=5.1e-05&amp;sourceID=14","5.1e-05")</f>
        <v>5.1e-05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HYPERLINK("http://141.218.60.56/~jnz1568/getInfo.php?workbook=20_05.xlsx&amp;sheet=U0&amp;row=2943&amp;col=6&amp;number=4.9&amp;sourceID=14","4.9")</f>
        <v>4.9</v>
      </c>
      <c r="G2943" s="4" t="str">
        <f>HYPERLINK("http://141.218.60.56/~jnz1568/getInfo.php?workbook=20_05.xlsx&amp;sheet=U0&amp;row=2943&amp;col=7&amp;number=5.11e-05&amp;sourceID=14","5.11e-05")</f>
        <v>5.11e-05</v>
      </c>
    </row>
    <row r="2944" spans="1:7">
      <c r="A2944" s="3">
        <v>20</v>
      </c>
      <c r="B2944" s="3">
        <v>5</v>
      </c>
      <c r="C2944" s="3">
        <v>1</v>
      </c>
      <c r="D2944" s="3">
        <v>103</v>
      </c>
      <c r="E2944" s="3">
        <v>1</v>
      </c>
      <c r="F2944" s="4" t="str">
        <f>HYPERLINK("http://141.218.60.56/~jnz1568/getInfo.php?workbook=20_05.xlsx&amp;sheet=U0&amp;row=2944&amp;col=6&amp;number=3&amp;sourceID=14","3")</f>
        <v>3</v>
      </c>
      <c r="G2944" s="4" t="str">
        <f>HYPERLINK("http://141.218.60.56/~jnz1568/getInfo.php?workbook=20_05.xlsx&amp;sheet=U0&amp;row=2944&amp;col=7&amp;number=5.15e-05&amp;sourceID=14","5.15e-05")</f>
        <v>5.15e-05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HYPERLINK("http://141.218.60.56/~jnz1568/getInfo.php?workbook=20_05.xlsx&amp;sheet=U0&amp;row=2945&amp;col=6&amp;number=3.1&amp;sourceID=14","3.1")</f>
        <v>3.1</v>
      </c>
      <c r="G2945" s="4" t="str">
        <f>HYPERLINK("http://141.218.60.56/~jnz1568/getInfo.php?workbook=20_05.xlsx&amp;sheet=U0&amp;row=2945&amp;col=7&amp;number=5.15e-05&amp;sourceID=14","5.15e-05")</f>
        <v>5.15e-05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HYPERLINK("http://141.218.60.56/~jnz1568/getInfo.php?workbook=20_05.xlsx&amp;sheet=U0&amp;row=2946&amp;col=6&amp;number=3.2&amp;sourceID=14","3.2")</f>
        <v>3.2</v>
      </c>
      <c r="G2946" s="4" t="str">
        <f>HYPERLINK("http://141.218.60.56/~jnz1568/getInfo.php?workbook=20_05.xlsx&amp;sheet=U0&amp;row=2946&amp;col=7&amp;number=5.15e-05&amp;sourceID=14","5.15e-05")</f>
        <v>5.15e-05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HYPERLINK("http://141.218.60.56/~jnz1568/getInfo.php?workbook=20_05.xlsx&amp;sheet=U0&amp;row=2947&amp;col=6&amp;number=3.3&amp;sourceID=14","3.3")</f>
        <v>3.3</v>
      </c>
      <c r="G2947" s="4" t="str">
        <f>HYPERLINK("http://141.218.60.56/~jnz1568/getInfo.php?workbook=20_05.xlsx&amp;sheet=U0&amp;row=2947&amp;col=7&amp;number=5.16e-05&amp;sourceID=14","5.16e-05")</f>
        <v>5.16e-05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HYPERLINK("http://141.218.60.56/~jnz1568/getInfo.php?workbook=20_05.xlsx&amp;sheet=U0&amp;row=2948&amp;col=6&amp;number=3.4&amp;sourceID=14","3.4")</f>
        <v>3.4</v>
      </c>
      <c r="G2948" s="4" t="str">
        <f>HYPERLINK("http://141.218.60.56/~jnz1568/getInfo.php?workbook=20_05.xlsx&amp;sheet=U0&amp;row=2948&amp;col=7&amp;number=5.16e-05&amp;sourceID=14","5.16e-05")</f>
        <v>5.16e-05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HYPERLINK("http://141.218.60.56/~jnz1568/getInfo.php?workbook=20_05.xlsx&amp;sheet=U0&amp;row=2949&amp;col=6&amp;number=3.5&amp;sourceID=14","3.5")</f>
        <v>3.5</v>
      </c>
      <c r="G2949" s="4" t="str">
        <f>HYPERLINK("http://141.218.60.56/~jnz1568/getInfo.php?workbook=20_05.xlsx&amp;sheet=U0&amp;row=2949&amp;col=7&amp;number=5.16e-05&amp;sourceID=14","5.16e-05")</f>
        <v>5.16e-05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HYPERLINK("http://141.218.60.56/~jnz1568/getInfo.php?workbook=20_05.xlsx&amp;sheet=U0&amp;row=2950&amp;col=6&amp;number=3.6&amp;sourceID=14","3.6")</f>
        <v>3.6</v>
      </c>
      <c r="G2950" s="4" t="str">
        <f>HYPERLINK("http://141.218.60.56/~jnz1568/getInfo.php?workbook=20_05.xlsx&amp;sheet=U0&amp;row=2950&amp;col=7&amp;number=5.16e-05&amp;sourceID=14","5.16e-05")</f>
        <v>5.16e-05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HYPERLINK("http://141.218.60.56/~jnz1568/getInfo.php?workbook=20_05.xlsx&amp;sheet=U0&amp;row=2951&amp;col=6&amp;number=3.7&amp;sourceID=14","3.7")</f>
        <v>3.7</v>
      </c>
      <c r="G2951" s="4" t="str">
        <f>HYPERLINK("http://141.218.60.56/~jnz1568/getInfo.php?workbook=20_05.xlsx&amp;sheet=U0&amp;row=2951&amp;col=7&amp;number=5.16e-05&amp;sourceID=14","5.16e-05")</f>
        <v>5.16e-05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HYPERLINK("http://141.218.60.56/~jnz1568/getInfo.php?workbook=20_05.xlsx&amp;sheet=U0&amp;row=2952&amp;col=6&amp;number=3.8&amp;sourceID=14","3.8")</f>
        <v>3.8</v>
      </c>
      <c r="G2952" s="4" t="str">
        <f>HYPERLINK("http://141.218.60.56/~jnz1568/getInfo.php?workbook=20_05.xlsx&amp;sheet=U0&amp;row=2952&amp;col=7&amp;number=5.16e-05&amp;sourceID=14","5.16e-05")</f>
        <v>5.16e-05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HYPERLINK("http://141.218.60.56/~jnz1568/getInfo.php?workbook=20_05.xlsx&amp;sheet=U0&amp;row=2953&amp;col=6&amp;number=3.9&amp;sourceID=14","3.9")</f>
        <v>3.9</v>
      </c>
      <c r="G2953" s="4" t="str">
        <f>HYPERLINK("http://141.218.60.56/~jnz1568/getInfo.php?workbook=20_05.xlsx&amp;sheet=U0&amp;row=2953&amp;col=7&amp;number=5.16e-05&amp;sourceID=14","5.16e-05")</f>
        <v>5.16e-05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HYPERLINK("http://141.218.60.56/~jnz1568/getInfo.php?workbook=20_05.xlsx&amp;sheet=U0&amp;row=2954&amp;col=6&amp;number=4&amp;sourceID=14","4")</f>
        <v>4</v>
      </c>
      <c r="G2954" s="4" t="str">
        <f>HYPERLINK("http://141.218.60.56/~jnz1568/getInfo.php?workbook=20_05.xlsx&amp;sheet=U0&amp;row=2954&amp;col=7&amp;number=5.16e-05&amp;sourceID=14","5.16e-05")</f>
        <v>5.16e-05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HYPERLINK("http://141.218.60.56/~jnz1568/getInfo.php?workbook=20_05.xlsx&amp;sheet=U0&amp;row=2955&amp;col=6&amp;number=4.1&amp;sourceID=14","4.1")</f>
        <v>4.1</v>
      </c>
      <c r="G2955" s="4" t="str">
        <f>HYPERLINK("http://141.218.60.56/~jnz1568/getInfo.php?workbook=20_05.xlsx&amp;sheet=U0&amp;row=2955&amp;col=7&amp;number=5.16e-05&amp;sourceID=14","5.16e-05")</f>
        <v>5.16e-05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HYPERLINK("http://141.218.60.56/~jnz1568/getInfo.php?workbook=20_05.xlsx&amp;sheet=U0&amp;row=2956&amp;col=6&amp;number=4.2&amp;sourceID=14","4.2")</f>
        <v>4.2</v>
      </c>
      <c r="G2956" s="4" t="str">
        <f>HYPERLINK("http://141.218.60.56/~jnz1568/getInfo.php?workbook=20_05.xlsx&amp;sheet=U0&amp;row=2956&amp;col=7&amp;number=5.16e-05&amp;sourceID=14","5.16e-05")</f>
        <v>5.16e-05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HYPERLINK("http://141.218.60.56/~jnz1568/getInfo.php?workbook=20_05.xlsx&amp;sheet=U0&amp;row=2957&amp;col=6&amp;number=4.3&amp;sourceID=14","4.3")</f>
        <v>4.3</v>
      </c>
      <c r="G2957" s="4" t="str">
        <f>HYPERLINK("http://141.218.60.56/~jnz1568/getInfo.php?workbook=20_05.xlsx&amp;sheet=U0&amp;row=2957&amp;col=7&amp;number=5.17e-05&amp;sourceID=14","5.17e-05")</f>
        <v>5.17e-05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HYPERLINK("http://141.218.60.56/~jnz1568/getInfo.php?workbook=20_05.xlsx&amp;sheet=U0&amp;row=2958&amp;col=6&amp;number=4.4&amp;sourceID=14","4.4")</f>
        <v>4.4</v>
      </c>
      <c r="G2958" s="4" t="str">
        <f>HYPERLINK("http://141.218.60.56/~jnz1568/getInfo.php?workbook=20_05.xlsx&amp;sheet=U0&amp;row=2958&amp;col=7&amp;number=5.17e-05&amp;sourceID=14","5.17e-05")</f>
        <v>5.17e-05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HYPERLINK("http://141.218.60.56/~jnz1568/getInfo.php?workbook=20_05.xlsx&amp;sheet=U0&amp;row=2959&amp;col=6&amp;number=4.5&amp;sourceID=14","4.5")</f>
        <v>4.5</v>
      </c>
      <c r="G2959" s="4" t="str">
        <f>HYPERLINK("http://141.218.60.56/~jnz1568/getInfo.php?workbook=20_05.xlsx&amp;sheet=U0&amp;row=2959&amp;col=7&amp;number=5.17e-05&amp;sourceID=14","5.17e-05")</f>
        <v>5.17e-05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HYPERLINK("http://141.218.60.56/~jnz1568/getInfo.php?workbook=20_05.xlsx&amp;sheet=U0&amp;row=2960&amp;col=6&amp;number=4.6&amp;sourceID=14","4.6")</f>
        <v>4.6</v>
      </c>
      <c r="G2960" s="4" t="str">
        <f>HYPERLINK("http://141.218.60.56/~jnz1568/getInfo.php?workbook=20_05.xlsx&amp;sheet=U0&amp;row=2960&amp;col=7&amp;number=5.18e-05&amp;sourceID=14","5.18e-05")</f>
        <v>5.18e-05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HYPERLINK("http://141.218.60.56/~jnz1568/getInfo.php?workbook=20_05.xlsx&amp;sheet=U0&amp;row=2961&amp;col=6&amp;number=4.7&amp;sourceID=14","4.7")</f>
        <v>4.7</v>
      </c>
      <c r="G2961" s="4" t="str">
        <f>HYPERLINK("http://141.218.60.56/~jnz1568/getInfo.php?workbook=20_05.xlsx&amp;sheet=U0&amp;row=2961&amp;col=7&amp;number=5.18e-05&amp;sourceID=14","5.18e-05")</f>
        <v>5.18e-05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HYPERLINK("http://141.218.60.56/~jnz1568/getInfo.php?workbook=20_05.xlsx&amp;sheet=U0&amp;row=2962&amp;col=6&amp;number=4.8&amp;sourceID=14","4.8")</f>
        <v>4.8</v>
      </c>
      <c r="G2962" s="4" t="str">
        <f>HYPERLINK("http://141.218.60.56/~jnz1568/getInfo.php?workbook=20_05.xlsx&amp;sheet=U0&amp;row=2962&amp;col=7&amp;number=5.19e-05&amp;sourceID=14","5.19e-05")</f>
        <v>5.19e-05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HYPERLINK("http://141.218.60.56/~jnz1568/getInfo.php?workbook=20_05.xlsx&amp;sheet=U0&amp;row=2963&amp;col=6&amp;number=4.9&amp;sourceID=14","4.9")</f>
        <v>4.9</v>
      </c>
      <c r="G2963" s="4" t="str">
        <f>HYPERLINK("http://141.218.60.56/~jnz1568/getInfo.php?workbook=20_05.xlsx&amp;sheet=U0&amp;row=2963&amp;col=7&amp;number=5.2e-05&amp;sourceID=14","5.2e-05")</f>
        <v>5.2e-05</v>
      </c>
    </row>
    <row r="2964" spans="1:7">
      <c r="A2964" s="3">
        <v>20</v>
      </c>
      <c r="B2964" s="3">
        <v>5</v>
      </c>
      <c r="C2964" s="3">
        <v>1</v>
      </c>
      <c r="D2964" s="3">
        <v>104</v>
      </c>
      <c r="E2964" s="3">
        <v>1</v>
      </c>
      <c r="F2964" s="4" t="str">
        <f>HYPERLINK("http://141.218.60.56/~jnz1568/getInfo.php?workbook=20_05.xlsx&amp;sheet=U0&amp;row=2964&amp;col=6&amp;number=3&amp;sourceID=14","3")</f>
        <v>3</v>
      </c>
      <c r="G2964" s="4" t="str">
        <f>HYPERLINK("http://141.218.60.56/~jnz1568/getInfo.php?workbook=20_05.xlsx&amp;sheet=U0&amp;row=2964&amp;col=7&amp;number=1.17e-05&amp;sourceID=14","1.17e-05")</f>
        <v>1.17e-05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HYPERLINK("http://141.218.60.56/~jnz1568/getInfo.php?workbook=20_05.xlsx&amp;sheet=U0&amp;row=2965&amp;col=6&amp;number=3.1&amp;sourceID=14","3.1")</f>
        <v>3.1</v>
      </c>
      <c r="G2965" s="4" t="str">
        <f>HYPERLINK("http://141.218.60.56/~jnz1568/getInfo.php?workbook=20_05.xlsx&amp;sheet=U0&amp;row=2965&amp;col=7&amp;number=1.17e-05&amp;sourceID=14","1.17e-05")</f>
        <v>1.17e-05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HYPERLINK("http://141.218.60.56/~jnz1568/getInfo.php?workbook=20_05.xlsx&amp;sheet=U0&amp;row=2966&amp;col=6&amp;number=3.2&amp;sourceID=14","3.2")</f>
        <v>3.2</v>
      </c>
      <c r="G2966" s="4" t="str">
        <f>HYPERLINK("http://141.218.60.56/~jnz1568/getInfo.php?workbook=20_05.xlsx&amp;sheet=U0&amp;row=2966&amp;col=7&amp;number=1.17e-05&amp;sourceID=14","1.17e-05")</f>
        <v>1.17e-05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HYPERLINK("http://141.218.60.56/~jnz1568/getInfo.php?workbook=20_05.xlsx&amp;sheet=U0&amp;row=2967&amp;col=6&amp;number=3.3&amp;sourceID=14","3.3")</f>
        <v>3.3</v>
      </c>
      <c r="G2967" s="4" t="str">
        <f>HYPERLINK("http://141.218.60.56/~jnz1568/getInfo.php?workbook=20_05.xlsx&amp;sheet=U0&amp;row=2967&amp;col=7&amp;number=1.17e-05&amp;sourceID=14","1.17e-05")</f>
        <v>1.17e-05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HYPERLINK("http://141.218.60.56/~jnz1568/getInfo.php?workbook=20_05.xlsx&amp;sheet=U0&amp;row=2968&amp;col=6&amp;number=3.4&amp;sourceID=14","3.4")</f>
        <v>3.4</v>
      </c>
      <c r="G2968" s="4" t="str">
        <f>HYPERLINK("http://141.218.60.56/~jnz1568/getInfo.php?workbook=20_05.xlsx&amp;sheet=U0&amp;row=2968&amp;col=7&amp;number=1.17e-05&amp;sourceID=14","1.17e-05")</f>
        <v>1.17e-05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HYPERLINK("http://141.218.60.56/~jnz1568/getInfo.php?workbook=20_05.xlsx&amp;sheet=U0&amp;row=2969&amp;col=6&amp;number=3.5&amp;sourceID=14","3.5")</f>
        <v>3.5</v>
      </c>
      <c r="G2969" s="4" t="str">
        <f>HYPERLINK("http://141.218.60.56/~jnz1568/getInfo.php?workbook=20_05.xlsx&amp;sheet=U0&amp;row=2969&amp;col=7&amp;number=1.17e-05&amp;sourceID=14","1.17e-05")</f>
        <v>1.17e-05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HYPERLINK("http://141.218.60.56/~jnz1568/getInfo.php?workbook=20_05.xlsx&amp;sheet=U0&amp;row=2970&amp;col=6&amp;number=3.6&amp;sourceID=14","3.6")</f>
        <v>3.6</v>
      </c>
      <c r="G2970" s="4" t="str">
        <f>HYPERLINK("http://141.218.60.56/~jnz1568/getInfo.php?workbook=20_05.xlsx&amp;sheet=U0&amp;row=2970&amp;col=7&amp;number=1.17e-05&amp;sourceID=14","1.17e-05")</f>
        <v>1.17e-05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HYPERLINK("http://141.218.60.56/~jnz1568/getInfo.php?workbook=20_05.xlsx&amp;sheet=U0&amp;row=2971&amp;col=6&amp;number=3.7&amp;sourceID=14","3.7")</f>
        <v>3.7</v>
      </c>
      <c r="G2971" s="4" t="str">
        <f>HYPERLINK("http://141.218.60.56/~jnz1568/getInfo.php?workbook=20_05.xlsx&amp;sheet=U0&amp;row=2971&amp;col=7&amp;number=1.17e-05&amp;sourceID=14","1.17e-05")</f>
        <v>1.17e-05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HYPERLINK("http://141.218.60.56/~jnz1568/getInfo.php?workbook=20_05.xlsx&amp;sheet=U0&amp;row=2972&amp;col=6&amp;number=3.8&amp;sourceID=14","3.8")</f>
        <v>3.8</v>
      </c>
      <c r="G2972" s="4" t="str">
        <f>HYPERLINK("http://141.218.60.56/~jnz1568/getInfo.php?workbook=20_05.xlsx&amp;sheet=U0&amp;row=2972&amp;col=7&amp;number=1.17e-05&amp;sourceID=14","1.17e-05")</f>
        <v>1.17e-05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HYPERLINK("http://141.218.60.56/~jnz1568/getInfo.php?workbook=20_05.xlsx&amp;sheet=U0&amp;row=2973&amp;col=6&amp;number=3.9&amp;sourceID=14","3.9")</f>
        <v>3.9</v>
      </c>
      <c r="G2973" s="4" t="str">
        <f>HYPERLINK("http://141.218.60.56/~jnz1568/getInfo.php?workbook=20_05.xlsx&amp;sheet=U0&amp;row=2973&amp;col=7&amp;number=1.17e-05&amp;sourceID=14","1.17e-05")</f>
        <v>1.17e-05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HYPERLINK("http://141.218.60.56/~jnz1568/getInfo.php?workbook=20_05.xlsx&amp;sheet=U0&amp;row=2974&amp;col=6&amp;number=4&amp;sourceID=14","4")</f>
        <v>4</v>
      </c>
      <c r="G2974" s="4" t="str">
        <f>HYPERLINK("http://141.218.60.56/~jnz1568/getInfo.php?workbook=20_05.xlsx&amp;sheet=U0&amp;row=2974&amp;col=7&amp;number=1.17e-05&amp;sourceID=14","1.17e-05")</f>
        <v>1.17e-05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HYPERLINK("http://141.218.60.56/~jnz1568/getInfo.php?workbook=20_05.xlsx&amp;sheet=U0&amp;row=2975&amp;col=6&amp;number=4.1&amp;sourceID=14","4.1")</f>
        <v>4.1</v>
      </c>
      <c r="G2975" s="4" t="str">
        <f>HYPERLINK("http://141.218.60.56/~jnz1568/getInfo.php?workbook=20_05.xlsx&amp;sheet=U0&amp;row=2975&amp;col=7&amp;number=1.17e-05&amp;sourceID=14","1.17e-05")</f>
        <v>1.17e-05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HYPERLINK("http://141.218.60.56/~jnz1568/getInfo.php?workbook=20_05.xlsx&amp;sheet=U0&amp;row=2976&amp;col=6&amp;number=4.2&amp;sourceID=14","4.2")</f>
        <v>4.2</v>
      </c>
      <c r="G2976" s="4" t="str">
        <f>HYPERLINK("http://141.218.60.56/~jnz1568/getInfo.php?workbook=20_05.xlsx&amp;sheet=U0&amp;row=2976&amp;col=7&amp;number=1.17e-05&amp;sourceID=14","1.17e-05")</f>
        <v>1.17e-05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HYPERLINK("http://141.218.60.56/~jnz1568/getInfo.php?workbook=20_05.xlsx&amp;sheet=U0&amp;row=2977&amp;col=6&amp;number=4.3&amp;sourceID=14","4.3")</f>
        <v>4.3</v>
      </c>
      <c r="G2977" s="4" t="str">
        <f>HYPERLINK("http://141.218.60.56/~jnz1568/getInfo.php?workbook=20_05.xlsx&amp;sheet=U0&amp;row=2977&amp;col=7&amp;number=1.17e-05&amp;sourceID=14","1.17e-05")</f>
        <v>1.17e-05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HYPERLINK("http://141.218.60.56/~jnz1568/getInfo.php?workbook=20_05.xlsx&amp;sheet=U0&amp;row=2978&amp;col=6&amp;number=4.4&amp;sourceID=14","4.4")</f>
        <v>4.4</v>
      </c>
      <c r="G2978" s="4" t="str">
        <f>HYPERLINK("http://141.218.60.56/~jnz1568/getInfo.php?workbook=20_05.xlsx&amp;sheet=U0&amp;row=2978&amp;col=7&amp;number=1.17e-05&amp;sourceID=14","1.17e-05")</f>
        <v>1.17e-05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HYPERLINK("http://141.218.60.56/~jnz1568/getInfo.php?workbook=20_05.xlsx&amp;sheet=U0&amp;row=2979&amp;col=6&amp;number=4.5&amp;sourceID=14","4.5")</f>
        <v>4.5</v>
      </c>
      <c r="G2979" s="4" t="str">
        <f>HYPERLINK("http://141.218.60.56/~jnz1568/getInfo.php?workbook=20_05.xlsx&amp;sheet=U0&amp;row=2979&amp;col=7&amp;number=1.17e-05&amp;sourceID=14","1.17e-05")</f>
        <v>1.17e-05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HYPERLINK("http://141.218.60.56/~jnz1568/getInfo.php?workbook=20_05.xlsx&amp;sheet=U0&amp;row=2980&amp;col=6&amp;number=4.6&amp;sourceID=14","4.6")</f>
        <v>4.6</v>
      </c>
      <c r="G2980" s="4" t="str">
        <f>HYPERLINK("http://141.218.60.56/~jnz1568/getInfo.php?workbook=20_05.xlsx&amp;sheet=U0&amp;row=2980&amp;col=7&amp;number=1.16e-05&amp;sourceID=14","1.16e-05")</f>
        <v>1.16e-05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HYPERLINK("http://141.218.60.56/~jnz1568/getInfo.php?workbook=20_05.xlsx&amp;sheet=U0&amp;row=2981&amp;col=6&amp;number=4.7&amp;sourceID=14","4.7")</f>
        <v>4.7</v>
      </c>
      <c r="G2981" s="4" t="str">
        <f>HYPERLINK("http://141.218.60.56/~jnz1568/getInfo.php?workbook=20_05.xlsx&amp;sheet=U0&amp;row=2981&amp;col=7&amp;number=1.16e-05&amp;sourceID=14","1.16e-05")</f>
        <v>1.16e-05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HYPERLINK("http://141.218.60.56/~jnz1568/getInfo.php?workbook=20_05.xlsx&amp;sheet=U0&amp;row=2982&amp;col=6&amp;number=4.8&amp;sourceID=14","4.8")</f>
        <v>4.8</v>
      </c>
      <c r="G2982" s="4" t="str">
        <f>HYPERLINK("http://141.218.60.56/~jnz1568/getInfo.php?workbook=20_05.xlsx&amp;sheet=U0&amp;row=2982&amp;col=7&amp;number=1.16e-05&amp;sourceID=14","1.16e-05")</f>
        <v>1.16e-05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HYPERLINK("http://141.218.60.56/~jnz1568/getInfo.php?workbook=20_05.xlsx&amp;sheet=U0&amp;row=2983&amp;col=6&amp;number=4.9&amp;sourceID=14","4.9")</f>
        <v>4.9</v>
      </c>
      <c r="G2983" s="4" t="str">
        <f>HYPERLINK("http://141.218.60.56/~jnz1568/getInfo.php?workbook=20_05.xlsx&amp;sheet=U0&amp;row=2983&amp;col=7&amp;number=1.16e-05&amp;sourceID=14","1.16e-05")</f>
        <v>1.16e-05</v>
      </c>
    </row>
    <row r="2984" spans="1:7">
      <c r="A2984" s="3">
        <v>20</v>
      </c>
      <c r="B2984" s="3">
        <v>5</v>
      </c>
      <c r="C2984" s="3">
        <v>1</v>
      </c>
      <c r="D2984" s="3">
        <v>105</v>
      </c>
      <c r="E2984" s="3">
        <v>1</v>
      </c>
      <c r="F2984" s="4" t="str">
        <f>HYPERLINK("http://141.218.60.56/~jnz1568/getInfo.php?workbook=20_05.xlsx&amp;sheet=U0&amp;row=2984&amp;col=6&amp;number=3&amp;sourceID=14","3")</f>
        <v>3</v>
      </c>
      <c r="G2984" s="4" t="str">
        <f>HYPERLINK("http://141.218.60.56/~jnz1568/getInfo.php?workbook=20_05.xlsx&amp;sheet=U0&amp;row=2984&amp;col=7&amp;number=5.91e-05&amp;sourceID=14","5.91e-05")</f>
        <v>5.91e-05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HYPERLINK("http://141.218.60.56/~jnz1568/getInfo.php?workbook=20_05.xlsx&amp;sheet=U0&amp;row=2985&amp;col=6&amp;number=3.1&amp;sourceID=14","3.1")</f>
        <v>3.1</v>
      </c>
      <c r="G2985" s="4" t="str">
        <f>HYPERLINK("http://141.218.60.56/~jnz1568/getInfo.php?workbook=20_05.xlsx&amp;sheet=U0&amp;row=2985&amp;col=7&amp;number=5.91e-05&amp;sourceID=14","5.91e-05")</f>
        <v>5.91e-05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HYPERLINK("http://141.218.60.56/~jnz1568/getInfo.php?workbook=20_05.xlsx&amp;sheet=U0&amp;row=2986&amp;col=6&amp;number=3.2&amp;sourceID=14","3.2")</f>
        <v>3.2</v>
      </c>
      <c r="G2986" s="4" t="str">
        <f>HYPERLINK("http://141.218.60.56/~jnz1568/getInfo.php?workbook=20_05.xlsx&amp;sheet=U0&amp;row=2986&amp;col=7&amp;number=5.91e-05&amp;sourceID=14","5.91e-05")</f>
        <v>5.91e-05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HYPERLINK("http://141.218.60.56/~jnz1568/getInfo.php?workbook=20_05.xlsx&amp;sheet=U0&amp;row=2987&amp;col=6&amp;number=3.3&amp;sourceID=14","3.3")</f>
        <v>3.3</v>
      </c>
      <c r="G2987" s="4" t="str">
        <f>HYPERLINK("http://141.218.60.56/~jnz1568/getInfo.php?workbook=20_05.xlsx&amp;sheet=U0&amp;row=2987&amp;col=7&amp;number=5.91e-05&amp;sourceID=14","5.91e-05")</f>
        <v>5.91e-05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HYPERLINK("http://141.218.60.56/~jnz1568/getInfo.php?workbook=20_05.xlsx&amp;sheet=U0&amp;row=2988&amp;col=6&amp;number=3.4&amp;sourceID=14","3.4")</f>
        <v>3.4</v>
      </c>
      <c r="G2988" s="4" t="str">
        <f>HYPERLINK("http://141.218.60.56/~jnz1568/getInfo.php?workbook=20_05.xlsx&amp;sheet=U0&amp;row=2988&amp;col=7&amp;number=5.91e-05&amp;sourceID=14","5.91e-05")</f>
        <v>5.91e-05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HYPERLINK("http://141.218.60.56/~jnz1568/getInfo.php?workbook=20_05.xlsx&amp;sheet=U0&amp;row=2989&amp;col=6&amp;number=3.5&amp;sourceID=14","3.5")</f>
        <v>3.5</v>
      </c>
      <c r="G2989" s="4" t="str">
        <f>HYPERLINK("http://141.218.60.56/~jnz1568/getInfo.php?workbook=20_05.xlsx&amp;sheet=U0&amp;row=2989&amp;col=7&amp;number=5.91e-05&amp;sourceID=14","5.91e-05")</f>
        <v>5.91e-05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HYPERLINK("http://141.218.60.56/~jnz1568/getInfo.php?workbook=20_05.xlsx&amp;sheet=U0&amp;row=2990&amp;col=6&amp;number=3.6&amp;sourceID=14","3.6")</f>
        <v>3.6</v>
      </c>
      <c r="G2990" s="4" t="str">
        <f>HYPERLINK("http://141.218.60.56/~jnz1568/getInfo.php?workbook=20_05.xlsx&amp;sheet=U0&amp;row=2990&amp;col=7&amp;number=5.91e-05&amp;sourceID=14","5.91e-05")</f>
        <v>5.91e-05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HYPERLINK("http://141.218.60.56/~jnz1568/getInfo.php?workbook=20_05.xlsx&amp;sheet=U0&amp;row=2991&amp;col=6&amp;number=3.7&amp;sourceID=14","3.7")</f>
        <v>3.7</v>
      </c>
      <c r="G2991" s="4" t="str">
        <f>HYPERLINK("http://141.218.60.56/~jnz1568/getInfo.php?workbook=20_05.xlsx&amp;sheet=U0&amp;row=2991&amp;col=7&amp;number=5.9e-05&amp;sourceID=14","5.9e-05")</f>
        <v>5.9e-05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HYPERLINK("http://141.218.60.56/~jnz1568/getInfo.php?workbook=20_05.xlsx&amp;sheet=U0&amp;row=2992&amp;col=6&amp;number=3.8&amp;sourceID=14","3.8")</f>
        <v>3.8</v>
      </c>
      <c r="G2992" s="4" t="str">
        <f>HYPERLINK("http://141.218.60.56/~jnz1568/getInfo.php?workbook=20_05.xlsx&amp;sheet=U0&amp;row=2992&amp;col=7&amp;number=5.9e-05&amp;sourceID=14","5.9e-05")</f>
        <v>5.9e-05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HYPERLINK("http://141.218.60.56/~jnz1568/getInfo.php?workbook=20_05.xlsx&amp;sheet=U0&amp;row=2993&amp;col=6&amp;number=3.9&amp;sourceID=14","3.9")</f>
        <v>3.9</v>
      </c>
      <c r="G2993" s="4" t="str">
        <f>HYPERLINK("http://141.218.60.56/~jnz1568/getInfo.php?workbook=20_05.xlsx&amp;sheet=U0&amp;row=2993&amp;col=7&amp;number=5.9e-05&amp;sourceID=14","5.9e-05")</f>
        <v>5.9e-05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HYPERLINK("http://141.218.60.56/~jnz1568/getInfo.php?workbook=20_05.xlsx&amp;sheet=U0&amp;row=2994&amp;col=6&amp;number=4&amp;sourceID=14","4")</f>
        <v>4</v>
      </c>
      <c r="G2994" s="4" t="str">
        <f>HYPERLINK("http://141.218.60.56/~jnz1568/getInfo.php?workbook=20_05.xlsx&amp;sheet=U0&amp;row=2994&amp;col=7&amp;number=5.9e-05&amp;sourceID=14","5.9e-05")</f>
        <v>5.9e-05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HYPERLINK("http://141.218.60.56/~jnz1568/getInfo.php?workbook=20_05.xlsx&amp;sheet=U0&amp;row=2995&amp;col=6&amp;number=4.1&amp;sourceID=14","4.1")</f>
        <v>4.1</v>
      </c>
      <c r="G2995" s="4" t="str">
        <f>HYPERLINK("http://141.218.60.56/~jnz1568/getInfo.php?workbook=20_05.xlsx&amp;sheet=U0&amp;row=2995&amp;col=7&amp;number=5.9e-05&amp;sourceID=14","5.9e-05")</f>
        <v>5.9e-05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HYPERLINK("http://141.218.60.56/~jnz1568/getInfo.php?workbook=20_05.xlsx&amp;sheet=U0&amp;row=2996&amp;col=6&amp;number=4.2&amp;sourceID=14","4.2")</f>
        <v>4.2</v>
      </c>
      <c r="G2996" s="4" t="str">
        <f>HYPERLINK("http://141.218.60.56/~jnz1568/getInfo.php?workbook=20_05.xlsx&amp;sheet=U0&amp;row=2996&amp;col=7&amp;number=5.9e-05&amp;sourceID=14","5.9e-05")</f>
        <v>5.9e-05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HYPERLINK("http://141.218.60.56/~jnz1568/getInfo.php?workbook=20_05.xlsx&amp;sheet=U0&amp;row=2997&amp;col=6&amp;number=4.3&amp;sourceID=14","4.3")</f>
        <v>4.3</v>
      </c>
      <c r="G2997" s="4" t="str">
        <f>HYPERLINK("http://141.218.60.56/~jnz1568/getInfo.php?workbook=20_05.xlsx&amp;sheet=U0&amp;row=2997&amp;col=7&amp;number=5.9e-05&amp;sourceID=14","5.9e-05")</f>
        <v>5.9e-05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HYPERLINK("http://141.218.60.56/~jnz1568/getInfo.php?workbook=20_05.xlsx&amp;sheet=U0&amp;row=2998&amp;col=6&amp;number=4.4&amp;sourceID=14","4.4")</f>
        <v>4.4</v>
      </c>
      <c r="G2998" s="4" t="str">
        <f>HYPERLINK("http://141.218.60.56/~jnz1568/getInfo.php?workbook=20_05.xlsx&amp;sheet=U0&amp;row=2998&amp;col=7&amp;number=5.89e-05&amp;sourceID=14","5.89e-05")</f>
        <v>5.89e-05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HYPERLINK("http://141.218.60.56/~jnz1568/getInfo.php?workbook=20_05.xlsx&amp;sheet=U0&amp;row=2999&amp;col=6&amp;number=4.5&amp;sourceID=14","4.5")</f>
        <v>4.5</v>
      </c>
      <c r="G2999" s="4" t="str">
        <f>HYPERLINK("http://141.218.60.56/~jnz1568/getInfo.php?workbook=20_05.xlsx&amp;sheet=U0&amp;row=2999&amp;col=7&amp;number=5.89e-05&amp;sourceID=14","5.89e-05")</f>
        <v>5.89e-05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HYPERLINK("http://141.218.60.56/~jnz1568/getInfo.php?workbook=20_05.xlsx&amp;sheet=U0&amp;row=3000&amp;col=6&amp;number=4.6&amp;sourceID=14","4.6")</f>
        <v>4.6</v>
      </c>
      <c r="G3000" s="4" t="str">
        <f>HYPERLINK("http://141.218.60.56/~jnz1568/getInfo.php?workbook=20_05.xlsx&amp;sheet=U0&amp;row=3000&amp;col=7&amp;number=5.88e-05&amp;sourceID=14","5.88e-05")</f>
        <v>5.88e-05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HYPERLINK("http://141.218.60.56/~jnz1568/getInfo.php?workbook=20_05.xlsx&amp;sheet=U0&amp;row=3001&amp;col=6&amp;number=4.7&amp;sourceID=14","4.7")</f>
        <v>4.7</v>
      </c>
      <c r="G3001" s="4" t="str">
        <f>HYPERLINK("http://141.218.60.56/~jnz1568/getInfo.php?workbook=20_05.xlsx&amp;sheet=U0&amp;row=3001&amp;col=7&amp;number=5.88e-05&amp;sourceID=14","5.88e-05")</f>
        <v>5.88e-05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HYPERLINK("http://141.218.60.56/~jnz1568/getInfo.php?workbook=20_05.xlsx&amp;sheet=U0&amp;row=3002&amp;col=6&amp;number=4.8&amp;sourceID=14","4.8")</f>
        <v>4.8</v>
      </c>
      <c r="G3002" s="4" t="str">
        <f>HYPERLINK("http://141.218.60.56/~jnz1568/getInfo.php?workbook=20_05.xlsx&amp;sheet=U0&amp;row=3002&amp;col=7&amp;number=5.87e-05&amp;sourceID=14","5.87e-05")</f>
        <v>5.87e-05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HYPERLINK("http://141.218.60.56/~jnz1568/getInfo.php?workbook=20_05.xlsx&amp;sheet=U0&amp;row=3003&amp;col=6&amp;number=4.9&amp;sourceID=14","4.9")</f>
        <v>4.9</v>
      </c>
      <c r="G3003" s="4" t="str">
        <f>HYPERLINK("http://141.218.60.56/~jnz1568/getInfo.php?workbook=20_05.xlsx&amp;sheet=U0&amp;row=3003&amp;col=7&amp;number=5.86e-05&amp;sourceID=14","5.86e-05")</f>
        <v>5.86e-05</v>
      </c>
    </row>
    <row r="3004" spans="1:7">
      <c r="A3004" s="3">
        <v>20</v>
      </c>
      <c r="B3004" s="3">
        <v>5</v>
      </c>
      <c r="C3004" s="3">
        <v>1</v>
      </c>
      <c r="D3004" s="3">
        <v>106</v>
      </c>
      <c r="E3004" s="3">
        <v>1</v>
      </c>
      <c r="F3004" s="4" t="str">
        <f>HYPERLINK("http://141.218.60.56/~jnz1568/getInfo.php?workbook=20_05.xlsx&amp;sheet=U0&amp;row=3004&amp;col=6&amp;number=3&amp;sourceID=14","3")</f>
        <v>3</v>
      </c>
      <c r="G3004" s="4" t="str">
        <f>HYPERLINK("http://141.218.60.56/~jnz1568/getInfo.php?workbook=20_05.xlsx&amp;sheet=U0&amp;row=3004&amp;col=7&amp;number=2.52e-05&amp;sourceID=14","2.52e-05")</f>
        <v>2.52e-05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HYPERLINK("http://141.218.60.56/~jnz1568/getInfo.php?workbook=20_05.xlsx&amp;sheet=U0&amp;row=3005&amp;col=6&amp;number=3.1&amp;sourceID=14","3.1")</f>
        <v>3.1</v>
      </c>
      <c r="G3005" s="4" t="str">
        <f>HYPERLINK("http://141.218.60.56/~jnz1568/getInfo.php?workbook=20_05.xlsx&amp;sheet=U0&amp;row=3005&amp;col=7&amp;number=2.52e-05&amp;sourceID=14","2.52e-05")</f>
        <v>2.52e-05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HYPERLINK("http://141.218.60.56/~jnz1568/getInfo.php?workbook=20_05.xlsx&amp;sheet=U0&amp;row=3006&amp;col=6&amp;number=3.2&amp;sourceID=14","3.2")</f>
        <v>3.2</v>
      </c>
      <c r="G3006" s="4" t="str">
        <f>HYPERLINK("http://141.218.60.56/~jnz1568/getInfo.php?workbook=20_05.xlsx&amp;sheet=U0&amp;row=3006&amp;col=7&amp;number=2.52e-05&amp;sourceID=14","2.52e-05")</f>
        <v>2.52e-05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HYPERLINK("http://141.218.60.56/~jnz1568/getInfo.php?workbook=20_05.xlsx&amp;sheet=U0&amp;row=3007&amp;col=6&amp;number=3.3&amp;sourceID=14","3.3")</f>
        <v>3.3</v>
      </c>
      <c r="G3007" s="4" t="str">
        <f>HYPERLINK("http://141.218.60.56/~jnz1568/getInfo.php?workbook=20_05.xlsx&amp;sheet=U0&amp;row=3007&amp;col=7&amp;number=2.52e-05&amp;sourceID=14","2.52e-05")</f>
        <v>2.52e-05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HYPERLINK("http://141.218.60.56/~jnz1568/getInfo.php?workbook=20_05.xlsx&amp;sheet=U0&amp;row=3008&amp;col=6&amp;number=3.4&amp;sourceID=14","3.4")</f>
        <v>3.4</v>
      </c>
      <c r="G3008" s="4" t="str">
        <f>HYPERLINK("http://141.218.60.56/~jnz1568/getInfo.php?workbook=20_05.xlsx&amp;sheet=U0&amp;row=3008&amp;col=7&amp;number=2.52e-05&amp;sourceID=14","2.52e-05")</f>
        <v>2.52e-05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HYPERLINK("http://141.218.60.56/~jnz1568/getInfo.php?workbook=20_05.xlsx&amp;sheet=U0&amp;row=3009&amp;col=6&amp;number=3.5&amp;sourceID=14","3.5")</f>
        <v>3.5</v>
      </c>
      <c r="G3009" s="4" t="str">
        <f>HYPERLINK("http://141.218.60.56/~jnz1568/getInfo.php?workbook=20_05.xlsx&amp;sheet=U0&amp;row=3009&amp;col=7&amp;number=2.52e-05&amp;sourceID=14","2.52e-05")</f>
        <v>2.52e-05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HYPERLINK("http://141.218.60.56/~jnz1568/getInfo.php?workbook=20_05.xlsx&amp;sheet=U0&amp;row=3010&amp;col=6&amp;number=3.6&amp;sourceID=14","3.6")</f>
        <v>3.6</v>
      </c>
      <c r="G3010" s="4" t="str">
        <f>HYPERLINK("http://141.218.60.56/~jnz1568/getInfo.php?workbook=20_05.xlsx&amp;sheet=U0&amp;row=3010&amp;col=7&amp;number=2.52e-05&amp;sourceID=14","2.52e-05")</f>
        <v>2.52e-05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HYPERLINK("http://141.218.60.56/~jnz1568/getInfo.php?workbook=20_05.xlsx&amp;sheet=U0&amp;row=3011&amp;col=6&amp;number=3.7&amp;sourceID=14","3.7")</f>
        <v>3.7</v>
      </c>
      <c r="G3011" s="4" t="str">
        <f>HYPERLINK("http://141.218.60.56/~jnz1568/getInfo.php?workbook=20_05.xlsx&amp;sheet=U0&amp;row=3011&amp;col=7&amp;number=2.52e-05&amp;sourceID=14","2.52e-05")</f>
        <v>2.52e-05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HYPERLINK("http://141.218.60.56/~jnz1568/getInfo.php?workbook=20_05.xlsx&amp;sheet=U0&amp;row=3012&amp;col=6&amp;number=3.8&amp;sourceID=14","3.8")</f>
        <v>3.8</v>
      </c>
      <c r="G3012" s="4" t="str">
        <f>HYPERLINK("http://141.218.60.56/~jnz1568/getInfo.php?workbook=20_05.xlsx&amp;sheet=U0&amp;row=3012&amp;col=7&amp;number=2.52e-05&amp;sourceID=14","2.52e-05")</f>
        <v>2.52e-05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HYPERLINK("http://141.218.60.56/~jnz1568/getInfo.php?workbook=20_05.xlsx&amp;sheet=U0&amp;row=3013&amp;col=6&amp;number=3.9&amp;sourceID=14","3.9")</f>
        <v>3.9</v>
      </c>
      <c r="G3013" s="4" t="str">
        <f>HYPERLINK("http://141.218.60.56/~jnz1568/getInfo.php?workbook=20_05.xlsx&amp;sheet=U0&amp;row=3013&amp;col=7&amp;number=2.52e-05&amp;sourceID=14","2.52e-05")</f>
        <v>2.52e-05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HYPERLINK("http://141.218.60.56/~jnz1568/getInfo.php?workbook=20_05.xlsx&amp;sheet=U0&amp;row=3014&amp;col=6&amp;number=4&amp;sourceID=14","4")</f>
        <v>4</v>
      </c>
      <c r="G3014" s="4" t="str">
        <f>HYPERLINK("http://141.218.60.56/~jnz1568/getInfo.php?workbook=20_05.xlsx&amp;sheet=U0&amp;row=3014&amp;col=7&amp;number=2.52e-05&amp;sourceID=14","2.52e-05")</f>
        <v>2.52e-05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HYPERLINK("http://141.218.60.56/~jnz1568/getInfo.php?workbook=20_05.xlsx&amp;sheet=U0&amp;row=3015&amp;col=6&amp;number=4.1&amp;sourceID=14","4.1")</f>
        <v>4.1</v>
      </c>
      <c r="G3015" s="4" t="str">
        <f>HYPERLINK("http://141.218.60.56/~jnz1568/getInfo.php?workbook=20_05.xlsx&amp;sheet=U0&amp;row=3015&amp;col=7&amp;number=2.52e-05&amp;sourceID=14","2.52e-05")</f>
        <v>2.52e-05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HYPERLINK("http://141.218.60.56/~jnz1568/getInfo.php?workbook=20_05.xlsx&amp;sheet=U0&amp;row=3016&amp;col=6&amp;number=4.2&amp;sourceID=14","4.2")</f>
        <v>4.2</v>
      </c>
      <c r="G3016" s="4" t="str">
        <f>HYPERLINK("http://141.218.60.56/~jnz1568/getInfo.php?workbook=20_05.xlsx&amp;sheet=U0&amp;row=3016&amp;col=7&amp;number=2.51e-05&amp;sourceID=14","2.51e-05")</f>
        <v>2.51e-05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HYPERLINK("http://141.218.60.56/~jnz1568/getInfo.php?workbook=20_05.xlsx&amp;sheet=U0&amp;row=3017&amp;col=6&amp;number=4.3&amp;sourceID=14","4.3")</f>
        <v>4.3</v>
      </c>
      <c r="G3017" s="4" t="str">
        <f>HYPERLINK("http://141.218.60.56/~jnz1568/getInfo.php?workbook=20_05.xlsx&amp;sheet=U0&amp;row=3017&amp;col=7&amp;number=2.51e-05&amp;sourceID=14","2.51e-05")</f>
        <v>2.51e-05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HYPERLINK("http://141.218.60.56/~jnz1568/getInfo.php?workbook=20_05.xlsx&amp;sheet=U0&amp;row=3018&amp;col=6&amp;number=4.4&amp;sourceID=14","4.4")</f>
        <v>4.4</v>
      </c>
      <c r="G3018" s="4" t="str">
        <f>HYPERLINK("http://141.218.60.56/~jnz1568/getInfo.php?workbook=20_05.xlsx&amp;sheet=U0&amp;row=3018&amp;col=7&amp;number=2.51e-05&amp;sourceID=14","2.51e-05")</f>
        <v>2.51e-05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HYPERLINK("http://141.218.60.56/~jnz1568/getInfo.php?workbook=20_05.xlsx&amp;sheet=U0&amp;row=3019&amp;col=6&amp;number=4.5&amp;sourceID=14","4.5")</f>
        <v>4.5</v>
      </c>
      <c r="G3019" s="4" t="str">
        <f>HYPERLINK("http://141.218.60.56/~jnz1568/getInfo.php?workbook=20_05.xlsx&amp;sheet=U0&amp;row=3019&amp;col=7&amp;number=2.5e-05&amp;sourceID=14","2.5e-05")</f>
        <v>2.5e-05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HYPERLINK("http://141.218.60.56/~jnz1568/getInfo.php?workbook=20_05.xlsx&amp;sheet=U0&amp;row=3020&amp;col=6&amp;number=4.6&amp;sourceID=14","4.6")</f>
        <v>4.6</v>
      </c>
      <c r="G3020" s="4" t="str">
        <f>HYPERLINK("http://141.218.60.56/~jnz1568/getInfo.php?workbook=20_05.xlsx&amp;sheet=U0&amp;row=3020&amp;col=7&amp;number=2.5e-05&amp;sourceID=14","2.5e-05")</f>
        <v>2.5e-05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HYPERLINK("http://141.218.60.56/~jnz1568/getInfo.php?workbook=20_05.xlsx&amp;sheet=U0&amp;row=3021&amp;col=6&amp;number=4.7&amp;sourceID=14","4.7")</f>
        <v>4.7</v>
      </c>
      <c r="G3021" s="4" t="str">
        <f>HYPERLINK("http://141.218.60.56/~jnz1568/getInfo.php?workbook=20_05.xlsx&amp;sheet=U0&amp;row=3021&amp;col=7&amp;number=2.49e-05&amp;sourceID=14","2.49e-05")</f>
        <v>2.49e-05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HYPERLINK("http://141.218.60.56/~jnz1568/getInfo.php?workbook=20_05.xlsx&amp;sheet=U0&amp;row=3022&amp;col=6&amp;number=4.8&amp;sourceID=14","4.8")</f>
        <v>4.8</v>
      </c>
      <c r="G3022" s="4" t="str">
        <f>HYPERLINK("http://141.218.60.56/~jnz1568/getInfo.php?workbook=20_05.xlsx&amp;sheet=U0&amp;row=3022&amp;col=7&amp;number=2.48e-05&amp;sourceID=14","2.48e-05")</f>
        <v>2.48e-05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HYPERLINK("http://141.218.60.56/~jnz1568/getInfo.php?workbook=20_05.xlsx&amp;sheet=U0&amp;row=3023&amp;col=6&amp;number=4.9&amp;sourceID=14","4.9")</f>
        <v>4.9</v>
      </c>
      <c r="G3023" s="4" t="str">
        <f>HYPERLINK("http://141.218.60.56/~jnz1568/getInfo.php?workbook=20_05.xlsx&amp;sheet=U0&amp;row=3023&amp;col=7&amp;number=2.47e-05&amp;sourceID=14","2.47e-05")</f>
        <v>2.47e-05</v>
      </c>
    </row>
    <row r="3024" spans="1:7">
      <c r="A3024" s="3">
        <v>20</v>
      </c>
      <c r="B3024" s="3">
        <v>5</v>
      </c>
      <c r="C3024" s="3">
        <v>1</v>
      </c>
      <c r="D3024" s="3">
        <v>107</v>
      </c>
      <c r="E3024" s="3">
        <v>1</v>
      </c>
      <c r="F3024" s="4" t="str">
        <f>HYPERLINK("http://141.218.60.56/~jnz1568/getInfo.php?workbook=20_05.xlsx&amp;sheet=U0&amp;row=3024&amp;col=6&amp;number=3&amp;sourceID=14","3")</f>
        <v>3</v>
      </c>
      <c r="G3024" s="4" t="str">
        <f>HYPERLINK("http://141.218.60.56/~jnz1568/getInfo.php?workbook=20_05.xlsx&amp;sheet=U0&amp;row=3024&amp;col=7&amp;number=0.00495&amp;sourceID=14","0.00495")</f>
        <v>0.00495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HYPERLINK("http://141.218.60.56/~jnz1568/getInfo.php?workbook=20_05.xlsx&amp;sheet=U0&amp;row=3025&amp;col=6&amp;number=3.1&amp;sourceID=14","3.1")</f>
        <v>3.1</v>
      </c>
      <c r="G3025" s="4" t="str">
        <f>HYPERLINK("http://141.218.60.56/~jnz1568/getInfo.php?workbook=20_05.xlsx&amp;sheet=U0&amp;row=3025&amp;col=7&amp;number=0.00495&amp;sourceID=14","0.00495")</f>
        <v>0.00495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HYPERLINK("http://141.218.60.56/~jnz1568/getInfo.php?workbook=20_05.xlsx&amp;sheet=U0&amp;row=3026&amp;col=6&amp;number=3.2&amp;sourceID=14","3.2")</f>
        <v>3.2</v>
      </c>
      <c r="G3026" s="4" t="str">
        <f>HYPERLINK("http://141.218.60.56/~jnz1568/getInfo.php?workbook=20_05.xlsx&amp;sheet=U0&amp;row=3026&amp;col=7&amp;number=0.00495&amp;sourceID=14","0.00495")</f>
        <v>0.00495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HYPERLINK("http://141.218.60.56/~jnz1568/getInfo.php?workbook=20_05.xlsx&amp;sheet=U0&amp;row=3027&amp;col=6&amp;number=3.3&amp;sourceID=14","3.3")</f>
        <v>3.3</v>
      </c>
      <c r="G3027" s="4" t="str">
        <f>HYPERLINK("http://141.218.60.56/~jnz1568/getInfo.php?workbook=20_05.xlsx&amp;sheet=U0&amp;row=3027&amp;col=7&amp;number=0.00495&amp;sourceID=14","0.00495")</f>
        <v>0.00495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HYPERLINK("http://141.218.60.56/~jnz1568/getInfo.php?workbook=20_05.xlsx&amp;sheet=U0&amp;row=3028&amp;col=6&amp;number=3.4&amp;sourceID=14","3.4")</f>
        <v>3.4</v>
      </c>
      <c r="G3028" s="4" t="str">
        <f>HYPERLINK("http://141.218.60.56/~jnz1568/getInfo.php?workbook=20_05.xlsx&amp;sheet=U0&amp;row=3028&amp;col=7&amp;number=0.00495&amp;sourceID=14","0.00495")</f>
        <v>0.00495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HYPERLINK("http://141.218.60.56/~jnz1568/getInfo.php?workbook=20_05.xlsx&amp;sheet=U0&amp;row=3029&amp;col=6&amp;number=3.5&amp;sourceID=14","3.5")</f>
        <v>3.5</v>
      </c>
      <c r="G3029" s="4" t="str">
        <f>HYPERLINK("http://141.218.60.56/~jnz1568/getInfo.php?workbook=20_05.xlsx&amp;sheet=U0&amp;row=3029&amp;col=7&amp;number=0.00495&amp;sourceID=14","0.00495")</f>
        <v>0.00495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HYPERLINK("http://141.218.60.56/~jnz1568/getInfo.php?workbook=20_05.xlsx&amp;sheet=U0&amp;row=3030&amp;col=6&amp;number=3.6&amp;sourceID=14","3.6")</f>
        <v>3.6</v>
      </c>
      <c r="G3030" s="4" t="str">
        <f>HYPERLINK("http://141.218.60.56/~jnz1568/getInfo.php?workbook=20_05.xlsx&amp;sheet=U0&amp;row=3030&amp;col=7&amp;number=0.00495&amp;sourceID=14","0.00495")</f>
        <v>0.00495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HYPERLINK("http://141.218.60.56/~jnz1568/getInfo.php?workbook=20_05.xlsx&amp;sheet=U0&amp;row=3031&amp;col=6&amp;number=3.7&amp;sourceID=14","3.7")</f>
        <v>3.7</v>
      </c>
      <c r="G3031" s="4" t="str">
        <f>HYPERLINK("http://141.218.60.56/~jnz1568/getInfo.php?workbook=20_05.xlsx&amp;sheet=U0&amp;row=3031&amp;col=7&amp;number=0.00495&amp;sourceID=14","0.00495")</f>
        <v>0.00495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HYPERLINK("http://141.218.60.56/~jnz1568/getInfo.php?workbook=20_05.xlsx&amp;sheet=U0&amp;row=3032&amp;col=6&amp;number=3.8&amp;sourceID=14","3.8")</f>
        <v>3.8</v>
      </c>
      <c r="G3032" s="4" t="str">
        <f>HYPERLINK("http://141.218.60.56/~jnz1568/getInfo.php?workbook=20_05.xlsx&amp;sheet=U0&amp;row=3032&amp;col=7&amp;number=0.00495&amp;sourceID=14","0.00495")</f>
        <v>0.00495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HYPERLINK("http://141.218.60.56/~jnz1568/getInfo.php?workbook=20_05.xlsx&amp;sheet=U0&amp;row=3033&amp;col=6&amp;number=3.9&amp;sourceID=14","3.9")</f>
        <v>3.9</v>
      </c>
      <c r="G3033" s="4" t="str">
        <f>HYPERLINK("http://141.218.60.56/~jnz1568/getInfo.php?workbook=20_05.xlsx&amp;sheet=U0&amp;row=3033&amp;col=7&amp;number=0.00494&amp;sourceID=14","0.00494")</f>
        <v>0.00494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HYPERLINK("http://141.218.60.56/~jnz1568/getInfo.php?workbook=20_05.xlsx&amp;sheet=U0&amp;row=3034&amp;col=6&amp;number=4&amp;sourceID=14","4")</f>
        <v>4</v>
      </c>
      <c r="G3034" s="4" t="str">
        <f>HYPERLINK("http://141.218.60.56/~jnz1568/getInfo.php?workbook=20_05.xlsx&amp;sheet=U0&amp;row=3034&amp;col=7&amp;number=0.00494&amp;sourceID=14","0.00494")</f>
        <v>0.00494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HYPERLINK("http://141.218.60.56/~jnz1568/getInfo.php?workbook=20_05.xlsx&amp;sheet=U0&amp;row=3035&amp;col=6&amp;number=4.1&amp;sourceID=14","4.1")</f>
        <v>4.1</v>
      </c>
      <c r="G3035" s="4" t="str">
        <f>HYPERLINK("http://141.218.60.56/~jnz1568/getInfo.php?workbook=20_05.xlsx&amp;sheet=U0&amp;row=3035&amp;col=7&amp;number=0.00494&amp;sourceID=14","0.00494")</f>
        <v>0.00494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HYPERLINK("http://141.218.60.56/~jnz1568/getInfo.php?workbook=20_05.xlsx&amp;sheet=U0&amp;row=3036&amp;col=6&amp;number=4.2&amp;sourceID=14","4.2")</f>
        <v>4.2</v>
      </c>
      <c r="G3036" s="4" t="str">
        <f>HYPERLINK("http://141.218.60.56/~jnz1568/getInfo.php?workbook=20_05.xlsx&amp;sheet=U0&amp;row=3036&amp;col=7&amp;number=0.00493&amp;sourceID=14","0.00493")</f>
        <v>0.00493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HYPERLINK("http://141.218.60.56/~jnz1568/getInfo.php?workbook=20_05.xlsx&amp;sheet=U0&amp;row=3037&amp;col=6&amp;number=4.3&amp;sourceID=14","4.3")</f>
        <v>4.3</v>
      </c>
      <c r="G3037" s="4" t="str">
        <f>HYPERLINK("http://141.218.60.56/~jnz1568/getInfo.php?workbook=20_05.xlsx&amp;sheet=U0&amp;row=3037&amp;col=7&amp;number=0.00493&amp;sourceID=14","0.00493")</f>
        <v>0.00493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HYPERLINK("http://141.218.60.56/~jnz1568/getInfo.php?workbook=20_05.xlsx&amp;sheet=U0&amp;row=3038&amp;col=6&amp;number=4.4&amp;sourceID=14","4.4")</f>
        <v>4.4</v>
      </c>
      <c r="G3038" s="4" t="str">
        <f>HYPERLINK("http://141.218.60.56/~jnz1568/getInfo.php?workbook=20_05.xlsx&amp;sheet=U0&amp;row=3038&amp;col=7&amp;number=0.00492&amp;sourceID=14","0.00492")</f>
        <v>0.00492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HYPERLINK("http://141.218.60.56/~jnz1568/getInfo.php?workbook=20_05.xlsx&amp;sheet=U0&amp;row=3039&amp;col=6&amp;number=4.5&amp;sourceID=14","4.5")</f>
        <v>4.5</v>
      </c>
      <c r="G3039" s="4" t="str">
        <f>HYPERLINK("http://141.218.60.56/~jnz1568/getInfo.php?workbook=20_05.xlsx&amp;sheet=U0&amp;row=3039&amp;col=7&amp;number=0.00491&amp;sourceID=14","0.00491")</f>
        <v>0.00491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HYPERLINK("http://141.218.60.56/~jnz1568/getInfo.php?workbook=20_05.xlsx&amp;sheet=U0&amp;row=3040&amp;col=6&amp;number=4.6&amp;sourceID=14","4.6")</f>
        <v>4.6</v>
      </c>
      <c r="G3040" s="4" t="str">
        <f>HYPERLINK("http://141.218.60.56/~jnz1568/getInfo.php?workbook=20_05.xlsx&amp;sheet=U0&amp;row=3040&amp;col=7&amp;number=0.0049&amp;sourceID=14","0.0049")</f>
        <v>0.0049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HYPERLINK("http://141.218.60.56/~jnz1568/getInfo.php?workbook=20_05.xlsx&amp;sheet=U0&amp;row=3041&amp;col=6&amp;number=4.7&amp;sourceID=14","4.7")</f>
        <v>4.7</v>
      </c>
      <c r="G3041" s="4" t="str">
        <f>HYPERLINK("http://141.218.60.56/~jnz1568/getInfo.php?workbook=20_05.xlsx&amp;sheet=U0&amp;row=3041&amp;col=7&amp;number=0.00488&amp;sourceID=14","0.00488")</f>
        <v>0.00488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HYPERLINK("http://141.218.60.56/~jnz1568/getInfo.php?workbook=20_05.xlsx&amp;sheet=U0&amp;row=3042&amp;col=6&amp;number=4.8&amp;sourceID=14","4.8")</f>
        <v>4.8</v>
      </c>
      <c r="G3042" s="4" t="str">
        <f>HYPERLINK("http://141.218.60.56/~jnz1568/getInfo.php?workbook=20_05.xlsx&amp;sheet=U0&amp;row=3042&amp;col=7&amp;number=0.00487&amp;sourceID=14","0.00487")</f>
        <v>0.00487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HYPERLINK("http://141.218.60.56/~jnz1568/getInfo.php?workbook=20_05.xlsx&amp;sheet=U0&amp;row=3043&amp;col=6&amp;number=4.9&amp;sourceID=14","4.9")</f>
        <v>4.9</v>
      </c>
      <c r="G3043" s="4" t="str">
        <f>HYPERLINK("http://141.218.60.56/~jnz1568/getInfo.php?workbook=20_05.xlsx&amp;sheet=U0&amp;row=3043&amp;col=7&amp;number=0.00484&amp;sourceID=14","0.00484")</f>
        <v>0.00484</v>
      </c>
    </row>
    <row r="3044" spans="1:7">
      <c r="A3044" s="3">
        <v>20</v>
      </c>
      <c r="B3044" s="3">
        <v>5</v>
      </c>
      <c r="C3044" s="3">
        <v>1</v>
      </c>
      <c r="D3044" s="3">
        <v>108</v>
      </c>
      <c r="E3044" s="3">
        <v>1</v>
      </c>
      <c r="F3044" s="4" t="str">
        <f>HYPERLINK("http://141.218.60.56/~jnz1568/getInfo.php?workbook=20_05.xlsx&amp;sheet=U0&amp;row=3044&amp;col=6&amp;number=3&amp;sourceID=14","3")</f>
        <v>3</v>
      </c>
      <c r="G3044" s="4" t="str">
        <f>HYPERLINK("http://141.218.60.56/~jnz1568/getInfo.php?workbook=20_05.xlsx&amp;sheet=U0&amp;row=3044&amp;col=7&amp;number=0.00687&amp;sourceID=14","0.00687")</f>
        <v>0.00687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HYPERLINK("http://141.218.60.56/~jnz1568/getInfo.php?workbook=20_05.xlsx&amp;sheet=U0&amp;row=3045&amp;col=6&amp;number=3.1&amp;sourceID=14","3.1")</f>
        <v>3.1</v>
      </c>
      <c r="G3045" s="4" t="str">
        <f>HYPERLINK("http://141.218.60.56/~jnz1568/getInfo.php?workbook=20_05.xlsx&amp;sheet=U0&amp;row=3045&amp;col=7&amp;number=0.00687&amp;sourceID=14","0.00687")</f>
        <v>0.00687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HYPERLINK("http://141.218.60.56/~jnz1568/getInfo.php?workbook=20_05.xlsx&amp;sheet=U0&amp;row=3046&amp;col=6&amp;number=3.2&amp;sourceID=14","3.2")</f>
        <v>3.2</v>
      </c>
      <c r="G3046" s="4" t="str">
        <f>HYPERLINK("http://141.218.60.56/~jnz1568/getInfo.php?workbook=20_05.xlsx&amp;sheet=U0&amp;row=3046&amp;col=7&amp;number=0.00687&amp;sourceID=14","0.00687")</f>
        <v>0.00687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HYPERLINK("http://141.218.60.56/~jnz1568/getInfo.php?workbook=20_05.xlsx&amp;sheet=U0&amp;row=3047&amp;col=6&amp;number=3.3&amp;sourceID=14","3.3")</f>
        <v>3.3</v>
      </c>
      <c r="G3047" s="4" t="str">
        <f>HYPERLINK("http://141.218.60.56/~jnz1568/getInfo.php?workbook=20_05.xlsx&amp;sheet=U0&amp;row=3047&amp;col=7&amp;number=0.00687&amp;sourceID=14","0.00687")</f>
        <v>0.00687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HYPERLINK("http://141.218.60.56/~jnz1568/getInfo.php?workbook=20_05.xlsx&amp;sheet=U0&amp;row=3048&amp;col=6&amp;number=3.4&amp;sourceID=14","3.4")</f>
        <v>3.4</v>
      </c>
      <c r="G3048" s="4" t="str">
        <f>HYPERLINK("http://141.218.60.56/~jnz1568/getInfo.php?workbook=20_05.xlsx&amp;sheet=U0&amp;row=3048&amp;col=7&amp;number=0.00687&amp;sourceID=14","0.00687")</f>
        <v>0.00687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HYPERLINK("http://141.218.60.56/~jnz1568/getInfo.php?workbook=20_05.xlsx&amp;sheet=U0&amp;row=3049&amp;col=6&amp;number=3.5&amp;sourceID=14","3.5")</f>
        <v>3.5</v>
      </c>
      <c r="G3049" s="4" t="str">
        <f>HYPERLINK("http://141.218.60.56/~jnz1568/getInfo.php?workbook=20_05.xlsx&amp;sheet=U0&amp;row=3049&amp;col=7&amp;number=0.00687&amp;sourceID=14","0.00687")</f>
        <v>0.00687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HYPERLINK("http://141.218.60.56/~jnz1568/getInfo.php?workbook=20_05.xlsx&amp;sheet=U0&amp;row=3050&amp;col=6&amp;number=3.6&amp;sourceID=14","3.6")</f>
        <v>3.6</v>
      </c>
      <c r="G3050" s="4" t="str">
        <f>HYPERLINK("http://141.218.60.56/~jnz1568/getInfo.php?workbook=20_05.xlsx&amp;sheet=U0&amp;row=3050&amp;col=7&amp;number=0.00686&amp;sourceID=14","0.00686")</f>
        <v>0.00686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HYPERLINK("http://141.218.60.56/~jnz1568/getInfo.php?workbook=20_05.xlsx&amp;sheet=U0&amp;row=3051&amp;col=6&amp;number=3.7&amp;sourceID=14","3.7")</f>
        <v>3.7</v>
      </c>
      <c r="G3051" s="4" t="str">
        <f>HYPERLINK("http://141.218.60.56/~jnz1568/getInfo.php?workbook=20_05.xlsx&amp;sheet=U0&amp;row=3051&amp;col=7&amp;number=0.00686&amp;sourceID=14","0.00686")</f>
        <v>0.00686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HYPERLINK("http://141.218.60.56/~jnz1568/getInfo.php?workbook=20_05.xlsx&amp;sheet=U0&amp;row=3052&amp;col=6&amp;number=3.8&amp;sourceID=14","3.8")</f>
        <v>3.8</v>
      </c>
      <c r="G3052" s="4" t="str">
        <f>HYPERLINK("http://141.218.60.56/~jnz1568/getInfo.php?workbook=20_05.xlsx&amp;sheet=U0&amp;row=3052&amp;col=7&amp;number=0.00686&amp;sourceID=14","0.00686")</f>
        <v>0.00686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HYPERLINK("http://141.218.60.56/~jnz1568/getInfo.php?workbook=20_05.xlsx&amp;sheet=U0&amp;row=3053&amp;col=6&amp;number=3.9&amp;sourceID=14","3.9")</f>
        <v>3.9</v>
      </c>
      <c r="G3053" s="4" t="str">
        <f>HYPERLINK("http://141.218.60.56/~jnz1568/getInfo.php?workbook=20_05.xlsx&amp;sheet=U0&amp;row=3053&amp;col=7&amp;number=0.00686&amp;sourceID=14","0.00686")</f>
        <v>0.00686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HYPERLINK("http://141.218.60.56/~jnz1568/getInfo.php?workbook=20_05.xlsx&amp;sheet=U0&amp;row=3054&amp;col=6&amp;number=4&amp;sourceID=14","4")</f>
        <v>4</v>
      </c>
      <c r="G3054" s="4" t="str">
        <f>HYPERLINK("http://141.218.60.56/~jnz1568/getInfo.php?workbook=20_05.xlsx&amp;sheet=U0&amp;row=3054&amp;col=7&amp;number=0.00686&amp;sourceID=14","0.00686")</f>
        <v>0.00686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HYPERLINK("http://141.218.60.56/~jnz1568/getInfo.php?workbook=20_05.xlsx&amp;sheet=U0&amp;row=3055&amp;col=6&amp;number=4.1&amp;sourceID=14","4.1")</f>
        <v>4.1</v>
      </c>
      <c r="G3055" s="4" t="str">
        <f>HYPERLINK("http://141.218.60.56/~jnz1568/getInfo.php?workbook=20_05.xlsx&amp;sheet=U0&amp;row=3055&amp;col=7&amp;number=0.00686&amp;sourceID=14","0.00686")</f>
        <v>0.00686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HYPERLINK("http://141.218.60.56/~jnz1568/getInfo.php?workbook=20_05.xlsx&amp;sheet=U0&amp;row=3056&amp;col=6&amp;number=4.2&amp;sourceID=14","4.2")</f>
        <v>4.2</v>
      </c>
      <c r="G3056" s="4" t="str">
        <f>HYPERLINK("http://141.218.60.56/~jnz1568/getInfo.php?workbook=20_05.xlsx&amp;sheet=U0&amp;row=3056&amp;col=7&amp;number=0.00686&amp;sourceID=14","0.00686")</f>
        <v>0.00686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HYPERLINK("http://141.218.60.56/~jnz1568/getInfo.php?workbook=20_05.xlsx&amp;sheet=U0&amp;row=3057&amp;col=6&amp;number=4.3&amp;sourceID=14","4.3")</f>
        <v>4.3</v>
      </c>
      <c r="G3057" s="4" t="str">
        <f>HYPERLINK("http://141.218.60.56/~jnz1568/getInfo.php?workbook=20_05.xlsx&amp;sheet=U0&amp;row=3057&amp;col=7&amp;number=0.00685&amp;sourceID=14","0.00685")</f>
        <v>0.00685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HYPERLINK("http://141.218.60.56/~jnz1568/getInfo.php?workbook=20_05.xlsx&amp;sheet=U0&amp;row=3058&amp;col=6&amp;number=4.4&amp;sourceID=14","4.4")</f>
        <v>4.4</v>
      </c>
      <c r="G3058" s="4" t="str">
        <f>HYPERLINK("http://141.218.60.56/~jnz1568/getInfo.php?workbook=20_05.xlsx&amp;sheet=U0&amp;row=3058&amp;col=7&amp;number=0.00685&amp;sourceID=14","0.00685")</f>
        <v>0.00685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HYPERLINK("http://141.218.60.56/~jnz1568/getInfo.php?workbook=20_05.xlsx&amp;sheet=U0&amp;row=3059&amp;col=6&amp;number=4.5&amp;sourceID=14","4.5")</f>
        <v>4.5</v>
      </c>
      <c r="G3059" s="4" t="str">
        <f>HYPERLINK("http://141.218.60.56/~jnz1568/getInfo.php?workbook=20_05.xlsx&amp;sheet=U0&amp;row=3059&amp;col=7&amp;number=0.00684&amp;sourceID=14","0.00684")</f>
        <v>0.00684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HYPERLINK("http://141.218.60.56/~jnz1568/getInfo.php?workbook=20_05.xlsx&amp;sheet=U0&amp;row=3060&amp;col=6&amp;number=4.6&amp;sourceID=14","4.6")</f>
        <v>4.6</v>
      </c>
      <c r="G3060" s="4" t="str">
        <f>HYPERLINK("http://141.218.60.56/~jnz1568/getInfo.php?workbook=20_05.xlsx&amp;sheet=U0&amp;row=3060&amp;col=7&amp;number=0.00684&amp;sourceID=14","0.00684")</f>
        <v>0.00684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HYPERLINK("http://141.218.60.56/~jnz1568/getInfo.php?workbook=20_05.xlsx&amp;sheet=U0&amp;row=3061&amp;col=6&amp;number=4.7&amp;sourceID=14","4.7")</f>
        <v>4.7</v>
      </c>
      <c r="G3061" s="4" t="str">
        <f>HYPERLINK("http://141.218.60.56/~jnz1568/getInfo.php?workbook=20_05.xlsx&amp;sheet=U0&amp;row=3061&amp;col=7&amp;number=0.00683&amp;sourceID=14","0.00683")</f>
        <v>0.00683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HYPERLINK("http://141.218.60.56/~jnz1568/getInfo.php?workbook=20_05.xlsx&amp;sheet=U0&amp;row=3062&amp;col=6&amp;number=4.8&amp;sourceID=14","4.8")</f>
        <v>4.8</v>
      </c>
      <c r="G3062" s="4" t="str">
        <f>HYPERLINK("http://141.218.60.56/~jnz1568/getInfo.php?workbook=20_05.xlsx&amp;sheet=U0&amp;row=3062&amp;col=7&amp;number=0.00682&amp;sourceID=14","0.00682")</f>
        <v>0.00682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HYPERLINK("http://141.218.60.56/~jnz1568/getInfo.php?workbook=20_05.xlsx&amp;sheet=U0&amp;row=3063&amp;col=6&amp;number=4.9&amp;sourceID=14","4.9")</f>
        <v>4.9</v>
      </c>
      <c r="G3063" s="4" t="str">
        <f>HYPERLINK("http://141.218.60.56/~jnz1568/getInfo.php?workbook=20_05.xlsx&amp;sheet=U0&amp;row=3063&amp;col=7&amp;number=0.0068&amp;sourceID=14","0.0068")</f>
        <v>0.0068</v>
      </c>
    </row>
    <row r="3064" spans="1:7">
      <c r="A3064" s="3">
        <v>20</v>
      </c>
      <c r="B3064" s="3">
        <v>5</v>
      </c>
      <c r="C3064" s="3">
        <v>1</v>
      </c>
      <c r="D3064" s="3">
        <v>109</v>
      </c>
      <c r="E3064" s="3">
        <v>1</v>
      </c>
      <c r="F3064" s="4" t="str">
        <f>HYPERLINK("http://141.218.60.56/~jnz1568/getInfo.php?workbook=20_05.xlsx&amp;sheet=U0&amp;row=3064&amp;col=6&amp;number=3&amp;sourceID=14","3")</f>
        <v>3</v>
      </c>
      <c r="G3064" s="4" t="str">
        <f>HYPERLINK("http://141.218.60.56/~jnz1568/getInfo.php?workbook=20_05.xlsx&amp;sheet=U0&amp;row=3064&amp;col=7&amp;number=0.00638&amp;sourceID=14","0.00638")</f>
        <v>0.00638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HYPERLINK("http://141.218.60.56/~jnz1568/getInfo.php?workbook=20_05.xlsx&amp;sheet=U0&amp;row=3065&amp;col=6&amp;number=3.1&amp;sourceID=14","3.1")</f>
        <v>3.1</v>
      </c>
      <c r="G3065" s="4" t="str">
        <f>HYPERLINK("http://141.218.60.56/~jnz1568/getInfo.php?workbook=20_05.xlsx&amp;sheet=U0&amp;row=3065&amp;col=7&amp;number=0.00638&amp;sourceID=14","0.00638")</f>
        <v>0.00638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HYPERLINK("http://141.218.60.56/~jnz1568/getInfo.php?workbook=20_05.xlsx&amp;sheet=U0&amp;row=3066&amp;col=6&amp;number=3.2&amp;sourceID=14","3.2")</f>
        <v>3.2</v>
      </c>
      <c r="G3066" s="4" t="str">
        <f>HYPERLINK("http://141.218.60.56/~jnz1568/getInfo.php?workbook=20_05.xlsx&amp;sheet=U0&amp;row=3066&amp;col=7&amp;number=0.00638&amp;sourceID=14","0.00638")</f>
        <v>0.00638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HYPERLINK("http://141.218.60.56/~jnz1568/getInfo.php?workbook=20_05.xlsx&amp;sheet=U0&amp;row=3067&amp;col=6&amp;number=3.3&amp;sourceID=14","3.3")</f>
        <v>3.3</v>
      </c>
      <c r="G3067" s="4" t="str">
        <f>HYPERLINK("http://141.218.60.56/~jnz1568/getInfo.php?workbook=20_05.xlsx&amp;sheet=U0&amp;row=3067&amp;col=7&amp;number=0.00638&amp;sourceID=14","0.00638")</f>
        <v>0.00638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HYPERLINK("http://141.218.60.56/~jnz1568/getInfo.php?workbook=20_05.xlsx&amp;sheet=U0&amp;row=3068&amp;col=6&amp;number=3.4&amp;sourceID=14","3.4")</f>
        <v>3.4</v>
      </c>
      <c r="G3068" s="4" t="str">
        <f>HYPERLINK("http://141.218.60.56/~jnz1568/getInfo.php?workbook=20_05.xlsx&amp;sheet=U0&amp;row=3068&amp;col=7&amp;number=0.00638&amp;sourceID=14","0.00638")</f>
        <v>0.00638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HYPERLINK("http://141.218.60.56/~jnz1568/getInfo.php?workbook=20_05.xlsx&amp;sheet=U0&amp;row=3069&amp;col=6&amp;number=3.5&amp;sourceID=14","3.5")</f>
        <v>3.5</v>
      </c>
      <c r="G3069" s="4" t="str">
        <f>HYPERLINK("http://141.218.60.56/~jnz1568/getInfo.php?workbook=20_05.xlsx&amp;sheet=U0&amp;row=3069&amp;col=7&amp;number=0.00638&amp;sourceID=14","0.00638")</f>
        <v>0.00638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HYPERLINK("http://141.218.60.56/~jnz1568/getInfo.php?workbook=20_05.xlsx&amp;sheet=U0&amp;row=3070&amp;col=6&amp;number=3.6&amp;sourceID=14","3.6")</f>
        <v>3.6</v>
      </c>
      <c r="G3070" s="4" t="str">
        <f>HYPERLINK("http://141.218.60.56/~jnz1568/getInfo.php?workbook=20_05.xlsx&amp;sheet=U0&amp;row=3070&amp;col=7&amp;number=0.00638&amp;sourceID=14","0.00638")</f>
        <v>0.00638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HYPERLINK("http://141.218.60.56/~jnz1568/getInfo.php?workbook=20_05.xlsx&amp;sheet=U0&amp;row=3071&amp;col=6&amp;number=3.7&amp;sourceID=14","3.7")</f>
        <v>3.7</v>
      </c>
      <c r="G3071" s="4" t="str">
        <f>HYPERLINK("http://141.218.60.56/~jnz1568/getInfo.php?workbook=20_05.xlsx&amp;sheet=U0&amp;row=3071&amp;col=7&amp;number=0.00638&amp;sourceID=14","0.00638")</f>
        <v>0.00638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HYPERLINK("http://141.218.60.56/~jnz1568/getInfo.php?workbook=20_05.xlsx&amp;sheet=U0&amp;row=3072&amp;col=6&amp;number=3.8&amp;sourceID=14","3.8")</f>
        <v>3.8</v>
      </c>
      <c r="G3072" s="4" t="str">
        <f>HYPERLINK("http://141.218.60.56/~jnz1568/getInfo.php?workbook=20_05.xlsx&amp;sheet=U0&amp;row=3072&amp;col=7&amp;number=0.00638&amp;sourceID=14","0.00638")</f>
        <v>0.00638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HYPERLINK("http://141.218.60.56/~jnz1568/getInfo.php?workbook=20_05.xlsx&amp;sheet=U0&amp;row=3073&amp;col=6&amp;number=3.9&amp;sourceID=14","3.9")</f>
        <v>3.9</v>
      </c>
      <c r="G3073" s="4" t="str">
        <f>HYPERLINK("http://141.218.60.56/~jnz1568/getInfo.php?workbook=20_05.xlsx&amp;sheet=U0&amp;row=3073&amp;col=7&amp;number=0.00639&amp;sourceID=14","0.00639")</f>
        <v>0.00639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HYPERLINK("http://141.218.60.56/~jnz1568/getInfo.php?workbook=20_05.xlsx&amp;sheet=U0&amp;row=3074&amp;col=6&amp;number=4&amp;sourceID=14","4")</f>
        <v>4</v>
      </c>
      <c r="G3074" s="4" t="str">
        <f>HYPERLINK("http://141.218.60.56/~jnz1568/getInfo.php?workbook=20_05.xlsx&amp;sheet=U0&amp;row=3074&amp;col=7&amp;number=0.00639&amp;sourceID=14","0.00639")</f>
        <v>0.00639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HYPERLINK("http://141.218.60.56/~jnz1568/getInfo.php?workbook=20_05.xlsx&amp;sheet=U0&amp;row=3075&amp;col=6&amp;number=4.1&amp;sourceID=14","4.1")</f>
        <v>4.1</v>
      </c>
      <c r="G3075" s="4" t="str">
        <f>HYPERLINK("http://141.218.60.56/~jnz1568/getInfo.php?workbook=20_05.xlsx&amp;sheet=U0&amp;row=3075&amp;col=7&amp;number=0.00639&amp;sourceID=14","0.00639")</f>
        <v>0.00639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HYPERLINK("http://141.218.60.56/~jnz1568/getInfo.php?workbook=20_05.xlsx&amp;sheet=U0&amp;row=3076&amp;col=6&amp;number=4.2&amp;sourceID=14","4.2")</f>
        <v>4.2</v>
      </c>
      <c r="G3076" s="4" t="str">
        <f>HYPERLINK("http://141.218.60.56/~jnz1568/getInfo.php?workbook=20_05.xlsx&amp;sheet=U0&amp;row=3076&amp;col=7&amp;number=0.00639&amp;sourceID=14","0.00639")</f>
        <v>0.00639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HYPERLINK("http://141.218.60.56/~jnz1568/getInfo.php?workbook=20_05.xlsx&amp;sheet=U0&amp;row=3077&amp;col=6&amp;number=4.3&amp;sourceID=14","4.3")</f>
        <v>4.3</v>
      </c>
      <c r="G3077" s="4" t="str">
        <f>HYPERLINK("http://141.218.60.56/~jnz1568/getInfo.php?workbook=20_05.xlsx&amp;sheet=U0&amp;row=3077&amp;col=7&amp;number=0.0064&amp;sourceID=14","0.0064")</f>
        <v>0.0064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HYPERLINK("http://141.218.60.56/~jnz1568/getInfo.php?workbook=20_05.xlsx&amp;sheet=U0&amp;row=3078&amp;col=6&amp;number=4.4&amp;sourceID=14","4.4")</f>
        <v>4.4</v>
      </c>
      <c r="G3078" s="4" t="str">
        <f>HYPERLINK("http://141.218.60.56/~jnz1568/getInfo.php?workbook=20_05.xlsx&amp;sheet=U0&amp;row=3078&amp;col=7&amp;number=0.0064&amp;sourceID=14","0.0064")</f>
        <v>0.0064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HYPERLINK("http://141.218.60.56/~jnz1568/getInfo.php?workbook=20_05.xlsx&amp;sheet=U0&amp;row=3079&amp;col=6&amp;number=4.5&amp;sourceID=14","4.5")</f>
        <v>4.5</v>
      </c>
      <c r="G3079" s="4" t="str">
        <f>HYPERLINK("http://141.218.60.56/~jnz1568/getInfo.php?workbook=20_05.xlsx&amp;sheet=U0&amp;row=3079&amp;col=7&amp;number=0.00641&amp;sourceID=14","0.00641")</f>
        <v>0.00641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HYPERLINK("http://141.218.60.56/~jnz1568/getInfo.php?workbook=20_05.xlsx&amp;sheet=U0&amp;row=3080&amp;col=6&amp;number=4.6&amp;sourceID=14","4.6")</f>
        <v>4.6</v>
      </c>
      <c r="G3080" s="4" t="str">
        <f>HYPERLINK("http://141.218.60.56/~jnz1568/getInfo.php?workbook=20_05.xlsx&amp;sheet=U0&amp;row=3080&amp;col=7&amp;number=0.00642&amp;sourceID=14","0.00642")</f>
        <v>0.00642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HYPERLINK("http://141.218.60.56/~jnz1568/getInfo.php?workbook=20_05.xlsx&amp;sheet=U0&amp;row=3081&amp;col=6&amp;number=4.7&amp;sourceID=14","4.7")</f>
        <v>4.7</v>
      </c>
      <c r="G3081" s="4" t="str">
        <f>HYPERLINK("http://141.218.60.56/~jnz1568/getInfo.php?workbook=20_05.xlsx&amp;sheet=U0&amp;row=3081&amp;col=7&amp;number=0.00643&amp;sourceID=14","0.00643")</f>
        <v>0.00643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HYPERLINK("http://141.218.60.56/~jnz1568/getInfo.php?workbook=20_05.xlsx&amp;sheet=U0&amp;row=3082&amp;col=6&amp;number=4.8&amp;sourceID=14","4.8")</f>
        <v>4.8</v>
      </c>
      <c r="G3082" s="4" t="str">
        <f>HYPERLINK("http://141.218.60.56/~jnz1568/getInfo.php?workbook=20_05.xlsx&amp;sheet=U0&amp;row=3082&amp;col=7&amp;number=0.00645&amp;sourceID=14","0.00645")</f>
        <v>0.00645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HYPERLINK("http://141.218.60.56/~jnz1568/getInfo.php?workbook=20_05.xlsx&amp;sheet=U0&amp;row=3083&amp;col=6&amp;number=4.9&amp;sourceID=14","4.9")</f>
        <v>4.9</v>
      </c>
      <c r="G3083" s="4" t="str">
        <f>HYPERLINK("http://141.218.60.56/~jnz1568/getInfo.php?workbook=20_05.xlsx&amp;sheet=U0&amp;row=3083&amp;col=7&amp;number=0.00647&amp;sourceID=14","0.00647")</f>
        <v>0.00647</v>
      </c>
    </row>
    <row r="3084" spans="1:7">
      <c r="A3084" s="3">
        <v>20</v>
      </c>
      <c r="B3084" s="3">
        <v>5</v>
      </c>
      <c r="C3084" s="3">
        <v>1</v>
      </c>
      <c r="D3084" s="3">
        <v>110</v>
      </c>
      <c r="E3084" s="3">
        <v>1</v>
      </c>
      <c r="F3084" s="4" t="str">
        <f>HYPERLINK("http://141.218.60.56/~jnz1568/getInfo.php?workbook=20_05.xlsx&amp;sheet=U0&amp;row=3084&amp;col=6&amp;number=3&amp;sourceID=14","3")</f>
        <v>3</v>
      </c>
      <c r="G3084" s="4" t="str">
        <f>HYPERLINK("http://141.218.60.56/~jnz1568/getInfo.php?workbook=20_05.xlsx&amp;sheet=U0&amp;row=3084&amp;col=7&amp;number=0.00199&amp;sourceID=14","0.00199")</f>
        <v>0.00199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HYPERLINK("http://141.218.60.56/~jnz1568/getInfo.php?workbook=20_05.xlsx&amp;sheet=U0&amp;row=3085&amp;col=6&amp;number=3.1&amp;sourceID=14","3.1")</f>
        <v>3.1</v>
      </c>
      <c r="G3085" s="4" t="str">
        <f>HYPERLINK("http://141.218.60.56/~jnz1568/getInfo.php?workbook=20_05.xlsx&amp;sheet=U0&amp;row=3085&amp;col=7&amp;number=0.00199&amp;sourceID=14","0.00199")</f>
        <v>0.00199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HYPERLINK("http://141.218.60.56/~jnz1568/getInfo.php?workbook=20_05.xlsx&amp;sheet=U0&amp;row=3086&amp;col=6&amp;number=3.2&amp;sourceID=14","3.2")</f>
        <v>3.2</v>
      </c>
      <c r="G3086" s="4" t="str">
        <f>HYPERLINK("http://141.218.60.56/~jnz1568/getInfo.php?workbook=20_05.xlsx&amp;sheet=U0&amp;row=3086&amp;col=7&amp;number=0.00199&amp;sourceID=14","0.00199")</f>
        <v>0.00199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HYPERLINK("http://141.218.60.56/~jnz1568/getInfo.php?workbook=20_05.xlsx&amp;sheet=U0&amp;row=3087&amp;col=6&amp;number=3.3&amp;sourceID=14","3.3")</f>
        <v>3.3</v>
      </c>
      <c r="G3087" s="4" t="str">
        <f>HYPERLINK("http://141.218.60.56/~jnz1568/getInfo.php?workbook=20_05.xlsx&amp;sheet=U0&amp;row=3087&amp;col=7&amp;number=0.00199&amp;sourceID=14","0.00199")</f>
        <v>0.00199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HYPERLINK("http://141.218.60.56/~jnz1568/getInfo.php?workbook=20_05.xlsx&amp;sheet=U0&amp;row=3088&amp;col=6&amp;number=3.4&amp;sourceID=14","3.4")</f>
        <v>3.4</v>
      </c>
      <c r="G3088" s="4" t="str">
        <f>HYPERLINK("http://141.218.60.56/~jnz1568/getInfo.php?workbook=20_05.xlsx&amp;sheet=U0&amp;row=3088&amp;col=7&amp;number=0.00199&amp;sourceID=14","0.00199")</f>
        <v>0.00199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HYPERLINK("http://141.218.60.56/~jnz1568/getInfo.php?workbook=20_05.xlsx&amp;sheet=U0&amp;row=3089&amp;col=6&amp;number=3.5&amp;sourceID=14","3.5")</f>
        <v>3.5</v>
      </c>
      <c r="G3089" s="4" t="str">
        <f>HYPERLINK("http://141.218.60.56/~jnz1568/getInfo.php?workbook=20_05.xlsx&amp;sheet=U0&amp;row=3089&amp;col=7&amp;number=0.00199&amp;sourceID=14","0.00199")</f>
        <v>0.00199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HYPERLINK("http://141.218.60.56/~jnz1568/getInfo.php?workbook=20_05.xlsx&amp;sheet=U0&amp;row=3090&amp;col=6&amp;number=3.6&amp;sourceID=14","3.6")</f>
        <v>3.6</v>
      </c>
      <c r="G3090" s="4" t="str">
        <f>HYPERLINK("http://141.218.60.56/~jnz1568/getInfo.php?workbook=20_05.xlsx&amp;sheet=U0&amp;row=3090&amp;col=7&amp;number=0.00199&amp;sourceID=14","0.00199")</f>
        <v>0.00199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HYPERLINK("http://141.218.60.56/~jnz1568/getInfo.php?workbook=20_05.xlsx&amp;sheet=U0&amp;row=3091&amp;col=6&amp;number=3.7&amp;sourceID=14","3.7")</f>
        <v>3.7</v>
      </c>
      <c r="G3091" s="4" t="str">
        <f>HYPERLINK("http://141.218.60.56/~jnz1568/getInfo.php?workbook=20_05.xlsx&amp;sheet=U0&amp;row=3091&amp;col=7&amp;number=0.00199&amp;sourceID=14","0.00199")</f>
        <v>0.00199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HYPERLINK("http://141.218.60.56/~jnz1568/getInfo.php?workbook=20_05.xlsx&amp;sheet=U0&amp;row=3092&amp;col=6&amp;number=3.8&amp;sourceID=14","3.8")</f>
        <v>3.8</v>
      </c>
      <c r="G3092" s="4" t="str">
        <f>HYPERLINK("http://141.218.60.56/~jnz1568/getInfo.php?workbook=20_05.xlsx&amp;sheet=U0&amp;row=3092&amp;col=7&amp;number=0.00199&amp;sourceID=14","0.00199")</f>
        <v>0.00199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HYPERLINK("http://141.218.60.56/~jnz1568/getInfo.php?workbook=20_05.xlsx&amp;sheet=U0&amp;row=3093&amp;col=6&amp;number=3.9&amp;sourceID=14","3.9")</f>
        <v>3.9</v>
      </c>
      <c r="G3093" s="4" t="str">
        <f>HYPERLINK("http://141.218.60.56/~jnz1568/getInfo.php?workbook=20_05.xlsx&amp;sheet=U0&amp;row=3093&amp;col=7&amp;number=0.00199&amp;sourceID=14","0.00199")</f>
        <v>0.00199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HYPERLINK("http://141.218.60.56/~jnz1568/getInfo.php?workbook=20_05.xlsx&amp;sheet=U0&amp;row=3094&amp;col=6&amp;number=4&amp;sourceID=14","4")</f>
        <v>4</v>
      </c>
      <c r="G3094" s="4" t="str">
        <f>HYPERLINK("http://141.218.60.56/~jnz1568/getInfo.php?workbook=20_05.xlsx&amp;sheet=U0&amp;row=3094&amp;col=7&amp;number=0.00199&amp;sourceID=14","0.00199")</f>
        <v>0.00199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HYPERLINK("http://141.218.60.56/~jnz1568/getInfo.php?workbook=20_05.xlsx&amp;sheet=U0&amp;row=3095&amp;col=6&amp;number=4.1&amp;sourceID=14","4.1")</f>
        <v>4.1</v>
      </c>
      <c r="G3095" s="4" t="str">
        <f>HYPERLINK("http://141.218.60.56/~jnz1568/getInfo.php?workbook=20_05.xlsx&amp;sheet=U0&amp;row=3095&amp;col=7&amp;number=0.00199&amp;sourceID=14","0.00199")</f>
        <v>0.00199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HYPERLINK("http://141.218.60.56/~jnz1568/getInfo.php?workbook=20_05.xlsx&amp;sheet=U0&amp;row=3096&amp;col=6&amp;number=4.2&amp;sourceID=14","4.2")</f>
        <v>4.2</v>
      </c>
      <c r="G3096" s="4" t="str">
        <f>HYPERLINK("http://141.218.60.56/~jnz1568/getInfo.php?workbook=20_05.xlsx&amp;sheet=U0&amp;row=3096&amp;col=7&amp;number=0.00199&amp;sourceID=14","0.00199")</f>
        <v>0.00199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HYPERLINK("http://141.218.60.56/~jnz1568/getInfo.php?workbook=20_05.xlsx&amp;sheet=U0&amp;row=3097&amp;col=6&amp;number=4.3&amp;sourceID=14","4.3")</f>
        <v>4.3</v>
      </c>
      <c r="G3097" s="4" t="str">
        <f>HYPERLINK("http://141.218.60.56/~jnz1568/getInfo.php?workbook=20_05.xlsx&amp;sheet=U0&amp;row=3097&amp;col=7&amp;number=0.00199&amp;sourceID=14","0.00199")</f>
        <v>0.00199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HYPERLINK("http://141.218.60.56/~jnz1568/getInfo.php?workbook=20_05.xlsx&amp;sheet=U0&amp;row=3098&amp;col=6&amp;number=4.4&amp;sourceID=14","4.4")</f>
        <v>4.4</v>
      </c>
      <c r="G3098" s="4" t="str">
        <f>HYPERLINK("http://141.218.60.56/~jnz1568/getInfo.php?workbook=20_05.xlsx&amp;sheet=U0&amp;row=3098&amp;col=7&amp;number=0.00199&amp;sourceID=14","0.00199")</f>
        <v>0.00199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HYPERLINK("http://141.218.60.56/~jnz1568/getInfo.php?workbook=20_05.xlsx&amp;sheet=U0&amp;row=3099&amp;col=6&amp;number=4.5&amp;sourceID=14","4.5")</f>
        <v>4.5</v>
      </c>
      <c r="G3099" s="4" t="str">
        <f>HYPERLINK("http://141.218.60.56/~jnz1568/getInfo.php?workbook=20_05.xlsx&amp;sheet=U0&amp;row=3099&amp;col=7&amp;number=0.00199&amp;sourceID=14","0.00199")</f>
        <v>0.00199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HYPERLINK("http://141.218.60.56/~jnz1568/getInfo.php?workbook=20_05.xlsx&amp;sheet=U0&amp;row=3100&amp;col=6&amp;number=4.6&amp;sourceID=14","4.6")</f>
        <v>4.6</v>
      </c>
      <c r="G3100" s="4" t="str">
        <f>HYPERLINK("http://141.218.60.56/~jnz1568/getInfo.php?workbook=20_05.xlsx&amp;sheet=U0&amp;row=3100&amp;col=7&amp;number=0.002&amp;sourceID=14","0.002")</f>
        <v>0.002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HYPERLINK("http://141.218.60.56/~jnz1568/getInfo.php?workbook=20_05.xlsx&amp;sheet=U0&amp;row=3101&amp;col=6&amp;number=4.7&amp;sourceID=14","4.7")</f>
        <v>4.7</v>
      </c>
      <c r="G3101" s="4" t="str">
        <f>HYPERLINK("http://141.218.60.56/~jnz1568/getInfo.php?workbook=20_05.xlsx&amp;sheet=U0&amp;row=3101&amp;col=7&amp;number=0.002&amp;sourceID=14","0.002")</f>
        <v>0.002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HYPERLINK("http://141.218.60.56/~jnz1568/getInfo.php?workbook=20_05.xlsx&amp;sheet=U0&amp;row=3102&amp;col=6&amp;number=4.8&amp;sourceID=14","4.8")</f>
        <v>4.8</v>
      </c>
      <c r="G3102" s="4" t="str">
        <f>HYPERLINK("http://141.218.60.56/~jnz1568/getInfo.php?workbook=20_05.xlsx&amp;sheet=U0&amp;row=3102&amp;col=7&amp;number=0.002&amp;sourceID=14","0.002")</f>
        <v>0.002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HYPERLINK("http://141.218.60.56/~jnz1568/getInfo.php?workbook=20_05.xlsx&amp;sheet=U0&amp;row=3103&amp;col=6&amp;number=4.9&amp;sourceID=14","4.9")</f>
        <v>4.9</v>
      </c>
      <c r="G3103" s="4" t="str">
        <f>HYPERLINK("http://141.218.60.56/~jnz1568/getInfo.php?workbook=20_05.xlsx&amp;sheet=U0&amp;row=3103&amp;col=7&amp;number=0.00201&amp;sourceID=14","0.00201")</f>
        <v>0.00201</v>
      </c>
    </row>
    <row r="3104" spans="1:7">
      <c r="A3104" s="3">
        <v>20</v>
      </c>
      <c r="B3104" s="3">
        <v>5</v>
      </c>
      <c r="C3104" s="3">
        <v>1</v>
      </c>
      <c r="D3104" s="3">
        <v>111</v>
      </c>
      <c r="E3104" s="3">
        <v>1</v>
      </c>
      <c r="F3104" s="4" t="str">
        <f>HYPERLINK("http://141.218.60.56/~jnz1568/getInfo.php?workbook=20_05.xlsx&amp;sheet=U0&amp;row=3104&amp;col=6&amp;number=3&amp;sourceID=14","3")</f>
        <v>3</v>
      </c>
      <c r="G3104" s="4" t="str">
        <f>HYPERLINK("http://141.218.60.56/~jnz1568/getInfo.php?workbook=20_05.xlsx&amp;sheet=U0&amp;row=3104&amp;col=7&amp;number=0.0189&amp;sourceID=14","0.0189")</f>
        <v>0.0189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HYPERLINK("http://141.218.60.56/~jnz1568/getInfo.php?workbook=20_05.xlsx&amp;sheet=U0&amp;row=3105&amp;col=6&amp;number=3.1&amp;sourceID=14","3.1")</f>
        <v>3.1</v>
      </c>
      <c r="G3105" s="4" t="str">
        <f>HYPERLINK("http://141.218.60.56/~jnz1568/getInfo.php?workbook=20_05.xlsx&amp;sheet=U0&amp;row=3105&amp;col=7&amp;number=0.0189&amp;sourceID=14","0.0189")</f>
        <v>0.0189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HYPERLINK("http://141.218.60.56/~jnz1568/getInfo.php?workbook=20_05.xlsx&amp;sheet=U0&amp;row=3106&amp;col=6&amp;number=3.2&amp;sourceID=14","3.2")</f>
        <v>3.2</v>
      </c>
      <c r="G3106" s="4" t="str">
        <f>HYPERLINK("http://141.218.60.56/~jnz1568/getInfo.php?workbook=20_05.xlsx&amp;sheet=U0&amp;row=3106&amp;col=7&amp;number=0.0189&amp;sourceID=14","0.0189")</f>
        <v>0.0189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HYPERLINK("http://141.218.60.56/~jnz1568/getInfo.php?workbook=20_05.xlsx&amp;sheet=U0&amp;row=3107&amp;col=6&amp;number=3.3&amp;sourceID=14","3.3")</f>
        <v>3.3</v>
      </c>
      <c r="G3107" s="4" t="str">
        <f>HYPERLINK("http://141.218.60.56/~jnz1568/getInfo.php?workbook=20_05.xlsx&amp;sheet=U0&amp;row=3107&amp;col=7&amp;number=0.0189&amp;sourceID=14","0.0189")</f>
        <v>0.0189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HYPERLINK("http://141.218.60.56/~jnz1568/getInfo.php?workbook=20_05.xlsx&amp;sheet=U0&amp;row=3108&amp;col=6&amp;number=3.4&amp;sourceID=14","3.4")</f>
        <v>3.4</v>
      </c>
      <c r="G3108" s="4" t="str">
        <f>HYPERLINK("http://141.218.60.56/~jnz1568/getInfo.php?workbook=20_05.xlsx&amp;sheet=U0&amp;row=3108&amp;col=7&amp;number=0.0189&amp;sourceID=14","0.0189")</f>
        <v>0.0189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HYPERLINK("http://141.218.60.56/~jnz1568/getInfo.php?workbook=20_05.xlsx&amp;sheet=U0&amp;row=3109&amp;col=6&amp;number=3.5&amp;sourceID=14","3.5")</f>
        <v>3.5</v>
      </c>
      <c r="G3109" s="4" t="str">
        <f>HYPERLINK("http://141.218.60.56/~jnz1568/getInfo.php?workbook=20_05.xlsx&amp;sheet=U0&amp;row=3109&amp;col=7&amp;number=0.0189&amp;sourceID=14","0.0189")</f>
        <v>0.0189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HYPERLINK("http://141.218.60.56/~jnz1568/getInfo.php?workbook=20_05.xlsx&amp;sheet=U0&amp;row=3110&amp;col=6&amp;number=3.6&amp;sourceID=14","3.6")</f>
        <v>3.6</v>
      </c>
      <c r="G3110" s="4" t="str">
        <f>HYPERLINK("http://141.218.60.56/~jnz1568/getInfo.php?workbook=20_05.xlsx&amp;sheet=U0&amp;row=3110&amp;col=7&amp;number=0.0189&amp;sourceID=14","0.0189")</f>
        <v>0.0189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HYPERLINK("http://141.218.60.56/~jnz1568/getInfo.php?workbook=20_05.xlsx&amp;sheet=U0&amp;row=3111&amp;col=6&amp;number=3.7&amp;sourceID=14","3.7")</f>
        <v>3.7</v>
      </c>
      <c r="G3111" s="4" t="str">
        <f>HYPERLINK("http://141.218.60.56/~jnz1568/getInfo.php?workbook=20_05.xlsx&amp;sheet=U0&amp;row=3111&amp;col=7&amp;number=0.0189&amp;sourceID=14","0.0189")</f>
        <v>0.0189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HYPERLINK("http://141.218.60.56/~jnz1568/getInfo.php?workbook=20_05.xlsx&amp;sheet=U0&amp;row=3112&amp;col=6&amp;number=3.8&amp;sourceID=14","3.8")</f>
        <v>3.8</v>
      </c>
      <c r="G3112" s="4" t="str">
        <f>HYPERLINK("http://141.218.60.56/~jnz1568/getInfo.php?workbook=20_05.xlsx&amp;sheet=U0&amp;row=3112&amp;col=7&amp;number=0.0189&amp;sourceID=14","0.0189")</f>
        <v>0.0189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HYPERLINK("http://141.218.60.56/~jnz1568/getInfo.php?workbook=20_05.xlsx&amp;sheet=U0&amp;row=3113&amp;col=6&amp;number=3.9&amp;sourceID=14","3.9")</f>
        <v>3.9</v>
      </c>
      <c r="G3113" s="4" t="str">
        <f>HYPERLINK("http://141.218.60.56/~jnz1568/getInfo.php?workbook=20_05.xlsx&amp;sheet=U0&amp;row=3113&amp;col=7&amp;number=0.0189&amp;sourceID=14","0.0189")</f>
        <v>0.0189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HYPERLINK("http://141.218.60.56/~jnz1568/getInfo.php?workbook=20_05.xlsx&amp;sheet=U0&amp;row=3114&amp;col=6&amp;number=4&amp;sourceID=14","4")</f>
        <v>4</v>
      </c>
      <c r="G3114" s="4" t="str">
        <f>HYPERLINK("http://141.218.60.56/~jnz1568/getInfo.php?workbook=20_05.xlsx&amp;sheet=U0&amp;row=3114&amp;col=7&amp;number=0.0189&amp;sourceID=14","0.0189")</f>
        <v>0.0189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HYPERLINK("http://141.218.60.56/~jnz1568/getInfo.php?workbook=20_05.xlsx&amp;sheet=U0&amp;row=3115&amp;col=6&amp;number=4.1&amp;sourceID=14","4.1")</f>
        <v>4.1</v>
      </c>
      <c r="G3115" s="4" t="str">
        <f>HYPERLINK("http://141.218.60.56/~jnz1568/getInfo.php?workbook=20_05.xlsx&amp;sheet=U0&amp;row=3115&amp;col=7&amp;number=0.0189&amp;sourceID=14","0.0189")</f>
        <v>0.0189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HYPERLINK("http://141.218.60.56/~jnz1568/getInfo.php?workbook=20_05.xlsx&amp;sheet=U0&amp;row=3116&amp;col=6&amp;number=4.2&amp;sourceID=14","4.2")</f>
        <v>4.2</v>
      </c>
      <c r="G3116" s="4" t="str">
        <f>HYPERLINK("http://141.218.60.56/~jnz1568/getInfo.php?workbook=20_05.xlsx&amp;sheet=U0&amp;row=3116&amp;col=7&amp;number=0.019&amp;sourceID=14","0.019")</f>
        <v>0.019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HYPERLINK("http://141.218.60.56/~jnz1568/getInfo.php?workbook=20_05.xlsx&amp;sheet=U0&amp;row=3117&amp;col=6&amp;number=4.3&amp;sourceID=14","4.3")</f>
        <v>4.3</v>
      </c>
      <c r="G3117" s="4" t="str">
        <f>HYPERLINK("http://141.218.60.56/~jnz1568/getInfo.php?workbook=20_05.xlsx&amp;sheet=U0&amp;row=3117&amp;col=7&amp;number=0.019&amp;sourceID=14","0.019")</f>
        <v>0.019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HYPERLINK("http://141.218.60.56/~jnz1568/getInfo.php?workbook=20_05.xlsx&amp;sheet=U0&amp;row=3118&amp;col=6&amp;number=4.4&amp;sourceID=14","4.4")</f>
        <v>4.4</v>
      </c>
      <c r="G3118" s="4" t="str">
        <f>HYPERLINK("http://141.218.60.56/~jnz1568/getInfo.php?workbook=20_05.xlsx&amp;sheet=U0&amp;row=3118&amp;col=7&amp;number=0.019&amp;sourceID=14","0.019")</f>
        <v>0.019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HYPERLINK("http://141.218.60.56/~jnz1568/getInfo.php?workbook=20_05.xlsx&amp;sheet=U0&amp;row=3119&amp;col=6&amp;number=4.5&amp;sourceID=14","4.5")</f>
        <v>4.5</v>
      </c>
      <c r="G3119" s="4" t="str">
        <f>HYPERLINK("http://141.218.60.56/~jnz1568/getInfo.php?workbook=20_05.xlsx&amp;sheet=U0&amp;row=3119&amp;col=7&amp;number=0.019&amp;sourceID=14","0.019")</f>
        <v>0.019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HYPERLINK("http://141.218.60.56/~jnz1568/getInfo.php?workbook=20_05.xlsx&amp;sheet=U0&amp;row=3120&amp;col=6&amp;number=4.6&amp;sourceID=14","4.6")</f>
        <v>4.6</v>
      </c>
      <c r="G3120" s="4" t="str">
        <f>HYPERLINK("http://141.218.60.56/~jnz1568/getInfo.php?workbook=20_05.xlsx&amp;sheet=U0&amp;row=3120&amp;col=7&amp;number=0.019&amp;sourceID=14","0.019")</f>
        <v>0.019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HYPERLINK("http://141.218.60.56/~jnz1568/getInfo.php?workbook=20_05.xlsx&amp;sheet=U0&amp;row=3121&amp;col=6&amp;number=4.7&amp;sourceID=14","4.7")</f>
        <v>4.7</v>
      </c>
      <c r="G3121" s="4" t="str">
        <f>HYPERLINK("http://141.218.60.56/~jnz1568/getInfo.php?workbook=20_05.xlsx&amp;sheet=U0&amp;row=3121&amp;col=7&amp;number=0.0191&amp;sourceID=14","0.0191")</f>
        <v>0.0191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HYPERLINK("http://141.218.60.56/~jnz1568/getInfo.php?workbook=20_05.xlsx&amp;sheet=U0&amp;row=3122&amp;col=6&amp;number=4.8&amp;sourceID=14","4.8")</f>
        <v>4.8</v>
      </c>
      <c r="G3122" s="4" t="str">
        <f>HYPERLINK("http://141.218.60.56/~jnz1568/getInfo.php?workbook=20_05.xlsx&amp;sheet=U0&amp;row=3122&amp;col=7&amp;number=0.0191&amp;sourceID=14","0.0191")</f>
        <v>0.0191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HYPERLINK("http://141.218.60.56/~jnz1568/getInfo.php?workbook=20_05.xlsx&amp;sheet=U0&amp;row=3123&amp;col=6&amp;number=4.9&amp;sourceID=14","4.9")</f>
        <v>4.9</v>
      </c>
      <c r="G3123" s="4" t="str">
        <f>HYPERLINK("http://141.218.60.56/~jnz1568/getInfo.php?workbook=20_05.xlsx&amp;sheet=U0&amp;row=3123&amp;col=7&amp;number=0.0192&amp;sourceID=14","0.0192")</f>
        <v>0.0192</v>
      </c>
    </row>
    <row r="3124" spans="1:7">
      <c r="A3124" s="3">
        <v>20</v>
      </c>
      <c r="B3124" s="3">
        <v>5</v>
      </c>
      <c r="C3124" s="3">
        <v>1</v>
      </c>
      <c r="D3124" s="3">
        <v>112</v>
      </c>
      <c r="E3124" s="3">
        <v>1</v>
      </c>
      <c r="F3124" s="4" t="str">
        <f>HYPERLINK("http://141.218.60.56/~jnz1568/getInfo.php?workbook=20_05.xlsx&amp;sheet=U0&amp;row=3124&amp;col=6&amp;number=3&amp;sourceID=14","3")</f>
        <v>3</v>
      </c>
      <c r="G3124" s="4" t="str">
        <f>HYPERLINK("http://141.218.60.56/~jnz1568/getInfo.php?workbook=20_05.xlsx&amp;sheet=U0&amp;row=3124&amp;col=7&amp;number=0.00292&amp;sourceID=14","0.00292")</f>
        <v>0.00292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HYPERLINK("http://141.218.60.56/~jnz1568/getInfo.php?workbook=20_05.xlsx&amp;sheet=U0&amp;row=3125&amp;col=6&amp;number=3.1&amp;sourceID=14","3.1")</f>
        <v>3.1</v>
      </c>
      <c r="G3125" s="4" t="str">
        <f>HYPERLINK("http://141.218.60.56/~jnz1568/getInfo.php?workbook=20_05.xlsx&amp;sheet=U0&amp;row=3125&amp;col=7&amp;number=0.00292&amp;sourceID=14","0.00292")</f>
        <v>0.00292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HYPERLINK("http://141.218.60.56/~jnz1568/getInfo.php?workbook=20_05.xlsx&amp;sheet=U0&amp;row=3126&amp;col=6&amp;number=3.2&amp;sourceID=14","3.2")</f>
        <v>3.2</v>
      </c>
      <c r="G3126" s="4" t="str">
        <f>HYPERLINK("http://141.218.60.56/~jnz1568/getInfo.php?workbook=20_05.xlsx&amp;sheet=U0&amp;row=3126&amp;col=7&amp;number=0.00292&amp;sourceID=14","0.00292")</f>
        <v>0.00292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HYPERLINK("http://141.218.60.56/~jnz1568/getInfo.php?workbook=20_05.xlsx&amp;sheet=U0&amp;row=3127&amp;col=6&amp;number=3.3&amp;sourceID=14","3.3")</f>
        <v>3.3</v>
      </c>
      <c r="G3127" s="4" t="str">
        <f>HYPERLINK("http://141.218.60.56/~jnz1568/getInfo.php?workbook=20_05.xlsx&amp;sheet=U0&amp;row=3127&amp;col=7&amp;number=0.00292&amp;sourceID=14","0.00292")</f>
        <v>0.00292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HYPERLINK("http://141.218.60.56/~jnz1568/getInfo.php?workbook=20_05.xlsx&amp;sheet=U0&amp;row=3128&amp;col=6&amp;number=3.4&amp;sourceID=14","3.4")</f>
        <v>3.4</v>
      </c>
      <c r="G3128" s="4" t="str">
        <f>HYPERLINK("http://141.218.60.56/~jnz1568/getInfo.php?workbook=20_05.xlsx&amp;sheet=U0&amp;row=3128&amp;col=7&amp;number=0.00292&amp;sourceID=14","0.00292")</f>
        <v>0.00292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HYPERLINK("http://141.218.60.56/~jnz1568/getInfo.php?workbook=20_05.xlsx&amp;sheet=U0&amp;row=3129&amp;col=6&amp;number=3.5&amp;sourceID=14","3.5")</f>
        <v>3.5</v>
      </c>
      <c r="G3129" s="4" t="str">
        <f>HYPERLINK("http://141.218.60.56/~jnz1568/getInfo.php?workbook=20_05.xlsx&amp;sheet=U0&amp;row=3129&amp;col=7&amp;number=0.00292&amp;sourceID=14","0.00292")</f>
        <v>0.00292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HYPERLINK("http://141.218.60.56/~jnz1568/getInfo.php?workbook=20_05.xlsx&amp;sheet=U0&amp;row=3130&amp;col=6&amp;number=3.6&amp;sourceID=14","3.6")</f>
        <v>3.6</v>
      </c>
      <c r="G3130" s="4" t="str">
        <f>HYPERLINK("http://141.218.60.56/~jnz1568/getInfo.php?workbook=20_05.xlsx&amp;sheet=U0&amp;row=3130&amp;col=7&amp;number=0.00292&amp;sourceID=14","0.00292")</f>
        <v>0.00292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HYPERLINK("http://141.218.60.56/~jnz1568/getInfo.php?workbook=20_05.xlsx&amp;sheet=U0&amp;row=3131&amp;col=6&amp;number=3.7&amp;sourceID=14","3.7")</f>
        <v>3.7</v>
      </c>
      <c r="G3131" s="4" t="str">
        <f>HYPERLINK("http://141.218.60.56/~jnz1568/getInfo.php?workbook=20_05.xlsx&amp;sheet=U0&amp;row=3131&amp;col=7&amp;number=0.00292&amp;sourceID=14","0.00292")</f>
        <v>0.00292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HYPERLINK("http://141.218.60.56/~jnz1568/getInfo.php?workbook=20_05.xlsx&amp;sheet=U0&amp;row=3132&amp;col=6&amp;number=3.8&amp;sourceID=14","3.8")</f>
        <v>3.8</v>
      </c>
      <c r="G3132" s="4" t="str">
        <f>HYPERLINK("http://141.218.60.56/~jnz1568/getInfo.php?workbook=20_05.xlsx&amp;sheet=U0&amp;row=3132&amp;col=7&amp;number=0.00292&amp;sourceID=14","0.00292")</f>
        <v>0.00292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HYPERLINK("http://141.218.60.56/~jnz1568/getInfo.php?workbook=20_05.xlsx&amp;sheet=U0&amp;row=3133&amp;col=6&amp;number=3.9&amp;sourceID=14","3.9")</f>
        <v>3.9</v>
      </c>
      <c r="G3133" s="4" t="str">
        <f>HYPERLINK("http://141.218.60.56/~jnz1568/getInfo.php?workbook=20_05.xlsx&amp;sheet=U0&amp;row=3133&amp;col=7&amp;number=0.00292&amp;sourceID=14","0.00292")</f>
        <v>0.00292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HYPERLINK("http://141.218.60.56/~jnz1568/getInfo.php?workbook=20_05.xlsx&amp;sheet=U0&amp;row=3134&amp;col=6&amp;number=4&amp;sourceID=14","4")</f>
        <v>4</v>
      </c>
      <c r="G3134" s="4" t="str">
        <f>HYPERLINK("http://141.218.60.56/~jnz1568/getInfo.php?workbook=20_05.xlsx&amp;sheet=U0&amp;row=3134&amp;col=7&amp;number=0.00292&amp;sourceID=14","0.00292")</f>
        <v>0.00292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HYPERLINK("http://141.218.60.56/~jnz1568/getInfo.php?workbook=20_05.xlsx&amp;sheet=U0&amp;row=3135&amp;col=6&amp;number=4.1&amp;sourceID=14","4.1")</f>
        <v>4.1</v>
      </c>
      <c r="G3135" s="4" t="str">
        <f>HYPERLINK("http://141.218.60.56/~jnz1568/getInfo.php?workbook=20_05.xlsx&amp;sheet=U0&amp;row=3135&amp;col=7&amp;number=0.00293&amp;sourceID=14","0.00293")</f>
        <v>0.00293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HYPERLINK("http://141.218.60.56/~jnz1568/getInfo.php?workbook=20_05.xlsx&amp;sheet=U0&amp;row=3136&amp;col=6&amp;number=4.2&amp;sourceID=14","4.2")</f>
        <v>4.2</v>
      </c>
      <c r="G3136" s="4" t="str">
        <f>HYPERLINK("http://141.218.60.56/~jnz1568/getInfo.php?workbook=20_05.xlsx&amp;sheet=U0&amp;row=3136&amp;col=7&amp;number=0.00293&amp;sourceID=14","0.00293")</f>
        <v>0.00293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HYPERLINK("http://141.218.60.56/~jnz1568/getInfo.php?workbook=20_05.xlsx&amp;sheet=U0&amp;row=3137&amp;col=6&amp;number=4.3&amp;sourceID=14","4.3")</f>
        <v>4.3</v>
      </c>
      <c r="G3137" s="4" t="str">
        <f>HYPERLINK("http://141.218.60.56/~jnz1568/getInfo.php?workbook=20_05.xlsx&amp;sheet=U0&amp;row=3137&amp;col=7&amp;number=0.00293&amp;sourceID=14","0.00293")</f>
        <v>0.00293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HYPERLINK("http://141.218.60.56/~jnz1568/getInfo.php?workbook=20_05.xlsx&amp;sheet=U0&amp;row=3138&amp;col=6&amp;number=4.4&amp;sourceID=14","4.4")</f>
        <v>4.4</v>
      </c>
      <c r="G3138" s="4" t="str">
        <f>HYPERLINK("http://141.218.60.56/~jnz1568/getInfo.php?workbook=20_05.xlsx&amp;sheet=U0&amp;row=3138&amp;col=7&amp;number=0.00293&amp;sourceID=14","0.00293")</f>
        <v>0.00293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HYPERLINK("http://141.218.60.56/~jnz1568/getInfo.php?workbook=20_05.xlsx&amp;sheet=U0&amp;row=3139&amp;col=6&amp;number=4.5&amp;sourceID=14","4.5")</f>
        <v>4.5</v>
      </c>
      <c r="G3139" s="4" t="str">
        <f>HYPERLINK("http://141.218.60.56/~jnz1568/getInfo.php?workbook=20_05.xlsx&amp;sheet=U0&amp;row=3139&amp;col=7&amp;number=0.00293&amp;sourceID=14","0.00293")</f>
        <v>0.00293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HYPERLINK("http://141.218.60.56/~jnz1568/getInfo.php?workbook=20_05.xlsx&amp;sheet=U0&amp;row=3140&amp;col=6&amp;number=4.6&amp;sourceID=14","4.6")</f>
        <v>4.6</v>
      </c>
      <c r="G3140" s="4" t="str">
        <f>HYPERLINK("http://141.218.60.56/~jnz1568/getInfo.php?workbook=20_05.xlsx&amp;sheet=U0&amp;row=3140&amp;col=7&amp;number=0.00293&amp;sourceID=14","0.00293")</f>
        <v>0.00293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HYPERLINK("http://141.218.60.56/~jnz1568/getInfo.php?workbook=20_05.xlsx&amp;sheet=U0&amp;row=3141&amp;col=6&amp;number=4.7&amp;sourceID=14","4.7")</f>
        <v>4.7</v>
      </c>
      <c r="G3141" s="4" t="str">
        <f>HYPERLINK("http://141.218.60.56/~jnz1568/getInfo.php?workbook=20_05.xlsx&amp;sheet=U0&amp;row=3141&amp;col=7&amp;number=0.00294&amp;sourceID=14","0.00294")</f>
        <v>0.00294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HYPERLINK("http://141.218.60.56/~jnz1568/getInfo.php?workbook=20_05.xlsx&amp;sheet=U0&amp;row=3142&amp;col=6&amp;number=4.8&amp;sourceID=14","4.8")</f>
        <v>4.8</v>
      </c>
      <c r="G3142" s="4" t="str">
        <f>HYPERLINK("http://141.218.60.56/~jnz1568/getInfo.php?workbook=20_05.xlsx&amp;sheet=U0&amp;row=3142&amp;col=7&amp;number=0.00294&amp;sourceID=14","0.00294")</f>
        <v>0.00294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HYPERLINK("http://141.218.60.56/~jnz1568/getInfo.php?workbook=20_05.xlsx&amp;sheet=U0&amp;row=3143&amp;col=6&amp;number=4.9&amp;sourceID=14","4.9")</f>
        <v>4.9</v>
      </c>
      <c r="G3143" s="4" t="str">
        <f>HYPERLINK("http://141.218.60.56/~jnz1568/getInfo.php?workbook=20_05.xlsx&amp;sheet=U0&amp;row=3143&amp;col=7&amp;number=0.00294&amp;sourceID=14","0.00294")</f>
        <v>0.00294</v>
      </c>
    </row>
    <row r="3144" spans="1:7">
      <c r="A3144" s="3">
        <v>20</v>
      </c>
      <c r="B3144" s="3">
        <v>5</v>
      </c>
      <c r="C3144" s="3">
        <v>1</v>
      </c>
      <c r="D3144" s="3">
        <v>113</v>
      </c>
      <c r="E3144" s="3">
        <v>1</v>
      </c>
      <c r="F3144" s="4" t="str">
        <f>HYPERLINK("http://141.218.60.56/~jnz1568/getInfo.php?workbook=20_05.xlsx&amp;sheet=U0&amp;row=3144&amp;col=6&amp;number=3&amp;sourceID=14","3")</f>
        <v>3</v>
      </c>
      <c r="G3144" s="4" t="str">
        <f>HYPERLINK("http://141.218.60.56/~jnz1568/getInfo.php?workbook=20_05.xlsx&amp;sheet=U0&amp;row=3144&amp;col=7&amp;number=0.00335&amp;sourceID=14","0.00335")</f>
        <v>0.00335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HYPERLINK("http://141.218.60.56/~jnz1568/getInfo.php?workbook=20_05.xlsx&amp;sheet=U0&amp;row=3145&amp;col=6&amp;number=3.1&amp;sourceID=14","3.1")</f>
        <v>3.1</v>
      </c>
      <c r="G3145" s="4" t="str">
        <f>HYPERLINK("http://141.218.60.56/~jnz1568/getInfo.php?workbook=20_05.xlsx&amp;sheet=U0&amp;row=3145&amp;col=7&amp;number=0.00335&amp;sourceID=14","0.00335")</f>
        <v>0.00335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HYPERLINK("http://141.218.60.56/~jnz1568/getInfo.php?workbook=20_05.xlsx&amp;sheet=U0&amp;row=3146&amp;col=6&amp;number=3.2&amp;sourceID=14","3.2")</f>
        <v>3.2</v>
      </c>
      <c r="G3146" s="4" t="str">
        <f>HYPERLINK("http://141.218.60.56/~jnz1568/getInfo.php?workbook=20_05.xlsx&amp;sheet=U0&amp;row=3146&amp;col=7&amp;number=0.00335&amp;sourceID=14","0.00335")</f>
        <v>0.00335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HYPERLINK("http://141.218.60.56/~jnz1568/getInfo.php?workbook=20_05.xlsx&amp;sheet=U0&amp;row=3147&amp;col=6&amp;number=3.3&amp;sourceID=14","3.3")</f>
        <v>3.3</v>
      </c>
      <c r="G3147" s="4" t="str">
        <f>HYPERLINK("http://141.218.60.56/~jnz1568/getInfo.php?workbook=20_05.xlsx&amp;sheet=U0&amp;row=3147&amp;col=7&amp;number=0.00335&amp;sourceID=14","0.00335")</f>
        <v>0.00335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HYPERLINK("http://141.218.60.56/~jnz1568/getInfo.php?workbook=20_05.xlsx&amp;sheet=U0&amp;row=3148&amp;col=6&amp;number=3.4&amp;sourceID=14","3.4")</f>
        <v>3.4</v>
      </c>
      <c r="G3148" s="4" t="str">
        <f>HYPERLINK("http://141.218.60.56/~jnz1568/getInfo.php?workbook=20_05.xlsx&amp;sheet=U0&amp;row=3148&amp;col=7&amp;number=0.00335&amp;sourceID=14","0.00335")</f>
        <v>0.00335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HYPERLINK("http://141.218.60.56/~jnz1568/getInfo.php?workbook=20_05.xlsx&amp;sheet=U0&amp;row=3149&amp;col=6&amp;number=3.5&amp;sourceID=14","3.5")</f>
        <v>3.5</v>
      </c>
      <c r="G3149" s="4" t="str">
        <f>HYPERLINK("http://141.218.60.56/~jnz1568/getInfo.php?workbook=20_05.xlsx&amp;sheet=U0&amp;row=3149&amp;col=7&amp;number=0.00335&amp;sourceID=14","0.00335")</f>
        <v>0.00335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HYPERLINK("http://141.218.60.56/~jnz1568/getInfo.php?workbook=20_05.xlsx&amp;sheet=U0&amp;row=3150&amp;col=6&amp;number=3.6&amp;sourceID=14","3.6")</f>
        <v>3.6</v>
      </c>
      <c r="G3150" s="4" t="str">
        <f>HYPERLINK("http://141.218.60.56/~jnz1568/getInfo.php?workbook=20_05.xlsx&amp;sheet=U0&amp;row=3150&amp;col=7&amp;number=0.00336&amp;sourceID=14","0.00336")</f>
        <v>0.00336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HYPERLINK("http://141.218.60.56/~jnz1568/getInfo.php?workbook=20_05.xlsx&amp;sheet=U0&amp;row=3151&amp;col=6&amp;number=3.7&amp;sourceID=14","3.7")</f>
        <v>3.7</v>
      </c>
      <c r="G3151" s="4" t="str">
        <f>HYPERLINK("http://141.218.60.56/~jnz1568/getInfo.php?workbook=20_05.xlsx&amp;sheet=U0&amp;row=3151&amp;col=7&amp;number=0.00336&amp;sourceID=14","0.00336")</f>
        <v>0.00336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HYPERLINK("http://141.218.60.56/~jnz1568/getInfo.php?workbook=20_05.xlsx&amp;sheet=U0&amp;row=3152&amp;col=6&amp;number=3.8&amp;sourceID=14","3.8")</f>
        <v>3.8</v>
      </c>
      <c r="G3152" s="4" t="str">
        <f>HYPERLINK("http://141.218.60.56/~jnz1568/getInfo.php?workbook=20_05.xlsx&amp;sheet=U0&amp;row=3152&amp;col=7&amp;number=0.00336&amp;sourceID=14","0.00336")</f>
        <v>0.00336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HYPERLINK("http://141.218.60.56/~jnz1568/getInfo.php?workbook=20_05.xlsx&amp;sheet=U0&amp;row=3153&amp;col=6&amp;number=3.9&amp;sourceID=14","3.9")</f>
        <v>3.9</v>
      </c>
      <c r="G3153" s="4" t="str">
        <f>HYPERLINK("http://141.218.60.56/~jnz1568/getInfo.php?workbook=20_05.xlsx&amp;sheet=U0&amp;row=3153&amp;col=7&amp;number=0.00336&amp;sourceID=14","0.00336")</f>
        <v>0.00336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HYPERLINK("http://141.218.60.56/~jnz1568/getInfo.php?workbook=20_05.xlsx&amp;sheet=U0&amp;row=3154&amp;col=6&amp;number=4&amp;sourceID=14","4")</f>
        <v>4</v>
      </c>
      <c r="G3154" s="4" t="str">
        <f>HYPERLINK("http://141.218.60.56/~jnz1568/getInfo.php?workbook=20_05.xlsx&amp;sheet=U0&amp;row=3154&amp;col=7&amp;number=0.00336&amp;sourceID=14","0.00336")</f>
        <v>0.00336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HYPERLINK("http://141.218.60.56/~jnz1568/getInfo.php?workbook=20_05.xlsx&amp;sheet=U0&amp;row=3155&amp;col=6&amp;number=4.1&amp;sourceID=14","4.1")</f>
        <v>4.1</v>
      </c>
      <c r="G3155" s="4" t="str">
        <f>HYPERLINK("http://141.218.60.56/~jnz1568/getInfo.php?workbook=20_05.xlsx&amp;sheet=U0&amp;row=3155&amp;col=7&amp;number=0.00336&amp;sourceID=14","0.00336")</f>
        <v>0.00336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HYPERLINK("http://141.218.60.56/~jnz1568/getInfo.php?workbook=20_05.xlsx&amp;sheet=U0&amp;row=3156&amp;col=6&amp;number=4.2&amp;sourceID=14","4.2")</f>
        <v>4.2</v>
      </c>
      <c r="G3156" s="4" t="str">
        <f>HYPERLINK("http://141.218.60.56/~jnz1568/getInfo.php?workbook=20_05.xlsx&amp;sheet=U0&amp;row=3156&amp;col=7&amp;number=0.00336&amp;sourceID=14","0.00336")</f>
        <v>0.00336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HYPERLINK("http://141.218.60.56/~jnz1568/getInfo.php?workbook=20_05.xlsx&amp;sheet=U0&amp;row=3157&amp;col=6&amp;number=4.3&amp;sourceID=14","4.3")</f>
        <v>4.3</v>
      </c>
      <c r="G3157" s="4" t="str">
        <f>HYPERLINK("http://141.218.60.56/~jnz1568/getInfo.php?workbook=20_05.xlsx&amp;sheet=U0&amp;row=3157&amp;col=7&amp;number=0.00336&amp;sourceID=14","0.00336")</f>
        <v>0.00336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HYPERLINK("http://141.218.60.56/~jnz1568/getInfo.php?workbook=20_05.xlsx&amp;sheet=U0&amp;row=3158&amp;col=6&amp;number=4.4&amp;sourceID=14","4.4")</f>
        <v>4.4</v>
      </c>
      <c r="G3158" s="4" t="str">
        <f>HYPERLINK("http://141.218.60.56/~jnz1568/getInfo.php?workbook=20_05.xlsx&amp;sheet=U0&amp;row=3158&amp;col=7&amp;number=0.00336&amp;sourceID=14","0.00336")</f>
        <v>0.00336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HYPERLINK("http://141.218.60.56/~jnz1568/getInfo.php?workbook=20_05.xlsx&amp;sheet=U0&amp;row=3159&amp;col=6&amp;number=4.5&amp;sourceID=14","4.5")</f>
        <v>4.5</v>
      </c>
      <c r="G3159" s="4" t="str">
        <f>HYPERLINK("http://141.218.60.56/~jnz1568/getInfo.php?workbook=20_05.xlsx&amp;sheet=U0&amp;row=3159&amp;col=7&amp;number=0.00336&amp;sourceID=14","0.00336")</f>
        <v>0.00336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HYPERLINK("http://141.218.60.56/~jnz1568/getInfo.php?workbook=20_05.xlsx&amp;sheet=U0&amp;row=3160&amp;col=6&amp;number=4.6&amp;sourceID=14","4.6")</f>
        <v>4.6</v>
      </c>
      <c r="G3160" s="4" t="str">
        <f>HYPERLINK("http://141.218.60.56/~jnz1568/getInfo.php?workbook=20_05.xlsx&amp;sheet=U0&amp;row=3160&amp;col=7&amp;number=0.00337&amp;sourceID=14","0.00337")</f>
        <v>0.00337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HYPERLINK("http://141.218.60.56/~jnz1568/getInfo.php?workbook=20_05.xlsx&amp;sheet=U0&amp;row=3161&amp;col=6&amp;number=4.7&amp;sourceID=14","4.7")</f>
        <v>4.7</v>
      </c>
      <c r="G3161" s="4" t="str">
        <f>HYPERLINK("http://141.218.60.56/~jnz1568/getInfo.php?workbook=20_05.xlsx&amp;sheet=U0&amp;row=3161&amp;col=7&amp;number=0.00337&amp;sourceID=14","0.00337")</f>
        <v>0.00337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HYPERLINK("http://141.218.60.56/~jnz1568/getInfo.php?workbook=20_05.xlsx&amp;sheet=U0&amp;row=3162&amp;col=6&amp;number=4.8&amp;sourceID=14","4.8")</f>
        <v>4.8</v>
      </c>
      <c r="G3162" s="4" t="str">
        <f>HYPERLINK("http://141.218.60.56/~jnz1568/getInfo.php?workbook=20_05.xlsx&amp;sheet=U0&amp;row=3162&amp;col=7&amp;number=0.00337&amp;sourceID=14","0.00337")</f>
        <v>0.00337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HYPERLINK("http://141.218.60.56/~jnz1568/getInfo.php?workbook=20_05.xlsx&amp;sheet=U0&amp;row=3163&amp;col=6&amp;number=4.9&amp;sourceID=14","4.9")</f>
        <v>4.9</v>
      </c>
      <c r="G3163" s="4" t="str">
        <f>HYPERLINK("http://141.218.60.56/~jnz1568/getInfo.php?workbook=20_05.xlsx&amp;sheet=U0&amp;row=3163&amp;col=7&amp;number=0.00338&amp;sourceID=14","0.00338")</f>
        <v>0.00338</v>
      </c>
    </row>
    <row r="3164" spans="1:7">
      <c r="A3164" s="3">
        <v>20</v>
      </c>
      <c r="B3164" s="3">
        <v>5</v>
      </c>
      <c r="C3164" s="3">
        <v>1</v>
      </c>
      <c r="D3164" s="3">
        <v>114</v>
      </c>
      <c r="E3164" s="3">
        <v>1</v>
      </c>
      <c r="F3164" s="4" t="str">
        <f>HYPERLINK("http://141.218.60.56/~jnz1568/getInfo.php?workbook=20_05.xlsx&amp;sheet=U0&amp;row=3164&amp;col=6&amp;number=3&amp;sourceID=14","3")</f>
        <v>3</v>
      </c>
      <c r="G3164" s="4" t="str">
        <f>HYPERLINK("http://141.218.60.56/~jnz1568/getInfo.php?workbook=20_05.xlsx&amp;sheet=U0&amp;row=3164&amp;col=7&amp;number=9.76e-05&amp;sourceID=14","9.76e-05")</f>
        <v>9.76e-05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HYPERLINK("http://141.218.60.56/~jnz1568/getInfo.php?workbook=20_05.xlsx&amp;sheet=U0&amp;row=3165&amp;col=6&amp;number=3.1&amp;sourceID=14","3.1")</f>
        <v>3.1</v>
      </c>
      <c r="G3165" s="4" t="str">
        <f>HYPERLINK("http://141.218.60.56/~jnz1568/getInfo.php?workbook=20_05.xlsx&amp;sheet=U0&amp;row=3165&amp;col=7&amp;number=9.76e-05&amp;sourceID=14","9.76e-05")</f>
        <v>9.76e-05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HYPERLINK("http://141.218.60.56/~jnz1568/getInfo.php?workbook=20_05.xlsx&amp;sheet=U0&amp;row=3166&amp;col=6&amp;number=3.2&amp;sourceID=14","3.2")</f>
        <v>3.2</v>
      </c>
      <c r="G3166" s="4" t="str">
        <f>HYPERLINK("http://141.218.60.56/~jnz1568/getInfo.php?workbook=20_05.xlsx&amp;sheet=U0&amp;row=3166&amp;col=7&amp;number=9.76e-05&amp;sourceID=14","9.76e-05")</f>
        <v>9.76e-05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HYPERLINK("http://141.218.60.56/~jnz1568/getInfo.php?workbook=20_05.xlsx&amp;sheet=U0&amp;row=3167&amp;col=6&amp;number=3.3&amp;sourceID=14","3.3")</f>
        <v>3.3</v>
      </c>
      <c r="G3167" s="4" t="str">
        <f>HYPERLINK("http://141.218.60.56/~jnz1568/getInfo.php?workbook=20_05.xlsx&amp;sheet=U0&amp;row=3167&amp;col=7&amp;number=9.76e-05&amp;sourceID=14","9.76e-05")</f>
        <v>9.76e-05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HYPERLINK("http://141.218.60.56/~jnz1568/getInfo.php?workbook=20_05.xlsx&amp;sheet=U0&amp;row=3168&amp;col=6&amp;number=3.4&amp;sourceID=14","3.4")</f>
        <v>3.4</v>
      </c>
      <c r="G3168" s="4" t="str">
        <f>HYPERLINK("http://141.218.60.56/~jnz1568/getInfo.php?workbook=20_05.xlsx&amp;sheet=U0&amp;row=3168&amp;col=7&amp;number=9.76e-05&amp;sourceID=14","9.76e-05")</f>
        <v>9.76e-05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HYPERLINK("http://141.218.60.56/~jnz1568/getInfo.php?workbook=20_05.xlsx&amp;sheet=U0&amp;row=3169&amp;col=6&amp;number=3.5&amp;sourceID=14","3.5")</f>
        <v>3.5</v>
      </c>
      <c r="G3169" s="4" t="str">
        <f>HYPERLINK("http://141.218.60.56/~jnz1568/getInfo.php?workbook=20_05.xlsx&amp;sheet=U0&amp;row=3169&amp;col=7&amp;number=9.76e-05&amp;sourceID=14","9.76e-05")</f>
        <v>9.76e-05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HYPERLINK("http://141.218.60.56/~jnz1568/getInfo.php?workbook=20_05.xlsx&amp;sheet=U0&amp;row=3170&amp;col=6&amp;number=3.6&amp;sourceID=14","3.6")</f>
        <v>3.6</v>
      </c>
      <c r="G3170" s="4" t="str">
        <f>HYPERLINK("http://141.218.60.56/~jnz1568/getInfo.php?workbook=20_05.xlsx&amp;sheet=U0&amp;row=3170&amp;col=7&amp;number=9.76e-05&amp;sourceID=14","9.76e-05")</f>
        <v>9.76e-05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HYPERLINK("http://141.218.60.56/~jnz1568/getInfo.php?workbook=20_05.xlsx&amp;sheet=U0&amp;row=3171&amp;col=6&amp;number=3.7&amp;sourceID=14","3.7")</f>
        <v>3.7</v>
      </c>
      <c r="G3171" s="4" t="str">
        <f>HYPERLINK("http://141.218.60.56/~jnz1568/getInfo.php?workbook=20_05.xlsx&amp;sheet=U0&amp;row=3171&amp;col=7&amp;number=9.76e-05&amp;sourceID=14","9.76e-05")</f>
        <v>9.76e-05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HYPERLINK("http://141.218.60.56/~jnz1568/getInfo.php?workbook=20_05.xlsx&amp;sheet=U0&amp;row=3172&amp;col=6&amp;number=3.8&amp;sourceID=14","3.8")</f>
        <v>3.8</v>
      </c>
      <c r="G3172" s="4" t="str">
        <f>HYPERLINK("http://141.218.60.56/~jnz1568/getInfo.php?workbook=20_05.xlsx&amp;sheet=U0&amp;row=3172&amp;col=7&amp;number=9.75e-05&amp;sourceID=14","9.75e-05")</f>
        <v>9.75e-05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HYPERLINK("http://141.218.60.56/~jnz1568/getInfo.php?workbook=20_05.xlsx&amp;sheet=U0&amp;row=3173&amp;col=6&amp;number=3.9&amp;sourceID=14","3.9")</f>
        <v>3.9</v>
      </c>
      <c r="G3173" s="4" t="str">
        <f>HYPERLINK("http://141.218.60.56/~jnz1568/getInfo.php?workbook=20_05.xlsx&amp;sheet=U0&amp;row=3173&amp;col=7&amp;number=9.75e-05&amp;sourceID=14","9.75e-05")</f>
        <v>9.75e-05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HYPERLINK("http://141.218.60.56/~jnz1568/getInfo.php?workbook=20_05.xlsx&amp;sheet=U0&amp;row=3174&amp;col=6&amp;number=4&amp;sourceID=14","4")</f>
        <v>4</v>
      </c>
      <c r="G3174" s="4" t="str">
        <f>HYPERLINK("http://141.218.60.56/~jnz1568/getInfo.php?workbook=20_05.xlsx&amp;sheet=U0&amp;row=3174&amp;col=7&amp;number=9.75e-05&amp;sourceID=14","9.75e-05")</f>
        <v>9.75e-05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HYPERLINK("http://141.218.60.56/~jnz1568/getInfo.php?workbook=20_05.xlsx&amp;sheet=U0&amp;row=3175&amp;col=6&amp;number=4.1&amp;sourceID=14","4.1")</f>
        <v>4.1</v>
      </c>
      <c r="G3175" s="4" t="str">
        <f>HYPERLINK("http://141.218.60.56/~jnz1568/getInfo.php?workbook=20_05.xlsx&amp;sheet=U0&amp;row=3175&amp;col=7&amp;number=9.74e-05&amp;sourceID=14","9.74e-05")</f>
        <v>9.74e-05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HYPERLINK("http://141.218.60.56/~jnz1568/getInfo.php?workbook=20_05.xlsx&amp;sheet=U0&amp;row=3176&amp;col=6&amp;number=4.2&amp;sourceID=14","4.2")</f>
        <v>4.2</v>
      </c>
      <c r="G3176" s="4" t="str">
        <f>HYPERLINK("http://141.218.60.56/~jnz1568/getInfo.php?workbook=20_05.xlsx&amp;sheet=U0&amp;row=3176&amp;col=7&amp;number=9.73e-05&amp;sourceID=14","9.73e-05")</f>
        <v>9.73e-05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HYPERLINK("http://141.218.60.56/~jnz1568/getInfo.php?workbook=20_05.xlsx&amp;sheet=U0&amp;row=3177&amp;col=6&amp;number=4.3&amp;sourceID=14","4.3")</f>
        <v>4.3</v>
      </c>
      <c r="G3177" s="4" t="str">
        <f>HYPERLINK("http://141.218.60.56/~jnz1568/getInfo.php?workbook=20_05.xlsx&amp;sheet=U0&amp;row=3177&amp;col=7&amp;number=9.73e-05&amp;sourceID=14","9.73e-05")</f>
        <v>9.73e-05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HYPERLINK("http://141.218.60.56/~jnz1568/getInfo.php?workbook=20_05.xlsx&amp;sheet=U0&amp;row=3178&amp;col=6&amp;number=4.4&amp;sourceID=14","4.4")</f>
        <v>4.4</v>
      </c>
      <c r="G3178" s="4" t="str">
        <f>HYPERLINK("http://141.218.60.56/~jnz1568/getInfo.php?workbook=20_05.xlsx&amp;sheet=U0&amp;row=3178&amp;col=7&amp;number=9.71e-05&amp;sourceID=14","9.71e-05")</f>
        <v>9.71e-05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HYPERLINK("http://141.218.60.56/~jnz1568/getInfo.php?workbook=20_05.xlsx&amp;sheet=U0&amp;row=3179&amp;col=6&amp;number=4.5&amp;sourceID=14","4.5")</f>
        <v>4.5</v>
      </c>
      <c r="G3179" s="4" t="str">
        <f>HYPERLINK("http://141.218.60.56/~jnz1568/getInfo.php?workbook=20_05.xlsx&amp;sheet=U0&amp;row=3179&amp;col=7&amp;number=9.7e-05&amp;sourceID=14","9.7e-05")</f>
        <v>9.7e-05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HYPERLINK("http://141.218.60.56/~jnz1568/getInfo.php?workbook=20_05.xlsx&amp;sheet=U0&amp;row=3180&amp;col=6&amp;number=4.6&amp;sourceID=14","4.6")</f>
        <v>4.6</v>
      </c>
      <c r="G3180" s="4" t="str">
        <f>HYPERLINK("http://141.218.60.56/~jnz1568/getInfo.php?workbook=20_05.xlsx&amp;sheet=U0&amp;row=3180&amp;col=7&amp;number=9.68e-05&amp;sourceID=14","9.68e-05")</f>
        <v>9.68e-05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HYPERLINK("http://141.218.60.56/~jnz1568/getInfo.php?workbook=20_05.xlsx&amp;sheet=U0&amp;row=3181&amp;col=6&amp;number=4.7&amp;sourceID=14","4.7")</f>
        <v>4.7</v>
      </c>
      <c r="G3181" s="4" t="str">
        <f>HYPERLINK("http://141.218.60.56/~jnz1568/getInfo.php?workbook=20_05.xlsx&amp;sheet=U0&amp;row=3181&amp;col=7&amp;number=9.66e-05&amp;sourceID=14","9.66e-05")</f>
        <v>9.66e-05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HYPERLINK("http://141.218.60.56/~jnz1568/getInfo.php?workbook=20_05.xlsx&amp;sheet=U0&amp;row=3182&amp;col=6&amp;number=4.8&amp;sourceID=14","4.8")</f>
        <v>4.8</v>
      </c>
      <c r="G3182" s="4" t="str">
        <f>HYPERLINK("http://141.218.60.56/~jnz1568/getInfo.php?workbook=20_05.xlsx&amp;sheet=U0&amp;row=3182&amp;col=7&amp;number=9.64e-05&amp;sourceID=14","9.64e-05")</f>
        <v>9.64e-05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HYPERLINK("http://141.218.60.56/~jnz1568/getInfo.php?workbook=20_05.xlsx&amp;sheet=U0&amp;row=3183&amp;col=6&amp;number=4.9&amp;sourceID=14","4.9")</f>
        <v>4.9</v>
      </c>
      <c r="G3183" s="4" t="str">
        <f>HYPERLINK("http://141.218.60.56/~jnz1568/getInfo.php?workbook=20_05.xlsx&amp;sheet=U0&amp;row=3183&amp;col=7&amp;number=9.6e-05&amp;sourceID=14","9.6e-05")</f>
        <v>9.6e-05</v>
      </c>
    </row>
    <row r="3184" spans="1:7">
      <c r="A3184" s="3">
        <v>20</v>
      </c>
      <c r="B3184" s="3">
        <v>5</v>
      </c>
      <c r="C3184" s="3">
        <v>1</v>
      </c>
      <c r="D3184" s="3">
        <v>115</v>
      </c>
      <c r="E3184" s="3">
        <v>1</v>
      </c>
      <c r="F3184" s="4" t="str">
        <f>HYPERLINK("http://141.218.60.56/~jnz1568/getInfo.php?workbook=20_05.xlsx&amp;sheet=U0&amp;row=3184&amp;col=6&amp;number=3&amp;sourceID=14","3")</f>
        <v>3</v>
      </c>
      <c r="G3184" s="4" t="str">
        <f>HYPERLINK("http://141.218.60.56/~jnz1568/getInfo.php?workbook=20_05.xlsx&amp;sheet=U0&amp;row=3184&amp;col=7&amp;number=9.03e-05&amp;sourceID=14","9.03e-05")</f>
        <v>9.03e-05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HYPERLINK("http://141.218.60.56/~jnz1568/getInfo.php?workbook=20_05.xlsx&amp;sheet=U0&amp;row=3185&amp;col=6&amp;number=3.1&amp;sourceID=14","3.1")</f>
        <v>3.1</v>
      </c>
      <c r="G3185" s="4" t="str">
        <f>HYPERLINK("http://141.218.60.56/~jnz1568/getInfo.php?workbook=20_05.xlsx&amp;sheet=U0&amp;row=3185&amp;col=7&amp;number=9.03e-05&amp;sourceID=14","9.03e-05")</f>
        <v>9.03e-05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HYPERLINK("http://141.218.60.56/~jnz1568/getInfo.php?workbook=20_05.xlsx&amp;sheet=U0&amp;row=3186&amp;col=6&amp;number=3.2&amp;sourceID=14","3.2")</f>
        <v>3.2</v>
      </c>
      <c r="G3186" s="4" t="str">
        <f>HYPERLINK("http://141.218.60.56/~jnz1568/getInfo.php?workbook=20_05.xlsx&amp;sheet=U0&amp;row=3186&amp;col=7&amp;number=9.03e-05&amp;sourceID=14","9.03e-05")</f>
        <v>9.03e-05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HYPERLINK("http://141.218.60.56/~jnz1568/getInfo.php?workbook=20_05.xlsx&amp;sheet=U0&amp;row=3187&amp;col=6&amp;number=3.3&amp;sourceID=14","3.3")</f>
        <v>3.3</v>
      </c>
      <c r="G3187" s="4" t="str">
        <f>HYPERLINK("http://141.218.60.56/~jnz1568/getInfo.php?workbook=20_05.xlsx&amp;sheet=U0&amp;row=3187&amp;col=7&amp;number=9.03e-05&amp;sourceID=14","9.03e-05")</f>
        <v>9.03e-05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HYPERLINK("http://141.218.60.56/~jnz1568/getInfo.php?workbook=20_05.xlsx&amp;sheet=U0&amp;row=3188&amp;col=6&amp;number=3.4&amp;sourceID=14","3.4")</f>
        <v>3.4</v>
      </c>
      <c r="G3188" s="4" t="str">
        <f>HYPERLINK("http://141.218.60.56/~jnz1568/getInfo.php?workbook=20_05.xlsx&amp;sheet=U0&amp;row=3188&amp;col=7&amp;number=9.03e-05&amp;sourceID=14","9.03e-05")</f>
        <v>9.03e-05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HYPERLINK("http://141.218.60.56/~jnz1568/getInfo.php?workbook=20_05.xlsx&amp;sheet=U0&amp;row=3189&amp;col=6&amp;number=3.5&amp;sourceID=14","3.5")</f>
        <v>3.5</v>
      </c>
      <c r="G3189" s="4" t="str">
        <f>HYPERLINK("http://141.218.60.56/~jnz1568/getInfo.php?workbook=20_05.xlsx&amp;sheet=U0&amp;row=3189&amp;col=7&amp;number=9.02e-05&amp;sourceID=14","9.02e-05")</f>
        <v>9.02e-05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HYPERLINK("http://141.218.60.56/~jnz1568/getInfo.php?workbook=20_05.xlsx&amp;sheet=U0&amp;row=3190&amp;col=6&amp;number=3.6&amp;sourceID=14","3.6")</f>
        <v>3.6</v>
      </c>
      <c r="G3190" s="4" t="str">
        <f>HYPERLINK("http://141.218.60.56/~jnz1568/getInfo.php?workbook=20_05.xlsx&amp;sheet=U0&amp;row=3190&amp;col=7&amp;number=9.02e-05&amp;sourceID=14","9.02e-05")</f>
        <v>9.02e-05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HYPERLINK("http://141.218.60.56/~jnz1568/getInfo.php?workbook=20_05.xlsx&amp;sheet=U0&amp;row=3191&amp;col=6&amp;number=3.7&amp;sourceID=14","3.7")</f>
        <v>3.7</v>
      </c>
      <c r="G3191" s="4" t="str">
        <f>HYPERLINK("http://141.218.60.56/~jnz1568/getInfo.php?workbook=20_05.xlsx&amp;sheet=U0&amp;row=3191&amp;col=7&amp;number=9.02e-05&amp;sourceID=14","9.02e-05")</f>
        <v>9.02e-05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HYPERLINK("http://141.218.60.56/~jnz1568/getInfo.php?workbook=20_05.xlsx&amp;sheet=U0&amp;row=3192&amp;col=6&amp;number=3.8&amp;sourceID=14","3.8")</f>
        <v>3.8</v>
      </c>
      <c r="G3192" s="4" t="str">
        <f>HYPERLINK("http://141.218.60.56/~jnz1568/getInfo.php?workbook=20_05.xlsx&amp;sheet=U0&amp;row=3192&amp;col=7&amp;number=9.02e-05&amp;sourceID=14","9.02e-05")</f>
        <v>9.02e-05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HYPERLINK("http://141.218.60.56/~jnz1568/getInfo.php?workbook=20_05.xlsx&amp;sheet=U0&amp;row=3193&amp;col=6&amp;number=3.9&amp;sourceID=14","3.9")</f>
        <v>3.9</v>
      </c>
      <c r="G3193" s="4" t="str">
        <f>HYPERLINK("http://141.218.60.56/~jnz1568/getInfo.php?workbook=20_05.xlsx&amp;sheet=U0&amp;row=3193&amp;col=7&amp;number=9.02e-05&amp;sourceID=14","9.02e-05")</f>
        <v>9.02e-05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HYPERLINK("http://141.218.60.56/~jnz1568/getInfo.php?workbook=20_05.xlsx&amp;sheet=U0&amp;row=3194&amp;col=6&amp;number=4&amp;sourceID=14","4")</f>
        <v>4</v>
      </c>
      <c r="G3194" s="4" t="str">
        <f>HYPERLINK("http://141.218.60.56/~jnz1568/getInfo.php?workbook=20_05.xlsx&amp;sheet=U0&amp;row=3194&amp;col=7&amp;number=9.01e-05&amp;sourceID=14","9.01e-05")</f>
        <v>9.01e-05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HYPERLINK("http://141.218.60.56/~jnz1568/getInfo.php?workbook=20_05.xlsx&amp;sheet=U0&amp;row=3195&amp;col=6&amp;number=4.1&amp;sourceID=14","4.1")</f>
        <v>4.1</v>
      </c>
      <c r="G3195" s="4" t="str">
        <f>HYPERLINK("http://141.218.60.56/~jnz1568/getInfo.php?workbook=20_05.xlsx&amp;sheet=U0&amp;row=3195&amp;col=7&amp;number=9.01e-05&amp;sourceID=14","9.01e-05")</f>
        <v>9.01e-05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HYPERLINK("http://141.218.60.56/~jnz1568/getInfo.php?workbook=20_05.xlsx&amp;sheet=U0&amp;row=3196&amp;col=6&amp;number=4.2&amp;sourceID=14","4.2")</f>
        <v>4.2</v>
      </c>
      <c r="G3196" s="4" t="str">
        <f>HYPERLINK("http://141.218.60.56/~jnz1568/getInfo.php?workbook=20_05.xlsx&amp;sheet=U0&amp;row=3196&amp;col=7&amp;number=9e-05&amp;sourceID=14","9e-05")</f>
        <v>9e-05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HYPERLINK("http://141.218.60.56/~jnz1568/getInfo.php?workbook=20_05.xlsx&amp;sheet=U0&amp;row=3197&amp;col=6&amp;number=4.3&amp;sourceID=14","4.3")</f>
        <v>4.3</v>
      </c>
      <c r="G3197" s="4" t="str">
        <f>HYPERLINK("http://141.218.60.56/~jnz1568/getInfo.php?workbook=20_05.xlsx&amp;sheet=U0&amp;row=3197&amp;col=7&amp;number=9e-05&amp;sourceID=14","9e-05")</f>
        <v>9e-05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HYPERLINK("http://141.218.60.56/~jnz1568/getInfo.php?workbook=20_05.xlsx&amp;sheet=U0&amp;row=3198&amp;col=6&amp;number=4.4&amp;sourceID=14","4.4")</f>
        <v>4.4</v>
      </c>
      <c r="G3198" s="4" t="str">
        <f>HYPERLINK("http://141.218.60.56/~jnz1568/getInfo.php?workbook=20_05.xlsx&amp;sheet=U0&amp;row=3198&amp;col=7&amp;number=8.99e-05&amp;sourceID=14","8.99e-05")</f>
        <v>8.99e-05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HYPERLINK("http://141.218.60.56/~jnz1568/getInfo.php?workbook=20_05.xlsx&amp;sheet=U0&amp;row=3199&amp;col=6&amp;number=4.5&amp;sourceID=14","4.5")</f>
        <v>4.5</v>
      </c>
      <c r="G3199" s="4" t="str">
        <f>HYPERLINK("http://141.218.60.56/~jnz1568/getInfo.php?workbook=20_05.xlsx&amp;sheet=U0&amp;row=3199&amp;col=7&amp;number=8.98e-05&amp;sourceID=14","8.98e-05")</f>
        <v>8.98e-05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HYPERLINK("http://141.218.60.56/~jnz1568/getInfo.php?workbook=20_05.xlsx&amp;sheet=U0&amp;row=3200&amp;col=6&amp;number=4.6&amp;sourceID=14","4.6")</f>
        <v>4.6</v>
      </c>
      <c r="G3200" s="4" t="str">
        <f>HYPERLINK("http://141.218.60.56/~jnz1568/getInfo.php?workbook=20_05.xlsx&amp;sheet=U0&amp;row=3200&amp;col=7&amp;number=8.96e-05&amp;sourceID=14","8.96e-05")</f>
        <v>8.96e-05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HYPERLINK("http://141.218.60.56/~jnz1568/getInfo.php?workbook=20_05.xlsx&amp;sheet=U0&amp;row=3201&amp;col=6&amp;number=4.7&amp;sourceID=14","4.7")</f>
        <v>4.7</v>
      </c>
      <c r="G3201" s="4" t="str">
        <f>HYPERLINK("http://141.218.60.56/~jnz1568/getInfo.php?workbook=20_05.xlsx&amp;sheet=U0&amp;row=3201&amp;col=7&amp;number=8.95e-05&amp;sourceID=14","8.95e-05")</f>
        <v>8.95e-05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HYPERLINK("http://141.218.60.56/~jnz1568/getInfo.php?workbook=20_05.xlsx&amp;sheet=U0&amp;row=3202&amp;col=6&amp;number=4.8&amp;sourceID=14","4.8")</f>
        <v>4.8</v>
      </c>
      <c r="G3202" s="4" t="str">
        <f>HYPERLINK("http://141.218.60.56/~jnz1568/getInfo.php?workbook=20_05.xlsx&amp;sheet=U0&amp;row=3202&amp;col=7&amp;number=8.92e-05&amp;sourceID=14","8.92e-05")</f>
        <v>8.92e-05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HYPERLINK("http://141.218.60.56/~jnz1568/getInfo.php?workbook=20_05.xlsx&amp;sheet=U0&amp;row=3203&amp;col=6&amp;number=4.9&amp;sourceID=14","4.9")</f>
        <v>4.9</v>
      </c>
      <c r="G3203" s="4" t="str">
        <f>HYPERLINK("http://141.218.60.56/~jnz1568/getInfo.php?workbook=20_05.xlsx&amp;sheet=U0&amp;row=3203&amp;col=7&amp;number=8.9e-05&amp;sourceID=14","8.9e-05")</f>
        <v>8.9e-05</v>
      </c>
    </row>
    <row r="3204" spans="1:7">
      <c r="A3204" s="3">
        <v>20</v>
      </c>
      <c r="B3204" s="3">
        <v>5</v>
      </c>
      <c r="C3204" s="3">
        <v>1</v>
      </c>
      <c r="D3204" s="3">
        <v>116</v>
      </c>
      <c r="E3204" s="3">
        <v>1</v>
      </c>
      <c r="F3204" s="4" t="str">
        <f>HYPERLINK("http://141.218.60.56/~jnz1568/getInfo.php?workbook=20_05.xlsx&amp;sheet=U0&amp;row=3204&amp;col=6&amp;number=3&amp;sourceID=14","3")</f>
        <v>3</v>
      </c>
      <c r="G3204" s="4" t="str">
        <f>HYPERLINK("http://141.218.60.56/~jnz1568/getInfo.php?workbook=20_05.xlsx&amp;sheet=U0&amp;row=3204&amp;col=7&amp;number=6.27e-05&amp;sourceID=14","6.27e-05")</f>
        <v>6.27e-05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HYPERLINK("http://141.218.60.56/~jnz1568/getInfo.php?workbook=20_05.xlsx&amp;sheet=U0&amp;row=3205&amp;col=6&amp;number=3.1&amp;sourceID=14","3.1")</f>
        <v>3.1</v>
      </c>
      <c r="G3205" s="4" t="str">
        <f>HYPERLINK("http://141.218.60.56/~jnz1568/getInfo.php?workbook=20_05.xlsx&amp;sheet=U0&amp;row=3205&amp;col=7&amp;number=6.27e-05&amp;sourceID=14","6.27e-05")</f>
        <v>6.27e-05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HYPERLINK("http://141.218.60.56/~jnz1568/getInfo.php?workbook=20_05.xlsx&amp;sheet=U0&amp;row=3206&amp;col=6&amp;number=3.2&amp;sourceID=14","3.2")</f>
        <v>3.2</v>
      </c>
      <c r="G3206" s="4" t="str">
        <f>HYPERLINK("http://141.218.60.56/~jnz1568/getInfo.php?workbook=20_05.xlsx&amp;sheet=U0&amp;row=3206&amp;col=7&amp;number=6.27e-05&amp;sourceID=14","6.27e-05")</f>
        <v>6.27e-05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HYPERLINK("http://141.218.60.56/~jnz1568/getInfo.php?workbook=20_05.xlsx&amp;sheet=U0&amp;row=3207&amp;col=6&amp;number=3.3&amp;sourceID=14","3.3")</f>
        <v>3.3</v>
      </c>
      <c r="G3207" s="4" t="str">
        <f>HYPERLINK("http://141.218.60.56/~jnz1568/getInfo.php?workbook=20_05.xlsx&amp;sheet=U0&amp;row=3207&amp;col=7&amp;number=6.27e-05&amp;sourceID=14","6.27e-05")</f>
        <v>6.27e-05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HYPERLINK("http://141.218.60.56/~jnz1568/getInfo.php?workbook=20_05.xlsx&amp;sheet=U0&amp;row=3208&amp;col=6&amp;number=3.4&amp;sourceID=14","3.4")</f>
        <v>3.4</v>
      </c>
      <c r="G3208" s="4" t="str">
        <f>HYPERLINK("http://141.218.60.56/~jnz1568/getInfo.php?workbook=20_05.xlsx&amp;sheet=U0&amp;row=3208&amp;col=7&amp;number=6.27e-05&amp;sourceID=14","6.27e-05")</f>
        <v>6.27e-05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HYPERLINK("http://141.218.60.56/~jnz1568/getInfo.php?workbook=20_05.xlsx&amp;sheet=U0&amp;row=3209&amp;col=6&amp;number=3.5&amp;sourceID=14","3.5")</f>
        <v>3.5</v>
      </c>
      <c r="G3209" s="4" t="str">
        <f>HYPERLINK("http://141.218.60.56/~jnz1568/getInfo.php?workbook=20_05.xlsx&amp;sheet=U0&amp;row=3209&amp;col=7&amp;number=6.27e-05&amp;sourceID=14","6.27e-05")</f>
        <v>6.27e-05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HYPERLINK("http://141.218.60.56/~jnz1568/getInfo.php?workbook=20_05.xlsx&amp;sheet=U0&amp;row=3210&amp;col=6&amp;number=3.6&amp;sourceID=14","3.6")</f>
        <v>3.6</v>
      </c>
      <c r="G3210" s="4" t="str">
        <f>HYPERLINK("http://141.218.60.56/~jnz1568/getInfo.php?workbook=20_05.xlsx&amp;sheet=U0&amp;row=3210&amp;col=7&amp;number=6.27e-05&amp;sourceID=14","6.27e-05")</f>
        <v>6.27e-05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HYPERLINK("http://141.218.60.56/~jnz1568/getInfo.php?workbook=20_05.xlsx&amp;sheet=U0&amp;row=3211&amp;col=6&amp;number=3.7&amp;sourceID=14","3.7")</f>
        <v>3.7</v>
      </c>
      <c r="G3211" s="4" t="str">
        <f>HYPERLINK("http://141.218.60.56/~jnz1568/getInfo.php?workbook=20_05.xlsx&amp;sheet=U0&amp;row=3211&amp;col=7&amp;number=6.27e-05&amp;sourceID=14","6.27e-05")</f>
        <v>6.27e-05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HYPERLINK("http://141.218.60.56/~jnz1568/getInfo.php?workbook=20_05.xlsx&amp;sheet=U0&amp;row=3212&amp;col=6&amp;number=3.8&amp;sourceID=14","3.8")</f>
        <v>3.8</v>
      </c>
      <c r="G3212" s="4" t="str">
        <f>HYPERLINK("http://141.218.60.56/~jnz1568/getInfo.php?workbook=20_05.xlsx&amp;sheet=U0&amp;row=3212&amp;col=7&amp;number=6.28e-05&amp;sourceID=14","6.28e-05")</f>
        <v>6.28e-05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HYPERLINK("http://141.218.60.56/~jnz1568/getInfo.php?workbook=20_05.xlsx&amp;sheet=U0&amp;row=3213&amp;col=6&amp;number=3.9&amp;sourceID=14","3.9")</f>
        <v>3.9</v>
      </c>
      <c r="G3213" s="4" t="str">
        <f>HYPERLINK("http://141.218.60.56/~jnz1568/getInfo.php?workbook=20_05.xlsx&amp;sheet=U0&amp;row=3213&amp;col=7&amp;number=6.28e-05&amp;sourceID=14","6.28e-05")</f>
        <v>6.28e-05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HYPERLINK("http://141.218.60.56/~jnz1568/getInfo.php?workbook=20_05.xlsx&amp;sheet=U0&amp;row=3214&amp;col=6&amp;number=4&amp;sourceID=14","4")</f>
        <v>4</v>
      </c>
      <c r="G3214" s="4" t="str">
        <f>HYPERLINK("http://141.218.60.56/~jnz1568/getInfo.php?workbook=20_05.xlsx&amp;sheet=U0&amp;row=3214&amp;col=7&amp;number=6.28e-05&amp;sourceID=14","6.28e-05")</f>
        <v>6.28e-05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HYPERLINK("http://141.218.60.56/~jnz1568/getInfo.php?workbook=20_05.xlsx&amp;sheet=U0&amp;row=3215&amp;col=6&amp;number=4.1&amp;sourceID=14","4.1")</f>
        <v>4.1</v>
      </c>
      <c r="G3215" s="4" t="str">
        <f>HYPERLINK("http://141.218.60.56/~jnz1568/getInfo.php?workbook=20_05.xlsx&amp;sheet=U0&amp;row=3215&amp;col=7&amp;number=6.28e-05&amp;sourceID=14","6.28e-05")</f>
        <v>6.28e-05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HYPERLINK("http://141.218.60.56/~jnz1568/getInfo.php?workbook=20_05.xlsx&amp;sheet=U0&amp;row=3216&amp;col=6&amp;number=4.2&amp;sourceID=14","4.2")</f>
        <v>4.2</v>
      </c>
      <c r="G3216" s="4" t="str">
        <f>HYPERLINK("http://141.218.60.56/~jnz1568/getInfo.php?workbook=20_05.xlsx&amp;sheet=U0&amp;row=3216&amp;col=7&amp;number=6.28e-05&amp;sourceID=14","6.28e-05")</f>
        <v>6.28e-05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HYPERLINK("http://141.218.60.56/~jnz1568/getInfo.php?workbook=20_05.xlsx&amp;sheet=U0&amp;row=3217&amp;col=6&amp;number=4.3&amp;sourceID=14","4.3")</f>
        <v>4.3</v>
      </c>
      <c r="G3217" s="4" t="str">
        <f>HYPERLINK("http://141.218.60.56/~jnz1568/getInfo.php?workbook=20_05.xlsx&amp;sheet=U0&amp;row=3217&amp;col=7&amp;number=6.28e-05&amp;sourceID=14","6.28e-05")</f>
        <v>6.28e-05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HYPERLINK("http://141.218.60.56/~jnz1568/getInfo.php?workbook=20_05.xlsx&amp;sheet=U0&amp;row=3218&amp;col=6&amp;number=4.4&amp;sourceID=14","4.4")</f>
        <v>4.4</v>
      </c>
      <c r="G3218" s="4" t="str">
        <f>HYPERLINK("http://141.218.60.56/~jnz1568/getInfo.php?workbook=20_05.xlsx&amp;sheet=U0&amp;row=3218&amp;col=7&amp;number=6.29e-05&amp;sourceID=14","6.29e-05")</f>
        <v>6.29e-05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HYPERLINK("http://141.218.60.56/~jnz1568/getInfo.php?workbook=20_05.xlsx&amp;sheet=U0&amp;row=3219&amp;col=6&amp;number=4.5&amp;sourceID=14","4.5")</f>
        <v>4.5</v>
      </c>
      <c r="G3219" s="4" t="str">
        <f>HYPERLINK("http://141.218.60.56/~jnz1568/getInfo.php?workbook=20_05.xlsx&amp;sheet=U0&amp;row=3219&amp;col=7&amp;number=6.29e-05&amp;sourceID=14","6.29e-05")</f>
        <v>6.29e-05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HYPERLINK("http://141.218.60.56/~jnz1568/getInfo.php?workbook=20_05.xlsx&amp;sheet=U0&amp;row=3220&amp;col=6&amp;number=4.6&amp;sourceID=14","4.6")</f>
        <v>4.6</v>
      </c>
      <c r="G3220" s="4" t="str">
        <f>HYPERLINK("http://141.218.60.56/~jnz1568/getInfo.php?workbook=20_05.xlsx&amp;sheet=U0&amp;row=3220&amp;col=7&amp;number=6.3e-05&amp;sourceID=14","6.3e-05")</f>
        <v>6.3e-05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HYPERLINK("http://141.218.60.56/~jnz1568/getInfo.php?workbook=20_05.xlsx&amp;sheet=U0&amp;row=3221&amp;col=6&amp;number=4.7&amp;sourceID=14","4.7")</f>
        <v>4.7</v>
      </c>
      <c r="G3221" s="4" t="str">
        <f>HYPERLINK("http://141.218.60.56/~jnz1568/getInfo.php?workbook=20_05.xlsx&amp;sheet=U0&amp;row=3221&amp;col=7&amp;number=6.3e-05&amp;sourceID=14","6.3e-05")</f>
        <v>6.3e-05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HYPERLINK("http://141.218.60.56/~jnz1568/getInfo.php?workbook=20_05.xlsx&amp;sheet=U0&amp;row=3222&amp;col=6&amp;number=4.8&amp;sourceID=14","4.8")</f>
        <v>4.8</v>
      </c>
      <c r="G3222" s="4" t="str">
        <f>HYPERLINK("http://141.218.60.56/~jnz1568/getInfo.php?workbook=20_05.xlsx&amp;sheet=U0&amp;row=3222&amp;col=7&amp;number=6.31e-05&amp;sourceID=14","6.31e-05")</f>
        <v>6.31e-05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HYPERLINK("http://141.218.60.56/~jnz1568/getInfo.php?workbook=20_05.xlsx&amp;sheet=U0&amp;row=3223&amp;col=6&amp;number=4.9&amp;sourceID=14","4.9")</f>
        <v>4.9</v>
      </c>
      <c r="G3223" s="4" t="str">
        <f>HYPERLINK("http://141.218.60.56/~jnz1568/getInfo.php?workbook=20_05.xlsx&amp;sheet=U0&amp;row=3223&amp;col=7&amp;number=6.32e-05&amp;sourceID=14","6.32e-05")</f>
        <v>6.32e-05</v>
      </c>
    </row>
    <row r="3224" spans="1:7">
      <c r="A3224" s="3">
        <v>20</v>
      </c>
      <c r="B3224" s="3">
        <v>5</v>
      </c>
      <c r="C3224" s="3">
        <v>1</v>
      </c>
      <c r="D3224" s="3">
        <v>117</v>
      </c>
      <c r="E3224" s="3">
        <v>1</v>
      </c>
      <c r="F3224" s="4" t="str">
        <f>HYPERLINK("http://141.218.60.56/~jnz1568/getInfo.php?workbook=20_05.xlsx&amp;sheet=U0&amp;row=3224&amp;col=6&amp;number=3&amp;sourceID=14","3")</f>
        <v>3</v>
      </c>
      <c r="G3224" s="4" t="str">
        <f>HYPERLINK("http://141.218.60.56/~jnz1568/getInfo.php?workbook=20_05.xlsx&amp;sheet=U0&amp;row=3224&amp;col=7&amp;number=0.000215&amp;sourceID=14","0.000215")</f>
        <v>0.000215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HYPERLINK("http://141.218.60.56/~jnz1568/getInfo.php?workbook=20_05.xlsx&amp;sheet=U0&amp;row=3225&amp;col=6&amp;number=3.1&amp;sourceID=14","3.1")</f>
        <v>3.1</v>
      </c>
      <c r="G3225" s="4" t="str">
        <f>HYPERLINK("http://141.218.60.56/~jnz1568/getInfo.php?workbook=20_05.xlsx&amp;sheet=U0&amp;row=3225&amp;col=7&amp;number=0.000215&amp;sourceID=14","0.000215")</f>
        <v>0.000215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HYPERLINK("http://141.218.60.56/~jnz1568/getInfo.php?workbook=20_05.xlsx&amp;sheet=U0&amp;row=3226&amp;col=6&amp;number=3.2&amp;sourceID=14","3.2")</f>
        <v>3.2</v>
      </c>
      <c r="G3226" s="4" t="str">
        <f>HYPERLINK("http://141.218.60.56/~jnz1568/getInfo.php?workbook=20_05.xlsx&amp;sheet=U0&amp;row=3226&amp;col=7&amp;number=0.000215&amp;sourceID=14","0.000215")</f>
        <v>0.000215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HYPERLINK("http://141.218.60.56/~jnz1568/getInfo.php?workbook=20_05.xlsx&amp;sheet=U0&amp;row=3227&amp;col=6&amp;number=3.3&amp;sourceID=14","3.3")</f>
        <v>3.3</v>
      </c>
      <c r="G3227" s="4" t="str">
        <f>HYPERLINK("http://141.218.60.56/~jnz1568/getInfo.php?workbook=20_05.xlsx&amp;sheet=U0&amp;row=3227&amp;col=7&amp;number=0.000215&amp;sourceID=14","0.000215")</f>
        <v>0.000215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HYPERLINK("http://141.218.60.56/~jnz1568/getInfo.php?workbook=20_05.xlsx&amp;sheet=U0&amp;row=3228&amp;col=6&amp;number=3.4&amp;sourceID=14","3.4")</f>
        <v>3.4</v>
      </c>
      <c r="G3228" s="4" t="str">
        <f>HYPERLINK("http://141.218.60.56/~jnz1568/getInfo.php?workbook=20_05.xlsx&amp;sheet=U0&amp;row=3228&amp;col=7&amp;number=0.000215&amp;sourceID=14","0.000215")</f>
        <v>0.000215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HYPERLINK("http://141.218.60.56/~jnz1568/getInfo.php?workbook=20_05.xlsx&amp;sheet=U0&amp;row=3229&amp;col=6&amp;number=3.5&amp;sourceID=14","3.5")</f>
        <v>3.5</v>
      </c>
      <c r="G3229" s="4" t="str">
        <f>HYPERLINK("http://141.218.60.56/~jnz1568/getInfo.php?workbook=20_05.xlsx&amp;sheet=U0&amp;row=3229&amp;col=7&amp;number=0.000215&amp;sourceID=14","0.000215")</f>
        <v>0.000215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HYPERLINK("http://141.218.60.56/~jnz1568/getInfo.php?workbook=20_05.xlsx&amp;sheet=U0&amp;row=3230&amp;col=6&amp;number=3.6&amp;sourceID=14","3.6")</f>
        <v>3.6</v>
      </c>
      <c r="G3230" s="4" t="str">
        <f>HYPERLINK("http://141.218.60.56/~jnz1568/getInfo.php?workbook=20_05.xlsx&amp;sheet=U0&amp;row=3230&amp;col=7&amp;number=0.000215&amp;sourceID=14","0.000215")</f>
        <v>0.000215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HYPERLINK("http://141.218.60.56/~jnz1568/getInfo.php?workbook=20_05.xlsx&amp;sheet=U0&amp;row=3231&amp;col=6&amp;number=3.7&amp;sourceID=14","3.7")</f>
        <v>3.7</v>
      </c>
      <c r="G3231" s="4" t="str">
        <f>HYPERLINK("http://141.218.60.56/~jnz1568/getInfo.php?workbook=20_05.xlsx&amp;sheet=U0&amp;row=3231&amp;col=7&amp;number=0.000215&amp;sourceID=14","0.000215")</f>
        <v>0.000215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HYPERLINK("http://141.218.60.56/~jnz1568/getInfo.php?workbook=20_05.xlsx&amp;sheet=U0&amp;row=3232&amp;col=6&amp;number=3.8&amp;sourceID=14","3.8")</f>
        <v>3.8</v>
      </c>
      <c r="G3232" s="4" t="str">
        <f>HYPERLINK("http://141.218.60.56/~jnz1568/getInfo.php?workbook=20_05.xlsx&amp;sheet=U0&amp;row=3232&amp;col=7&amp;number=0.000215&amp;sourceID=14","0.000215")</f>
        <v>0.000215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HYPERLINK("http://141.218.60.56/~jnz1568/getInfo.php?workbook=20_05.xlsx&amp;sheet=U0&amp;row=3233&amp;col=6&amp;number=3.9&amp;sourceID=14","3.9")</f>
        <v>3.9</v>
      </c>
      <c r="G3233" s="4" t="str">
        <f>HYPERLINK("http://141.218.60.56/~jnz1568/getInfo.php?workbook=20_05.xlsx&amp;sheet=U0&amp;row=3233&amp;col=7&amp;number=0.000216&amp;sourceID=14","0.000216")</f>
        <v>0.000216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HYPERLINK("http://141.218.60.56/~jnz1568/getInfo.php?workbook=20_05.xlsx&amp;sheet=U0&amp;row=3234&amp;col=6&amp;number=4&amp;sourceID=14","4")</f>
        <v>4</v>
      </c>
      <c r="G3234" s="4" t="str">
        <f>HYPERLINK("http://141.218.60.56/~jnz1568/getInfo.php?workbook=20_05.xlsx&amp;sheet=U0&amp;row=3234&amp;col=7&amp;number=0.000216&amp;sourceID=14","0.000216")</f>
        <v>0.000216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HYPERLINK("http://141.218.60.56/~jnz1568/getInfo.php?workbook=20_05.xlsx&amp;sheet=U0&amp;row=3235&amp;col=6&amp;number=4.1&amp;sourceID=14","4.1")</f>
        <v>4.1</v>
      </c>
      <c r="G3235" s="4" t="str">
        <f>HYPERLINK("http://141.218.60.56/~jnz1568/getInfo.php?workbook=20_05.xlsx&amp;sheet=U0&amp;row=3235&amp;col=7&amp;number=0.000216&amp;sourceID=14","0.000216")</f>
        <v>0.000216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HYPERLINK("http://141.218.60.56/~jnz1568/getInfo.php?workbook=20_05.xlsx&amp;sheet=U0&amp;row=3236&amp;col=6&amp;number=4.2&amp;sourceID=14","4.2")</f>
        <v>4.2</v>
      </c>
      <c r="G3236" s="4" t="str">
        <f>HYPERLINK("http://141.218.60.56/~jnz1568/getInfo.php?workbook=20_05.xlsx&amp;sheet=U0&amp;row=3236&amp;col=7&amp;number=0.000216&amp;sourceID=14","0.000216")</f>
        <v>0.000216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HYPERLINK("http://141.218.60.56/~jnz1568/getInfo.php?workbook=20_05.xlsx&amp;sheet=U0&amp;row=3237&amp;col=6&amp;number=4.3&amp;sourceID=14","4.3")</f>
        <v>4.3</v>
      </c>
      <c r="G3237" s="4" t="str">
        <f>HYPERLINK("http://141.218.60.56/~jnz1568/getInfo.php?workbook=20_05.xlsx&amp;sheet=U0&amp;row=3237&amp;col=7&amp;number=0.000216&amp;sourceID=14","0.000216")</f>
        <v>0.000216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HYPERLINK("http://141.218.60.56/~jnz1568/getInfo.php?workbook=20_05.xlsx&amp;sheet=U0&amp;row=3238&amp;col=6&amp;number=4.4&amp;sourceID=14","4.4")</f>
        <v>4.4</v>
      </c>
      <c r="G3238" s="4" t="str">
        <f>HYPERLINK("http://141.218.60.56/~jnz1568/getInfo.php?workbook=20_05.xlsx&amp;sheet=U0&amp;row=3238&amp;col=7&amp;number=0.000216&amp;sourceID=14","0.000216")</f>
        <v>0.000216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HYPERLINK("http://141.218.60.56/~jnz1568/getInfo.php?workbook=20_05.xlsx&amp;sheet=U0&amp;row=3239&amp;col=6&amp;number=4.5&amp;sourceID=14","4.5")</f>
        <v>4.5</v>
      </c>
      <c r="G3239" s="4" t="str">
        <f>HYPERLINK("http://141.218.60.56/~jnz1568/getInfo.php?workbook=20_05.xlsx&amp;sheet=U0&amp;row=3239&amp;col=7&amp;number=0.000216&amp;sourceID=14","0.000216")</f>
        <v>0.000216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HYPERLINK("http://141.218.60.56/~jnz1568/getInfo.php?workbook=20_05.xlsx&amp;sheet=U0&amp;row=3240&amp;col=6&amp;number=4.6&amp;sourceID=14","4.6")</f>
        <v>4.6</v>
      </c>
      <c r="G3240" s="4" t="str">
        <f>HYPERLINK("http://141.218.60.56/~jnz1568/getInfo.php?workbook=20_05.xlsx&amp;sheet=U0&amp;row=3240&amp;col=7&amp;number=0.000216&amp;sourceID=14","0.000216")</f>
        <v>0.000216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HYPERLINK("http://141.218.60.56/~jnz1568/getInfo.php?workbook=20_05.xlsx&amp;sheet=U0&amp;row=3241&amp;col=6&amp;number=4.7&amp;sourceID=14","4.7")</f>
        <v>4.7</v>
      </c>
      <c r="G3241" s="4" t="str">
        <f>HYPERLINK("http://141.218.60.56/~jnz1568/getInfo.php?workbook=20_05.xlsx&amp;sheet=U0&amp;row=3241&amp;col=7&amp;number=0.000217&amp;sourceID=14","0.000217")</f>
        <v>0.000217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HYPERLINK("http://141.218.60.56/~jnz1568/getInfo.php?workbook=20_05.xlsx&amp;sheet=U0&amp;row=3242&amp;col=6&amp;number=4.8&amp;sourceID=14","4.8")</f>
        <v>4.8</v>
      </c>
      <c r="G3242" s="4" t="str">
        <f>HYPERLINK("http://141.218.60.56/~jnz1568/getInfo.php?workbook=20_05.xlsx&amp;sheet=U0&amp;row=3242&amp;col=7&amp;number=0.000217&amp;sourceID=14","0.000217")</f>
        <v>0.000217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HYPERLINK("http://141.218.60.56/~jnz1568/getInfo.php?workbook=20_05.xlsx&amp;sheet=U0&amp;row=3243&amp;col=6&amp;number=4.9&amp;sourceID=14","4.9")</f>
        <v>4.9</v>
      </c>
      <c r="G3243" s="4" t="str">
        <f>HYPERLINK("http://141.218.60.56/~jnz1568/getInfo.php?workbook=20_05.xlsx&amp;sheet=U0&amp;row=3243&amp;col=7&amp;number=0.000217&amp;sourceID=14","0.000217")</f>
        <v>0.000217</v>
      </c>
    </row>
    <row r="3244" spans="1:7">
      <c r="A3244" s="3">
        <v>20</v>
      </c>
      <c r="B3244" s="3">
        <v>5</v>
      </c>
      <c r="C3244" s="3">
        <v>1</v>
      </c>
      <c r="D3244" s="3">
        <v>118</v>
      </c>
      <c r="E3244" s="3">
        <v>1</v>
      </c>
      <c r="F3244" s="4" t="str">
        <f>HYPERLINK("http://141.218.60.56/~jnz1568/getInfo.php?workbook=20_05.xlsx&amp;sheet=U0&amp;row=3244&amp;col=6&amp;number=3&amp;sourceID=14","3")</f>
        <v>3</v>
      </c>
      <c r="G3244" s="4" t="str">
        <f>HYPERLINK("http://141.218.60.56/~jnz1568/getInfo.php?workbook=20_05.xlsx&amp;sheet=U0&amp;row=3244&amp;col=7&amp;number=4.6e-05&amp;sourceID=14","4.6e-05")</f>
        <v>4.6e-05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HYPERLINK("http://141.218.60.56/~jnz1568/getInfo.php?workbook=20_05.xlsx&amp;sheet=U0&amp;row=3245&amp;col=6&amp;number=3.1&amp;sourceID=14","3.1")</f>
        <v>3.1</v>
      </c>
      <c r="G3245" s="4" t="str">
        <f>HYPERLINK("http://141.218.60.56/~jnz1568/getInfo.php?workbook=20_05.xlsx&amp;sheet=U0&amp;row=3245&amp;col=7&amp;number=4.6e-05&amp;sourceID=14","4.6e-05")</f>
        <v>4.6e-05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HYPERLINK("http://141.218.60.56/~jnz1568/getInfo.php?workbook=20_05.xlsx&amp;sheet=U0&amp;row=3246&amp;col=6&amp;number=3.2&amp;sourceID=14","3.2")</f>
        <v>3.2</v>
      </c>
      <c r="G3246" s="4" t="str">
        <f>HYPERLINK("http://141.218.60.56/~jnz1568/getInfo.php?workbook=20_05.xlsx&amp;sheet=U0&amp;row=3246&amp;col=7&amp;number=4.6e-05&amp;sourceID=14","4.6e-05")</f>
        <v>4.6e-05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HYPERLINK("http://141.218.60.56/~jnz1568/getInfo.php?workbook=20_05.xlsx&amp;sheet=U0&amp;row=3247&amp;col=6&amp;number=3.3&amp;sourceID=14","3.3")</f>
        <v>3.3</v>
      </c>
      <c r="G3247" s="4" t="str">
        <f>HYPERLINK("http://141.218.60.56/~jnz1568/getInfo.php?workbook=20_05.xlsx&amp;sheet=U0&amp;row=3247&amp;col=7&amp;number=4.6e-05&amp;sourceID=14","4.6e-05")</f>
        <v>4.6e-05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HYPERLINK("http://141.218.60.56/~jnz1568/getInfo.php?workbook=20_05.xlsx&amp;sheet=U0&amp;row=3248&amp;col=6&amp;number=3.4&amp;sourceID=14","3.4")</f>
        <v>3.4</v>
      </c>
      <c r="G3248" s="4" t="str">
        <f>HYPERLINK("http://141.218.60.56/~jnz1568/getInfo.php?workbook=20_05.xlsx&amp;sheet=U0&amp;row=3248&amp;col=7&amp;number=4.6e-05&amp;sourceID=14","4.6e-05")</f>
        <v>4.6e-05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HYPERLINK("http://141.218.60.56/~jnz1568/getInfo.php?workbook=20_05.xlsx&amp;sheet=U0&amp;row=3249&amp;col=6&amp;number=3.5&amp;sourceID=14","3.5")</f>
        <v>3.5</v>
      </c>
      <c r="G3249" s="4" t="str">
        <f>HYPERLINK("http://141.218.60.56/~jnz1568/getInfo.php?workbook=20_05.xlsx&amp;sheet=U0&amp;row=3249&amp;col=7&amp;number=4.6e-05&amp;sourceID=14","4.6e-05")</f>
        <v>4.6e-05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HYPERLINK("http://141.218.60.56/~jnz1568/getInfo.php?workbook=20_05.xlsx&amp;sheet=U0&amp;row=3250&amp;col=6&amp;number=3.6&amp;sourceID=14","3.6")</f>
        <v>3.6</v>
      </c>
      <c r="G3250" s="4" t="str">
        <f>HYPERLINK("http://141.218.60.56/~jnz1568/getInfo.php?workbook=20_05.xlsx&amp;sheet=U0&amp;row=3250&amp;col=7&amp;number=4.59e-05&amp;sourceID=14","4.59e-05")</f>
        <v>4.59e-05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HYPERLINK("http://141.218.60.56/~jnz1568/getInfo.php?workbook=20_05.xlsx&amp;sheet=U0&amp;row=3251&amp;col=6&amp;number=3.7&amp;sourceID=14","3.7")</f>
        <v>3.7</v>
      </c>
      <c r="G3251" s="4" t="str">
        <f>HYPERLINK("http://141.218.60.56/~jnz1568/getInfo.php?workbook=20_05.xlsx&amp;sheet=U0&amp;row=3251&amp;col=7&amp;number=4.59e-05&amp;sourceID=14","4.59e-05")</f>
        <v>4.59e-05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HYPERLINK("http://141.218.60.56/~jnz1568/getInfo.php?workbook=20_05.xlsx&amp;sheet=U0&amp;row=3252&amp;col=6&amp;number=3.8&amp;sourceID=14","3.8")</f>
        <v>3.8</v>
      </c>
      <c r="G3252" s="4" t="str">
        <f>HYPERLINK("http://141.218.60.56/~jnz1568/getInfo.php?workbook=20_05.xlsx&amp;sheet=U0&amp;row=3252&amp;col=7&amp;number=4.59e-05&amp;sourceID=14","4.59e-05")</f>
        <v>4.59e-05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HYPERLINK("http://141.218.60.56/~jnz1568/getInfo.php?workbook=20_05.xlsx&amp;sheet=U0&amp;row=3253&amp;col=6&amp;number=3.9&amp;sourceID=14","3.9")</f>
        <v>3.9</v>
      </c>
      <c r="G3253" s="4" t="str">
        <f>HYPERLINK("http://141.218.60.56/~jnz1568/getInfo.php?workbook=20_05.xlsx&amp;sheet=U0&amp;row=3253&amp;col=7&amp;number=4.59e-05&amp;sourceID=14","4.59e-05")</f>
        <v>4.59e-05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HYPERLINK("http://141.218.60.56/~jnz1568/getInfo.php?workbook=20_05.xlsx&amp;sheet=U0&amp;row=3254&amp;col=6&amp;number=4&amp;sourceID=14","4")</f>
        <v>4</v>
      </c>
      <c r="G3254" s="4" t="str">
        <f>HYPERLINK("http://141.218.60.56/~jnz1568/getInfo.php?workbook=20_05.xlsx&amp;sheet=U0&amp;row=3254&amp;col=7&amp;number=4.59e-05&amp;sourceID=14","4.59e-05")</f>
        <v>4.59e-05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HYPERLINK("http://141.218.60.56/~jnz1568/getInfo.php?workbook=20_05.xlsx&amp;sheet=U0&amp;row=3255&amp;col=6&amp;number=4.1&amp;sourceID=14","4.1")</f>
        <v>4.1</v>
      </c>
      <c r="G3255" s="4" t="str">
        <f>HYPERLINK("http://141.218.60.56/~jnz1568/getInfo.php?workbook=20_05.xlsx&amp;sheet=U0&amp;row=3255&amp;col=7&amp;number=4.59e-05&amp;sourceID=14","4.59e-05")</f>
        <v>4.59e-05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HYPERLINK("http://141.218.60.56/~jnz1568/getInfo.php?workbook=20_05.xlsx&amp;sheet=U0&amp;row=3256&amp;col=6&amp;number=4.2&amp;sourceID=14","4.2")</f>
        <v>4.2</v>
      </c>
      <c r="G3256" s="4" t="str">
        <f>HYPERLINK("http://141.218.60.56/~jnz1568/getInfo.php?workbook=20_05.xlsx&amp;sheet=U0&amp;row=3256&amp;col=7&amp;number=4.59e-05&amp;sourceID=14","4.59e-05")</f>
        <v>4.59e-05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HYPERLINK("http://141.218.60.56/~jnz1568/getInfo.php?workbook=20_05.xlsx&amp;sheet=U0&amp;row=3257&amp;col=6&amp;number=4.3&amp;sourceID=14","4.3")</f>
        <v>4.3</v>
      </c>
      <c r="G3257" s="4" t="str">
        <f>HYPERLINK("http://141.218.60.56/~jnz1568/getInfo.php?workbook=20_05.xlsx&amp;sheet=U0&amp;row=3257&amp;col=7&amp;number=4.59e-05&amp;sourceID=14","4.59e-05")</f>
        <v>4.59e-05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HYPERLINK("http://141.218.60.56/~jnz1568/getInfo.php?workbook=20_05.xlsx&amp;sheet=U0&amp;row=3258&amp;col=6&amp;number=4.4&amp;sourceID=14","4.4")</f>
        <v>4.4</v>
      </c>
      <c r="G3258" s="4" t="str">
        <f>HYPERLINK("http://141.218.60.56/~jnz1568/getInfo.php?workbook=20_05.xlsx&amp;sheet=U0&amp;row=3258&amp;col=7&amp;number=4.59e-05&amp;sourceID=14","4.59e-05")</f>
        <v>4.59e-05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HYPERLINK("http://141.218.60.56/~jnz1568/getInfo.php?workbook=20_05.xlsx&amp;sheet=U0&amp;row=3259&amp;col=6&amp;number=4.5&amp;sourceID=14","4.5")</f>
        <v>4.5</v>
      </c>
      <c r="G3259" s="4" t="str">
        <f>HYPERLINK("http://141.218.60.56/~jnz1568/getInfo.php?workbook=20_05.xlsx&amp;sheet=U0&amp;row=3259&amp;col=7&amp;number=4.59e-05&amp;sourceID=14","4.59e-05")</f>
        <v>4.59e-05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HYPERLINK("http://141.218.60.56/~jnz1568/getInfo.php?workbook=20_05.xlsx&amp;sheet=U0&amp;row=3260&amp;col=6&amp;number=4.6&amp;sourceID=14","4.6")</f>
        <v>4.6</v>
      </c>
      <c r="G3260" s="4" t="str">
        <f>HYPERLINK("http://141.218.60.56/~jnz1568/getInfo.php?workbook=20_05.xlsx&amp;sheet=U0&amp;row=3260&amp;col=7&amp;number=4.58e-05&amp;sourceID=14","4.58e-05")</f>
        <v>4.58e-05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HYPERLINK("http://141.218.60.56/~jnz1568/getInfo.php?workbook=20_05.xlsx&amp;sheet=U0&amp;row=3261&amp;col=6&amp;number=4.7&amp;sourceID=14","4.7")</f>
        <v>4.7</v>
      </c>
      <c r="G3261" s="4" t="str">
        <f>HYPERLINK("http://141.218.60.56/~jnz1568/getInfo.php?workbook=20_05.xlsx&amp;sheet=U0&amp;row=3261&amp;col=7&amp;number=4.58e-05&amp;sourceID=14","4.58e-05")</f>
        <v>4.58e-05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HYPERLINK("http://141.218.60.56/~jnz1568/getInfo.php?workbook=20_05.xlsx&amp;sheet=U0&amp;row=3262&amp;col=6&amp;number=4.8&amp;sourceID=14","4.8")</f>
        <v>4.8</v>
      </c>
      <c r="G3262" s="4" t="str">
        <f>HYPERLINK("http://141.218.60.56/~jnz1568/getInfo.php?workbook=20_05.xlsx&amp;sheet=U0&amp;row=3262&amp;col=7&amp;number=4.58e-05&amp;sourceID=14","4.58e-05")</f>
        <v>4.58e-05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HYPERLINK("http://141.218.60.56/~jnz1568/getInfo.php?workbook=20_05.xlsx&amp;sheet=U0&amp;row=3263&amp;col=6&amp;number=4.9&amp;sourceID=14","4.9")</f>
        <v>4.9</v>
      </c>
      <c r="G3263" s="4" t="str">
        <f>HYPERLINK("http://141.218.60.56/~jnz1568/getInfo.php?workbook=20_05.xlsx&amp;sheet=U0&amp;row=3263&amp;col=7&amp;number=4.57e-05&amp;sourceID=14","4.57e-05")</f>
        <v>4.57e-05</v>
      </c>
    </row>
    <row r="3264" spans="1:7">
      <c r="A3264" s="3">
        <v>20</v>
      </c>
      <c r="B3264" s="3">
        <v>5</v>
      </c>
      <c r="C3264" s="3">
        <v>1</v>
      </c>
      <c r="D3264" s="3">
        <v>119</v>
      </c>
      <c r="E3264" s="3">
        <v>1</v>
      </c>
      <c r="F3264" s="4" t="str">
        <f>HYPERLINK("http://141.218.60.56/~jnz1568/getInfo.php?workbook=20_05.xlsx&amp;sheet=U0&amp;row=3264&amp;col=6&amp;number=3&amp;sourceID=14","3")</f>
        <v>3</v>
      </c>
      <c r="G3264" s="4" t="str">
        <f>HYPERLINK("http://141.218.60.56/~jnz1568/getInfo.php?workbook=20_05.xlsx&amp;sheet=U0&amp;row=3264&amp;col=7&amp;number=0.00456&amp;sourceID=14","0.00456")</f>
        <v>0.00456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HYPERLINK("http://141.218.60.56/~jnz1568/getInfo.php?workbook=20_05.xlsx&amp;sheet=U0&amp;row=3265&amp;col=6&amp;number=3.1&amp;sourceID=14","3.1")</f>
        <v>3.1</v>
      </c>
      <c r="G3265" s="4" t="str">
        <f>HYPERLINK("http://141.218.60.56/~jnz1568/getInfo.php?workbook=20_05.xlsx&amp;sheet=U0&amp;row=3265&amp;col=7&amp;number=0.00456&amp;sourceID=14","0.00456")</f>
        <v>0.00456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HYPERLINK("http://141.218.60.56/~jnz1568/getInfo.php?workbook=20_05.xlsx&amp;sheet=U0&amp;row=3266&amp;col=6&amp;number=3.2&amp;sourceID=14","3.2")</f>
        <v>3.2</v>
      </c>
      <c r="G3266" s="4" t="str">
        <f>HYPERLINK("http://141.218.60.56/~jnz1568/getInfo.php?workbook=20_05.xlsx&amp;sheet=U0&amp;row=3266&amp;col=7&amp;number=0.00456&amp;sourceID=14","0.00456")</f>
        <v>0.00456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HYPERLINK("http://141.218.60.56/~jnz1568/getInfo.php?workbook=20_05.xlsx&amp;sheet=U0&amp;row=3267&amp;col=6&amp;number=3.3&amp;sourceID=14","3.3")</f>
        <v>3.3</v>
      </c>
      <c r="G3267" s="4" t="str">
        <f>HYPERLINK("http://141.218.60.56/~jnz1568/getInfo.php?workbook=20_05.xlsx&amp;sheet=U0&amp;row=3267&amp;col=7&amp;number=0.00456&amp;sourceID=14","0.00456")</f>
        <v>0.00456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HYPERLINK("http://141.218.60.56/~jnz1568/getInfo.php?workbook=20_05.xlsx&amp;sheet=U0&amp;row=3268&amp;col=6&amp;number=3.4&amp;sourceID=14","3.4")</f>
        <v>3.4</v>
      </c>
      <c r="G3268" s="4" t="str">
        <f>HYPERLINK("http://141.218.60.56/~jnz1568/getInfo.php?workbook=20_05.xlsx&amp;sheet=U0&amp;row=3268&amp;col=7&amp;number=0.00456&amp;sourceID=14","0.00456")</f>
        <v>0.00456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HYPERLINK("http://141.218.60.56/~jnz1568/getInfo.php?workbook=20_05.xlsx&amp;sheet=U0&amp;row=3269&amp;col=6&amp;number=3.5&amp;sourceID=14","3.5")</f>
        <v>3.5</v>
      </c>
      <c r="G3269" s="4" t="str">
        <f>HYPERLINK("http://141.218.60.56/~jnz1568/getInfo.php?workbook=20_05.xlsx&amp;sheet=U0&amp;row=3269&amp;col=7&amp;number=0.00456&amp;sourceID=14","0.00456")</f>
        <v>0.00456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HYPERLINK("http://141.218.60.56/~jnz1568/getInfo.php?workbook=20_05.xlsx&amp;sheet=U0&amp;row=3270&amp;col=6&amp;number=3.6&amp;sourceID=14","3.6")</f>
        <v>3.6</v>
      </c>
      <c r="G3270" s="4" t="str">
        <f>HYPERLINK("http://141.218.60.56/~jnz1568/getInfo.php?workbook=20_05.xlsx&amp;sheet=U0&amp;row=3270&amp;col=7&amp;number=0.00456&amp;sourceID=14","0.00456")</f>
        <v>0.00456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HYPERLINK("http://141.218.60.56/~jnz1568/getInfo.php?workbook=20_05.xlsx&amp;sheet=U0&amp;row=3271&amp;col=6&amp;number=3.7&amp;sourceID=14","3.7")</f>
        <v>3.7</v>
      </c>
      <c r="G3271" s="4" t="str">
        <f>HYPERLINK("http://141.218.60.56/~jnz1568/getInfo.php?workbook=20_05.xlsx&amp;sheet=U0&amp;row=3271&amp;col=7&amp;number=0.00456&amp;sourceID=14","0.00456")</f>
        <v>0.00456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HYPERLINK("http://141.218.60.56/~jnz1568/getInfo.php?workbook=20_05.xlsx&amp;sheet=U0&amp;row=3272&amp;col=6&amp;number=3.8&amp;sourceID=14","3.8")</f>
        <v>3.8</v>
      </c>
      <c r="G3272" s="4" t="str">
        <f>HYPERLINK("http://141.218.60.56/~jnz1568/getInfo.php?workbook=20_05.xlsx&amp;sheet=U0&amp;row=3272&amp;col=7&amp;number=0.00455&amp;sourceID=14","0.00455")</f>
        <v>0.00455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HYPERLINK("http://141.218.60.56/~jnz1568/getInfo.php?workbook=20_05.xlsx&amp;sheet=U0&amp;row=3273&amp;col=6&amp;number=3.9&amp;sourceID=14","3.9")</f>
        <v>3.9</v>
      </c>
      <c r="G3273" s="4" t="str">
        <f>HYPERLINK("http://141.218.60.56/~jnz1568/getInfo.php?workbook=20_05.xlsx&amp;sheet=U0&amp;row=3273&amp;col=7&amp;number=0.00455&amp;sourceID=14","0.00455")</f>
        <v>0.00455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HYPERLINK("http://141.218.60.56/~jnz1568/getInfo.php?workbook=20_05.xlsx&amp;sheet=U0&amp;row=3274&amp;col=6&amp;number=4&amp;sourceID=14","4")</f>
        <v>4</v>
      </c>
      <c r="G3274" s="4" t="str">
        <f>HYPERLINK("http://141.218.60.56/~jnz1568/getInfo.php?workbook=20_05.xlsx&amp;sheet=U0&amp;row=3274&amp;col=7&amp;number=0.00455&amp;sourceID=14","0.00455")</f>
        <v>0.00455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HYPERLINK("http://141.218.60.56/~jnz1568/getInfo.php?workbook=20_05.xlsx&amp;sheet=U0&amp;row=3275&amp;col=6&amp;number=4.1&amp;sourceID=14","4.1")</f>
        <v>4.1</v>
      </c>
      <c r="G3275" s="4" t="str">
        <f>HYPERLINK("http://141.218.60.56/~jnz1568/getInfo.php?workbook=20_05.xlsx&amp;sheet=U0&amp;row=3275&amp;col=7&amp;number=0.00454&amp;sourceID=14","0.00454")</f>
        <v>0.00454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HYPERLINK("http://141.218.60.56/~jnz1568/getInfo.php?workbook=20_05.xlsx&amp;sheet=U0&amp;row=3276&amp;col=6&amp;number=4.2&amp;sourceID=14","4.2")</f>
        <v>4.2</v>
      </c>
      <c r="G3276" s="4" t="str">
        <f>HYPERLINK("http://141.218.60.56/~jnz1568/getInfo.php?workbook=20_05.xlsx&amp;sheet=U0&amp;row=3276&amp;col=7&amp;number=0.00454&amp;sourceID=14","0.00454")</f>
        <v>0.00454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HYPERLINK("http://141.218.60.56/~jnz1568/getInfo.php?workbook=20_05.xlsx&amp;sheet=U0&amp;row=3277&amp;col=6&amp;number=4.3&amp;sourceID=14","4.3")</f>
        <v>4.3</v>
      </c>
      <c r="G3277" s="4" t="str">
        <f>HYPERLINK("http://141.218.60.56/~jnz1568/getInfo.php?workbook=20_05.xlsx&amp;sheet=U0&amp;row=3277&amp;col=7&amp;number=0.00453&amp;sourceID=14","0.00453")</f>
        <v>0.00453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HYPERLINK("http://141.218.60.56/~jnz1568/getInfo.php?workbook=20_05.xlsx&amp;sheet=U0&amp;row=3278&amp;col=6&amp;number=4.4&amp;sourceID=14","4.4")</f>
        <v>4.4</v>
      </c>
      <c r="G3278" s="4" t="str">
        <f>HYPERLINK("http://141.218.60.56/~jnz1568/getInfo.php?workbook=20_05.xlsx&amp;sheet=U0&amp;row=3278&amp;col=7&amp;number=0.00453&amp;sourceID=14","0.00453")</f>
        <v>0.00453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HYPERLINK("http://141.218.60.56/~jnz1568/getInfo.php?workbook=20_05.xlsx&amp;sheet=U0&amp;row=3279&amp;col=6&amp;number=4.5&amp;sourceID=14","4.5")</f>
        <v>4.5</v>
      </c>
      <c r="G3279" s="4" t="str">
        <f>HYPERLINK("http://141.218.60.56/~jnz1568/getInfo.php?workbook=20_05.xlsx&amp;sheet=U0&amp;row=3279&amp;col=7&amp;number=0.00452&amp;sourceID=14","0.00452")</f>
        <v>0.00452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HYPERLINK("http://141.218.60.56/~jnz1568/getInfo.php?workbook=20_05.xlsx&amp;sheet=U0&amp;row=3280&amp;col=6&amp;number=4.6&amp;sourceID=14","4.6")</f>
        <v>4.6</v>
      </c>
      <c r="G3280" s="4" t="str">
        <f>HYPERLINK("http://141.218.60.56/~jnz1568/getInfo.php?workbook=20_05.xlsx&amp;sheet=U0&amp;row=3280&amp;col=7&amp;number=0.00451&amp;sourceID=14","0.00451")</f>
        <v>0.00451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HYPERLINK("http://141.218.60.56/~jnz1568/getInfo.php?workbook=20_05.xlsx&amp;sheet=U0&amp;row=3281&amp;col=6&amp;number=4.7&amp;sourceID=14","4.7")</f>
        <v>4.7</v>
      </c>
      <c r="G3281" s="4" t="str">
        <f>HYPERLINK("http://141.218.60.56/~jnz1568/getInfo.php?workbook=20_05.xlsx&amp;sheet=U0&amp;row=3281&amp;col=7&amp;number=0.00449&amp;sourceID=14","0.00449")</f>
        <v>0.00449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HYPERLINK("http://141.218.60.56/~jnz1568/getInfo.php?workbook=20_05.xlsx&amp;sheet=U0&amp;row=3282&amp;col=6&amp;number=4.8&amp;sourceID=14","4.8")</f>
        <v>4.8</v>
      </c>
      <c r="G3282" s="4" t="str">
        <f>HYPERLINK("http://141.218.60.56/~jnz1568/getInfo.php?workbook=20_05.xlsx&amp;sheet=U0&amp;row=3282&amp;col=7&amp;number=0.00448&amp;sourceID=14","0.00448")</f>
        <v>0.00448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HYPERLINK("http://141.218.60.56/~jnz1568/getInfo.php?workbook=20_05.xlsx&amp;sheet=U0&amp;row=3283&amp;col=6&amp;number=4.9&amp;sourceID=14","4.9")</f>
        <v>4.9</v>
      </c>
      <c r="G3283" s="4" t="str">
        <f>HYPERLINK("http://141.218.60.56/~jnz1568/getInfo.php?workbook=20_05.xlsx&amp;sheet=U0&amp;row=3283&amp;col=7&amp;number=0.00445&amp;sourceID=14","0.00445")</f>
        <v>0.00445</v>
      </c>
    </row>
    <row r="3284" spans="1:7">
      <c r="A3284" s="3">
        <v>20</v>
      </c>
      <c r="B3284" s="3">
        <v>5</v>
      </c>
      <c r="C3284" s="3">
        <v>1</v>
      </c>
      <c r="D3284" s="3">
        <v>120</v>
      </c>
      <c r="E3284" s="3">
        <v>1</v>
      </c>
      <c r="F3284" s="4" t="str">
        <f>HYPERLINK("http://141.218.60.56/~jnz1568/getInfo.php?workbook=20_05.xlsx&amp;sheet=U0&amp;row=3284&amp;col=6&amp;number=3&amp;sourceID=14","3")</f>
        <v>3</v>
      </c>
      <c r="G3284" s="4" t="str">
        <f>HYPERLINK("http://141.218.60.56/~jnz1568/getInfo.php?workbook=20_05.xlsx&amp;sheet=U0&amp;row=3284&amp;col=7&amp;number=0.000884&amp;sourceID=14","0.000884")</f>
        <v>0.000884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HYPERLINK("http://141.218.60.56/~jnz1568/getInfo.php?workbook=20_05.xlsx&amp;sheet=U0&amp;row=3285&amp;col=6&amp;number=3.1&amp;sourceID=14","3.1")</f>
        <v>3.1</v>
      </c>
      <c r="G3285" s="4" t="str">
        <f>HYPERLINK("http://141.218.60.56/~jnz1568/getInfo.php?workbook=20_05.xlsx&amp;sheet=U0&amp;row=3285&amp;col=7&amp;number=0.000884&amp;sourceID=14","0.000884")</f>
        <v>0.000884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HYPERLINK("http://141.218.60.56/~jnz1568/getInfo.php?workbook=20_05.xlsx&amp;sheet=U0&amp;row=3286&amp;col=6&amp;number=3.2&amp;sourceID=14","3.2")</f>
        <v>3.2</v>
      </c>
      <c r="G3286" s="4" t="str">
        <f>HYPERLINK("http://141.218.60.56/~jnz1568/getInfo.php?workbook=20_05.xlsx&amp;sheet=U0&amp;row=3286&amp;col=7&amp;number=0.000883&amp;sourceID=14","0.000883")</f>
        <v>0.000883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HYPERLINK("http://141.218.60.56/~jnz1568/getInfo.php?workbook=20_05.xlsx&amp;sheet=U0&amp;row=3287&amp;col=6&amp;number=3.3&amp;sourceID=14","3.3")</f>
        <v>3.3</v>
      </c>
      <c r="G3287" s="4" t="str">
        <f>HYPERLINK("http://141.218.60.56/~jnz1568/getInfo.php?workbook=20_05.xlsx&amp;sheet=U0&amp;row=3287&amp;col=7&amp;number=0.000883&amp;sourceID=14","0.000883")</f>
        <v>0.000883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HYPERLINK("http://141.218.60.56/~jnz1568/getInfo.php?workbook=20_05.xlsx&amp;sheet=U0&amp;row=3288&amp;col=6&amp;number=3.4&amp;sourceID=14","3.4")</f>
        <v>3.4</v>
      </c>
      <c r="G3288" s="4" t="str">
        <f>HYPERLINK("http://141.218.60.56/~jnz1568/getInfo.php?workbook=20_05.xlsx&amp;sheet=U0&amp;row=3288&amp;col=7&amp;number=0.000883&amp;sourceID=14","0.000883")</f>
        <v>0.000883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HYPERLINK("http://141.218.60.56/~jnz1568/getInfo.php?workbook=20_05.xlsx&amp;sheet=U0&amp;row=3289&amp;col=6&amp;number=3.5&amp;sourceID=14","3.5")</f>
        <v>3.5</v>
      </c>
      <c r="G3289" s="4" t="str">
        <f>HYPERLINK("http://141.218.60.56/~jnz1568/getInfo.php?workbook=20_05.xlsx&amp;sheet=U0&amp;row=3289&amp;col=7&amp;number=0.000883&amp;sourceID=14","0.000883")</f>
        <v>0.000883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HYPERLINK("http://141.218.60.56/~jnz1568/getInfo.php?workbook=20_05.xlsx&amp;sheet=U0&amp;row=3290&amp;col=6&amp;number=3.6&amp;sourceID=14","3.6")</f>
        <v>3.6</v>
      </c>
      <c r="G3290" s="4" t="str">
        <f>HYPERLINK("http://141.218.60.56/~jnz1568/getInfo.php?workbook=20_05.xlsx&amp;sheet=U0&amp;row=3290&amp;col=7&amp;number=0.000883&amp;sourceID=14","0.000883")</f>
        <v>0.000883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HYPERLINK("http://141.218.60.56/~jnz1568/getInfo.php?workbook=20_05.xlsx&amp;sheet=U0&amp;row=3291&amp;col=6&amp;number=3.7&amp;sourceID=14","3.7")</f>
        <v>3.7</v>
      </c>
      <c r="G3291" s="4" t="str">
        <f>HYPERLINK("http://141.218.60.56/~jnz1568/getInfo.php?workbook=20_05.xlsx&amp;sheet=U0&amp;row=3291&amp;col=7&amp;number=0.000883&amp;sourceID=14","0.000883")</f>
        <v>0.000883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HYPERLINK("http://141.218.60.56/~jnz1568/getInfo.php?workbook=20_05.xlsx&amp;sheet=U0&amp;row=3292&amp;col=6&amp;number=3.8&amp;sourceID=14","3.8")</f>
        <v>3.8</v>
      </c>
      <c r="G3292" s="4" t="str">
        <f>HYPERLINK("http://141.218.60.56/~jnz1568/getInfo.php?workbook=20_05.xlsx&amp;sheet=U0&amp;row=3292&amp;col=7&amp;number=0.000882&amp;sourceID=14","0.000882")</f>
        <v>0.000882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HYPERLINK("http://141.218.60.56/~jnz1568/getInfo.php?workbook=20_05.xlsx&amp;sheet=U0&amp;row=3293&amp;col=6&amp;number=3.9&amp;sourceID=14","3.9")</f>
        <v>3.9</v>
      </c>
      <c r="G3293" s="4" t="str">
        <f>HYPERLINK("http://141.218.60.56/~jnz1568/getInfo.php?workbook=20_05.xlsx&amp;sheet=U0&amp;row=3293&amp;col=7&amp;number=0.000882&amp;sourceID=14","0.000882")</f>
        <v>0.000882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HYPERLINK("http://141.218.60.56/~jnz1568/getInfo.php?workbook=20_05.xlsx&amp;sheet=U0&amp;row=3294&amp;col=6&amp;number=4&amp;sourceID=14","4")</f>
        <v>4</v>
      </c>
      <c r="G3294" s="4" t="str">
        <f>HYPERLINK("http://141.218.60.56/~jnz1568/getInfo.php?workbook=20_05.xlsx&amp;sheet=U0&amp;row=3294&amp;col=7&amp;number=0.000881&amp;sourceID=14","0.000881")</f>
        <v>0.000881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HYPERLINK("http://141.218.60.56/~jnz1568/getInfo.php?workbook=20_05.xlsx&amp;sheet=U0&amp;row=3295&amp;col=6&amp;number=4.1&amp;sourceID=14","4.1")</f>
        <v>4.1</v>
      </c>
      <c r="G3295" s="4" t="str">
        <f>HYPERLINK("http://141.218.60.56/~jnz1568/getInfo.php?workbook=20_05.xlsx&amp;sheet=U0&amp;row=3295&amp;col=7&amp;number=0.000881&amp;sourceID=14","0.000881")</f>
        <v>0.000881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HYPERLINK("http://141.218.60.56/~jnz1568/getInfo.php?workbook=20_05.xlsx&amp;sheet=U0&amp;row=3296&amp;col=6&amp;number=4.2&amp;sourceID=14","4.2")</f>
        <v>4.2</v>
      </c>
      <c r="G3296" s="4" t="str">
        <f>HYPERLINK("http://141.218.60.56/~jnz1568/getInfo.php?workbook=20_05.xlsx&amp;sheet=U0&amp;row=3296&amp;col=7&amp;number=0.00088&amp;sourceID=14","0.00088")</f>
        <v>0.00088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HYPERLINK("http://141.218.60.56/~jnz1568/getInfo.php?workbook=20_05.xlsx&amp;sheet=U0&amp;row=3297&amp;col=6&amp;number=4.3&amp;sourceID=14","4.3")</f>
        <v>4.3</v>
      </c>
      <c r="G3297" s="4" t="str">
        <f>HYPERLINK("http://141.218.60.56/~jnz1568/getInfo.php?workbook=20_05.xlsx&amp;sheet=U0&amp;row=3297&amp;col=7&amp;number=0.000879&amp;sourceID=14","0.000879")</f>
        <v>0.000879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HYPERLINK("http://141.218.60.56/~jnz1568/getInfo.php?workbook=20_05.xlsx&amp;sheet=U0&amp;row=3298&amp;col=6&amp;number=4.4&amp;sourceID=14","4.4")</f>
        <v>4.4</v>
      </c>
      <c r="G3298" s="4" t="str">
        <f>HYPERLINK("http://141.218.60.56/~jnz1568/getInfo.php?workbook=20_05.xlsx&amp;sheet=U0&amp;row=3298&amp;col=7&amp;number=0.000877&amp;sourceID=14","0.000877")</f>
        <v>0.000877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HYPERLINK("http://141.218.60.56/~jnz1568/getInfo.php?workbook=20_05.xlsx&amp;sheet=U0&amp;row=3299&amp;col=6&amp;number=4.5&amp;sourceID=14","4.5")</f>
        <v>4.5</v>
      </c>
      <c r="G3299" s="4" t="str">
        <f>HYPERLINK("http://141.218.60.56/~jnz1568/getInfo.php?workbook=20_05.xlsx&amp;sheet=U0&amp;row=3299&amp;col=7&amp;number=0.000876&amp;sourceID=14","0.000876")</f>
        <v>0.000876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HYPERLINK("http://141.218.60.56/~jnz1568/getInfo.php?workbook=20_05.xlsx&amp;sheet=U0&amp;row=3300&amp;col=6&amp;number=4.6&amp;sourceID=14","4.6")</f>
        <v>4.6</v>
      </c>
      <c r="G3300" s="4" t="str">
        <f>HYPERLINK("http://141.218.60.56/~jnz1568/getInfo.php?workbook=20_05.xlsx&amp;sheet=U0&amp;row=3300&amp;col=7&amp;number=0.000874&amp;sourceID=14","0.000874")</f>
        <v>0.000874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HYPERLINK("http://141.218.60.56/~jnz1568/getInfo.php?workbook=20_05.xlsx&amp;sheet=U0&amp;row=3301&amp;col=6&amp;number=4.7&amp;sourceID=14","4.7")</f>
        <v>4.7</v>
      </c>
      <c r="G3301" s="4" t="str">
        <f>HYPERLINK("http://141.218.60.56/~jnz1568/getInfo.php?workbook=20_05.xlsx&amp;sheet=U0&amp;row=3301&amp;col=7&amp;number=0.000871&amp;sourceID=14","0.000871")</f>
        <v>0.000871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HYPERLINK("http://141.218.60.56/~jnz1568/getInfo.php?workbook=20_05.xlsx&amp;sheet=U0&amp;row=3302&amp;col=6&amp;number=4.8&amp;sourceID=14","4.8")</f>
        <v>4.8</v>
      </c>
      <c r="G3302" s="4" t="str">
        <f>HYPERLINK("http://141.218.60.56/~jnz1568/getInfo.php?workbook=20_05.xlsx&amp;sheet=U0&amp;row=3302&amp;col=7&amp;number=0.000868&amp;sourceID=14","0.000868")</f>
        <v>0.000868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HYPERLINK("http://141.218.60.56/~jnz1568/getInfo.php?workbook=20_05.xlsx&amp;sheet=U0&amp;row=3303&amp;col=6&amp;number=4.9&amp;sourceID=14","4.9")</f>
        <v>4.9</v>
      </c>
      <c r="G3303" s="4" t="str">
        <f>HYPERLINK("http://141.218.60.56/~jnz1568/getInfo.php?workbook=20_05.xlsx&amp;sheet=U0&amp;row=3303&amp;col=7&amp;number=0.000864&amp;sourceID=14","0.000864")</f>
        <v>0.000864</v>
      </c>
    </row>
    <row r="3304" spans="1:7">
      <c r="A3304" s="3">
        <v>20</v>
      </c>
      <c r="B3304" s="3">
        <v>5</v>
      </c>
      <c r="C3304" s="3">
        <v>1</v>
      </c>
      <c r="D3304" s="3">
        <v>121</v>
      </c>
      <c r="E3304" s="3">
        <v>1</v>
      </c>
      <c r="F3304" s="4" t="str">
        <f>HYPERLINK("http://141.218.60.56/~jnz1568/getInfo.php?workbook=20_05.xlsx&amp;sheet=U0&amp;row=3304&amp;col=6&amp;number=3&amp;sourceID=14","3")</f>
        <v>3</v>
      </c>
      <c r="G3304" s="4" t="str">
        <f>HYPERLINK("http://141.218.60.56/~jnz1568/getInfo.php?workbook=20_05.xlsx&amp;sheet=U0&amp;row=3304&amp;col=7&amp;number=0.000412&amp;sourceID=14","0.000412")</f>
        <v>0.000412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HYPERLINK("http://141.218.60.56/~jnz1568/getInfo.php?workbook=20_05.xlsx&amp;sheet=U0&amp;row=3305&amp;col=6&amp;number=3.1&amp;sourceID=14","3.1")</f>
        <v>3.1</v>
      </c>
      <c r="G3305" s="4" t="str">
        <f>HYPERLINK("http://141.218.60.56/~jnz1568/getInfo.php?workbook=20_05.xlsx&amp;sheet=U0&amp;row=3305&amp;col=7&amp;number=0.000412&amp;sourceID=14","0.000412")</f>
        <v>0.000412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HYPERLINK("http://141.218.60.56/~jnz1568/getInfo.php?workbook=20_05.xlsx&amp;sheet=U0&amp;row=3306&amp;col=6&amp;number=3.2&amp;sourceID=14","3.2")</f>
        <v>3.2</v>
      </c>
      <c r="G3306" s="4" t="str">
        <f>HYPERLINK("http://141.218.60.56/~jnz1568/getInfo.php?workbook=20_05.xlsx&amp;sheet=U0&amp;row=3306&amp;col=7&amp;number=0.000412&amp;sourceID=14","0.000412")</f>
        <v>0.000412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HYPERLINK("http://141.218.60.56/~jnz1568/getInfo.php?workbook=20_05.xlsx&amp;sheet=U0&amp;row=3307&amp;col=6&amp;number=3.3&amp;sourceID=14","3.3")</f>
        <v>3.3</v>
      </c>
      <c r="G3307" s="4" t="str">
        <f>HYPERLINK("http://141.218.60.56/~jnz1568/getInfo.php?workbook=20_05.xlsx&amp;sheet=U0&amp;row=3307&amp;col=7&amp;number=0.000412&amp;sourceID=14","0.000412")</f>
        <v>0.000412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HYPERLINK("http://141.218.60.56/~jnz1568/getInfo.php?workbook=20_05.xlsx&amp;sheet=U0&amp;row=3308&amp;col=6&amp;number=3.4&amp;sourceID=14","3.4")</f>
        <v>3.4</v>
      </c>
      <c r="G3308" s="4" t="str">
        <f>HYPERLINK("http://141.218.60.56/~jnz1568/getInfo.php?workbook=20_05.xlsx&amp;sheet=U0&amp;row=3308&amp;col=7&amp;number=0.000412&amp;sourceID=14","0.000412")</f>
        <v>0.000412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HYPERLINK("http://141.218.60.56/~jnz1568/getInfo.php?workbook=20_05.xlsx&amp;sheet=U0&amp;row=3309&amp;col=6&amp;number=3.5&amp;sourceID=14","3.5")</f>
        <v>3.5</v>
      </c>
      <c r="G3309" s="4" t="str">
        <f>HYPERLINK("http://141.218.60.56/~jnz1568/getInfo.php?workbook=20_05.xlsx&amp;sheet=U0&amp;row=3309&amp;col=7&amp;number=0.000412&amp;sourceID=14","0.000412")</f>
        <v>0.000412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HYPERLINK("http://141.218.60.56/~jnz1568/getInfo.php?workbook=20_05.xlsx&amp;sheet=U0&amp;row=3310&amp;col=6&amp;number=3.6&amp;sourceID=14","3.6")</f>
        <v>3.6</v>
      </c>
      <c r="G3310" s="4" t="str">
        <f>HYPERLINK("http://141.218.60.56/~jnz1568/getInfo.php?workbook=20_05.xlsx&amp;sheet=U0&amp;row=3310&amp;col=7&amp;number=0.000412&amp;sourceID=14","0.000412")</f>
        <v>0.000412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HYPERLINK("http://141.218.60.56/~jnz1568/getInfo.php?workbook=20_05.xlsx&amp;sheet=U0&amp;row=3311&amp;col=6&amp;number=3.7&amp;sourceID=14","3.7")</f>
        <v>3.7</v>
      </c>
      <c r="G3311" s="4" t="str">
        <f>HYPERLINK("http://141.218.60.56/~jnz1568/getInfo.php?workbook=20_05.xlsx&amp;sheet=U0&amp;row=3311&amp;col=7&amp;number=0.000412&amp;sourceID=14","0.000412")</f>
        <v>0.000412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HYPERLINK("http://141.218.60.56/~jnz1568/getInfo.php?workbook=20_05.xlsx&amp;sheet=U0&amp;row=3312&amp;col=6&amp;number=3.8&amp;sourceID=14","3.8")</f>
        <v>3.8</v>
      </c>
      <c r="G3312" s="4" t="str">
        <f>HYPERLINK("http://141.218.60.56/~jnz1568/getInfo.php?workbook=20_05.xlsx&amp;sheet=U0&amp;row=3312&amp;col=7&amp;number=0.000412&amp;sourceID=14","0.000412")</f>
        <v>0.000412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HYPERLINK("http://141.218.60.56/~jnz1568/getInfo.php?workbook=20_05.xlsx&amp;sheet=U0&amp;row=3313&amp;col=6&amp;number=3.9&amp;sourceID=14","3.9")</f>
        <v>3.9</v>
      </c>
      <c r="G3313" s="4" t="str">
        <f>HYPERLINK("http://141.218.60.56/~jnz1568/getInfo.php?workbook=20_05.xlsx&amp;sheet=U0&amp;row=3313&amp;col=7&amp;number=0.000412&amp;sourceID=14","0.000412")</f>
        <v>0.000412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HYPERLINK("http://141.218.60.56/~jnz1568/getInfo.php?workbook=20_05.xlsx&amp;sheet=U0&amp;row=3314&amp;col=6&amp;number=4&amp;sourceID=14","4")</f>
        <v>4</v>
      </c>
      <c r="G3314" s="4" t="str">
        <f>HYPERLINK("http://141.218.60.56/~jnz1568/getInfo.php?workbook=20_05.xlsx&amp;sheet=U0&amp;row=3314&amp;col=7&amp;number=0.000411&amp;sourceID=14","0.000411")</f>
        <v>0.000411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HYPERLINK("http://141.218.60.56/~jnz1568/getInfo.php?workbook=20_05.xlsx&amp;sheet=U0&amp;row=3315&amp;col=6&amp;number=4.1&amp;sourceID=14","4.1")</f>
        <v>4.1</v>
      </c>
      <c r="G3315" s="4" t="str">
        <f>HYPERLINK("http://141.218.60.56/~jnz1568/getInfo.php?workbook=20_05.xlsx&amp;sheet=U0&amp;row=3315&amp;col=7&amp;number=0.000411&amp;sourceID=14","0.000411")</f>
        <v>0.000411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HYPERLINK("http://141.218.60.56/~jnz1568/getInfo.php?workbook=20_05.xlsx&amp;sheet=U0&amp;row=3316&amp;col=6&amp;number=4.2&amp;sourceID=14","4.2")</f>
        <v>4.2</v>
      </c>
      <c r="G3316" s="4" t="str">
        <f>HYPERLINK("http://141.218.60.56/~jnz1568/getInfo.php?workbook=20_05.xlsx&amp;sheet=U0&amp;row=3316&amp;col=7&amp;number=0.000411&amp;sourceID=14","0.000411")</f>
        <v>0.000411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HYPERLINK("http://141.218.60.56/~jnz1568/getInfo.php?workbook=20_05.xlsx&amp;sheet=U0&amp;row=3317&amp;col=6&amp;number=4.3&amp;sourceID=14","4.3")</f>
        <v>4.3</v>
      </c>
      <c r="G3317" s="4" t="str">
        <f>HYPERLINK("http://141.218.60.56/~jnz1568/getInfo.php?workbook=20_05.xlsx&amp;sheet=U0&amp;row=3317&amp;col=7&amp;number=0.00041&amp;sourceID=14","0.00041")</f>
        <v>0.00041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HYPERLINK("http://141.218.60.56/~jnz1568/getInfo.php?workbook=20_05.xlsx&amp;sheet=U0&amp;row=3318&amp;col=6&amp;number=4.4&amp;sourceID=14","4.4")</f>
        <v>4.4</v>
      </c>
      <c r="G3318" s="4" t="str">
        <f>HYPERLINK("http://141.218.60.56/~jnz1568/getInfo.php?workbook=20_05.xlsx&amp;sheet=U0&amp;row=3318&amp;col=7&amp;number=0.00041&amp;sourceID=14","0.00041")</f>
        <v>0.00041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HYPERLINK("http://141.218.60.56/~jnz1568/getInfo.php?workbook=20_05.xlsx&amp;sheet=U0&amp;row=3319&amp;col=6&amp;number=4.5&amp;sourceID=14","4.5")</f>
        <v>4.5</v>
      </c>
      <c r="G3319" s="4" t="str">
        <f>HYPERLINK("http://141.218.60.56/~jnz1568/getInfo.php?workbook=20_05.xlsx&amp;sheet=U0&amp;row=3319&amp;col=7&amp;number=0.000409&amp;sourceID=14","0.000409")</f>
        <v>0.000409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HYPERLINK("http://141.218.60.56/~jnz1568/getInfo.php?workbook=20_05.xlsx&amp;sheet=U0&amp;row=3320&amp;col=6&amp;number=4.6&amp;sourceID=14","4.6")</f>
        <v>4.6</v>
      </c>
      <c r="G3320" s="4" t="str">
        <f>HYPERLINK("http://141.218.60.56/~jnz1568/getInfo.php?workbook=20_05.xlsx&amp;sheet=U0&amp;row=3320&amp;col=7&amp;number=0.000408&amp;sourceID=14","0.000408")</f>
        <v>0.000408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HYPERLINK("http://141.218.60.56/~jnz1568/getInfo.php?workbook=20_05.xlsx&amp;sheet=U0&amp;row=3321&amp;col=6&amp;number=4.7&amp;sourceID=14","4.7")</f>
        <v>4.7</v>
      </c>
      <c r="G3321" s="4" t="str">
        <f>HYPERLINK("http://141.218.60.56/~jnz1568/getInfo.php?workbook=20_05.xlsx&amp;sheet=U0&amp;row=3321&amp;col=7&amp;number=0.000407&amp;sourceID=14","0.000407")</f>
        <v>0.000407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HYPERLINK("http://141.218.60.56/~jnz1568/getInfo.php?workbook=20_05.xlsx&amp;sheet=U0&amp;row=3322&amp;col=6&amp;number=4.8&amp;sourceID=14","4.8")</f>
        <v>4.8</v>
      </c>
      <c r="G3322" s="4" t="str">
        <f>HYPERLINK("http://141.218.60.56/~jnz1568/getInfo.php?workbook=20_05.xlsx&amp;sheet=U0&amp;row=3322&amp;col=7&amp;number=0.000405&amp;sourceID=14","0.000405")</f>
        <v>0.000405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HYPERLINK("http://141.218.60.56/~jnz1568/getInfo.php?workbook=20_05.xlsx&amp;sheet=U0&amp;row=3323&amp;col=6&amp;number=4.9&amp;sourceID=14","4.9")</f>
        <v>4.9</v>
      </c>
      <c r="G3323" s="4" t="str">
        <f>HYPERLINK("http://141.218.60.56/~jnz1568/getInfo.php?workbook=20_05.xlsx&amp;sheet=U0&amp;row=3323&amp;col=7&amp;number=0.000403&amp;sourceID=14","0.000403")</f>
        <v>0.000403</v>
      </c>
    </row>
    <row r="3324" spans="1:7">
      <c r="A3324" s="3">
        <v>20</v>
      </c>
      <c r="B3324" s="3">
        <v>5</v>
      </c>
      <c r="C3324" s="3">
        <v>1</v>
      </c>
      <c r="D3324" s="3">
        <v>122</v>
      </c>
      <c r="E3324" s="3">
        <v>1</v>
      </c>
      <c r="F3324" s="4" t="str">
        <f>HYPERLINK("http://141.218.60.56/~jnz1568/getInfo.php?workbook=20_05.xlsx&amp;sheet=U0&amp;row=3324&amp;col=6&amp;number=3&amp;sourceID=14","3")</f>
        <v>3</v>
      </c>
      <c r="G3324" s="4" t="str">
        <f>HYPERLINK("http://141.218.60.56/~jnz1568/getInfo.php?workbook=20_05.xlsx&amp;sheet=U0&amp;row=3324&amp;col=7&amp;number=0.0024&amp;sourceID=14","0.0024")</f>
        <v>0.0024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HYPERLINK("http://141.218.60.56/~jnz1568/getInfo.php?workbook=20_05.xlsx&amp;sheet=U0&amp;row=3325&amp;col=6&amp;number=3.1&amp;sourceID=14","3.1")</f>
        <v>3.1</v>
      </c>
      <c r="G3325" s="4" t="str">
        <f>HYPERLINK("http://141.218.60.56/~jnz1568/getInfo.php?workbook=20_05.xlsx&amp;sheet=U0&amp;row=3325&amp;col=7&amp;number=0.0024&amp;sourceID=14","0.0024")</f>
        <v>0.0024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HYPERLINK("http://141.218.60.56/~jnz1568/getInfo.php?workbook=20_05.xlsx&amp;sheet=U0&amp;row=3326&amp;col=6&amp;number=3.2&amp;sourceID=14","3.2")</f>
        <v>3.2</v>
      </c>
      <c r="G3326" s="4" t="str">
        <f>HYPERLINK("http://141.218.60.56/~jnz1568/getInfo.php?workbook=20_05.xlsx&amp;sheet=U0&amp;row=3326&amp;col=7&amp;number=0.0024&amp;sourceID=14","0.0024")</f>
        <v>0.0024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HYPERLINK("http://141.218.60.56/~jnz1568/getInfo.php?workbook=20_05.xlsx&amp;sheet=U0&amp;row=3327&amp;col=6&amp;number=3.3&amp;sourceID=14","3.3")</f>
        <v>3.3</v>
      </c>
      <c r="G3327" s="4" t="str">
        <f>HYPERLINK("http://141.218.60.56/~jnz1568/getInfo.php?workbook=20_05.xlsx&amp;sheet=U0&amp;row=3327&amp;col=7&amp;number=0.0024&amp;sourceID=14","0.0024")</f>
        <v>0.0024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HYPERLINK("http://141.218.60.56/~jnz1568/getInfo.php?workbook=20_05.xlsx&amp;sheet=U0&amp;row=3328&amp;col=6&amp;number=3.4&amp;sourceID=14","3.4")</f>
        <v>3.4</v>
      </c>
      <c r="G3328" s="4" t="str">
        <f>HYPERLINK("http://141.218.60.56/~jnz1568/getInfo.php?workbook=20_05.xlsx&amp;sheet=U0&amp;row=3328&amp;col=7&amp;number=0.0024&amp;sourceID=14","0.0024")</f>
        <v>0.0024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HYPERLINK("http://141.218.60.56/~jnz1568/getInfo.php?workbook=20_05.xlsx&amp;sheet=U0&amp;row=3329&amp;col=6&amp;number=3.5&amp;sourceID=14","3.5")</f>
        <v>3.5</v>
      </c>
      <c r="G3329" s="4" t="str">
        <f>HYPERLINK("http://141.218.60.56/~jnz1568/getInfo.php?workbook=20_05.xlsx&amp;sheet=U0&amp;row=3329&amp;col=7&amp;number=0.0024&amp;sourceID=14","0.0024")</f>
        <v>0.0024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HYPERLINK("http://141.218.60.56/~jnz1568/getInfo.php?workbook=20_05.xlsx&amp;sheet=U0&amp;row=3330&amp;col=6&amp;number=3.6&amp;sourceID=14","3.6")</f>
        <v>3.6</v>
      </c>
      <c r="G3330" s="4" t="str">
        <f>HYPERLINK("http://141.218.60.56/~jnz1568/getInfo.php?workbook=20_05.xlsx&amp;sheet=U0&amp;row=3330&amp;col=7&amp;number=0.0024&amp;sourceID=14","0.0024")</f>
        <v>0.0024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HYPERLINK("http://141.218.60.56/~jnz1568/getInfo.php?workbook=20_05.xlsx&amp;sheet=U0&amp;row=3331&amp;col=6&amp;number=3.7&amp;sourceID=14","3.7")</f>
        <v>3.7</v>
      </c>
      <c r="G3331" s="4" t="str">
        <f>HYPERLINK("http://141.218.60.56/~jnz1568/getInfo.php?workbook=20_05.xlsx&amp;sheet=U0&amp;row=3331&amp;col=7&amp;number=0.0024&amp;sourceID=14","0.0024")</f>
        <v>0.0024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HYPERLINK("http://141.218.60.56/~jnz1568/getInfo.php?workbook=20_05.xlsx&amp;sheet=U0&amp;row=3332&amp;col=6&amp;number=3.8&amp;sourceID=14","3.8")</f>
        <v>3.8</v>
      </c>
      <c r="G3332" s="4" t="str">
        <f>HYPERLINK("http://141.218.60.56/~jnz1568/getInfo.php?workbook=20_05.xlsx&amp;sheet=U0&amp;row=3332&amp;col=7&amp;number=0.0024&amp;sourceID=14","0.0024")</f>
        <v>0.0024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HYPERLINK("http://141.218.60.56/~jnz1568/getInfo.php?workbook=20_05.xlsx&amp;sheet=U0&amp;row=3333&amp;col=6&amp;number=3.9&amp;sourceID=14","3.9")</f>
        <v>3.9</v>
      </c>
      <c r="G3333" s="4" t="str">
        <f>HYPERLINK("http://141.218.60.56/~jnz1568/getInfo.php?workbook=20_05.xlsx&amp;sheet=U0&amp;row=3333&amp;col=7&amp;number=0.0024&amp;sourceID=14","0.0024")</f>
        <v>0.0024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HYPERLINK("http://141.218.60.56/~jnz1568/getInfo.php?workbook=20_05.xlsx&amp;sheet=U0&amp;row=3334&amp;col=6&amp;number=4&amp;sourceID=14","4")</f>
        <v>4</v>
      </c>
      <c r="G3334" s="4" t="str">
        <f>HYPERLINK("http://141.218.60.56/~jnz1568/getInfo.php?workbook=20_05.xlsx&amp;sheet=U0&amp;row=3334&amp;col=7&amp;number=0.0024&amp;sourceID=14","0.0024")</f>
        <v>0.0024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HYPERLINK("http://141.218.60.56/~jnz1568/getInfo.php?workbook=20_05.xlsx&amp;sheet=U0&amp;row=3335&amp;col=6&amp;number=4.1&amp;sourceID=14","4.1")</f>
        <v>4.1</v>
      </c>
      <c r="G3335" s="4" t="str">
        <f>HYPERLINK("http://141.218.60.56/~jnz1568/getInfo.php?workbook=20_05.xlsx&amp;sheet=U0&amp;row=3335&amp;col=7&amp;number=0.00239&amp;sourceID=14","0.00239")</f>
        <v>0.00239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HYPERLINK("http://141.218.60.56/~jnz1568/getInfo.php?workbook=20_05.xlsx&amp;sheet=U0&amp;row=3336&amp;col=6&amp;number=4.2&amp;sourceID=14","4.2")</f>
        <v>4.2</v>
      </c>
      <c r="G3336" s="4" t="str">
        <f>HYPERLINK("http://141.218.60.56/~jnz1568/getInfo.php?workbook=20_05.xlsx&amp;sheet=U0&amp;row=3336&amp;col=7&amp;number=0.00239&amp;sourceID=14","0.00239")</f>
        <v>0.00239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HYPERLINK("http://141.218.60.56/~jnz1568/getInfo.php?workbook=20_05.xlsx&amp;sheet=U0&amp;row=3337&amp;col=6&amp;number=4.3&amp;sourceID=14","4.3")</f>
        <v>4.3</v>
      </c>
      <c r="G3337" s="4" t="str">
        <f>HYPERLINK("http://141.218.60.56/~jnz1568/getInfo.php?workbook=20_05.xlsx&amp;sheet=U0&amp;row=3337&amp;col=7&amp;number=0.00239&amp;sourceID=14","0.00239")</f>
        <v>0.00239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HYPERLINK("http://141.218.60.56/~jnz1568/getInfo.php?workbook=20_05.xlsx&amp;sheet=U0&amp;row=3338&amp;col=6&amp;number=4.4&amp;sourceID=14","4.4")</f>
        <v>4.4</v>
      </c>
      <c r="G3338" s="4" t="str">
        <f>HYPERLINK("http://141.218.60.56/~jnz1568/getInfo.php?workbook=20_05.xlsx&amp;sheet=U0&amp;row=3338&amp;col=7&amp;number=0.00238&amp;sourceID=14","0.00238")</f>
        <v>0.00238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HYPERLINK("http://141.218.60.56/~jnz1568/getInfo.php?workbook=20_05.xlsx&amp;sheet=U0&amp;row=3339&amp;col=6&amp;number=4.5&amp;sourceID=14","4.5")</f>
        <v>4.5</v>
      </c>
      <c r="G3339" s="4" t="str">
        <f>HYPERLINK("http://141.218.60.56/~jnz1568/getInfo.php?workbook=20_05.xlsx&amp;sheet=U0&amp;row=3339&amp;col=7&amp;number=0.00238&amp;sourceID=14","0.00238")</f>
        <v>0.00238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HYPERLINK("http://141.218.60.56/~jnz1568/getInfo.php?workbook=20_05.xlsx&amp;sheet=U0&amp;row=3340&amp;col=6&amp;number=4.6&amp;sourceID=14","4.6")</f>
        <v>4.6</v>
      </c>
      <c r="G3340" s="4" t="str">
        <f>HYPERLINK("http://141.218.60.56/~jnz1568/getInfo.php?workbook=20_05.xlsx&amp;sheet=U0&amp;row=3340&amp;col=7&amp;number=0.00237&amp;sourceID=14","0.00237")</f>
        <v>0.00237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HYPERLINK("http://141.218.60.56/~jnz1568/getInfo.php?workbook=20_05.xlsx&amp;sheet=U0&amp;row=3341&amp;col=6&amp;number=4.7&amp;sourceID=14","4.7")</f>
        <v>4.7</v>
      </c>
      <c r="G3341" s="4" t="str">
        <f>HYPERLINK("http://141.218.60.56/~jnz1568/getInfo.php?workbook=20_05.xlsx&amp;sheet=U0&amp;row=3341&amp;col=7&amp;number=0.00237&amp;sourceID=14","0.00237")</f>
        <v>0.00237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HYPERLINK("http://141.218.60.56/~jnz1568/getInfo.php?workbook=20_05.xlsx&amp;sheet=U0&amp;row=3342&amp;col=6&amp;number=4.8&amp;sourceID=14","4.8")</f>
        <v>4.8</v>
      </c>
      <c r="G3342" s="4" t="str">
        <f>HYPERLINK("http://141.218.60.56/~jnz1568/getInfo.php?workbook=20_05.xlsx&amp;sheet=U0&amp;row=3342&amp;col=7&amp;number=0.00236&amp;sourceID=14","0.00236")</f>
        <v>0.00236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HYPERLINK("http://141.218.60.56/~jnz1568/getInfo.php?workbook=20_05.xlsx&amp;sheet=U0&amp;row=3343&amp;col=6&amp;number=4.9&amp;sourceID=14","4.9")</f>
        <v>4.9</v>
      </c>
      <c r="G3343" s="4" t="str">
        <f>HYPERLINK("http://141.218.60.56/~jnz1568/getInfo.php?workbook=20_05.xlsx&amp;sheet=U0&amp;row=3343&amp;col=7&amp;number=0.00235&amp;sourceID=14","0.00235")</f>
        <v>0.00235</v>
      </c>
    </row>
    <row r="3344" spans="1:7">
      <c r="A3344" s="3">
        <v>20</v>
      </c>
      <c r="B3344" s="3">
        <v>5</v>
      </c>
      <c r="C3344" s="3">
        <v>1</v>
      </c>
      <c r="D3344" s="3">
        <v>123</v>
      </c>
      <c r="E3344" s="3">
        <v>1</v>
      </c>
      <c r="F3344" s="4" t="str">
        <f>HYPERLINK("http://141.218.60.56/~jnz1568/getInfo.php?workbook=20_05.xlsx&amp;sheet=U0&amp;row=3344&amp;col=6&amp;number=3&amp;sourceID=14","3")</f>
        <v>3</v>
      </c>
      <c r="G3344" s="4" t="str">
        <f>HYPERLINK("http://141.218.60.56/~jnz1568/getInfo.php?workbook=20_05.xlsx&amp;sheet=U0&amp;row=3344&amp;col=7&amp;number=0.000118&amp;sourceID=14","0.000118")</f>
        <v>0.000118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HYPERLINK("http://141.218.60.56/~jnz1568/getInfo.php?workbook=20_05.xlsx&amp;sheet=U0&amp;row=3345&amp;col=6&amp;number=3.1&amp;sourceID=14","3.1")</f>
        <v>3.1</v>
      </c>
      <c r="G3345" s="4" t="str">
        <f>HYPERLINK("http://141.218.60.56/~jnz1568/getInfo.php?workbook=20_05.xlsx&amp;sheet=U0&amp;row=3345&amp;col=7&amp;number=0.000118&amp;sourceID=14","0.000118")</f>
        <v>0.000118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HYPERLINK("http://141.218.60.56/~jnz1568/getInfo.php?workbook=20_05.xlsx&amp;sheet=U0&amp;row=3346&amp;col=6&amp;number=3.2&amp;sourceID=14","3.2")</f>
        <v>3.2</v>
      </c>
      <c r="G3346" s="4" t="str">
        <f>HYPERLINK("http://141.218.60.56/~jnz1568/getInfo.php?workbook=20_05.xlsx&amp;sheet=U0&amp;row=3346&amp;col=7&amp;number=0.000118&amp;sourceID=14","0.000118")</f>
        <v>0.000118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HYPERLINK("http://141.218.60.56/~jnz1568/getInfo.php?workbook=20_05.xlsx&amp;sheet=U0&amp;row=3347&amp;col=6&amp;number=3.3&amp;sourceID=14","3.3")</f>
        <v>3.3</v>
      </c>
      <c r="G3347" s="4" t="str">
        <f>HYPERLINK("http://141.218.60.56/~jnz1568/getInfo.php?workbook=20_05.xlsx&amp;sheet=U0&amp;row=3347&amp;col=7&amp;number=0.000118&amp;sourceID=14","0.000118")</f>
        <v>0.000118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HYPERLINK("http://141.218.60.56/~jnz1568/getInfo.php?workbook=20_05.xlsx&amp;sheet=U0&amp;row=3348&amp;col=6&amp;number=3.4&amp;sourceID=14","3.4")</f>
        <v>3.4</v>
      </c>
      <c r="G3348" s="4" t="str">
        <f>HYPERLINK("http://141.218.60.56/~jnz1568/getInfo.php?workbook=20_05.xlsx&amp;sheet=U0&amp;row=3348&amp;col=7&amp;number=0.000118&amp;sourceID=14","0.000118")</f>
        <v>0.000118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HYPERLINK("http://141.218.60.56/~jnz1568/getInfo.php?workbook=20_05.xlsx&amp;sheet=U0&amp;row=3349&amp;col=6&amp;number=3.5&amp;sourceID=14","3.5")</f>
        <v>3.5</v>
      </c>
      <c r="G3349" s="4" t="str">
        <f>HYPERLINK("http://141.218.60.56/~jnz1568/getInfo.php?workbook=20_05.xlsx&amp;sheet=U0&amp;row=3349&amp;col=7&amp;number=0.000118&amp;sourceID=14","0.000118")</f>
        <v>0.000118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HYPERLINK("http://141.218.60.56/~jnz1568/getInfo.php?workbook=20_05.xlsx&amp;sheet=U0&amp;row=3350&amp;col=6&amp;number=3.6&amp;sourceID=14","3.6")</f>
        <v>3.6</v>
      </c>
      <c r="G3350" s="4" t="str">
        <f>HYPERLINK("http://141.218.60.56/~jnz1568/getInfo.php?workbook=20_05.xlsx&amp;sheet=U0&amp;row=3350&amp;col=7&amp;number=0.000118&amp;sourceID=14","0.000118")</f>
        <v>0.000118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HYPERLINK("http://141.218.60.56/~jnz1568/getInfo.php?workbook=20_05.xlsx&amp;sheet=U0&amp;row=3351&amp;col=6&amp;number=3.7&amp;sourceID=14","3.7")</f>
        <v>3.7</v>
      </c>
      <c r="G3351" s="4" t="str">
        <f>HYPERLINK("http://141.218.60.56/~jnz1568/getInfo.php?workbook=20_05.xlsx&amp;sheet=U0&amp;row=3351&amp;col=7&amp;number=0.000118&amp;sourceID=14","0.000118")</f>
        <v>0.000118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HYPERLINK("http://141.218.60.56/~jnz1568/getInfo.php?workbook=20_05.xlsx&amp;sheet=U0&amp;row=3352&amp;col=6&amp;number=3.8&amp;sourceID=14","3.8")</f>
        <v>3.8</v>
      </c>
      <c r="G3352" s="4" t="str">
        <f>HYPERLINK("http://141.218.60.56/~jnz1568/getInfo.php?workbook=20_05.xlsx&amp;sheet=U0&amp;row=3352&amp;col=7&amp;number=0.000118&amp;sourceID=14","0.000118")</f>
        <v>0.000118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HYPERLINK("http://141.218.60.56/~jnz1568/getInfo.php?workbook=20_05.xlsx&amp;sheet=U0&amp;row=3353&amp;col=6&amp;number=3.9&amp;sourceID=14","3.9")</f>
        <v>3.9</v>
      </c>
      <c r="G3353" s="4" t="str">
        <f>HYPERLINK("http://141.218.60.56/~jnz1568/getInfo.php?workbook=20_05.xlsx&amp;sheet=U0&amp;row=3353&amp;col=7&amp;number=0.000118&amp;sourceID=14","0.000118")</f>
        <v>0.000118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HYPERLINK("http://141.218.60.56/~jnz1568/getInfo.php?workbook=20_05.xlsx&amp;sheet=U0&amp;row=3354&amp;col=6&amp;number=4&amp;sourceID=14","4")</f>
        <v>4</v>
      </c>
      <c r="G3354" s="4" t="str">
        <f>HYPERLINK("http://141.218.60.56/~jnz1568/getInfo.php?workbook=20_05.xlsx&amp;sheet=U0&amp;row=3354&amp;col=7&amp;number=0.000118&amp;sourceID=14","0.000118")</f>
        <v>0.000118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HYPERLINK("http://141.218.60.56/~jnz1568/getInfo.php?workbook=20_05.xlsx&amp;sheet=U0&amp;row=3355&amp;col=6&amp;number=4.1&amp;sourceID=14","4.1")</f>
        <v>4.1</v>
      </c>
      <c r="G3355" s="4" t="str">
        <f>HYPERLINK("http://141.218.60.56/~jnz1568/getInfo.php?workbook=20_05.xlsx&amp;sheet=U0&amp;row=3355&amp;col=7&amp;number=0.000118&amp;sourceID=14","0.000118")</f>
        <v>0.000118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HYPERLINK("http://141.218.60.56/~jnz1568/getInfo.php?workbook=20_05.xlsx&amp;sheet=U0&amp;row=3356&amp;col=6&amp;number=4.2&amp;sourceID=14","4.2")</f>
        <v>4.2</v>
      </c>
      <c r="G3356" s="4" t="str">
        <f>HYPERLINK("http://141.218.60.56/~jnz1568/getInfo.php?workbook=20_05.xlsx&amp;sheet=U0&amp;row=3356&amp;col=7&amp;number=0.000118&amp;sourceID=14","0.000118")</f>
        <v>0.000118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HYPERLINK("http://141.218.60.56/~jnz1568/getInfo.php?workbook=20_05.xlsx&amp;sheet=U0&amp;row=3357&amp;col=6&amp;number=4.3&amp;sourceID=14","4.3")</f>
        <v>4.3</v>
      </c>
      <c r="G3357" s="4" t="str">
        <f>HYPERLINK("http://141.218.60.56/~jnz1568/getInfo.php?workbook=20_05.xlsx&amp;sheet=U0&amp;row=3357&amp;col=7&amp;number=0.000118&amp;sourceID=14","0.000118")</f>
        <v>0.000118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HYPERLINK("http://141.218.60.56/~jnz1568/getInfo.php?workbook=20_05.xlsx&amp;sheet=U0&amp;row=3358&amp;col=6&amp;number=4.4&amp;sourceID=14","4.4")</f>
        <v>4.4</v>
      </c>
      <c r="G3358" s="4" t="str">
        <f>HYPERLINK("http://141.218.60.56/~jnz1568/getInfo.php?workbook=20_05.xlsx&amp;sheet=U0&amp;row=3358&amp;col=7&amp;number=0.000118&amp;sourceID=14","0.000118")</f>
        <v>0.000118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HYPERLINK("http://141.218.60.56/~jnz1568/getInfo.php?workbook=20_05.xlsx&amp;sheet=U0&amp;row=3359&amp;col=6&amp;number=4.5&amp;sourceID=14","4.5")</f>
        <v>4.5</v>
      </c>
      <c r="G3359" s="4" t="str">
        <f>HYPERLINK("http://141.218.60.56/~jnz1568/getInfo.php?workbook=20_05.xlsx&amp;sheet=U0&amp;row=3359&amp;col=7&amp;number=0.000117&amp;sourceID=14","0.000117")</f>
        <v>0.000117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HYPERLINK("http://141.218.60.56/~jnz1568/getInfo.php?workbook=20_05.xlsx&amp;sheet=U0&amp;row=3360&amp;col=6&amp;number=4.6&amp;sourceID=14","4.6")</f>
        <v>4.6</v>
      </c>
      <c r="G3360" s="4" t="str">
        <f>HYPERLINK("http://141.218.60.56/~jnz1568/getInfo.php?workbook=20_05.xlsx&amp;sheet=U0&amp;row=3360&amp;col=7&amp;number=0.000117&amp;sourceID=14","0.000117")</f>
        <v>0.000117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HYPERLINK("http://141.218.60.56/~jnz1568/getInfo.php?workbook=20_05.xlsx&amp;sheet=U0&amp;row=3361&amp;col=6&amp;number=4.7&amp;sourceID=14","4.7")</f>
        <v>4.7</v>
      </c>
      <c r="G3361" s="4" t="str">
        <f>HYPERLINK("http://141.218.60.56/~jnz1568/getInfo.php?workbook=20_05.xlsx&amp;sheet=U0&amp;row=3361&amp;col=7&amp;number=0.000117&amp;sourceID=14","0.000117")</f>
        <v>0.000117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HYPERLINK("http://141.218.60.56/~jnz1568/getInfo.php?workbook=20_05.xlsx&amp;sheet=U0&amp;row=3362&amp;col=6&amp;number=4.8&amp;sourceID=14","4.8")</f>
        <v>4.8</v>
      </c>
      <c r="G3362" s="4" t="str">
        <f>HYPERLINK("http://141.218.60.56/~jnz1568/getInfo.php?workbook=20_05.xlsx&amp;sheet=U0&amp;row=3362&amp;col=7&amp;number=0.000117&amp;sourceID=14","0.000117")</f>
        <v>0.000117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HYPERLINK("http://141.218.60.56/~jnz1568/getInfo.php?workbook=20_05.xlsx&amp;sheet=U0&amp;row=3363&amp;col=6&amp;number=4.9&amp;sourceID=14","4.9")</f>
        <v>4.9</v>
      </c>
      <c r="G3363" s="4" t="str">
        <f>HYPERLINK("http://141.218.60.56/~jnz1568/getInfo.php?workbook=20_05.xlsx&amp;sheet=U0&amp;row=3363&amp;col=7&amp;number=0.000116&amp;sourceID=14","0.000116")</f>
        <v>0.000116</v>
      </c>
    </row>
    <row r="3364" spans="1:7">
      <c r="A3364" s="3">
        <v>20</v>
      </c>
      <c r="B3364" s="3">
        <v>5</v>
      </c>
      <c r="C3364" s="3">
        <v>1</v>
      </c>
      <c r="D3364" s="3">
        <v>124</v>
      </c>
      <c r="E3364" s="3">
        <v>1</v>
      </c>
      <c r="F3364" s="4" t="str">
        <f>HYPERLINK("http://141.218.60.56/~jnz1568/getInfo.php?workbook=20_05.xlsx&amp;sheet=U0&amp;row=3364&amp;col=6&amp;number=3&amp;sourceID=14","3")</f>
        <v>3</v>
      </c>
      <c r="G3364" s="4" t="str">
        <f>HYPERLINK("http://141.218.60.56/~jnz1568/getInfo.php?workbook=20_05.xlsx&amp;sheet=U0&amp;row=3364&amp;col=7&amp;number=0.000166&amp;sourceID=14","0.000166")</f>
        <v>0.000166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HYPERLINK("http://141.218.60.56/~jnz1568/getInfo.php?workbook=20_05.xlsx&amp;sheet=U0&amp;row=3365&amp;col=6&amp;number=3.1&amp;sourceID=14","3.1")</f>
        <v>3.1</v>
      </c>
      <c r="G3365" s="4" t="str">
        <f>HYPERLINK("http://141.218.60.56/~jnz1568/getInfo.php?workbook=20_05.xlsx&amp;sheet=U0&amp;row=3365&amp;col=7&amp;number=0.000166&amp;sourceID=14","0.000166")</f>
        <v>0.000166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HYPERLINK("http://141.218.60.56/~jnz1568/getInfo.php?workbook=20_05.xlsx&amp;sheet=U0&amp;row=3366&amp;col=6&amp;number=3.2&amp;sourceID=14","3.2")</f>
        <v>3.2</v>
      </c>
      <c r="G3366" s="4" t="str">
        <f>HYPERLINK("http://141.218.60.56/~jnz1568/getInfo.php?workbook=20_05.xlsx&amp;sheet=U0&amp;row=3366&amp;col=7&amp;number=0.000166&amp;sourceID=14","0.000166")</f>
        <v>0.000166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HYPERLINK("http://141.218.60.56/~jnz1568/getInfo.php?workbook=20_05.xlsx&amp;sheet=U0&amp;row=3367&amp;col=6&amp;number=3.3&amp;sourceID=14","3.3")</f>
        <v>3.3</v>
      </c>
      <c r="G3367" s="4" t="str">
        <f>HYPERLINK("http://141.218.60.56/~jnz1568/getInfo.php?workbook=20_05.xlsx&amp;sheet=U0&amp;row=3367&amp;col=7&amp;number=0.000166&amp;sourceID=14","0.000166")</f>
        <v>0.000166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HYPERLINK("http://141.218.60.56/~jnz1568/getInfo.php?workbook=20_05.xlsx&amp;sheet=U0&amp;row=3368&amp;col=6&amp;number=3.4&amp;sourceID=14","3.4")</f>
        <v>3.4</v>
      </c>
      <c r="G3368" s="4" t="str">
        <f>HYPERLINK("http://141.218.60.56/~jnz1568/getInfo.php?workbook=20_05.xlsx&amp;sheet=U0&amp;row=3368&amp;col=7&amp;number=0.000166&amp;sourceID=14","0.000166")</f>
        <v>0.000166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HYPERLINK("http://141.218.60.56/~jnz1568/getInfo.php?workbook=20_05.xlsx&amp;sheet=U0&amp;row=3369&amp;col=6&amp;number=3.5&amp;sourceID=14","3.5")</f>
        <v>3.5</v>
      </c>
      <c r="G3369" s="4" t="str">
        <f>HYPERLINK("http://141.218.60.56/~jnz1568/getInfo.php?workbook=20_05.xlsx&amp;sheet=U0&amp;row=3369&amp;col=7&amp;number=0.000166&amp;sourceID=14","0.000166")</f>
        <v>0.000166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HYPERLINK("http://141.218.60.56/~jnz1568/getInfo.php?workbook=20_05.xlsx&amp;sheet=U0&amp;row=3370&amp;col=6&amp;number=3.6&amp;sourceID=14","3.6")</f>
        <v>3.6</v>
      </c>
      <c r="G3370" s="4" t="str">
        <f>HYPERLINK("http://141.218.60.56/~jnz1568/getInfo.php?workbook=20_05.xlsx&amp;sheet=U0&amp;row=3370&amp;col=7&amp;number=0.000166&amp;sourceID=14","0.000166")</f>
        <v>0.000166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HYPERLINK("http://141.218.60.56/~jnz1568/getInfo.php?workbook=20_05.xlsx&amp;sheet=U0&amp;row=3371&amp;col=6&amp;number=3.7&amp;sourceID=14","3.7")</f>
        <v>3.7</v>
      </c>
      <c r="G3371" s="4" t="str">
        <f>HYPERLINK("http://141.218.60.56/~jnz1568/getInfo.php?workbook=20_05.xlsx&amp;sheet=U0&amp;row=3371&amp;col=7&amp;number=0.000166&amp;sourceID=14","0.000166")</f>
        <v>0.000166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HYPERLINK("http://141.218.60.56/~jnz1568/getInfo.php?workbook=20_05.xlsx&amp;sheet=U0&amp;row=3372&amp;col=6&amp;number=3.8&amp;sourceID=14","3.8")</f>
        <v>3.8</v>
      </c>
      <c r="G3372" s="4" t="str">
        <f>HYPERLINK("http://141.218.60.56/~jnz1568/getInfo.php?workbook=20_05.xlsx&amp;sheet=U0&amp;row=3372&amp;col=7&amp;number=0.000166&amp;sourceID=14","0.000166")</f>
        <v>0.000166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HYPERLINK("http://141.218.60.56/~jnz1568/getInfo.php?workbook=20_05.xlsx&amp;sheet=U0&amp;row=3373&amp;col=6&amp;number=3.9&amp;sourceID=14","3.9")</f>
        <v>3.9</v>
      </c>
      <c r="G3373" s="4" t="str">
        <f>HYPERLINK("http://141.218.60.56/~jnz1568/getInfo.php?workbook=20_05.xlsx&amp;sheet=U0&amp;row=3373&amp;col=7&amp;number=0.000166&amp;sourceID=14","0.000166")</f>
        <v>0.000166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HYPERLINK("http://141.218.60.56/~jnz1568/getInfo.php?workbook=20_05.xlsx&amp;sheet=U0&amp;row=3374&amp;col=6&amp;number=4&amp;sourceID=14","4")</f>
        <v>4</v>
      </c>
      <c r="G3374" s="4" t="str">
        <f>HYPERLINK("http://141.218.60.56/~jnz1568/getInfo.php?workbook=20_05.xlsx&amp;sheet=U0&amp;row=3374&amp;col=7&amp;number=0.000166&amp;sourceID=14","0.000166")</f>
        <v>0.000166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HYPERLINK("http://141.218.60.56/~jnz1568/getInfo.php?workbook=20_05.xlsx&amp;sheet=U0&amp;row=3375&amp;col=6&amp;number=4.1&amp;sourceID=14","4.1")</f>
        <v>4.1</v>
      </c>
      <c r="G3375" s="4" t="str">
        <f>HYPERLINK("http://141.218.60.56/~jnz1568/getInfo.php?workbook=20_05.xlsx&amp;sheet=U0&amp;row=3375&amp;col=7&amp;number=0.000166&amp;sourceID=14","0.000166")</f>
        <v>0.000166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HYPERLINK("http://141.218.60.56/~jnz1568/getInfo.php?workbook=20_05.xlsx&amp;sheet=U0&amp;row=3376&amp;col=6&amp;number=4.2&amp;sourceID=14","4.2")</f>
        <v>4.2</v>
      </c>
      <c r="G3376" s="4" t="str">
        <f>HYPERLINK("http://141.218.60.56/~jnz1568/getInfo.php?workbook=20_05.xlsx&amp;sheet=U0&amp;row=3376&amp;col=7&amp;number=0.000166&amp;sourceID=14","0.000166")</f>
        <v>0.000166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HYPERLINK("http://141.218.60.56/~jnz1568/getInfo.php?workbook=20_05.xlsx&amp;sheet=U0&amp;row=3377&amp;col=6&amp;number=4.3&amp;sourceID=14","4.3")</f>
        <v>4.3</v>
      </c>
      <c r="G3377" s="4" t="str">
        <f>HYPERLINK("http://141.218.60.56/~jnz1568/getInfo.php?workbook=20_05.xlsx&amp;sheet=U0&amp;row=3377&amp;col=7&amp;number=0.000165&amp;sourceID=14","0.000165")</f>
        <v>0.000165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HYPERLINK("http://141.218.60.56/~jnz1568/getInfo.php?workbook=20_05.xlsx&amp;sheet=U0&amp;row=3378&amp;col=6&amp;number=4.4&amp;sourceID=14","4.4")</f>
        <v>4.4</v>
      </c>
      <c r="G3378" s="4" t="str">
        <f>HYPERLINK("http://141.218.60.56/~jnz1568/getInfo.php?workbook=20_05.xlsx&amp;sheet=U0&amp;row=3378&amp;col=7&amp;number=0.000165&amp;sourceID=14","0.000165")</f>
        <v>0.000165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HYPERLINK("http://141.218.60.56/~jnz1568/getInfo.php?workbook=20_05.xlsx&amp;sheet=U0&amp;row=3379&amp;col=6&amp;number=4.5&amp;sourceID=14","4.5")</f>
        <v>4.5</v>
      </c>
      <c r="G3379" s="4" t="str">
        <f>HYPERLINK("http://141.218.60.56/~jnz1568/getInfo.php?workbook=20_05.xlsx&amp;sheet=U0&amp;row=3379&amp;col=7&amp;number=0.000165&amp;sourceID=14","0.000165")</f>
        <v>0.000165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HYPERLINK("http://141.218.60.56/~jnz1568/getInfo.php?workbook=20_05.xlsx&amp;sheet=U0&amp;row=3380&amp;col=6&amp;number=4.6&amp;sourceID=14","4.6")</f>
        <v>4.6</v>
      </c>
      <c r="G3380" s="4" t="str">
        <f>HYPERLINK("http://141.218.60.56/~jnz1568/getInfo.php?workbook=20_05.xlsx&amp;sheet=U0&amp;row=3380&amp;col=7&amp;number=0.000165&amp;sourceID=14","0.000165")</f>
        <v>0.000165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HYPERLINK("http://141.218.60.56/~jnz1568/getInfo.php?workbook=20_05.xlsx&amp;sheet=U0&amp;row=3381&amp;col=6&amp;number=4.7&amp;sourceID=14","4.7")</f>
        <v>4.7</v>
      </c>
      <c r="G3381" s="4" t="str">
        <f>HYPERLINK("http://141.218.60.56/~jnz1568/getInfo.php?workbook=20_05.xlsx&amp;sheet=U0&amp;row=3381&amp;col=7&amp;number=0.000164&amp;sourceID=14","0.000164")</f>
        <v>0.000164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HYPERLINK("http://141.218.60.56/~jnz1568/getInfo.php?workbook=20_05.xlsx&amp;sheet=U0&amp;row=3382&amp;col=6&amp;number=4.8&amp;sourceID=14","4.8")</f>
        <v>4.8</v>
      </c>
      <c r="G3382" s="4" t="str">
        <f>HYPERLINK("http://141.218.60.56/~jnz1568/getInfo.php?workbook=20_05.xlsx&amp;sheet=U0&amp;row=3382&amp;col=7&amp;number=0.000164&amp;sourceID=14","0.000164")</f>
        <v>0.000164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HYPERLINK("http://141.218.60.56/~jnz1568/getInfo.php?workbook=20_05.xlsx&amp;sheet=U0&amp;row=3383&amp;col=6&amp;number=4.9&amp;sourceID=14","4.9")</f>
        <v>4.9</v>
      </c>
      <c r="G3383" s="4" t="str">
        <f>HYPERLINK("http://141.218.60.56/~jnz1568/getInfo.php?workbook=20_05.xlsx&amp;sheet=U0&amp;row=3383&amp;col=7&amp;number=0.000163&amp;sourceID=14","0.000163")</f>
        <v>0.000163</v>
      </c>
    </row>
    <row r="3384" spans="1:7">
      <c r="A3384" s="3">
        <v>20</v>
      </c>
      <c r="B3384" s="3">
        <v>5</v>
      </c>
      <c r="C3384" s="3">
        <v>2</v>
      </c>
      <c r="D3384" s="3">
        <v>16</v>
      </c>
      <c r="E3384" s="3">
        <v>1</v>
      </c>
      <c r="F3384" s="4" t="str">
        <f>HYPERLINK("http://141.218.60.56/~jnz1568/getInfo.php?workbook=20_05.xlsx&amp;sheet=U0&amp;row=3384&amp;col=6&amp;number=3&amp;sourceID=14","3")</f>
        <v>3</v>
      </c>
      <c r="G3384" s="4" t="str">
        <f>HYPERLINK("http://141.218.60.56/~jnz1568/getInfo.php?workbook=20_05.xlsx&amp;sheet=U0&amp;row=3384&amp;col=7&amp;number=0.00399&amp;sourceID=14","0.00399")</f>
        <v>0.00399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HYPERLINK("http://141.218.60.56/~jnz1568/getInfo.php?workbook=20_05.xlsx&amp;sheet=U0&amp;row=3385&amp;col=6&amp;number=3.1&amp;sourceID=14","3.1")</f>
        <v>3.1</v>
      </c>
      <c r="G3385" s="4" t="str">
        <f>HYPERLINK("http://141.218.60.56/~jnz1568/getInfo.php?workbook=20_05.xlsx&amp;sheet=U0&amp;row=3385&amp;col=7&amp;number=0.00399&amp;sourceID=14","0.00399")</f>
        <v>0.00399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HYPERLINK("http://141.218.60.56/~jnz1568/getInfo.php?workbook=20_05.xlsx&amp;sheet=U0&amp;row=3386&amp;col=6&amp;number=3.2&amp;sourceID=14","3.2")</f>
        <v>3.2</v>
      </c>
      <c r="G3386" s="4" t="str">
        <f>HYPERLINK("http://141.218.60.56/~jnz1568/getInfo.php?workbook=20_05.xlsx&amp;sheet=U0&amp;row=3386&amp;col=7&amp;number=0.00399&amp;sourceID=14","0.00399")</f>
        <v>0.00399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HYPERLINK("http://141.218.60.56/~jnz1568/getInfo.php?workbook=20_05.xlsx&amp;sheet=U0&amp;row=3387&amp;col=6&amp;number=3.3&amp;sourceID=14","3.3")</f>
        <v>3.3</v>
      </c>
      <c r="G3387" s="4" t="str">
        <f>HYPERLINK("http://141.218.60.56/~jnz1568/getInfo.php?workbook=20_05.xlsx&amp;sheet=U0&amp;row=3387&amp;col=7&amp;number=0.00399&amp;sourceID=14","0.00399")</f>
        <v>0.00399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HYPERLINK("http://141.218.60.56/~jnz1568/getInfo.php?workbook=20_05.xlsx&amp;sheet=U0&amp;row=3388&amp;col=6&amp;number=3.4&amp;sourceID=14","3.4")</f>
        <v>3.4</v>
      </c>
      <c r="G3388" s="4" t="str">
        <f>HYPERLINK("http://141.218.60.56/~jnz1568/getInfo.php?workbook=20_05.xlsx&amp;sheet=U0&amp;row=3388&amp;col=7&amp;number=0.00399&amp;sourceID=14","0.00399")</f>
        <v>0.00399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HYPERLINK("http://141.218.60.56/~jnz1568/getInfo.php?workbook=20_05.xlsx&amp;sheet=U0&amp;row=3389&amp;col=6&amp;number=3.5&amp;sourceID=14","3.5")</f>
        <v>3.5</v>
      </c>
      <c r="G3389" s="4" t="str">
        <f>HYPERLINK("http://141.218.60.56/~jnz1568/getInfo.php?workbook=20_05.xlsx&amp;sheet=U0&amp;row=3389&amp;col=7&amp;number=0.00399&amp;sourceID=14","0.00399")</f>
        <v>0.00399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HYPERLINK("http://141.218.60.56/~jnz1568/getInfo.php?workbook=20_05.xlsx&amp;sheet=U0&amp;row=3390&amp;col=6&amp;number=3.6&amp;sourceID=14","3.6")</f>
        <v>3.6</v>
      </c>
      <c r="G3390" s="4" t="str">
        <f>HYPERLINK("http://141.218.60.56/~jnz1568/getInfo.php?workbook=20_05.xlsx&amp;sheet=U0&amp;row=3390&amp;col=7&amp;number=0.00399&amp;sourceID=14","0.00399")</f>
        <v>0.00399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HYPERLINK("http://141.218.60.56/~jnz1568/getInfo.php?workbook=20_05.xlsx&amp;sheet=U0&amp;row=3391&amp;col=6&amp;number=3.7&amp;sourceID=14","3.7")</f>
        <v>3.7</v>
      </c>
      <c r="G3391" s="4" t="str">
        <f>HYPERLINK("http://141.218.60.56/~jnz1568/getInfo.php?workbook=20_05.xlsx&amp;sheet=U0&amp;row=3391&amp;col=7&amp;number=0.00399&amp;sourceID=14","0.00399")</f>
        <v>0.00399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HYPERLINK("http://141.218.60.56/~jnz1568/getInfo.php?workbook=20_05.xlsx&amp;sheet=U0&amp;row=3392&amp;col=6&amp;number=3.8&amp;sourceID=14","3.8")</f>
        <v>3.8</v>
      </c>
      <c r="G3392" s="4" t="str">
        <f>HYPERLINK("http://141.218.60.56/~jnz1568/getInfo.php?workbook=20_05.xlsx&amp;sheet=U0&amp;row=3392&amp;col=7&amp;number=0.00399&amp;sourceID=14","0.00399")</f>
        <v>0.00399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HYPERLINK("http://141.218.60.56/~jnz1568/getInfo.php?workbook=20_05.xlsx&amp;sheet=U0&amp;row=3393&amp;col=6&amp;number=3.9&amp;sourceID=14","3.9")</f>
        <v>3.9</v>
      </c>
      <c r="G3393" s="4" t="str">
        <f>HYPERLINK("http://141.218.60.56/~jnz1568/getInfo.php?workbook=20_05.xlsx&amp;sheet=U0&amp;row=3393&amp;col=7&amp;number=0.00399&amp;sourceID=14","0.00399")</f>
        <v>0.00399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HYPERLINK("http://141.218.60.56/~jnz1568/getInfo.php?workbook=20_05.xlsx&amp;sheet=U0&amp;row=3394&amp;col=6&amp;number=4&amp;sourceID=14","4")</f>
        <v>4</v>
      </c>
      <c r="G3394" s="4" t="str">
        <f>HYPERLINK("http://141.218.60.56/~jnz1568/getInfo.php?workbook=20_05.xlsx&amp;sheet=U0&amp;row=3394&amp;col=7&amp;number=0.00399&amp;sourceID=14","0.00399")</f>
        <v>0.00399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HYPERLINK("http://141.218.60.56/~jnz1568/getInfo.php?workbook=20_05.xlsx&amp;sheet=U0&amp;row=3395&amp;col=6&amp;number=4.1&amp;sourceID=14","4.1")</f>
        <v>4.1</v>
      </c>
      <c r="G3395" s="4" t="str">
        <f>HYPERLINK("http://141.218.60.56/~jnz1568/getInfo.php?workbook=20_05.xlsx&amp;sheet=U0&amp;row=3395&amp;col=7&amp;number=0.00399&amp;sourceID=14","0.00399")</f>
        <v>0.00399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HYPERLINK("http://141.218.60.56/~jnz1568/getInfo.php?workbook=20_05.xlsx&amp;sheet=U0&amp;row=3396&amp;col=6&amp;number=4.2&amp;sourceID=14","4.2")</f>
        <v>4.2</v>
      </c>
      <c r="G3396" s="4" t="str">
        <f>HYPERLINK("http://141.218.60.56/~jnz1568/getInfo.php?workbook=20_05.xlsx&amp;sheet=U0&amp;row=3396&amp;col=7&amp;number=0.00399&amp;sourceID=14","0.00399")</f>
        <v>0.00399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HYPERLINK("http://141.218.60.56/~jnz1568/getInfo.php?workbook=20_05.xlsx&amp;sheet=U0&amp;row=3397&amp;col=6&amp;number=4.3&amp;sourceID=14","4.3")</f>
        <v>4.3</v>
      </c>
      <c r="G3397" s="4" t="str">
        <f>HYPERLINK("http://141.218.60.56/~jnz1568/getInfo.php?workbook=20_05.xlsx&amp;sheet=U0&amp;row=3397&amp;col=7&amp;number=0.00399&amp;sourceID=14","0.00399")</f>
        <v>0.00399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HYPERLINK("http://141.218.60.56/~jnz1568/getInfo.php?workbook=20_05.xlsx&amp;sheet=U0&amp;row=3398&amp;col=6&amp;number=4.4&amp;sourceID=14","4.4")</f>
        <v>4.4</v>
      </c>
      <c r="G3398" s="4" t="str">
        <f>HYPERLINK("http://141.218.60.56/~jnz1568/getInfo.php?workbook=20_05.xlsx&amp;sheet=U0&amp;row=3398&amp;col=7&amp;number=0.00399&amp;sourceID=14","0.00399")</f>
        <v>0.00399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HYPERLINK("http://141.218.60.56/~jnz1568/getInfo.php?workbook=20_05.xlsx&amp;sheet=U0&amp;row=3399&amp;col=6&amp;number=4.5&amp;sourceID=14","4.5")</f>
        <v>4.5</v>
      </c>
      <c r="G3399" s="4" t="str">
        <f>HYPERLINK("http://141.218.60.56/~jnz1568/getInfo.php?workbook=20_05.xlsx&amp;sheet=U0&amp;row=3399&amp;col=7&amp;number=0.00399&amp;sourceID=14","0.00399")</f>
        <v>0.00399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HYPERLINK("http://141.218.60.56/~jnz1568/getInfo.php?workbook=20_05.xlsx&amp;sheet=U0&amp;row=3400&amp;col=6&amp;number=4.6&amp;sourceID=14","4.6")</f>
        <v>4.6</v>
      </c>
      <c r="G3400" s="4" t="str">
        <f>HYPERLINK("http://141.218.60.56/~jnz1568/getInfo.php?workbook=20_05.xlsx&amp;sheet=U0&amp;row=3400&amp;col=7&amp;number=0.00399&amp;sourceID=14","0.00399")</f>
        <v>0.00399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HYPERLINK("http://141.218.60.56/~jnz1568/getInfo.php?workbook=20_05.xlsx&amp;sheet=U0&amp;row=3401&amp;col=6&amp;number=4.7&amp;sourceID=14","4.7")</f>
        <v>4.7</v>
      </c>
      <c r="G3401" s="4" t="str">
        <f>HYPERLINK("http://141.218.60.56/~jnz1568/getInfo.php?workbook=20_05.xlsx&amp;sheet=U0&amp;row=3401&amp;col=7&amp;number=0.00399&amp;sourceID=14","0.00399")</f>
        <v>0.00399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HYPERLINK("http://141.218.60.56/~jnz1568/getInfo.php?workbook=20_05.xlsx&amp;sheet=U0&amp;row=3402&amp;col=6&amp;number=4.8&amp;sourceID=14","4.8")</f>
        <v>4.8</v>
      </c>
      <c r="G3402" s="4" t="str">
        <f>HYPERLINK("http://141.218.60.56/~jnz1568/getInfo.php?workbook=20_05.xlsx&amp;sheet=U0&amp;row=3402&amp;col=7&amp;number=0.00399&amp;sourceID=14","0.00399")</f>
        <v>0.00399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HYPERLINK("http://141.218.60.56/~jnz1568/getInfo.php?workbook=20_05.xlsx&amp;sheet=U0&amp;row=3403&amp;col=6&amp;number=4.9&amp;sourceID=14","4.9")</f>
        <v>4.9</v>
      </c>
      <c r="G3403" s="4" t="str">
        <f>HYPERLINK("http://141.218.60.56/~jnz1568/getInfo.php?workbook=20_05.xlsx&amp;sheet=U0&amp;row=3403&amp;col=7&amp;number=0.004&amp;sourceID=14","0.004")</f>
        <v>0.004</v>
      </c>
    </row>
    <row r="3404" spans="1:7">
      <c r="A3404" s="3">
        <v>20</v>
      </c>
      <c r="B3404" s="3">
        <v>5</v>
      </c>
      <c r="C3404" s="3">
        <v>2</v>
      </c>
      <c r="D3404" s="3">
        <v>17</v>
      </c>
      <c r="E3404" s="3">
        <v>1</v>
      </c>
      <c r="F3404" s="4" t="str">
        <f>HYPERLINK("http://141.218.60.56/~jnz1568/getInfo.php?workbook=20_05.xlsx&amp;sheet=U0&amp;row=3404&amp;col=6&amp;number=3&amp;sourceID=14","3")</f>
        <v>3</v>
      </c>
      <c r="G3404" s="4" t="str">
        <f>HYPERLINK("http://141.218.60.56/~jnz1568/getInfo.php?workbook=20_05.xlsx&amp;sheet=U0&amp;row=3404&amp;col=7&amp;number=0.000263&amp;sourceID=14","0.000263")</f>
        <v>0.000263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HYPERLINK("http://141.218.60.56/~jnz1568/getInfo.php?workbook=20_05.xlsx&amp;sheet=U0&amp;row=3405&amp;col=6&amp;number=3.1&amp;sourceID=14","3.1")</f>
        <v>3.1</v>
      </c>
      <c r="G3405" s="4" t="str">
        <f>HYPERLINK("http://141.218.60.56/~jnz1568/getInfo.php?workbook=20_05.xlsx&amp;sheet=U0&amp;row=3405&amp;col=7&amp;number=0.000263&amp;sourceID=14","0.000263")</f>
        <v>0.000263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HYPERLINK("http://141.218.60.56/~jnz1568/getInfo.php?workbook=20_05.xlsx&amp;sheet=U0&amp;row=3406&amp;col=6&amp;number=3.2&amp;sourceID=14","3.2")</f>
        <v>3.2</v>
      </c>
      <c r="G3406" s="4" t="str">
        <f>HYPERLINK("http://141.218.60.56/~jnz1568/getInfo.php?workbook=20_05.xlsx&amp;sheet=U0&amp;row=3406&amp;col=7&amp;number=0.000263&amp;sourceID=14","0.000263")</f>
        <v>0.000263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HYPERLINK("http://141.218.60.56/~jnz1568/getInfo.php?workbook=20_05.xlsx&amp;sheet=U0&amp;row=3407&amp;col=6&amp;number=3.3&amp;sourceID=14","3.3")</f>
        <v>3.3</v>
      </c>
      <c r="G3407" s="4" t="str">
        <f>HYPERLINK("http://141.218.60.56/~jnz1568/getInfo.php?workbook=20_05.xlsx&amp;sheet=U0&amp;row=3407&amp;col=7&amp;number=0.000263&amp;sourceID=14","0.000263")</f>
        <v>0.000263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HYPERLINK("http://141.218.60.56/~jnz1568/getInfo.php?workbook=20_05.xlsx&amp;sheet=U0&amp;row=3408&amp;col=6&amp;number=3.4&amp;sourceID=14","3.4")</f>
        <v>3.4</v>
      </c>
      <c r="G3408" s="4" t="str">
        <f>HYPERLINK("http://141.218.60.56/~jnz1568/getInfo.php?workbook=20_05.xlsx&amp;sheet=U0&amp;row=3408&amp;col=7&amp;number=0.000263&amp;sourceID=14","0.000263")</f>
        <v>0.000263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HYPERLINK("http://141.218.60.56/~jnz1568/getInfo.php?workbook=20_05.xlsx&amp;sheet=U0&amp;row=3409&amp;col=6&amp;number=3.5&amp;sourceID=14","3.5")</f>
        <v>3.5</v>
      </c>
      <c r="G3409" s="4" t="str">
        <f>HYPERLINK("http://141.218.60.56/~jnz1568/getInfo.php?workbook=20_05.xlsx&amp;sheet=U0&amp;row=3409&amp;col=7&amp;number=0.000263&amp;sourceID=14","0.000263")</f>
        <v>0.000263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HYPERLINK("http://141.218.60.56/~jnz1568/getInfo.php?workbook=20_05.xlsx&amp;sheet=U0&amp;row=3410&amp;col=6&amp;number=3.6&amp;sourceID=14","3.6")</f>
        <v>3.6</v>
      </c>
      <c r="G3410" s="4" t="str">
        <f>HYPERLINK("http://141.218.60.56/~jnz1568/getInfo.php?workbook=20_05.xlsx&amp;sheet=U0&amp;row=3410&amp;col=7&amp;number=0.000263&amp;sourceID=14","0.000263")</f>
        <v>0.000263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HYPERLINK("http://141.218.60.56/~jnz1568/getInfo.php?workbook=20_05.xlsx&amp;sheet=U0&amp;row=3411&amp;col=6&amp;number=3.7&amp;sourceID=14","3.7")</f>
        <v>3.7</v>
      </c>
      <c r="G3411" s="4" t="str">
        <f>HYPERLINK("http://141.218.60.56/~jnz1568/getInfo.php?workbook=20_05.xlsx&amp;sheet=U0&amp;row=3411&amp;col=7&amp;number=0.000263&amp;sourceID=14","0.000263")</f>
        <v>0.000263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HYPERLINK("http://141.218.60.56/~jnz1568/getInfo.php?workbook=20_05.xlsx&amp;sheet=U0&amp;row=3412&amp;col=6&amp;number=3.8&amp;sourceID=14","3.8")</f>
        <v>3.8</v>
      </c>
      <c r="G3412" s="4" t="str">
        <f>HYPERLINK("http://141.218.60.56/~jnz1568/getInfo.php?workbook=20_05.xlsx&amp;sheet=U0&amp;row=3412&amp;col=7&amp;number=0.000263&amp;sourceID=14","0.000263")</f>
        <v>0.000263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HYPERLINK("http://141.218.60.56/~jnz1568/getInfo.php?workbook=20_05.xlsx&amp;sheet=U0&amp;row=3413&amp;col=6&amp;number=3.9&amp;sourceID=14","3.9")</f>
        <v>3.9</v>
      </c>
      <c r="G3413" s="4" t="str">
        <f>HYPERLINK("http://141.218.60.56/~jnz1568/getInfo.php?workbook=20_05.xlsx&amp;sheet=U0&amp;row=3413&amp;col=7&amp;number=0.000263&amp;sourceID=14","0.000263")</f>
        <v>0.000263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HYPERLINK("http://141.218.60.56/~jnz1568/getInfo.php?workbook=20_05.xlsx&amp;sheet=U0&amp;row=3414&amp;col=6&amp;number=4&amp;sourceID=14","4")</f>
        <v>4</v>
      </c>
      <c r="G3414" s="4" t="str">
        <f>HYPERLINK("http://141.218.60.56/~jnz1568/getInfo.php?workbook=20_05.xlsx&amp;sheet=U0&amp;row=3414&amp;col=7&amp;number=0.000264&amp;sourceID=14","0.000264")</f>
        <v>0.000264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HYPERLINK("http://141.218.60.56/~jnz1568/getInfo.php?workbook=20_05.xlsx&amp;sheet=U0&amp;row=3415&amp;col=6&amp;number=4.1&amp;sourceID=14","4.1")</f>
        <v>4.1</v>
      </c>
      <c r="G3415" s="4" t="str">
        <f>HYPERLINK("http://141.218.60.56/~jnz1568/getInfo.php?workbook=20_05.xlsx&amp;sheet=U0&amp;row=3415&amp;col=7&amp;number=0.000264&amp;sourceID=14","0.000264")</f>
        <v>0.000264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HYPERLINK("http://141.218.60.56/~jnz1568/getInfo.php?workbook=20_05.xlsx&amp;sheet=U0&amp;row=3416&amp;col=6&amp;number=4.2&amp;sourceID=14","4.2")</f>
        <v>4.2</v>
      </c>
      <c r="G3416" s="4" t="str">
        <f>HYPERLINK("http://141.218.60.56/~jnz1568/getInfo.php?workbook=20_05.xlsx&amp;sheet=U0&amp;row=3416&amp;col=7&amp;number=0.000264&amp;sourceID=14","0.000264")</f>
        <v>0.000264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HYPERLINK("http://141.218.60.56/~jnz1568/getInfo.php?workbook=20_05.xlsx&amp;sheet=U0&amp;row=3417&amp;col=6&amp;number=4.3&amp;sourceID=14","4.3")</f>
        <v>4.3</v>
      </c>
      <c r="G3417" s="4" t="str">
        <f>HYPERLINK("http://141.218.60.56/~jnz1568/getInfo.php?workbook=20_05.xlsx&amp;sheet=U0&amp;row=3417&amp;col=7&amp;number=0.000265&amp;sourceID=14","0.000265")</f>
        <v>0.000265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HYPERLINK("http://141.218.60.56/~jnz1568/getInfo.php?workbook=20_05.xlsx&amp;sheet=U0&amp;row=3418&amp;col=6&amp;number=4.4&amp;sourceID=14","4.4")</f>
        <v>4.4</v>
      </c>
      <c r="G3418" s="4" t="str">
        <f>HYPERLINK("http://141.218.60.56/~jnz1568/getInfo.php?workbook=20_05.xlsx&amp;sheet=U0&amp;row=3418&amp;col=7&amp;number=0.000266&amp;sourceID=14","0.000266")</f>
        <v>0.000266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HYPERLINK("http://141.218.60.56/~jnz1568/getInfo.php?workbook=20_05.xlsx&amp;sheet=U0&amp;row=3419&amp;col=6&amp;number=4.5&amp;sourceID=14","4.5")</f>
        <v>4.5</v>
      </c>
      <c r="G3419" s="4" t="str">
        <f>HYPERLINK("http://141.218.60.56/~jnz1568/getInfo.php?workbook=20_05.xlsx&amp;sheet=U0&amp;row=3419&amp;col=7&amp;number=0.000266&amp;sourceID=14","0.000266")</f>
        <v>0.000266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HYPERLINK("http://141.218.60.56/~jnz1568/getInfo.php?workbook=20_05.xlsx&amp;sheet=U0&amp;row=3420&amp;col=6&amp;number=4.6&amp;sourceID=14","4.6")</f>
        <v>4.6</v>
      </c>
      <c r="G3420" s="4" t="str">
        <f>HYPERLINK("http://141.218.60.56/~jnz1568/getInfo.php?workbook=20_05.xlsx&amp;sheet=U0&amp;row=3420&amp;col=7&amp;number=0.000267&amp;sourceID=14","0.000267")</f>
        <v>0.000267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HYPERLINK("http://141.218.60.56/~jnz1568/getInfo.php?workbook=20_05.xlsx&amp;sheet=U0&amp;row=3421&amp;col=6&amp;number=4.7&amp;sourceID=14","4.7")</f>
        <v>4.7</v>
      </c>
      <c r="G3421" s="4" t="str">
        <f>HYPERLINK("http://141.218.60.56/~jnz1568/getInfo.php?workbook=20_05.xlsx&amp;sheet=U0&amp;row=3421&amp;col=7&amp;number=0.000269&amp;sourceID=14","0.000269")</f>
        <v>0.000269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HYPERLINK("http://141.218.60.56/~jnz1568/getInfo.php?workbook=20_05.xlsx&amp;sheet=U0&amp;row=3422&amp;col=6&amp;number=4.8&amp;sourceID=14","4.8")</f>
        <v>4.8</v>
      </c>
      <c r="G3422" s="4" t="str">
        <f>HYPERLINK("http://141.218.60.56/~jnz1568/getInfo.php?workbook=20_05.xlsx&amp;sheet=U0&amp;row=3422&amp;col=7&amp;number=0.00027&amp;sourceID=14","0.00027")</f>
        <v>0.00027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HYPERLINK("http://141.218.60.56/~jnz1568/getInfo.php?workbook=20_05.xlsx&amp;sheet=U0&amp;row=3423&amp;col=6&amp;number=4.9&amp;sourceID=14","4.9")</f>
        <v>4.9</v>
      </c>
      <c r="G3423" s="4" t="str">
        <f>HYPERLINK("http://141.218.60.56/~jnz1568/getInfo.php?workbook=20_05.xlsx&amp;sheet=U0&amp;row=3423&amp;col=7&amp;number=0.000272&amp;sourceID=14","0.000272")</f>
        <v>0.000272</v>
      </c>
    </row>
    <row r="3424" spans="1:7">
      <c r="A3424" s="3">
        <v>20</v>
      </c>
      <c r="B3424" s="3">
        <v>5</v>
      </c>
      <c r="C3424" s="3">
        <v>2</v>
      </c>
      <c r="D3424" s="3">
        <v>18</v>
      </c>
      <c r="E3424" s="3">
        <v>1</v>
      </c>
      <c r="F3424" s="4" t="str">
        <f>HYPERLINK("http://141.218.60.56/~jnz1568/getInfo.php?workbook=20_05.xlsx&amp;sheet=U0&amp;row=3424&amp;col=6&amp;number=3&amp;sourceID=14","3")</f>
        <v>3</v>
      </c>
      <c r="G3424" s="4" t="str">
        <f>HYPERLINK("http://141.218.60.56/~jnz1568/getInfo.php?workbook=20_05.xlsx&amp;sheet=U0&amp;row=3424&amp;col=7&amp;number=0.00106&amp;sourceID=14","0.00106")</f>
        <v>0.00106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HYPERLINK("http://141.218.60.56/~jnz1568/getInfo.php?workbook=20_05.xlsx&amp;sheet=U0&amp;row=3425&amp;col=6&amp;number=3.1&amp;sourceID=14","3.1")</f>
        <v>3.1</v>
      </c>
      <c r="G3425" s="4" t="str">
        <f>HYPERLINK("http://141.218.60.56/~jnz1568/getInfo.php?workbook=20_05.xlsx&amp;sheet=U0&amp;row=3425&amp;col=7&amp;number=0.00106&amp;sourceID=14","0.00106")</f>
        <v>0.00106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HYPERLINK("http://141.218.60.56/~jnz1568/getInfo.php?workbook=20_05.xlsx&amp;sheet=U0&amp;row=3426&amp;col=6&amp;number=3.2&amp;sourceID=14","3.2")</f>
        <v>3.2</v>
      </c>
      <c r="G3426" s="4" t="str">
        <f>HYPERLINK("http://141.218.60.56/~jnz1568/getInfo.php?workbook=20_05.xlsx&amp;sheet=U0&amp;row=3426&amp;col=7&amp;number=0.00106&amp;sourceID=14","0.00106")</f>
        <v>0.00106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HYPERLINK("http://141.218.60.56/~jnz1568/getInfo.php?workbook=20_05.xlsx&amp;sheet=U0&amp;row=3427&amp;col=6&amp;number=3.3&amp;sourceID=14","3.3")</f>
        <v>3.3</v>
      </c>
      <c r="G3427" s="4" t="str">
        <f>HYPERLINK("http://141.218.60.56/~jnz1568/getInfo.php?workbook=20_05.xlsx&amp;sheet=U0&amp;row=3427&amp;col=7&amp;number=0.00106&amp;sourceID=14","0.00106")</f>
        <v>0.00106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HYPERLINK("http://141.218.60.56/~jnz1568/getInfo.php?workbook=20_05.xlsx&amp;sheet=U0&amp;row=3428&amp;col=6&amp;number=3.4&amp;sourceID=14","3.4")</f>
        <v>3.4</v>
      </c>
      <c r="G3428" s="4" t="str">
        <f>HYPERLINK("http://141.218.60.56/~jnz1568/getInfo.php?workbook=20_05.xlsx&amp;sheet=U0&amp;row=3428&amp;col=7&amp;number=0.00106&amp;sourceID=14","0.00106")</f>
        <v>0.00106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HYPERLINK("http://141.218.60.56/~jnz1568/getInfo.php?workbook=20_05.xlsx&amp;sheet=U0&amp;row=3429&amp;col=6&amp;number=3.5&amp;sourceID=14","3.5")</f>
        <v>3.5</v>
      </c>
      <c r="G3429" s="4" t="str">
        <f>HYPERLINK("http://141.218.60.56/~jnz1568/getInfo.php?workbook=20_05.xlsx&amp;sheet=U0&amp;row=3429&amp;col=7&amp;number=0.00106&amp;sourceID=14","0.00106")</f>
        <v>0.00106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HYPERLINK("http://141.218.60.56/~jnz1568/getInfo.php?workbook=20_05.xlsx&amp;sheet=U0&amp;row=3430&amp;col=6&amp;number=3.6&amp;sourceID=14","3.6")</f>
        <v>3.6</v>
      </c>
      <c r="G3430" s="4" t="str">
        <f>HYPERLINK("http://141.218.60.56/~jnz1568/getInfo.php?workbook=20_05.xlsx&amp;sheet=U0&amp;row=3430&amp;col=7&amp;number=0.00106&amp;sourceID=14","0.00106")</f>
        <v>0.00106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HYPERLINK("http://141.218.60.56/~jnz1568/getInfo.php?workbook=20_05.xlsx&amp;sheet=U0&amp;row=3431&amp;col=6&amp;number=3.7&amp;sourceID=14","3.7")</f>
        <v>3.7</v>
      </c>
      <c r="G3431" s="4" t="str">
        <f>HYPERLINK("http://141.218.60.56/~jnz1568/getInfo.php?workbook=20_05.xlsx&amp;sheet=U0&amp;row=3431&amp;col=7&amp;number=0.00106&amp;sourceID=14","0.00106")</f>
        <v>0.00106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HYPERLINK("http://141.218.60.56/~jnz1568/getInfo.php?workbook=20_05.xlsx&amp;sheet=U0&amp;row=3432&amp;col=6&amp;number=3.8&amp;sourceID=14","3.8")</f>
        <v>3.8</v>
      </c>
      <c r="G3432" s="4" t="str">
        <f>HYPERLINK("http://141.218.60.56/~jnz1568/getInfo.php?workbook=20_05.xlsx&amp;sheet=U0&amp;row=3432&amp;col=7&amp;number=0.00106&amp;sourceID=14","0.00106")</f>
        <v>0.00106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HYPERLINK("http://141.218.60.56/~jnz1568/getInfo.php?workbook=20_05.xlsx&amp;sheet=U0&amp;row=3433&amp;col=6&amp;number=3.9&amp;sourceID=14","3.9")</f>
        <v>3.9</v>
      </c>
      <c r="G3433" s="4" t="str">
        <f>HYPERLINK("http://141.218.60.56/~jnz1568/getInfo.php?workbook=20_05.xlsx&amp;sheet=U0&amp;row=3433&amp;col=7&amp;number=0.00106&amp;sourceID=14","0.00106")</f>
        <v>0.00106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HYPERLINK("http://141.218.60.56/~jnz1568/getInfo.php?workbook=20_05.xlsx&amp;sheet=U0&amp;row=3434&amp;col=6&amp;number=4&amp;sourceID=14","4")</f>
        <v>4</v>
      </c>
      <c r="G3434" s="4" t="str">
        <f>HYPERLINK("http://141.218.60.56/~jnz1568/getInfo.php?workbook=20_05.xlsx&amp;sheet=U0&amp;row=3434&amp;col=7&amp;number=0.00106&amp;sourceID=14","0.00106")</f>
        <v>0.00106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HYPERLINK("http://141.218.60.56/~jnz1568/getInfo.php?workbook=20_05.xlsx&amp;sheet=U0&amp;row=3435&amp;col=6&amp;number=4.1&amp;sourceID=14","4.1")</f>
        <v>4.1</v>
      </c>
      <c r="G3435" s="4" t="str">
        <f>HYPERLINK("http://141.218.60.56/~jnz1568/getInfo.php?workbook=20_05.xlsx&amp;sheet=U0&amp;row=3435&amp;col=7&amp;number=0.00106&amp;sourceID=14","0.00106")</f>
        <v>0.00106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HYPERLINK("http://141.218.60.56/~jnz1568/getInfo.php?workbook=20_05.xlsx&amp;sheet=U0&amp;row=3436&amp;col=6&amp;number=4.2&amp;sourceID=14","4.2")</f>
        <v>4.2</v>
      </c>
      <c r="G3436" s="4" t="str">
        <f>HYPERLINK("http://141.218.60.56/~jnz1568/getInfo.php?workbook=20_05.xlsx&amp;sheet=U0&amp;row=3436&amp;col=7&amp;number=0.00106&amp;sourceID=14","0.00106")</f>
        <v>0.00106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HYPERLINK("http://141.218.60.56/~jnz1568/getInfo.php?workbook=20_05.xlsx&amp;sheet=U0&amp;row=3437&amp;col=6&amp;number=4.3&amp;sourceID=14","4.3")</f>
        <v>4.3</v>
      </c>
      <c r="G3437" s="4" t="str">
        <f>HYPERLINK("http://141.218.60.56/~jnz1568/getInfo.php?workbook=20_05.xlsx&amp;sheet=U0&amp;row=3437&amp;col=7&amp;number=0.00106&amp;sourceID=14","0.00106")</f>
        <v>0.00106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HYPERLINK("http://141.218.60.56/~jnz1568/getInfo.php?workbook=20_05.xlsx&amp;sheet=U0&amp;row=3438&amp;col=6&amp;number=4.4&amp;sourceID=14","4.4")</f>
        <v>4.4</v>
      </c>
      <c r="G3438" s="4" t="str">
        <f>HYPERLINK("http://141.218.60.56/~jnz1568/getInfo.php?workbook=20_05.xlsx&amp;sheet=U0&amp;row=3438&amp;col=7&amp;number=0.00106&amp;sourceID=14","0.00106")</f>
        <v>0.00106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HYPERLINK("http://141.218.60.56/~jnz1568/getInfo.php?workbook=20_05.xlsx&amp;sheet=U0&amp;row=3439&amp;col=6&amp;number=4.5&amp;sourceID=14","4.5")</f>
        <v>4.5</v>
      </c>
      <c r="G3439" s="4" t="str">
        <f>HYPERLINK("http://141.218.60.56/~jnz1568/getInfo.php?workbook=20_05.xlsx&amp;sheet=U0&amp;row=3439&amp;col=7&amp;number=0.00106&amp;sourceID=14","0.00106")</f>
        <v>0.00106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HYPERLINK("http://141.218.60.56/~jnz1568/getInfo.php?workbook=20_05.xlsx&amp;sheet=U0&amp;row=3440&amp;col=6&amp;number=4.6&amp;sourceID=14","4.6")</f>
        <v>4.6</v>
      </c>
      <c r="G3440" s="4" t="str">
        <f>HYPERLINK("http://141.218.60.56/~jnz1568/getInfo.php?workbook=20_05.xlsx&amp;sheet=U0&amp;row=3440&amp;col=7&amp;number=0.00107&amp;sourceID=14","0.00107")</f>
        <v>0.00107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HYPERLINK("http://141.218.60.56/~jnz1568/getInfo.php?workbook=20_05.xlsx&amp;sheet=U0&amp;row=3441&amp;col=6&amp;number=4.7&amp;sourceID=14","4.7")</f>
        <v>4.7</v>
      </c>
      <c r="G3441" s="4" t="str">
        <f>HYPERLINK("http://141.218.60.56/~jnz1568/getInfo.php?workbook=20_05.xlsx&amp;sheet=U0&amp;row=3441&amp;col=7&amp;number=0.00107&amp;sourceID=14","0.00107")</f>
        <v>0.00107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HYPERLINK("http://141.218.60.56/~jnz1568/getInfo.php?workbook=20_05.xlsx&amp;sheet=U0&amp;row=3442&amp;col=6&amp;number=4.8&amp;sourceID=14","4.8")</f>
        <v>4.8</v>
      </c>
      <c r="G3442" s="4" t="str">
        <f>HYPERLINK("http://141.218.60.56/~jnz1568/getInfo.php?workbook=20_05.xlsx&amp;sheet=U0&amp;row=3442&amp;col=7&amp;number=0.00107&amp;sourceID=14","0.00107")</f>
        <v>0.00107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HYPERLINK("http://141.218.60.56/~jnz1568/getInfo.php?workbook=20_05.xlsx&amp;sheet=U0&amp;row=3443&amp;col=6&amp;number=4.9&amp;sourceID=14","4.9")</f>
        <v>4.9</v>
      </c>
      <c r="G3443" s="4" t="str">
        <f>HYPERLINK("http://141.218.60.56/~jnz1568/getInfo.php?workbook=20_05.xlsx&amp;sheet=U0&amp;row=3443&amp;col=7&amp;number=0.00108&amp;sourceID=14","0.00108")</f>
        <v>0.00108</v>
      </c>
    </row>
    <row r="3444" spans="1:7">
      <c r="A3444" s="3">
        <v>20</v>
      </c>
      <c r="B3444" s="3">
        <v>5</v>
      </c>
      <c r="C3444" s="3">
        <v>2</v>
      </c>
      <c r="D3444" s="3">
        <v>19</v>
      </c>
      <c r="E3444" s="3">
        <v>1</v>
      </c>
      <c r="F3444" s="4" t="str">
        <f>HYPERLINK("http://141.218.60.56/~jnz1568/getInfo.php?workbook=20_05.xlsx&amp;sheet=U0&amp;row=3444&amp;col=6&amp;number=3&amp;sourceID=14","3")</f>
        <v>3</v>
      </c>
      <c r="G3444" s="4" t="str">
        <f>HYPERLINK("http://141.218.60.56/~jnz1568/getInfo.php?workbook=20_05.xlsx&amp;sheet=U0&amp;row=3444&amp;col=7&amp;number=0.000372&amp;sourceID=14","0.000372")</f>
        <v>0.000372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HYPERLINK("http://141.218.60.56/~jnz1568/getInfo.php?workbook=20_05.xlsx&amp;sheet=U0&amp;row=3445&amp;col=6&amp;number=3.1&amp;sourceID=14","3.1")</f>
        <v>3.1</v>
      </c>
      <c r="G3445" s="4" t="str">
        <f>HYPERLINK("http://141.218.60.56/~jnz1568/getInfo.php?workbook=20_05.xlsx&amp;sheet=U0&amp;row=3445&amp;col=7&amp;number=0.000372&amp;sourceID=14","0.000372")</f>
        <v>0.000372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HYPERLINK("http://141.218.60.56/~jnz1568/getInfo.php?workbook=20_05.xlsx&amp;sheet=U0&amp;row=3446&amp;col=6&amp;number=3.2&amp;sourceID=14","3.2")</f>
        <v>3.2</v>
      </c>
      <c r="G3446" s="4" t="str">
        <f>HYPERLINK("http://141.218.60.56/~jnz1568/getInfo.php?workbook=20_05.xlsx&amp;sheet=U0&amp;row=3446&amp;col=7&amp;number=0.000372&amp;sourceID=14","0.000372")</f>
        <v>0.000372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HYPERLINK("http://141.218.60.56/~jnz1568/getInfo.php?workbook=20_05.xlsx&amp;sheet=U0&amp;row=3447&amp;col=6&amp;number=3.3&amp;sourceID=14","3.3")</f>
        <v>3.3</v>
      </c>
      <c r="G3447" s="4" t="str">
        <f>HYPERLINK("http://141.218.60.56/~jnz1568/getInfo.php?workbook=20_05.xlsx&amp;sheet=U0&amp;row=3447&amp;col=7&amp;number=0.000372&amp;sourceID=14","0.000372")</f>
        <v>0.000372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HYPERLINK("http://141.218.60.56/~jnz1568/getInfo.php?workbook=20_05.xlsx&amp;sheet=U0&amp;row=3448&amp;col=6&amp;number=3.4&amp;sourceID=14","3.4")</f>
        <v>3.4</v>
      </c>
      <c r="G3448" s="4" t="str">
        <f>HYPERLINK("http://141.218.60.56/~jnz1568/getInfo.php?workbook=20_05.xlsx&amp;sheet=U0&amp;row=3448&amp;col=7&amp;number=0.000372&amp;sourceID=14","0.000372")</f>
        <v>0.000372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HYPERLINK("http://141.218.60.56/~jnz1568/getInfo.php?workbook=20_05.xlsx&amp;sheet=U0&amp;row=3449&amp;col=6&amp;number=3.5&amp;sourceID=14","3.5")</f>
        <v>3.5</v>
      </c>
      <c r="G3449" s="4" t="str">
        <f>HYPERLINK("http://141.218.60.56/~jnz1568/getInfo.php?workbook=20_05.xlsx&amp;sheet=U0&amp;row=3449&amp;col=7&amp;number=0.000372&amp;sourceID=14","0.000372")</f>
        <v>0.000372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HYPERLINK("http://141.218.60.56/~jnz1568/getInfo.php?workbook=20_05.xlsx&amp;sheet=U0&amp;row=3450&amp;col=6&amp;number=3.6&amp;sourceID=14","3.6")</f>
        <v>3.6</v>
      </c>
      <c r="G3450" s="4" t="str">
        <f>HYPERLINK("http://141.218.60.56/~jnz1568/getInfo.php?workbook=20_05.xlsx&amp;sheet=U0&amp;row=3450&amp;col=7&amp;number=0.000372&amp;sourceID=14","0.000372")</f>
        <v>0.000372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HYPERLINK("http://141.218.60.56/~jnz1568/getInfo.php?workbook=20_05.xlsx&amp;sheet=U0&amp;row=3451&amp;col=6&amp;number=3.7&amp;sourceID=14","3.7")</f>
        <v>3.7</v>
      </c>
      <c r="G3451" s="4" t="str">
        <f>HYPERLINK("http://141.218.60.56/~jnz1568/getInfo.php?workbook=20_05.xlsx&amp;sheet=U0&amp;row=3451&amp;col=7&amp;number=0.000372&amp;sourceID=14","0.000372")</f>
        <v>0.000372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HYPERLINK("http://141.218.60.56/~jnz1568/getInfo.php?workbook=20_05.xlsx&amp;sheet=U0&amp;row=3452&amp;col=6&amp;number=3.8&amp;sourceID=14","3.8")</f>
        <v>3.8</v>
      </c>
      <c r="G3452" s="4" t="str">
        <f>HYPERLINK("http://141.218.60.56/~jnz1568/getInfo.php?workbook=20_05.xlsx&amp;sheet=U0&amp;row=3452&amp;col=7&amp;number=0.000372&amp;sourceID=14","0.000372")</f>
        <v>0.000372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HYPERLINK("http://141.218.60.56/~jnz1568/getInfo.php?workbook=20_05.xlsx&amp;sheet=U0&amp;row=3453&amp;col=6&amp;number=3.9&amp;sourceID=14","3.9")</f>
        <v>3.9</v>
      </c>
      <c r="G3453" s="4" t="str">
        <f>HYPERLINK("http://141.218.60.56/~jnz1568/getInfo.php?workbook=20_05.xlsx&amp;sheet=U0&amp;row=3453&amp;col=7&amp;number=0.000371&amp;sourceID=14","0.000371")</f>
        <v>0.000371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HYPERLINK("http://141.218.60.56/~jnz1568/getInfo.php?workbook=20_05.xlsx&amp;sheet=U0&amp;row=3454&amp;col=6&amp;number=4&amp;sourceID=14","4")</f>
        <v>4</v>
      </c>
      <c r="G3454" s="4" t="str">
        <f>HYPERLINK("http://141.218.60.56/~jnz1568/getInfo.php?workbook=20_05.xlsx&amp;sheet=U0&amp;row=3454&amp;col=7&amp;number=0.000371&amp;sourceID=14","0.000371")</f>
        <v>0.000371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HYPERLINK("http://141.218.60.56/~jnz1568/getInfo.php?workbook=20_05.xlsx&amp;sheet=U0&amp;row=3455&amp;col=6&amp;number=4.1&amp;sourceID=14","4.1")</f>
        <v>4.1</v>
      </c>
      <c r="G3455" s="4" t="str">
        <f>HYPERLINK("http://141.218.60.56/~jnz1568/getInfo.php?workbook=20_05.xlsx&amp;sheet=U0&amp;row=3455&amp;col=7&amp;number=0.000371&amp;sourceID=14","0.000371")</f>
        <v>0.000371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HYPERLINK("http://141.218.60.56/~jnz1568/getInfo.php?workbook=20_05.xlsx&amp;sheet=U0&amp;row=3456&amp;col=6&amp;number=4.2&amp;sourceID=14","4.2")</f>
        <v>4.2</v>
      </c>
      <c r="G3456" s="4" t="str">
        <f>HYPERLINK("http://141.218.60.56/~jnz1568/getInfo.php?workbook=20_05.xlsx&amp;sheet=U0&amp;row=3456&amp;col=7&amp;number=0.000371&amp;sourceID=14","0.000371")</f>
        <v>0.000371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HYPERLINK("http://141.218.60.56/~jnz1568/getInfo.php?workbook=20_05.xlsx&amp;sheet=U0&amp;row=3457&amp;col=6&amp;number=4.3&amp;sourceID=14","4.3")</f>
        <v>4.3</v>
      </c>
      <c r="G3457" s="4" t="str">
        <f>HYPERLINK("http://141.218.60.56/~jnz1568/getInfo.php?workbook=20_05.xlsx&amp;sheet=U0&amp;row=3457&amp;col=7&amp;number=0.000371&amp;sourceID=14","0.000371")</f>
        <v>0.000371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HYPERLINK("http://141.218.60.56/~jnz1568/getInfo.php?workbook=20_05.xlsx&amp;sheet=U0&amp;row=3458&amp;col=6&amp;number=4.4&amp;sourceID=14","4.4")</f>
        <v>4.4</v>
      </c>
      <c r="G3458" s="4" t="str">
        <f>HYPERLINK("http://141.218.60.56/~jnz1568/getInfo.php?workbook=20_05.xlsx&amp;sheet=U0&amp;row=3458&amp;col=7&amp;number=0.00037&amp;sourceID=14","0.00037")</f>
        <v>0.00037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HYPERLINK("http://141.218.60.56/~jnz1568/getInfo.php?workbook=20_05.xlsx&amp;sheet=U0&amp;row=3459&amp;col=6&amp;number=4.5&amp;sourceID=14","4.5")</f>
        <v>4.5</v>
      </c>
      <c r="G3459" s="4" t="str">
        <f>HYPERLINK("http://141.218.60.56/~jnz1568/getInfo.php?workbook=20_05.xlsx&amp;sheet=U0&amp;row=3459&amp;col=7&amp;number=0.00037&amp;sourceID=14","0.00037")</f>
        <v>0.00037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HYPERLINK("http://141.218.60.56/~jnz1568/getInfo.php?workbook=20_05.xlsx&amp;sheet=U0&amp;row=3460&amp;col=6&amp;number=4.6&amp;sourceID=14","4.6")</f>
        <v>4.6</v>
      </c>
      <c r="G3460" s="4" t="str">
        <f>HYPERLINK("http://141.218.60.56/~jnz1568/getInfo.php?workbook=20_05.xlsx&amp;sheet=U0&amp;row=3460&amp;col=7&amp;number=0.00037&amp;sourceID=14","0.00037")</f>
        <v>0.00037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HYPERLINK("http://141.218.60.56/~jnz1568/getInfo.php?workbook=20_05.xlsx&amp;sheet=U0&amp;row=3461&amp;col=6&amp;number=4.7&amp;sourceID=14","4.7")</f>
        <v>4.7</v>
      </c>
      <c r="G3461" s="4" t="str">
        <f>HYPERLINK("http://141.218.60.56/~jnz1568/getInfo.php?workbook=20_05.xlsx&amp;sheet=U0&amp;row=3461&amp;col=7&amp;number=0.000369&amp;sourceID=14","0.000369")</f>
        <v>0.000369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HYPERLINK("http://141.218.60.56/~jnz1568/getInfo.php?workbook=20_05.xlsx&amp;sheet=U0&amp;row=3462&amp;col=6&amp;number=4.8&amp;sourceID=14","4.8")</f>
        <v>4.8</v>
      </c>
      <c r="G3462" s="4" t="str">
        <f>HYPERLINK("http://141.218.60.56/~jnz1568/getInfo.php?workbook=20_05.xlsx&amp;sheet=U0&amp;row=3462&amp;col=7&amp;number=0.000368&amp;sourceID=14","0.000368")</f>
        <v>0.000368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HYPERLINK("http://141.218.60.56/~jnz1568/getInfo.php?workbook=20_05.xlsx&amp;sheet=U0&amp;row=3463&amp;col=6&amp;number=4.9&amp;sourceID=14","4.9")</f>
        <v>4.9</v>
      </c>
      <c r="G3463" s="4" t="str">
        <f>HYPERLINK("http://141.218.60.56/~jnz1568/getInfo.php?workbook=20_05.xlsx&amp;sheet=U0&amp;row=3463&amp;col=7&amp;number=0.000367&amp;sourceID=14","0.000367")</f>
        <v>0.000367</v>
      </c>
    </row>
    <row r="3464" spans="1:7">
      <c r="A3464" s="3">
        <v>20</v>
      </c>
      <c r="B3464" s="3">
        <v>5</v>
      </c>
      <c r="C3464" s="3">
        <v>2</v>
      </c>
      <c r="D3464" s="3">
        <v>20</v>
      </c>
      <c r="E3464" s="3">
        <v>1</v>
      </c>
      <c r="F3464" s="4" t="str">
        <f>HYPERLINK("http://141.218.60.56/~jnz1568/getInfo.php?workbook=20_05.xlsx&amp;sheet=U0&amp;row=3464&amp;col=6&amp;number=3&amp;sourceID=14","3")</f>
        <v>3</v>
      </c>
      <c r="G3464" s="4" t="str">
        <f>HYPERLINK("http://141.218.60.56/~jnz1568/getInfo.php?workbook=20_05.xlsx&amp;sheet=U0&amp;row=3464&amp;col=7&amp;number=0.00453&amp;sourceID=14","0.00453")</f>
        <v>0.00453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HYPERLINK("http://141.218.60.56/~jnz1568/getInfo.php?workbook=20_05.xlsx&amp;sheet=U0&amp;row=3465&amp;col=6&amp;number=3.1&amp;sourceID=14","3.1")</f>
        <v>3.1</v>
      </c>
      <c r="G3465" s="4" t="str">
        <f>HYPERLINK("http://141.218.60.56/~jnz1568/getInfo.php?workbook=20_05.xlsx&amp;sheet=U0&amp;row=3465&amp;col=7&amp;number=0.00453&amp;sourceID=14","0.00453")</f>
        <v>0.00453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HYPERLINK("http://141.218.60.56/~jnz1568/getInfo.php?workbook=20_05.xlsx&amp;sheet=U0&amp;row=3466&amp;col=6&amp;number=3.2&amp;sourceID=14","3.2")</f>
        <v>3.2</v>
      </c>
      <c r="G3466" s="4" t="str">
        <f>HYPERLINK("http://141.218.60.56/~jnz1568/getInfo.php?workbook=20_05.xlsx&amp;sheet=U0&amp;row=3466&amp;col=7&amp;number=0.00453&amp;sourceID=14","0.00453")</f>
        <v>0.00453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HYPERLINK("http://141.218.60.56/~jnz1568/getInfo.php?workbook=20_05.xlsx&amp;sheet=U0&amp;row=3467&amp;col=6&amp;number=3.3&amp;sourceID=14","3.3")</f>
        <v>3.3</v>
      </c>
      <c r="G3467" s="4" t="str">
        <f>HYPERLINK("http://141.218.60.56/~jnz1568/getInfo.php?workbook=20_05.xlsx&amp;sheet=U0&amp;row=3467&amp;col=7&amp;number=0.00453&amp;sourceID=14","0.00453")</f>
        <v>0.00453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HYPERLINK("http://141.218.60.56/~jnz1568/getInfo.php?workbook=20_05.xlsx&amp;sheet=U0&amp;row=3468&amp;col=6&amp;number=3.4&amp;sourceID=14","3.4")</f>
        <v>3.4</v>
      </c>
      <c r="G3468" s="4" t="str">
        <f>HYPERLINK("http://141.218.60.56/~jnz1568/getInfo.php?workbook=20_05.xlsx&amp;sheet=U0&amp;row=3468&amp;col=7&amp;number=0.00453&amp;sourceID=14","0.00453")</f>
        <v>0.00453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HYPERLINK("http://141.218.60.56/~jnz1568/getInfo.php?workbook=20_05.xlsx&amp;sheet=U0&amp;row=3469&amp;col=6&amp;number=3.5&amp;sourceID=14","3.5")</f>
        <v>3.5</v>
      </c>
      <c r="G3469" s="4" t="str">
        <f>HYPERLINK("http://141.218.60.56/~jnz1568/getInfo.php?workbook=20_05.xlsx&amp;sheet=U0&amp;row=3469&amp;col=7&amp;number=0.00453&amp;sourceID=14","0.00453")</f>
        <v>0.00453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HYPERLINK("http://141.218.60.56/~jnz1568/getInfo.php?workbook=20_05.xlsx&amp;sheet=U0&amp;row=3470&amp;col=6&amp;number=3.6&amp;sourceID=14","3.6")</f>
        <v>3.6</v>
      </c>
      <c r="G3470" s="4" t="str">
        <f>HYPERLINK("http://141.218.60.56/~jnz1568/getInfo.php?workbook=20_05.xlsx&amp;sheet=U0&amp;row=3470&amp;col=7&amp;number=0.00453&amp;sourceID=14","0.00453")</f>
        <v>0.00453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HYPERLINK("http://141.218.60.56/~jnz1568/getInfo.php?workbook=20_05.xlsx&amp;sheet=U0&amp;row=3471&amp;col=6&amp;number=3.7&amp;sourceID=14","3.7")</f>
        <v>3.7</v>
      </c>
      <c r="G3471" s="4" t="str">
        <f>HYPERLINK("http://141.218.60.56/~jnz1568/getInfo.php?workbook=20_05.xlsx&amp;sheet=U0&amp;row=3471&amp;col=7&amp;number=0.00454&amp;sourceID=14","0.00454")</f>
        <v>0.00454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HYPERLINK("http://141.218.60.56/~jnz1568/getInfo.php?workbook=20_05.xlsx&amp;sheet=U0&amp;row=3472&amp;col=6&amp;number=3.8&amp;sourceID=14","3.8")</f>
        <v>3.8</v>
      </c>
      <c r="G3472" s="4" t="str">
        <f>HYPERLINK("http://141.218.60.56/~jnz1568/getInfo.php?workbook=20_05.xlsx&amp;sheet=U0&amp;row=3472&amp;col=7&amp;number=0.00454&amp;sourceID=14","0.00454")</f>
        <v>0.00454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HYPERLINK("http://141.218.60.56/~jnz1568/getInfo.php?workbook=20_05.xlsx&amp;sheet=U0&amp;row=3473&amp;col=6&amp;number=3.9&amp;sourceID=14","3.9")</f>
        <v>3.9</v>
      </c>
      <c r="G3473" s="4" t="str">
        <f>HYPERLINK("http://141.218.60.56/~jnz1568/getInfo.php?workbook=20_05.xlsx&amp;sheet=U0&amp;row=3473&amp;col=7&amp;number=0.00454&amp;sourceID=14","0.00454")</f>
        <v>0.00454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HYPERLINK("http://141.218.60.56/~jnz1568/getInfo.php?workbook=20_05.xlsx&amp;sheet=U0&amp;row=3474&amp;col=6&amp;number=4&amp;sourceID=14","4")</f>
        <v>4</v>
      </c>
      <c r="G3474" s="4" t="str">
        <f>HYPERLINK("http://141.218.60.56/~jnz1568/getInfo.php?workbook=20_05.xlsx&amp;sheet=U0&amp;row=3474&amp;col=7&amp;number=0.00455&amp;sourceID=14","0.00455")</f>
        <v>0.00455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HYPERLINK("http://141.218.60.56/~jnz1568/getInfo.php?workbook=20_05.xlsx&amp;sheet=U0&amp;row=3475&amp;col=6&amp;number=4.1&amp;sourceID=14","4.1")</f>
        <v>4.1</v>
      </c>
      <c r="G3475" s="4" t="str">
        <f>HYPERLINK("http://141.218.60.56/~jnz1568/getInfo.php?workbook=20_05.xlsx&amp;sheet=U0&amp;row=3475&amp;col=7&amp;number=0.00455&amp;sourceID=14","0.00455")</f>
        <v>0.00455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HYPERLINK("http://141.218.60.56/~jnz1568/getInfo.php?workbook=20_05.xlsx&amp;sheet=U0&amp;row=3476&amp;col=6&amp;number=4.2&amp;sourceID=14","4.2")</f>
        <v>4.2</v>
      </c>
      <c r="G3476" s="4" t="str">
        <f>HYPERLINK("http://141.218.60.56/~jnz1568/getInfo.php?workbook=20_05.xlsx&amp;sheet=U0&amp;row=3476&amp;col=7&amp;number=0.00456&amp;sourceID=14","0.00456")</f>
        <v>0.00456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HYPERLINK("http://141.218.60.56/~jnz1568/getInfo.php?workbook=20_05.xlsx&amp;sheet=U0&amp;row=3477&amp;col=6&amp;number=4.3&amp;sourceID=14","4.3")</f>
        <v>4.3</v>
      </c>
      <c r="G3477" s="4" t="str">
        <f>HYPERLINK("http://141.218.60.56/~jnz1568/getInfo.php?workbook=20_05.xlsx&amp;sheet=U0&amp;row=3477&amp;col=7&amp;number=0.00457&amp;sourceID=14","0.00457")</f>
        <v>0.00457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HYPERLINK("http://141.218.60.56/~jnz1568/getInfo.php?workbook=20_05.xlsx&amp;sheet=U0&amp;row=3478&amp;col=6&amp;number=4.4&amp;sourceID=14","4.4")</f>
        <v>4.4</v>
      </c>
      <c r="G3478" s="4" t="str">
        <f>HYPERLINK("http://141.218.60.56/~jnz1568/getInfo.php?workbook=20_05.xlsx&amp;sheet=U0&amp;row=3478&amp;col=7&amp;number=0.00458&amp;sourceID=14","0.00458")</f>
        <v>0.00458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HYPERLINK("http://141.218.60.56/~jnz1568/getInfo.php?workbook=20_05.xlsx&amp;sheet=U0&amp;row=3479&amp;col=6&amp;number=4.5&amp;sourceID=14","4.5")</f>
        <v>4.5</v>
      </c>
      <c r="G3479" s="4" t="str">
        <f>HYPERLINK("http://141.218.60.56/~jnz1568/getInfo.php?workbook=20_05.xlsx&amp;sheet=U0&amp;row=3479&amp;col=7&amp;number=0.00459&amp;sourceID=14","0.00459")</f>
        <v>0.00459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HYPERLINK("http://141.218.60.56/~jnz1568/getInfo.php?workbook=20_05.xlsx&amp;sheet=U0&amp;row=3480&amp;col=6&amp;number=4.6&amp;sourceID=14","4.6")</f>
        <v>4.6</v>
      </c>
      <c r="G3480" s="4" t="str">
        <f>HYPERLINK("http://141.218.60.56/~jnz1568/getInfo.php?workbook=20_05.xlsx&amp;sheet=U0&amp;row=3480&amp;col=7&amp;number=0.00461&amp;sourceID=14","0.00461")</f>
        <v>0.00461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HYPERLINK("http://141.218.60.56/~jnz1568/getInfo.php?workbook=20_05.xlsx&amp;sheet=U0&amp;row=3481&amp;col=6&amp;number=4.7&amp;sourceID=14","4.7")</f>
        <v>4.7</v>
      </c>
      <c r="G3481" s="4" t="str">
        <f>HYPERLINK("http://141.218.60.56/~jnz1568/getInfo.php?workbook=20_05.xlsx&amp;sheet=U0&amp;row=3481&amp;col=7&amp;number=0.00464&amp;sourceID=14","0.00464")</f>
        <v>0.00464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HYPERLINK("http://141.218.60.56/~jnz1568/getInfo.php?workbook=20_05.xlsx&amp;sheet=U0&amp;row=3482&amp;col=6&amp;number=4.8&amp;sourceID=14","4.8")</f>
        <v>4.8</v>
      </c>
      <c r="G3482" s="4" t="str">
        <f>HYPERLINK("http://141.218.60.56/~jnz1568/getInfo.php?workbook=20_05.xlsx&amp;sheet=U0&amp;row=3482&amp;col=7&amp;number=0.00466&amp;sourceID=14","0.00466")</f>
        <v>0.00466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HYPERLINK("http://141.218.60.56/~jnz1568/getInfo.php?workbook=20_05.xlsx&amp;sheet=U0&amp;row=3483&amp;col=6&amp;number=4.9&amp;sourceID=14","4.9")</f>
        <v>4.9</v>
      </c>
      <c r="G3483" s="4" t="str">
        <f>HYPERLINK("http://141.218.60.56/~jnz1568/getInfo.php?workbook=20_05.xlsx&amp;sheet=U0&amp;row=3483&amp;col=7&amp;number=0.0047&amp;sourceID=14","0.0047")</f>
        <v>0.0047</v>
      </c>
    </row>
    <row r="3484" spans="1:7">
      <c r="A3484" s="3">
        <v>20</v>
      </c>
      <c r="B3484" s="3">
        <v>5</v>
      </c>
      <c r="C3484" s="3">
        <v>2</v>
      </c>
      <c r="D3484" s="3">
        <v>21</v>
      </c>
      <c r="E3484" s="3">
        <v>1</v>
      </c>
      <c r="F3484" s="4" t="str">
        <f>HYPERLINK("http://141.218.60.56/~jnz1568/getInfo.php?workbook=20_05.xlsx&amp;sheet=U0&amp;row=3484&amp;col=6&amp;number=3&amp;sourceID=14","3")</f>
        <v>3</v>
      </c>
      <c r="G3484" s="4" t="str">
        <f>HYPERLINK("http://141.218.60.56/~jnz1568/getInfo.php?workbook=20_05.xlsx&amp;sheet=U0&amp;row=3484&amp;col=7&amp;number=0.00135&amp;sourceID=14","0.00135")</f>
        <v>0.00135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HYPERLINK("http://141.218.60.56/~jnz1568/getInfo.php?workbook=20_05.xlsx&amp;sheet=U0&amp;row=3485&amp;col=6&amp;number=3.1&amp;sourceID=14","3.1")</f>
        <v>3.1</v>
      </c>
      <c r="G3485" s="4" t="str">
        <f>HYPERLINK("http://141.218.60.56/~jnz1568/getInfo.php?workbook=20_05.xlsx&amp;sheet=U0&amp;row=3485&amp;col=7&amp;number=0.00135&amp;sourceID=14","0.00135")</f>
        <v>0.00135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HYPERLINK("http://141.218.60.56/~jnz1568/getInfo.php?workbook=20_05.xlsx&amp;sheet=U0&amp;row=3486&amp;col=6&amp;number=3.2&amp;sourceID=14","3.2")</f>
        <v>3.2</v>
      </c>
      <c r="G3486" s="4" t="str">
        <f>HYPERLINK("http://141.218.60.56/~jnz1568/getInfo.php?workbook=20_05.xlsx&amp;sheet=U0&amp;row=3486&amp;col=7&amp;number=0.00135&amp;sourceID=14","0.00135")</f>
        <v>0.00135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HYPERLINK("http://141.218.60.56/~jnz1568/getInfo.php?workbook=20_05.xlsx&amp;sheet=U0&amp;row=3487&amp;col=6&amp;number=3.3&amp;sourceID=14","3.3")</f>
        <v>3.3</v>
      </c>
      <c r="G3487" s="4" t="str">
        <f>HYPERLINK("http://141.218.60.56/~jnz1568/getInfo.php?workbook=20_05.xlsx&amp;sheet=U0&amp;row=3487&amp;col=7&amp;number=0.00135&amp;sourceID=14","0.00135")</f>
        <v>0.00135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HYPERLINK("http://141.218.60.56/~jnz1568/getInfo.php?workbook=20_05.xlsx&amp;sheet=U0&amp;row=3488&amp;col=6&amp;number=3.4&amp;sourceID=14","3.4")</f>
        <v>3.4</v>
      </c>
      <c r="G3488" s="4" t="str">
        <f>HYPERLINK("http://141.218.60.56/~jnz1568/getInfo.php?workbook=20_05.xlsx&amp;sheet=U0&amp;row=3488&amp;col=7&amp;number=0.00135&amp;sourceID=14","0.00135")</f>
        <v>0.00135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HYPERLINK("http://141.218.60.56/~jnz1568/getInfo.php?workbook=20_05.xlsx&amp;sheet=U0&amp;row=3489&amp;col=6&amp;number=3.5&amp;sourceID=14","3.5")</f>
        <v>3.5</v>
      </c>
      <c r="G3489" s="4" t="str">
        <f>HYPERLINK("http://141.218.60.56/~jnz1568/getInfo.php?workbook=20_05.xlsx&amp;sheet=U0&amp;row=3489&amp;col=7&amp;number=0.00135&amp;sourceID=14","0.00135")</f>
        <v>0.00135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HYPERLINK("http://141.218.60.56/~jnz1568/getInfo.php?workbook=20_05.xlsx&amp;sheet=U0&amp;row=3490&amp;col=6&amp;number=3.6&amp;sourceID=14","3.6")</f>
        <v>3.6</v>
      </c>
      <c r="G3490" s="4" t="str">
        <f>HYPERLINK("http://141.218.60.56/~jnz1568/getInfo.php?workbook=20_05.xlsx&amp;sheet=U0&amp;row=3490&amp;col=7&amp;number=0.00135&amp;sourceID=14","0.00135")</f>
        <v>0.00135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HYPERLINK("http://141.218.60.56/~jnz1568/getInfo.php?workbook=20_05.xlsx&amp;sheet=U0&amp;row=3491&amp;col=6&amp;number=3.7&amp;sourceID=14","3.7")</f>
        <v>3.7</v>
      </c>
      <c r="G3491" s="4" t="str">
        <f>HYPERLINK("http://141.218.60.56/~jnz1568/getInfo.php?workbook=20_05.xlsx&amp;sheet=U0&amp;row=3491&amp;col=7&amp;number=0.00135&amp;sourceID=14","0.00135")</f>
        <v>0.00135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HYPERLINK("http://141.218.60.56/~jnz1568/getInfo.php?workbook=20_05.xlsx&amp;sheet=U0&amp;row=3492&amp;col=6&amp;number=3.8&amp;sourceID=14","3.8")</f>
        <v>3.8</v>
      </c>
      <c r="G3492" s="4" t="str">
        <f>HYPERLINK("http://141.218.60.56/~jnz1568/getInfo.php?workbook=20_05.xlsx&amp;sheet=U0&amp;row=3492&amp;col=7&amp;number=0.00135&amp;sourceID=14","0.00135")</f>
        <v>0.00135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HYPERLINK("http://141.218.60.56/~jnz1568/getInfo.php?workbook=20_05.xlsx&amp;sheet=U0&amp;row=3493&amp;col=6&amp;number=3.9&amp;sourceID=14","3.9")</f>
        <v>3.9</v>
      </c>
      <c r="G3493" s="4" t="str">
        <f>HYPERLINK("http://141.218.60.56/~jnz1568/getInfo.php?workbook=20_05.xlsx&amp;sheet=U0&amp;row=3493&amp;col=7&amp;number=0.00136&amp;sourceID=14","0.00136")</f>
        <v>0.00136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HYPERLINK("http://141.218.60.56/~jnz1568/getInfo.php?workbook=20_05.xlsx&amp;sheet=U0&amp;row=3494&amp;col=6&amp;number=4&amp;sourceID=14","4")</f>
        <v>4</v>
      </c>
      <c r="G3494" s="4" t="str">
        <f>HYPERLINK("http://141.218.60.56/~jnz1568/getInfo.php?workbook=20_05.xlsx&amp;sheet=U0&amp;row=3494&amp;col=7&amp;number=0.00136&amp;sourceID=14","0.00136")</f>
        <v>0.00136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HYPERLINK("http://141.218.60.56/~jnz1568/getInfo.php?workbook=20_05.xlsx&amp;sheet=U0&amp;row=3495&amp;col=6&amp;number=4.1&amp;sourceID=14","4.1")</f>
        <v>4.1</v>
      </c>
      <c r="G3495" s="4" t="str">
        <f>HYPERLINK("http://141.218.60.56/~jnz1568/getInfo.php?workbook=20_05.xlsx&amp;sheet=U0&amp;row=3495&amp;col=7&amp;number=0.00136&amp;sourceID=14","0.00136")</f>
        <v>0.00136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HYPERLINK("http://141.218.60.56/~jnz1568/getInfo.php?workbook=20_05.xlsx&amp;sheet=U0&amp;row=3496&amp;col=6&amp;number=4.2&amp;sourceID=14","4.2")</f>
        <v>4.2</v>
      </c>
      <c r="G3496" s="4" t="str">
        <f>HYPERLINK("http://141.218.60.56/~jnz1568/getInfo.php?workbook=20_05.xlsx&amp;sheet=U0&amp;row=3496&amp;col=7&amp;number=0.00136&amp;sourceID=14","0.00136")</f>
        <v>0.00136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HYPERLINK("http://141.218.60.56/~jnz1568/getInfo.php?workbook=20_05.xlsx&amp;sheet=U0&amp;row=3497&amp;col=6&amp;number=4.3&amp;sourceID=14","4.3")</f>
        <v>4.3</v>
      </c>
      <c r="G3497" s="4" t="str">
        <f>HYPERLINK("http://141.218.60.56/~jnz1568/getInfo.php?workbook=20_05.xlsx&amp;sheet=U0&amp;row=3497&amp;col=7&amp;number=0.00136&amp;sourceID=14","0.00136")</f>
        <v>0.00136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HYPERLINK("http://141.218.60.56/~jnz1568/getInfo.php?workbook=20_05.xlsx&amp;sheet=U0&amp;row=3498&amp;col=6&amp;number=4.4&amp;sourceID=14","4.4")</f>
        <v>4.4</v>
      </c>
      <c r="G3498" s="4" t="str">
        <f>HYPERLINK("http://141.218.60.56/~jnz1568/getInfo.php?workbook=20_05.xlsx&amp;sheet=U0&amp;row=3498&amp;col=7&amp;number=0.00136&amp;sourceID=14","0.00136")</f>
        <v>0.00136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HYPERLINK("http://141.218.60.56/~jnz1568/getInfo.php?workbook=20_05.xlsx&amp;sheet=U0&amp;row=3499&amp;col=6&amp;number=4.5&amp;sourceID=14","4.5")</f>
        <v>4.5</v>
      </c>
      <c r="G3499" s="4" t="str">
        <f>HYPERLINK("http://141.218.60.56/~jnz1568/getInfo.php?workbook=20_05.xlsx&amp;sheet=U0&amp;row=3499&amp;col=7&amp;number=0.00136&amp;sourceID=14","0.00136")</f>
        <v>0.00136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HYPERLINK("http://141.218.60.56/~jnz1568/getInfo.php?workbook=20_05.xlsx&amp;sheet=U0&amp;row=3500&amp;col=6&amp;number=4.6&amp;sourceID=14","4.6")</f>
        <v>4.6</v>
      </c>
      <c r="G3500" s="4" t="str">
        <f>HYPERLINK("http://141.218.60.56/~jnz1568/getInfo.php?workbook=20_05.xlsx&amp;sheet=U0&amp;row=3500&amp;col=7&amp;number=0.00136&amp;sourceID=14","0.00136")</f>
        <v>0.00136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HYPERLINK("http://141.218.60.56/~jnz1568/getInfo.php?workbook=20_05.xlsx&amp;sheet=U0&amp;row=3501&amp;col=6&amp;number=4.7&amp;sourceID=14","4.7")</f>
        <v>4.7</v>
      </c>
      <c r="G3501" s="4" t="str">
        <f>HYPERLINK("http://141.218.60.56/~jnz1568/getInfo.php?workbook=20_05.xlsx&amp;sheet=U0&amp;row=3501&amp;col=7&amp;number=0.00137&amp;sourceID=14","0.00137")</f>
        <v>0.00137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HYPERLINK("http://141.218.60.56/~jnz1568/getInfo.php?workbook=20_05.xlsx&amp;sheet=U0&amp;row=3502&amp;col=6&amp;number=4.8&amp;sourceID=14","4.8")</f>
        <v>4.8</v>
      </c>
      <c r="G3502" s="4" t="str">
        <f>HYPERLINK("http://141.218.60.56/~jnz1568/getInfo.php?workbook=20_05.xlsx&amp;sheet=U0&amp;row=3502&amp;col=7&amp;number=0.00137&amp;sourceID=14","0.00137")</f>
        <v>0.00137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HYPERLINK("http://141.218.60.56/~jnz1568/getInfo.php?workbook=20_05.xlsx&amp;sheet=U0&amp;row=3503&amp;col=6&amp;number=4.9&amp;sourceID=14","4.9")</f>
        <v>4.9</v>
      </c>
      <c r="G3503" s="4" t="str">
        <f>HYPERLINK("http://141.218.60.56/~jnz1568/getInfo.php?workbook=20_05.xlsx&amp;sheet=U0&amp;row=3503&amp;col=7&amp;number=0.00137&amp;sourceID=14","0.00137")</f>
        <v>0.00137</v>
      </c>
    </row>
    <row r="3504" spans="1:7">
      <c r="A3504" s="3">
        <v>20</v>
      </c>
      <c r="B3504" s="3">
        <v>5</v>
      </c>
      <c r="C3504" s="3">
        <v>2</v>
      </c>
      <c r="D3504" s="3">
        <v>22</v>
      </c>
      <c r="E3504" s="3">
        <v>1</v>
      </c>
      <c r="F3504" s="4" t="str">
        <f>HYPERLINK("http://141.218.60.56/~jnz1568/getInfo.php?workbook=20_05.xlsx&amp;sheet=U0&amp;row=3504&amp;col=6&amp;number=3&amp;sourceID=14","3")</f>
        <v>3</v>
      </c>
      <c r="G3504" s="4" t="str">
        <f>HYPERLINK("http://141.218.60.56/~jnz1568/getInfo.php?workbook=20_05.xlsx&amp;sheet=U0&amp;row=3504&amp;col=7&amp;number=0.000901&amp;sourceID=14","0.000901")</f>
        <v>0.000901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HYPERLINK("http://141.218.60.56/~jnz1568/getInfo.php?workbook=20_05.xlsx&amp;sheet=U0&amp;row=3505&amp;col=6&amp;number=3.1&amp;sourceID=14","3.1")</f>
        <v>3.1</v>
      </c>
      <c r="G3505" s="4" t="str">
        <f>HYPERLINK("http://141.218.60.56/~jnz1568/getInfo.php?workbook=20_05.xlsx&amp;sheet=U0&amp;row=3505&amp;col=7&amp;number=0.000901&amp;sourceID=14","0.000901")</f>
        <v>0.000901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HYPERLINK("http://141.218.60.56/~jnz1568/getInfo.php?workbook=20_05.xlsx&amp;sheet=U0&amp;row=3506&amp;col=6&amp;number=3.2&amp;sourceID=14","3.2")</f>
        <v>3.2</v>
      </c>
      <c r="G3506" s="4" t="str">
        <f>HYPERLINK("http://141.218.60.56/~jnz1568/getInfo.php?workbook=20_05.xlsx&amp;sheet=U0&amp;row=3506&amp;col=7&amp;number=0.000901&amp;sourceID=14","0.000901")</f>
        <v>0.000901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HYPERLINK("http://141.218.60.56/~jnz1568/getInfo.php?workbook=20_05.xlsx&amp;sheet=U0&amp;row=3507&amp;col=6&amp;number=3.3&amp;sourceID=14","3.3")</f>
        <v>3.3</v>
      </c>
      <c r="G3507" s="4" t="str">
        <f>HYPERLINK("http://141.218.60.56/~jnz1568/getInfo.php?workbook=20_05.xlsx&amp;sheet=U0&amp;row=3507&amp;col=7&amp;number=0.000901&amp;sourceID=14","0.000901")</f>
        <v>0.000901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HYPERLINK("http://141.218.60.56/~jnz1568/getInfo.php?workbook=20_05.xlsx&amp;sheet=U0&amp;row=3508&amp;col=6&amp;number=3.4&amp;sourceID=14","3.4")</f>
        <v>3.4</v>
      </c>
      <c r="G3508" s="4" t="str">
        <f>HYPERLINK("http://141.218.60.56/~jnz1568/getInfo.php?workbook=20_05.xlsx&amp;sheet=U0&amp;row=3508&amp;col=7&amp;number=0.000901&amp;sourceID=14","0.000901")</f>
        <v>0.000901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HYPERLINK("http://141.218.60.56/~jnz1568/getInfo.php?workbook=20_05.xlsx&amp;sheet=U0&amp;row=3509&amp;col=6&amp;number=3.5&amp;sourceID=14","3.5")</f>
        <v>3.5</v>
      </c>
      <c r="G3509" s="4" t="str">
        <f>HYPERLINK("http://141.218.60.56/~jnz1568/getInfo.php?workbook=20_05.xlsx&amp;sheet=U0&amp;row=3509&amp;col=7&amp;number=0.000901&amp;sourceID=14","0.000901")</f>
        <v>0.000901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HYPERLINK("http://141.218.60.56/~jnz1568/getInfo.php?workbook=20_05.xlsx&amp;sheet=U0&amp;row=3510&amp;col=6&amp;number=3.6&amp;sourceID=14","3.6")</f>
        <v>3.6</v>
      </c>
      <c r="G3510" s="4" t="str">
        <f>HYPERLINK("http://141.218.60.56/~jnz1568/getInfo.php?workbook=20_05.xlsx&amp;sheet=U0&amp;row=3510&amp;col=7&amp;number=0.000901&amp;sourceID=14","0.000901")</f>
        <v>0.000901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HYPERLINK("http://141.218.60.56/~jnz1568/getInfo.php?workbook=20_05.xlsx&amp;sheet=U0&amp;row=3511&amp;col=6&amp;number=3.7&amp;sourceID=14","3.7")</f>
        <v>3.7</v>
      </c>
      <c r="G3511" s="4" t="str">
        <f>HYPERLINK("http://141.218.60.56/~jnz1568/getInfo.php?workbook=20_05.xlsx&amp;sheet=U0&amp;row=3511&amp;col=7&amp;number=0.000901&amp;sourceID=14","0.000901")</f>
        <v>0.000901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HYPERLINK("http://141.218.60.56/~jnz1568/getInfo.php?workbook=20_05.xlsx&amp;sheet=U0&amp;row=3512&amp;col=6&amp;number=3.8&amp;sourceID=14","3.8")</f>
        <v>3.8</v>
      </c>
      <c r="G3512" s="4" t="str">
        <f>HYPERLINK("http://141.218.60.56/~jnz1568/getInfo.php?workbook=20_05.xlsx&amp;sheet=U0&amp;row=3512&amp;col=7&amp;number=0.000901&amp;sourceID=14","0.000901")</f>
        <v>0.000901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HYPERLINK("http://141.218.60.56/~jnz1568/getInfo.php?workbook=20_05.xlsx&amp;sheet=U0&amp;row=3513&amp;col=6&amp;number=3.9&amp;sourceID=14","3.9")</f>
        <v>3.9</v>
      </c>
      <c r="G3513" s="4" t="str">
        <f>HYPERLINK("http://141.218.60.56/~jnz1568/getInfo.php?workbook=20_05.xlsx&amp;sheet=U0&amp;row=3513&amp;col=7&amp;number=0.000901&amp;sourceID=14","0.000901")</f>
        <v>0.000901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HYPERLINK("http://141.218.60.56/~jnz1568/getInfo.php?workbook=20_05.xlsx&amp;sheet=U0&amp;row=3514&amp;col=6&amp;number=4&amp;sourceID=14","4")</f>
        <v>4</v>
      </c>
      <c r="G3514" s="4" t="str">
        <f>HYPERLINK("http://141.218.60.56/~jnz1568/getInfo.php?workbook=20_05.xlsx&amp;sheet=U0&amp;row=3514&amp;col=7&amp;number=0.000901&amp;sourceID=14","0.000901")</f>
        <v>0.000901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HYPERLINK("http://141.218.60.56/~jnz1568/getInfo.php?workbook=20_05.xlsx&amp;sheet=U0&amp;row=3515&amp;col=6&amp;number=4.1&amp;sourceID=14","4.1")</f>
        <v>4.1</v>
      </c>
      <c r="G3515" s="4" t="str">
        <f>HYPERLINK("http://141.218.60.56/~jnz1568/getInfo.php?workbook=20_05.xlsx&amp;sheet=U0&amp;row=3515&amp;col=7&amp;number=0.000901&amp;sourceID=14","0.000901")</f>
        <v>0.000901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HYPERLINK("http://141.218.60.56/~jnz1568/getInfo.php?workbook=20_05.xlsx&amp;sheet=U0&amp;row=3516&amp;col=6&amp;number=4.2&amp;sourceID=14","4.2")</f>
        <v>4.2</v>
      </c>
      <c r="G3516" s="4" t="str">
        <f>HYPERLINK("http://141.218.60.56/~jnz1568/getInfo.php?workbook=20_05.xlsx&amp;sheet=U0&amp;row=3516&amp;col=7&amp;number=0.000901&amp;sourceID=14","0.000901")</f>
        <v>0.000901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HYPERLINK("http://141.218.60.56/~jnz1568/getInfo.php?workbook=20_05.xlsx&amp;sheet=U0&amp;row=3517&amp;col=6&amp;number=4.3&amp;sourceID=14","4.3")</f>
        <v>4.3</v>
      </c>
      <c r="G3517" s="4" t="str">
        <f>HYPERLINK("http://141.218.60.56/~jnz1568/getInfo.php?workbook=20_05.xlsx&amp;sheet=U0&amp;row=3517&amp;col=7&amp;number=0.000901&amp;sourceID=14","0.000901")</f>
        <v>0.000901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HYPERLINK("http://141.218.60.56/~jnz1568/getInfo.php?workbook=20_05.xlsx&amp;sheet=U0&amp;row=3518&amp;col=6&amp;number=4.4&amp;sourceID=14","4.4")</f>
        <v>4.4</v>
      </c>
      <c r="G3518" s="4" t="str">
        <f>HYPERLINK("http://141.218.60.56/~jnz1568/getInfo.php?workbook=20_05.xlsx&amp;sheet=U0&amp;row=3518&amp;col=7&amp;number=0.000901&amp;sourceID=14","0.000901")</f>
        <v>0.000901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HYPERLINK("http://141.218.60.56/~jnz1568/getInfo.php?workbook=20_05.xlsx&amp;sheet=U0&amp;row=3519&amp;col=6&amp;number=4.5&amp;sourceID=14","4.5")</f>
        <v>4.5</v>
      </c>
      <c r="G3519" s="4" t="str">
        <f>HYPERLINK("http://141.218.60.56/~jnz1568/getInfo.php?workbook=20_05.xlsx&amp;sheet=U0&amp;row=3519&amp;col=7&amp;number=0.000901&amp;sourceID=14","0.000901")</f>
        <v>0.000901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HYPERLINK("http://141.218.60.56/~jnz1568/getInfo.php?workbook=20_05.xlsx&amp;sheet=U0&amp;row=3520&amp;col=6&amp;number=4.6&amp;sourceID=14","4.6")</f>
        <v>4.6</v>
      </c>
      <c r="G3520" s="4" t="str">
        <f>HYPERLINK("http://141.218.60.56/~jnz1568/getInfo.php?workbook=20_05.xlsx&amp;sheet=U0&amp;row=3520&amp;col=7&amp;number=0.000901&amp;sourceID=14","0.000901")</f>
        <v>0.000901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HYPERLINK("http://141.218.60.56/~jnz1568/getInfo.php?workbook=20_05.xlsx&amp;sheet=U0&amp;row=3521&amp;col=6&amp;number=4.7&amp;sourceID=14","4.7")</f>
        <v>4.7</v>
      </c>
      <c r="G3521" s="4" t="str">
        <f>HYPERLINK("http://141.218.60.56/~jnz1568/getInfo.php?workbook=20_05.xlsx&amp;sheet=U0&amp;row=3521&amp;col=7&amp;number=0.000901&amp;sourceID=14","0.000901")</f>
        <v>0.000901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HYPERLINK("http://141.218.60.56/~jnz1568/getInfo.php?workbook=20_05.xlsx&amp;sheet=U0&amp;row=3522&amp;col=6&amp;number=4.8&amp;sourceID=14","4.8")</f>
        <v>4.8</v>
      </c>
      <c r="G3522" s="4" t="str">
        <f>HYPERLINK("http://141.218.60.56/~jnz1568/getInfo.php?workbook=20_05.xlsx&amp;sheet=U0&amp;row=3522&amp;col=7&amp;number=0.000901&amp;sourceID=14","0.000901")</f>
        <v>0.000901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HYPERLINK("http://141.218.60.56/~jnz1568/getInfo.php?workbook=20_05.xlsx&amp;sheet=U0&amp;row=3523&amp;col=6&amp;number=4.9&amp;sourceID=14","4.9")</f>
        <v>4.9</v>
      </c>
      <c r="G3523" s="4" t="str">
        <f>HYPERLINK("http://141.218.60.56/~jnz1568/getInfo.php?workbook=20_05.xlsx&amp;sheet=U0&amp;row=3523&amp;col=7&amp;number=0.0009&amp;sourceID=14","0.0009")</f>
        <v>0.0009</v>
      </c>
    </row>
    <row r="3524" spans="1:7">
      <c r="A3524" s="3">
        <v>20</v>
      </c>
      <c r="B3524" s="3">
        <v>5</v>
      </c>
      <c r="C3524" s="3">
        <v>2</v>
      </c>
      <c r="D3524" s="3">
        <v>23</v>
      </c>
      <c r="E3524" s="3">
        <v>1</v>
      </c>
      <c r="F3524" s="4" t="str">
        <f>HYPERLINK("http://141.218.60.56/~jnz1568/getInfo.php?workbook=20_05.xlsx&amp;sheet=U0&amp;row=3524&amp;col=6&amp;number=3&amp;sourceID=14","3")</f>
        <v>3</v>
      </c>
      <c r="G3524" s="4" t="str">
        <f>HYPERLINK("http://141.218.60.56/~jnz1568/getInfo.php?workbook=20_05.xlsx&amp;sheet=U0&amp;row=3524&amp;col=7&amp;number=4.85e-05&amp;sourceID=14","4.85e-05")</f>
        <v>4.85e-05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HYPERLINK("http://141.218.60.56/~jnz1568/getInfo.php?workbook=20_05.xlsx&amp;sheet=U0&amp;row=3525&amp;col=6&amp;number=3.1&amp;sourceID=14","3.1")</f>
        <v>3.1</v>
      </c>
      <c r="G3525" s="4" t="str">
        <f>HYPERLINK("http://141.218.60.56/~jnz1568/getInfo.php?workbook=20_05.xlsx&amp;sheet=U0&amp;row=3525&amp;col=7&amp;number=4.85e-05&amp;sourceID=14","4.85e-05")</f>
        <v>4.85e-05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HYPERLINK("http://141.218.60.56/~jnz1568/getInfo.php?workbook=20_05.xlsx&amp;sheet=U0&amp;row=3526&amp;col=6&amp;number=3.2&amp;sourceID=14","3.2")</f>
        <v>3.2</v>
      </c>
      <c r="G3526" s="4" t="str">
        <f>HYPERLINK("http://141.218.60.56/~jnz1568/getInfo.php?workbook=20_05.xlsx&amp;sheet=U0&amp;row=3526&amp;col=7&amp;number=4.85e-05&amp;sourceID=14","4.85e-05")</f>
        <v>4.85e-05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HYPERLINK("http://141.218.60.56/~jnz1568/getInfo.php?workbook=20_05.xlsx&amp;sheet=U0&amp;row=3527&amp;col=6&amp;number=3.3&amp;sourceID=14","3.3")</f>
        <v>3.3</v>
      </c>
      <c r="G3527" s="4" t="str">
        <f>HYPERLINK("http://141.218.60.56/~jnz1568/getInfo.php?workbook=20_05.xlsx&amp;sheet=U0&amp;row=3527&amp;col=7&amp;number=4.85e-05&amp;sourceID=14","4.85e-05")</f>
        <v>4.85e-05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HYPERLINK("http://141.218.60.56/~jnz1568/getInfo.php?workbook=20_05.xlsx&amp;sheet=U0&amp;row=3528&amp;col=6&amp;number=3.4&amp;sourceID=14","3.4")</f>
        <v>3.4</v>
      </c>
      <c r="G3528" s="4" t="str">
        <f>HYPERLINK("http://141.218.60.56/~jnz1568/getInfo.php?workbook=20_05.xlsx&amp;sheet=U0&amp;row=3528&amp;col=7&amp;number=4.85e-05&amp;sourceID=14","4.85e-05")</f>
        <v>4.85e-05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HYPERLINK("http://141.218.60.56/~jnz1568/getInfo.php?workbook=20_05.xlsx&amp;sheet=U0&amp;row=3529&amp;col=6&amp;number=3.5&amp;sourceID=14","3.5")</f>
        <v>3.5</v>
      </c>
      <c r="G3529" s="4" t="str">
        <f>HYPERLINK("http://141.218.60.56/~jnz1568/getInfo.php?workbook=20_05.xlsx&amp;sheet=U0&amp;row=3529&amp;col=7&amp;number=4.85e-05&amp;sourceID=14","4.85e-05")</f>
        <v>4.85e-05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HYPERLINK("http://141.218.60.56/~jnz1568/getInfo.php?workbook=20_05.xlsx&amp;sheet=U0&amp;row=3530&amp;col=6&amp;number=3.6&amp;sourceID=14","3.6")</f>
        <v>3.6</v>
      </c>
      <c r="G3530" s="4" t="str">
        <f>HYPERLINK("http://141.218.60.56/~jnz1568/getInfo.php?workbook=20_05.xlsx&amp;sheet=U0&amp;row=3530&amp;col=7&amp;number=4.85e-05&amp;sourceID=14","4.85e-05")</f>
        <v>4.85e-05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HYPERLINK("http://141.218.60.56/~jnz1568/getInfo.php?workbook=20_05.xlsx&amp;sheet=U0&amp;row=3531&amp;col=6&amp;number=3.7&amp;sourceID=14","3.7")</f>
        <v>3.7</v>
      </c>
      <c r="G3531" s="4" t="str">
        <f>HYPERLINK("http://141.218.60.56/~jnz1568/getInfo.php?workbook=20_05.xlsx&amp;sheet=U0&amp;row=3531&amp;col=7&amp;number=4.85e-05&amp;sourceID=14","4.85e-05")</f>
        <v>4.85e-05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HYPERLINK("http://141.218.60.56/~jnz1568/getInfo.php?workbook=20_05.xlsx&amp;sheet=U0&amp;row=3532&amp;col=6&amp;number=3.8&amp;sourceID=14","3.8")</f>
        <v>3.8</v>
      </c>
      <c r="G3532" s="4" t="str">
        <f>HYPERLINK("http://141.218.60.56/~jnz1568/getInfo.php?workbook=20_05.xlsx&amp;sheet=U0&amp;row=3532&amp;col=7&amp;number=4.85e-05&amp;sourceID=14","4.85e-05")</f>
        <v>4.85e-05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HYPERLINK("http://141.218.60.56/~jnz1568/getInfo.php?workbook=20_05.xlsx&amp;sheet=U0&amp;row=3533&amp;col=6&amp;number=3.9&amp;sourceID=14","3.9")</f>
        <v>3.9</v>
      </c>
      <c r="G3533" s="4" t="str">
        <f>HYPERLINK("http://141.218.60.56/~jnz1568/getInfo.php?workbook=20_05.xlsx&amp;sheet=U0&amp;row=3533&amp;col=7&amp;number=4.85e-05&amp;sourceID=14","4.85e-05")</f>
        <v>4.85e-05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HYPERLINK("http://141.218.60.56/~jnz1568/getInfo.php?workbook=20_05.xlsx&amp;sheet=U0&amp;row=3534&amp;col=6&amp;number=4&amp;sourceID=14","4")</f>
        <v>4</v>
      </c>
      <c r="G3534" s="4" t="str">
        <f>HYPERLINK("http://141.218.60.56/~jnz1568/getInfo.php?workbook=20_05.xlsx&amp;sheet=U0&amp;row=3534&amp;col=7&amp;number=4.85e-05&amp;sourceID=14","4.85e-05")</f>
        <v>4.85e-05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HYPERLINK("http://141.218.60.56/~jnz1568/getInfo.php?workbook=20_05.xlsx&amp;sheet=U0&amp;row=3535&amp;col=6&amp;number=4.1&amp;sourceID=14","4.1")</f>
        <v>4.1</v>
      </c>
      <c r="G3535" s="4" t="str">
        <f>HYPERLINK("http://141.218.60.56/~jnz1568/getInfo.php?workbook=20_05.xlsx&amp;sheet=U0&amp;row=3535&amp;col=7&amp;number=4.85e-05&amp;sourceID=14","4.85e-05")</f>
        <v>4.85e-05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HYPERLINK("http://141.218.60.56/~jnz1568/getInfo.php?workbook=20_05.xlsx&amp;sheet=U0&amp;row=3536&amp;col=6&amp;number=4.2&amp;sourceID=14","4.2")</f>
        <v>4.2</v>
      </c>
      <c r="G3536" s="4" t="str">
        <f>HYPERLINK("http://141.218.60.56/~jnz1568/getInfo.php?workbook=20_05.xlsx&amp;sheet=U0&amp;row=3536&amp;col=7&amp;number=4.85e-05&amp;sourceID=14","4.85e-05")</f>
        <v>4.85e-05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HYPERLINK("http://141.218.60.56/~jnz1568/getInfo.php?workbook=20_05.xlsx&amp;sheet=U0&amp;row=3537&amp;col=6&amp;number=4.3&amp;sourceID=14","4.3")</f>
        <v>4.3</v>
      </c>
      <c r="G3537" s="4" t="str">
        <f>HYPERLINK("http://141.218.60.56/~jnz1568/getInfo.php?workbook=20_05.xlsx&amp;sheet=U0&amp;row=3537&amp;col=7&amp;number=4.84e-05&amp;sourceID=14","4.84e-05")</f>
        <v>4.84e-05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HYPERLINK("http://141.218.60.56/~jnz1568/getInfo.php?workbook=20_05.xlsx&amp;sheet=U0&amp;row=3538&amp;col=6&amp;number=4.4&amp;sourceID=14","4.4")</f>
        <v>4.4</v>
      </c>
      <c r="G3538" s="4" t="str">
        <f>HYPERLINK("http://141.218.60.56/~jnz1568/getInfo.php?workbook=20_05.xlsx&amp;sheet=U0&amp;row=3538&amp;col=7&amp;number=4.84e-05&amp;sourceID=14","4.84e-05")</f>
        <v>4.84e-05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HYPERLINK("http://141.218.60.56/~jnz1568/getInfo.php?workbook=20_05.xlsx&amp;sheet=U0&amp;row=3539&amp;col=6&amp;number=4.5&amp;sourceID=14","4.5")</f>
        <v>4.5</v>
      </c>
      <c r="G3539" s="4" t="str">
        <f>HYPERLINK("http://141.218.60.56/~jnz1568/getInfo.php?workbook=20_05.xlsx&amp;sheet=U0&amp;row=3539&amp;col=7&amp;number=4.84e-05&amp;sourceID=14","4.84e-05")</f>
        <v>4.84e-05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HYPERLINK("http://141.218.60.56/~jnz1568/getInfo.php?workbook=20_05.xlsx&amp;sheet=U0&amp;row=3540&amp;col=6&amp;number=4.6&amp;sourceID=14","4.6")</f>
        <v>4.6</v>
      </c>
      <c r="G3540" s="4" t="str">
        <f>HYPERLINK("http://141.218.60.56/~jnz1568/getInfo.php?workbook=20_05.xlsx&amp;sheet=U0&amp;row=3540&amp;col=7&amp;number=4.83e-05&amp;sourceID=14","4.83e-05")</f>
        <v>4.83e-05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HYPERLINK("http://141.218.60.56/~jnz1568/getInfo.php?workbook=20_05.xlsx&amp;sheet=U0&amp;row=3541&amp;col=6&amp;number=4.7&amp;sourceID=14","4.7")</f>
        <v>4.7</v>
      </c>
      <c r="G3541" s="4" t="str">
        <f>HYPERLINK("http://141.218.60.56/~jnz1568/getInfo.php?workbook=20_05.xlsx&amp;sheet=U0&amp;row=3541&amp;col=7&amp;number=4.83e-05&amp;sourceID=14","4.83e-05")</f>
        <v>4.83e-05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HYPERLINK("http://141.218.60.56/~jnz1568/getInfo.php?workbook=20_05.xlsx&amp;sheet=U0&amp;row=3542&amp;col=6&amp;number=4.8&amp;sourceID=14","4.8")</f>
        <v>4.8</v>
      </c>
      <c r="G3542" s="4" t="str">
        <f>HYPERLINK("http://141.218.60.56/~jnz1568/getInfo.php?workbook=20_05.xlsx&amp;sheet=U0&amp;row=3542&amp;col=7&amp;number=4.82e-05&amp;sourceID=14","4.82e-05")</f>
        <v>4.82e-05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HYPERLINK("http://141.218.60.56/~jnz1568/getInfo.php?workbook=20_05.xlsx&amp;sheet=U0&amp;row=3543&amp;col=6&amp;number=4.9&amp;sourceID=14","4.9")</f>
        <v>4.9</v>
      </c>
      <c r="G3543" s="4" t="str">
        <f>HYPERLINK("http://141.218.60.56/~jnz1568/getInfo.php?workbook=20_05.xlsx&amp;sheet=U0&amp;row=3543&amp;col=7&amp;number=4.81e-05&amp;sourceID=14","4.81e-05")</f>
        <v>4.81e-05</v>
      </c>
    </row>
    <row r="3544" spans="1:7">
      <c r="A3544" s="3">
        <v>20</v>
      </c>
      <c r="B3544" s="3">
        <v>5</v>
      </c>
      <c r="C3544" s="3">
        <v>2</v>
      </c>
      <c r="D3544" s="3">
        <v>24</v>
      </c>
      <c r="E3544" s="3">
        <v>1</v>
      </c>
      <c r="F3544" s="4" t="str">
        <f>HYPERLINK("http://141.218.60.56/~jnz1568/getInfo.php?workbook=20_05.xlsx&amp;sheet=U0&amp;row=3544&amp;col=6&amp;number=3&amp;sourceID=14","3")</f>
        <v>3</v>
      </c>
      <c r="G3544" s="4" t="str">
        <f>HYPERLINK("http://141.218.60.56/~jnz1568/getInfo.php?workbook=20_05.xlsx&amp;sheet=U0&amp;row=3544&amp;col=7&amp;number=0.000291&amp;sourceID=14","0.000291")</f>
        <v>0.000291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HYPERLINK("http://141.218.60.56/~jnz1568/getInfo.php?workbook=20_05.xlsx&amp;sheet=U0&amp;row=3545&amp;col=6&amp;number=3.1&amp;sourceID=14","3.1")</f>
        <v>3.1</v>
      </c>
      <c r="G3545" s="4" t="str">
        <f>HYPERLINK("http://141.218.60.56/~jnz1568/getInfo.php?workbook=20_05.xlsx&amp;sheet=U0&amp;row=3545&amp;col=7&amp;number=0.000291&amp;sourceID=14","0.000291")</f>
        <v>0.000291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HYPERLINK("http://141.218.60.56/~jnz1568/getInfo.php?workbook=20_05.xlsx&amp;sheet=U0&amp;row=3546&amp;col=6&amp;number=3.2&amp;sourceID=14","3.2")</f>
        <v>3.2</v>
      </c>
      <c r="G3546" s="4" t="str">
        <f>HYPERLINK("http://141.218.60.56/~jnz1568/getInfo.php?workbook=20_05.xlsx&amp;sheet=U0&amp;row=3546&amp;col=7&amp;number=0.000291&amp;sourceID=14","0.000291")</f>
        <v>0.000291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HYPERLINK("http://141.218.60.56/~jnz1568/getInfo.php?workbook=20_05.xlsx&amp;sheet=U0&amp;row=3547&amp;col=6&amp;number=3.3&amp;sourceID=14","3.3")</f>
        <v>3.3</v>
      </c>
      <c r="G3547" s="4" t="str">
        <f>HYPERLINK("http://141.218.60.56/~jnz1568/getInfo.php?workbook=20_05.xlsx&amp;sheet=U0&amp;row=3547&amp;col=7&amp;number=0.000291&amp;sourceID=14","0.000291")</f>
        <v>0.000291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HYPERLINK("http://141.218.60.56/~jnz1568/getInfo.php?workbook=20_05.xlsx&amp;sheet=U0&amp;row=3548&amp;col=6&amp;number=3.4&amp;sourceID=14","3.4")</f>
        <v>3.4</v>
      </c>
      <c r="G3548" s="4" t="str">
        <f>HYPERLINK("http://141.218.60.56/~jnz1568/getInfo.php?workbook=20_05.xlsx&amp;sheet=U0&amp;row=3548&amp;col=7&amp;number=0.000291&amp;sourceID=14","0.000291")</f>
        <v>0.000291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HYPERLINK("http://141.218.60.56/~jnz1568/getInfo.php?workbook=20_05.xlsx&amp;sheet=U0&amp;row=3549&amp;col=6&amp;number=3.5&amp;sourceID=14","3.5")</f>
        <v>3.5</v>
      </c>
      <c r="G3549" s="4" t="str">
        <f>HYPERLINK("http://141.218.60.56/~jnz1568/getInfo.php?workbook=20_05.xlsx&amp;sheet=U0&amp;row=3549&amp;col=7&amp;number=0.000291&amp;sourceID=14","0.000291")</f>
        <v>0.000291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HYPERLINK("http://141.218.60.56/~jnz1568/getInfo.php?workbook=20_05.xlsx&amp;sheet=U0&amp;row=3550&amp;col=6&amp;number=3.6&amp;sourceID=14","3.6")</f>
        <v>3.6</v>
      </c>
      <c r="G3550" s="4" t="str">
        <f>HYPERLINK("http://141.218.60.56/~jnz1568/getInfo.php?workbook=20_05.xlsx&amp;sheet=U0&amp;row=3550&amp;col=7&amp;number=0.000291&amp;sourceID=14","0.000291")</f>
        <v>0.000291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HYPERLINK("http://141.218.60.56/~jnz1568/getInfo.php?workbook=20_05.xlsx&amp;sheet=U0&amp;row=3551&amp;col=6&amp;number=3.7&amp;sourceID=14","3.7")</f>
        <v>3.7</v>
      </c>
      <c r="G3551" s="4" t="str">
        <f>HYPERLINK("http://141.218.60.56/~jnz1568/getInfo.php?workbook=20_05.xlsx&amp;sheet=U0&amp;row=3551&amp;col=7&amp;number=0.000291&amp;sourceID=14","0.000291")</f>
        <v>0.000291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HYPERLINK("http://141.218.60.56/~jnz1568/getInfo.php?workbook=20_05.xlsx&amp;sheet=U0&amp;row=3552&amp;col=6&amp;number=3.8&amp;sourceID=14","3.8")</f>
        <v>3.8</v>
      </c>
      <c r="G3552" s="4" t="str">
        <f>HYPERLINK("http://141.218.60.56/~jnz1568/getInfo.php?workbook=20_05.xlsx&amp;sheet=U0&amp;row=3552&amp;col=7&amp;number=0.000292&amp;sourceID=14","0.000292")</f>
        <v>0.000292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HYPERLINK("http://141.218.60.56/~jnz1568/getInfo.php?workbook=20_05.xlsx&amp;sheet=U0&amp;row=3553&amp;col=6&amp;number=3.9&amp;sourceID=14","3.9")</f>
        <v>3.9</v>
      </c>
      <c r="G3553" s="4" t="str">
        <f>HYPERLINK("http://141.218.60.56/~jnz1568/getInfo.php?workbook=20_05.xlsx&amp;sheet=U0&amp;row=3553&amp;col=7&amp;number=0.000292&amp;sourceID=14","0.000292")</f>
        <v>0.000292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HYPERLINK("http://141.218.60.56/~jnz1568/getInfo.php?workbook=20_05.xlsx&amp;sheet=U0&amp;row=3554&amp;col=6&amp;number=4&amp;sourceID=14","4")</f>
        <v>4</v>
      </c>
      <c r="G3554" s="4" t="str">
        <f>HYPERLINK("http://141.218.60.56/~jnz1568/getInfo.php?workbook=20_05.xlsx&amp;sheet=U0&amp;row=3554&amp;col=7&amp;number=0.000292&amp;sourceID=14","0.000292")</f>
        <v>0.000292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HYPERLINK("http://141.218.60.56/~jnz1568/getInfo.php?workbook=20_05.xlsx&amp;sheet=U0&amp;row=3555&amp;col=6&amp;number=4.1&amp;sourceID=14","4.1")</f>
        <v>4.1</v>
      </c>
      <c r="G3555" s="4" t="str">
        <f>HYPERLINK("http://141.218.60.56/~jnz1568/getInfo.php?workbook=20_05.xlsx&amp;sheet=U0&amp;row=3555&amp;col=7&amp;number=0.000292&amp;sourceID=14","0.000292")</f>
        <v>0.000292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HYPERLINK("http://141.218.60.56/~jnz1568/getInfo.php?workbook=20_05.xlsx&amp;sheet=U0&amp;row=3556&amp;col=6&amp;number=4.2&amp;sourceID=14","4.2")</f>
        <v>4.2</v>
      </c>
      <c r="G3556" s="4" t="str">
        <f>HYPERLINK("http://141.218.60.56/~jnz1568/getInfo.php?workbook=20_05.xlsx&amp;sheet=U0&amp;row=3556&amp;col=7&amp;number=0.000292&amp;sourceID=14","0.000292")</f>
        <v>0.000292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HYPERLINK("http://141.218.60.56/~jnz1568/getInfo.php?workbook=20_05.xlsx&amp;sheet=U0&amp;row=3557&amp;col=6&amp;number=4.3&amp;sourceID=14","4.3")</f>
        <v>4.3</v>
      </c>
      <c r="G3557" s="4" t="str">
        <f>HYPERLINK("http://141.218.60.56/~jnz1568/getInfo.php?workbook=20_05.xlsx&amp;sheet=U0&amp;row=3557&amp;col=7&amp;number=0.000293&amp;sourceID=14","0.000293")</f>
        <v>0.000293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HYPERLINK("http://141.218.60.56/~jnz1568/getInfo.php?workbook=20_05.xlsx&amp;sheet=U0&amp;row=3558&amp;col=6&amp;number=4.4&amp;sourceID=14","4.4")</f>
        <v>4.4</v>
      </c>
      <c r="G3558" s="4" t="str">
        <f>HYPERLINK("http://141.218.60.56/~jnz1568/getInfo.php?workbook=20_05.xlsx&amp;sheet=U0&amp;row=3558&amp;col=7&amp;number=0.000293&amp;sourceID=14","0.000293")</f>
        <v>0.000293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HYPERLINK("http://141.218.60.56/~jnz1568/getInfo.php?workbook=20_05.xlsx&amp;sheet=U0&amp;row=3559&amp;col=6&amp;number=4.5&amp;sourceID=14","4.5")</f>
        <v>4.5</v>
      </c>
      <c r="G3559" s="4" t="str">
        <f>HYPERLINK("http://141.218.60.56/~jnz1568/getInfo.php?workbook=20_05.xlsx&amp;sheet=U0&amp;row=3559&amp;col=7&amp;number=0.000294&amp;sourceID=14","0.000294")</f>
        <v>0.000294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HYPERLINK("http://141.218.60.56/~jnz1568/getInfo.php?workbook=20_05.xlsx&amp;sheet=U0&amp;row=3560&amp;col=6&amp;number=4.6&amp;sourceID=14","4.6")</f>
        <v>4.6</v>
      </c>
      <c r="G3560" s="4" t="str">
        <f>HYPERLINK("http://141.218.60.56/~jnz1568/getInfo.php?workbook=20_05.xlsx&amp;sheet=U0&amp;row=3560&amp;col=7&amp;number=0.000295&amp;sourceID=14","0.000295")</f>
        <v>0.000295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HYPERLINK("http://141.218.60.56/~jnz1568/getInfo.php?workbook=20_05.xlsx&amp;sheet=U0&amp;row=3561&amp;col=6&amp;number=4.7&amp;sourceID=14","4.7")</f>
        <v>4.7</v>
      </c>
      <c r="G3561" s="4" t="str">
        <f>HYPERLINK("http://141.218.60.56/~jnz1568/getInfo.php?workbook=20_05.xlsx&amp;sheet=U0&amp;row=3561&amp;col=7&amp;number=0.000295&amp;sourceID=14","0.000295")</f>
        <v>0.000295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HYPERLINK("http://141.218.60.56/~jnz1568/getInfo.php?workbook=20_05.xlsx&amp;sheet=U0&amp;row=3562&amp;col=6&amp;number=4.8&amp;sourceID=14","4.8")</f>
        <v>4.8</v>
      </c>
      <c r="G3562" s="4" t="str">
        <f>HYPERLINK("http://141.218.60.56/~jnz1568/getInfo.php?workbook=20_05.xlsx&amp;sheet=U0&amp;row=3562&amp;col=7&amp;number=0.000297&amp;sourceID=14","0.000297")</f>
        <v>0.000297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HYPERLINK("http://141.218.60.56/~jnz1568/getInfo.php?workbook=20_05.xlsx&amp;sheet=U0&amp;row=3563&amp;col=6&amp;number=4.9&amp;sourceID=14","4.9")</f>
        <v>4.9</v>
      </c>
      <c r="G3563" s="4" t="str">
        <f>HYPERLINK("http://141.218.60.56/~jnz1568/getInfo.php?workbook=20_05.xlsx&amp;sheet=U0&amp;row=3563&amp;col=7&amp;number=0.000298&amp;sourceID=14","0.000298")</f>
        <v>0.000298</v>
      </c>
    </row>
    <row r="3564" spans="1:7">
      <c r="A3564" s="3">
        <v>20</v>
      </c>
      <c r="B3564" s="3">
        <v>5</v>
      </c>
      <c r="C3564" s="3">
        <v>2</v>
      </c>
      <c r="D3564" s="3">
        <v>25</v>
      </c>
      <c r="E3564" s="3">
        <v>1</v>
      </c>
      <c r="F3564" s="4" t="str">
        <f>HYPERLINK("http://141.218.60.56/~jnz1568/getInfo.php?workbook=20_05.xlsx&amp;sheet=U0&amp;row=3564&amp;col=6&amp;number=3&amp;sourceID=14","3")</f>
        <v>3</v>
      </c>
      <c r="G3564" s="4" t="str">
        <f>HYPERLINK("http://141.218.60.56/~jnz1568/getInfo.php?workbook=20_05.xlsx&amp;sheet=U0&amp;row=3564&amp;col=7&amp;number=4.51e-05&amp;sourceID=14","4.51e-05")</f>
        <v>4.51e-05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HYPERLINK("http://141.218.60.56/~jnz1568/getInfo.php?workbook=20_05.xlsx&amp;sheet=U0&amp;row=3565&amp;col=6&amp;number=3.1&amp;sourceID=14","3.1")</f>
        <v>3.1</v>
      </c>
      <c r="G3565" s="4" t="str">
        <f>HYPERLINK("http://141.218.60.56/~jnz1568/getInfo.php?workbook=20_05.xlsx&amp;sheet=U0&amp;row=3565&amp;col=7&amp;number=4.51e-05&amp;sourceID=14","4.51e-05")</f>
        <v>4.51e-05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HYPERLINK("http://141.218.60.56/~jnz1568/getInfo.php?workbook=20_05.xlsx&amp;sheet=U0&amp;row=3566&amp;col=6&amp;number=3.2&amp;sourceID=14","3.2")</f>
        <v>3.2</v>
      </c>
      <c r="G3566" s="4" t="str">
        <f>HYPERLINK("http://141.218.60.56/~jnz1568/getInfo.php?workbook=20_05.xlsx&amp;sheet=U0&amp;row=3566&amp;col=7&amp;number=4.51e-05&amp;sourceID=14","4.51e-05")</f>
        <v>4.51e-05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HYPERLINK("http://141.218.60.56/~jnz1568/getInfo.php?workbook=20_05.xlsx&amp;sheet=U0&amp;row=3567&amp;col=6&amp;number=3.3&amp;sourceID=14","3.3")</f>
        <v>3.3</v>
      </c>
      <c r="G3567" s="4" t="str">
        <f>HYPERLINK("http://141.218.60.56/~jnz1568/getInfo.php?workbook=20_05.xlsx&amp;sheet=U0&amp;row=3567&amp;col=7&amp;number=4.51e-05&amp;sourceID=14","4.51e-05")</f>
        <v>4.51e-05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HYPERLINK("http://141.218.60.56/~jnz1568/getInfo.php?workbook=20_05.xlsx&amp;sheet=U0&amp;row=3568&amp;col=6&amp;number=3.4&amp;sourceID=14","3.4")</f>
        <v>3.4</v>
      </c>
      <c r="G3568" s="4" t="str">
        <f>HYPERLINK("http://141.218.60.56/~jnz1568/getInfo.php?workbook=20_05.xlsx&amp;sheet=U0&amp;row=3568&amp;col=7&amp;number=4.51e-05&amp;sourceID=14","4.51e-05")</f>
        <v>4.51e-05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HYPERLINK("http://141.218.60.56/~jnz1568/getInfo.php?workbook=20_05.xlsx&amp;sheet=U0&amp;row=3569&amp;col=6&amp;number=3.5&amp;sourceID=14","3.5")</f>
        <v>3.5</v>
      </c>
      <c r="G3569" s="4" t="str">
        <f>HYPERLINK("http://141.218.60.56/~jnz1568/getInfo.php?workbook=20_05.xlsx&amp;sheet=U0&amp;row=3569&amp;col=7&amp;number=4.51e-05&amp;sourceID=14","4.51e-05")</f>
        <v>4.51e-05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HYPERLINK("http://141.218.60.56/~jnz1568/getInfo.php?workbook=20_05.xlsx&amp;sheet=U0&amp;row=3570&amp;col=6&amp;number=3.6&amp;sourceID=14","3.6")</f>
        <v>3.6</v>
      </c>
      <c r="G3570" s="4" t="str">
        <f>HYPERLINK("http://141.218.60.56/~jnz1568/getInfo.php?workbook=20_05.xlsx&amp;sheet=U0&amp;row=3570&amp;col=7&amp;number=4.51e-05&amp;sourceID=14","4.51e-05")</f>
        <v>4.51e-05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HYPERLINK("http://141.218.60.56/~jnz1568/getInfo.php?workbook=20_05.xlsx&amp;sheet=U0&amp;row=3571&amp;col=6&amp;number=3.7&amp;sourceID=14","3.7")</f>
        <v>3.7</v>
      </c>
      <c r="G3571" s="4" t="str">
        <f>HYPERLINK("http://141.218.60.56/~jnz1568/getInfo.php?workbook=20_05.xlsx&amp;sheet=U0&amp;row=3571&amp;col=7&amp;number=4.51e-05&amp;sourceID=14","4.51e-05")</f>
        <v>4.51e-05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HYPERLINK("http://141.218.60.56/~jnz1568/getInfo.php?workbook=20_05.xlsx&amp;sheet=U0&amp;row=3572&amp;col=6&amp;number=3.8&amp;sourceID=14","3.8")</f>
        <v>3.8</v>
      </c>
      <c r="G3572" s="4" t="str">
        <f>HYPERLINK("http://141.218.60.56/~jnz1568/getInfo.php?workbook=20_05.xlsx&amp;sheet=U0&amp;row=3572&amp;col=7&amp;number=4.5e-05&amp;sourceID=14","4.5e-05")</f>
        <v>4.5e-05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HYPERLINK("http://141.218.60.56/~jnz1568/getInfo.php?workbook=20_05.xlsx&amp;sheet=U0&amp;row=3573&amp;col=6&amp;number=3.9&amp;sourceID=14","3.9")</f>
        <v>3.9</v>
      </c>
      <c r="G3573" s="4" t="str">
        <f>HYPERLINK("http://141.218.60.56/~jnz1568/getInfo.php?workbook=20_05.xlsx&amp;sheet=U0&amp;row=3573&amp;col=7&amp;number=4.5e-05&amp;sourceID=14","4.5e-05")</f>
        <v>4.5e-05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HYPERLINK("http://141.218.60.56/~jnz1568/getInfo.php?workbook=20_05.xlsx&amp;sheet=U0&amp;row=3574&amp;col=6&amp;number=4&amp;sourceID=14","4")</f>
        <v>4</v>
      </c>
      <c r="G3574" s="4" t="str">
        <f>HYPERLINK("http://141.218.60.56/~jnz1568/getInfo.php?workbook=20_05.xlsx&amp;sheet=U0&amp;row=3574&amp;col=7&amp;number=4.5e-05&amp;sourceID=14","4.5e-05")</f>
        <v>4.5e-05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HYPERLINK("http://141.218.60.56/~jnz1568/getInfo.php?workbook=20_05.xlsx&amp;sheet=U0&amp;row=3575&amp;col=6&amp;number=4.1&amp;sourceID=14","4.1")</f>
        <v>4.1</v>
      </c>
      <c r="G3575" s="4" t="str">
        <f>HYPERLINK("http://141.218.60.56/~jnz1568/getInfo.php?workbook=20_05.xlsx&amp;sheet=U0&amp;row=3575&amp;col=7&amp;number=4.5e-05&amp;sourceID=14","4.5e-05")</f>
        <v>4.5e-05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HYPERLINK("http://141.218.60.56/~jnz1568/getInfo.php?workbook=20_05.xlsx&amp;sheet=U0&amp;row=3576&amp;col=6&amp;number=4.2&amp;sourceID=14","4.2")</f>
        <v>4.2</v>
      </c>
      <c r="G3576" s="4" t="str">
        <f>HYPERLINK("http://141.218.60.56/~jnz1568/getInfo.php?workbook=20_05.xlsx&amp;sheet=U0&amp;row=3576&amp;col=7&amp;number=4.5e-05&amp;sourceID=14","4.5e-05")</f>
        <v>4.5e-05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HYPERLINK("http://141.218.60.56/~jnz1568/getInfo.php?workbook=20_05.xlsx&amp;sheet=U0&amp;row=3577&amp;col=6&amp;number=4.3&amp;sourceID=14","4.3")</f>
        <v>4.3</v>
      </c>
      <c r="G3577" s="4" t="str">
        <f>HYPERLINK("http://141.218.60.56/~jnz1568/getInfo.php?workbook=20_05.xlsx&amp;sheet=U0&amp;row=3577&amp;col=7&amp;number=4.49e-05&amp;sourceID=14","4.49e-05")</f>
        <v>4.49e-05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HYPERLINK("http://141.218.60.56/~jnz1568/getInfo.php?workbook=20_05.xlsx&amp;sheet=U0&amp;row=3578&amp;col=6&amp;number=4.4&amp;sourceID=14","4.4")</f>
        <v>4.4</v>
      </c>
      <c r="G3578" s="4" t="str">
        <f>HYPERLINK("http://141.218.60.56/~jnz1568/getInfo.php?workbook=20_05.xlsx&amp;sheet=U0&amp;row=3578&amp;col=7&amp;number=4.49e-05&amp;sourceID=14","4.49e-05")</f>
        <v>4.49e-05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HYPERLINK("http://141.218.60.56/~jnz1568/getInfo.php?workbook=20_05.xlsx&amp;sheet=U0&amp;row=3579&amp;col=6&amp;number=4.5&amp;sourceID=14","4.5")</f>
        <v>4.5</v>
      </c>
      <c r="G3579" s="4" t="str">
        <f>HYPERLINK("http://141.218.60.56/~jnz1568/getInfo.php?workbook=20_05.xlsx&amp;sheet=U0&amp;row=3579&amp;col=7&amp;number=4.49e-05&amp;sourceID=14","4.49e-05")</f>
        <v>4.49e-05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HYPERLINK("http://141.218.60.56/~jnz1568/getInfo.php?workbook=20_05.xlsx&amp;sheet=U0&amp;row=3580&amp;col=6&amp;number=4.6&amp;sourceID=14","4.6")</f>
        <v>4.6</v>
      </c>
      <c r="G3580" s="4" t="str">
        <f>HYPERLINK("http://141.218.60.56/~jnz1568/getInfo.php?workbook=20_05.xlsx&amp;sheet=U0&amp;row=3580&amp;col=7&amp;number=4.48e-05&amp;sourceID=14","4.48e-05")</f>
        <v>4.48e-05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HYPERLINK("http://141.218.60.56/~jnz1568/getInfo.php?workbook=20_05.xlsx&amp;sheet=U0&amp;row=3581&amp;col=6&amp;number=4.7&amp;sourceID=14","4.7")</f>
        <v>4.7</v>
      </c>
      <c r="G3581" s="4" t="str">
        <f>HYPERLINK("http://141.218.60.56/~jnz1568/getInfo.php?workbook=20_05.xlsx&amp;sheet=U0&amp;row=3581&amp;col=7&amp;number=4.47e-05&amp;sourceID=14","4.47e-05")</f>
        <v>4.47e-05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HYPERLINK("http://141.218.60.56/~jnz1568/getInfo.php?workbook=20_05.xlsx&amp;sheet=U0&amp;row=3582&amp;col=6&amp;number=4.8&amp;sourceID=14","4.8")</f>
        <v>4.8</v>
      </c>
      <c r="G3582" s="4" t="str">
        <f>HYPERLINK("http://141.218.60.56/~jnz1568/getInfo.php?workbook=20_05.xlsx&amp;sheet=U0&amp;row=3582&amp;col=7&amp;number=4.46e-05&amp;sourceID=14","4.46e-05")</f>
        <v>4.46e-05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HYPERLINK("http://141.218.60.56/~jnz1568/getInfo.php?workbook=20_05.xlsx&amp;sheet=U0&amp;row=3583&amp;col=6&amp;number=4.9&amp;sourceID=14","4.9")</f>
        <v>4.9</v>
      </c>
      <c r="G3583" s="4" t="str">
        <f>HYPERLINK("http://141.218.60.56/~jnz1568/getInfo.php?workbook=20_05.xlsx&amp;sheet=U0&amp;row=3583&amp;col=7&amp;number=4.45e-05&amp;sourceID=14","4.45e-05")</f>
        <v>4.45e-05</v>
      </c>
    </row>
    <row r="3584" spans="1:7">
      <c r="A3584" s="3">
        <v>20</v>
      </c>
      <c r="B3584" s="3">
        <v>5</v>
      </c>
      <c r="C3584" s="3">
        <v>2</v>
      </c>
      <c r="D3584" s="3">
        <v>26</v>
      </c>
      <c r="E3584" s="3">
        <v>1</v>
      </c>
      <c r="F3584" s="4" t="str">
        <f>HYPERLINK("http://141.218.60.56/~jnz1568/getInfo.php?workbook=20_05.xlsx&amp;sheet=U0&amp;row=3584&amp;col=6&amp;number=3&amp;sourceID=14","3")</f>
        <v>3</v>
      </c>
      <c r="G3584" s="4" t="str">
        <f>HYPERLINK("http://141.218.60.56/~jnz1568/getInfo.php?workbook=20_05.xlsx&amp;sheet=U0&amp;row=3584&amp;col=7&amp;number=9.19e-05&amp;sourceID=14","9.19e-05")</f>
        <v>9.19e-05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HYPERLINK("http://141.218.60.56/~jnz1568/getInfo.php?workbook=20_05.xlsx&amp;sheet=U0&amp;row=3585&amp;col=6&amp;number=3.1&amp;sourceID=14","3.1")</f>
        <v>3.1</v>
      </c>
      <c r="G3585" s="4" t="str">
        <f>HYPERLINK("http://141.218.60.56/~jnz1568/getInfo.php?workbook=20_05.xlsx&amp;sheet=U0&amp;row=3585&amp;col=7&amp;number=9.19e-05&amp;sourceID=14","9.19e-05")</f>
        <v>9.19e-05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HYPERLINK("http://141.218.60.56/~jnz1568/getInfo.php?workbook=20_05.xlsx&amp;sheet=U0&amp;row=3586&amp;col=6&amp;number=3.2&amp;sourceID=14","3.2")</f>
        <v>3.2</v>
      </c>
      <c r="G3586" s="4" t="str">
        <f>HYPERLINK("http://141.218.60.56/~jnz1568/getInfo.php?workbook=20_05.xlsx&amp;sheet=U0&amp;row=3586&amp;col=7&amp;number=9.19e-05&amp;sourceID=14","9.19e-05")</f>
        <v>9.19e-05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HYPERLINK("http://141.218.60.56/~jnz1568/getInfo.php?workbook=20_05.xlsx&amp;sheet=U0&amp;row=3587&amp;col=6&amp;number=3.3&amp;sourceID=14","3.3")</f>
        <v>3.3</v>
      </c>
      <c r="G3587" s="4" t="str">
        <f>HYPERLINK("http://141.218.60.56/~jnz1568/getInfo.php?workbook=20_05.xlsx&amp;sheet=U0&amp;row=3587&amp;col=7&amp;number=9.19e-05&amp;sourceID=14","9.19e-05")</f>
        <v>9.19e-05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HYPERLINK("http://141.218.60.56/~jnz1568/getInfo.php?workbook=20_05.xlsx&amp;sheet=U0&amp;row=3588&amp;col=6&amp;number=3.4&amp;sourceID=14","3.4")</f>
        <v>3.4</v>
      </c>
      <c r="G3588" s="4" t="str">
        <f>HYPERLINK("http://141.218.60.56/~jnz1568/getInfo.php?workbook=20_05.xlsx&amp;sheet=U0&amp;row=3588&amp;col=7&amp;number=9.19e-05&amp;sourceID=14","9.19e-05")</f>
        <v>9.19e-05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HYPERLINK("http://141.218.60.56/~jnz1568/getInfo.php?workbook=20_05.xlsx&amp;sheet=U0&amp;row=3589&amp;col=6&amp;number=3.5&amp;sourceID=14","3.5")</f>
        <v>3.5</v>
      </c>
      <c r="G3589" s="4" t="str">
        <f>HYPERLINK("http://141.218.60.56/~jnz1568/getInfo.php?workbook=20_05.xlsx&amp;sheet=U0&amp;row=3589&amp;col=7&amp;number=9.19e-05&amp;sourceID=14","9.19e-05")</f>
        <v>9.19e-05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HYPERLINK("http://141.218.60.56/~jnz1568/getInfo.php?workbook=20_05.xlsx&amp;sheet=U0&amp;row=3590&amp;col=6&amp;number=3.6&amp;sourceID=14","3.6")</f>
        <v>3.6</v>
      </c>
      <c r="G3590" s="4" t="str">
        <f>HYPERLINK("http://141.218.60.56/~jnz1568/getInfo.php?workbook=20_05.xlsx&amp;sheet=U0&amp;row=3590&amp;col=7&amp;number=9.19e-05&amp;sourceID=14","9.19e-05")</f>
        <v>9.19e-05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HYPERLINK("http://141.218.60.56/~jnz1568/getInfo.php?workbook=20_05.xlsx&amp;sheet=U0&amp;row=3591&amp;col=6&amp;number=3.7&amp;sourceID=14","3.7")</f>
        <v>3.7</v>
      </c>
      <c r="G3591" s="4" t="str">
        <f>HYPERLINK("http://141.218.60.56/~jnz1568/getInfo.php?workbook=20_05.xlsx&amp;sheet=U0&amp;row=3591&amp;col=7&amp;number=9.19e-05&amp;sourceID=14","9.19e-05")</f>
        <v>9.19e-05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HYPERLINK("http://141.218.60.56/~jnz1568/getInfo.php?workbook=20_05.xlsx&amp;sheet=U0&amp;row=3592&amp;col=6&amp;number=3.8&amp;sourceID=14","3.8")</f>
        <v>3.8</v>
      </c>
      <c r="G3592" s="4" t="str">
        <f>HYPERLINK("http://141.218.60.56/~jnz1568/getInfo.php?workbook=20_05.xlsx&amp;sheet=U0&amp;row=3592&amp;col=7&amp;number=9.19e-05&amp;sourceID=14","9.19e-05")</f>
        <v>9.19e-05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HYPERLINK("http://141.218.60.56/~jnz1568/getInfo.php?workbook=20_05.xlsx&amp;sheet=U0&amp;row=3593&amp;col=6&amp;number=3.9&amp;sourceID=14","3.9")</f>
        <v>3.9</v>
      </c>
      <c r="G3593" s="4" t="str">
        <f>HYPERLINK("http://141.218.60.56/~jnz1568/getInfo.php?workbook=20_05.xlsx&amp;sheet=U0&amp;row=3593&amp;col=7&amp;number=9.19e-05&amp;sourceID=14","9.19e-05")</f>
        <v>9.19e-05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HYPERLINK("http://141.218.60.56/~jnz1568/getInfo.php?workbook=20_05.xlsx&amp;sheet=U0&amp;row=3594&amp;col=6&amp;number=4&amp;sourceID=14","4")</f>
        <v>4</v>
      </c>
      <c r="G3594" s="4" t="str">
        <f>HYPERLINK("http://141.218.60.56/~jnz1568/getInfo.php?workbook=20_05.xlsx&amp;sheet=U0&amp;row=3594&amp;col=7&amp;number=9.19e-05&amp;sourceID=14","9.19e-05")</f>
        <v>9.19e-05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HYPERLINK("http://141.218.60.56/~jnz1568/getInfo.php?workbook=20_05.xlsx&amp;sheet=U0&amp;row=3595&amp;col=6&amp;number=4.1&amp;sourceID=14","4.1")</f>
        <v>4.1</v>
      </c>
      <c r="G3595" s="4" t="str">
        <f>HYPERLINK("http://141.218.60.56/~jnz1568/getInfo.php?workbook=20_05.xlsx&amp;sheet=U0&amp;row=3595&amp;col=7&amp;number=9.19e-05&amp;sourceID=14","9.19e-05")</f>
        <v>9.19e-05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HYPERLINK("http://141.218.60.56/~jnz1568/getInfo.php?workbook=20_05.xlsx&amp;sheet=U0&amp;row=3596&amp;col=6&amp;number=4.2&amp;sourceID=14","4.2")</f>
        <v>4.2</v>
      </c>
      <c r="G3596" s="4" t="str">
        <f>HYPERLINK("http://141.218.60.56/~jnz1568/getInfo.php?workbook=20_05.xlsx&amp;sheet=U0&amp;row=3596&amp;col=7&amp;number=9.19e-05&amp;sourceID=14","9.19e-05")</f>
        <v>9.19e-05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HYPERLINK("http://141.218.60.56/~jnz1568/getInfo.php?workbook=20_05.xlsx&amp;sheet=U0&amp;row=3597&amp;col=6&amp;number=4.3&amp;sourceID=14","4.3")</f>
        <v>4.3</v>
      </c>
      <c r="G3597" s="4" t="str">
        <f>HYPERLINK("http://141.218.60.56/~jnz1568/getInfo.php?workbook=20_05.xlsx&amp;sheet=U0&amp;row=3597&amp;col=7&amp;number=9.19e-05&amp;sourceID=14","9.19e-05")</f>
        <v>9.19e-05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HYPERLINK("http://141.218.60.56/~jnz1568/getInfo.php?workbook=20_05.xlsx&amp;sheet=U0&amp;row=3598&amp;col=6&amp;number=4.4&amp;sourceID=14","4.4")</f>
        <v>4.4</v>
      </c>
      <c r="G3598" s="4" t="str">
        <f>HYPERLINK("http://141.218.60.56/~jnz1568/getInfo.php?workbook=20_05.xlsx&amp;sheet=U0&amp;row=3598&amp;col=7&amp;number=9.19e-05&amp;sourceID=14","9.19e-05")</f>
        <v>9.19e-05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HYPERLINK("http://141.218.60.56/~jnz1568/getInfo.php?workbook=20_05.xlsx&amp;sheet=U0&amp;row=3599&amp;col=6&amp;number=4.5&amp;sourceID=14","4.5")</f>
        <v>4.5</v>
      </c>
      <c r="G3599" s="4" t="str">
        <f>HYPERLINK("http://141.218.60.56/~jnz1568/getInfo.php?workbook=20_05.xlsx&amp;sheet=U0&amp;row=3599&amp;col=7&amp;number=9.18e-05&amp;sourceID=14","9.18e-05")</f>
        <v>9.18e-05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HYPERLINK("http://141.218.60.56/~jnz1568/getInfo.php?workbook=20_05.xlsx&amp;sheet=U0&amp;row=3600&amp;col=6&amp;number=4.6&amp;sourceID=14","4.6")</f>
        <v>4.6</v>
      </c>
      <c r="G3600" s="4" t="str">
        <f>HYPERLINK("http://141.218.60.56/~jnz1568/getInfo.php?workbook=20_05.xlsx&amp;sheet=U0&amp;row=3600&amp;col=7&amp;number=9.18e-05&amp;sourceID=14","9.18e-05")</f>
        <v>9.18e-05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HYPERLINK("http://141.218.60.56/~jnz1568/getInfo.php?workbook=20_05.xlsx&amp;sheet=U0&amp;row=3601&amp;col=6&amp;number=4.7&amp;sourceID=14","4.7")</f>
        <v>4.7</v>
      </c>
      <c r="G3601" s="4" t="str">
        <f>HYPERLINK("http://141.218.60.56/~jnz1568/getInfo.php?workbook=20_05.xlsx&amp;sheet=U0&amp;row=3601&amp;col=7&amp;number=9.18e-05&amp;sourceID=14","9.18e-05")</f>
        <v>9.18e-05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HYPERLINK("http://141.218.60.56/~jnz1568/getInfo.php?workbook=20_05.xlsx&amp;sheet=U0&amp;row=3602&amp;col=6&amp;number=4.8&amp;sourceID=14","4.8")</f>
        <v>4.8</v>
      </c>
      <c r="G3602" s="4" t="str">
        <f>HYPERLINK("http://141.218.60.56/~jnz1568/getInfo.php?workbook=20_05.xlsx&amp;sheet=U0&amp;row=3602&amp;col=7&amp;number=9.18e-05&amp;sourceID=14","9.18e-05")</f>
        <v>9.18e-05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HYPERLINK("http://141.218.60.56/~jnz1568/getInfo.php?workbook=20_05.xlsx&amp;sheet=U0&amp;row=3603&amp;col=6&amp;number=4.9&amp;sourceID=14","4.9")</f>
        <v>4.9</v>
      </c>
      <c r="G3603" s="4" t="str">
        <f>HYPERLINK("http://141.218.60.56/~jnz1568/getInfo.php?workbook=20_05.xlsx&amp;sheet=U0&amp;row=3603&amp;col=7&amp;number=9.17e-05&amp;sourceID=14","9.17e-05")</f>
        <v>9.17e-05</v>
      </c>
    </row>
    <row r="3604" spans="1:7">
      <c r="A3604" s="3">
        <v>20</v>
      </c>
      <c r="B3604" s="3">
        <v>5</v>
      </c>
      <c r="C3604" s="3">
        <v>2</v>
      </c>
      <c r="D3604" s="3">
        <v>27</v>
      </c>
      <c r="E3604" s="3">
        <v>1</v>
      </c>
      <c r="F3604" s="4" t="str">
        <f>HYPERLINK("http://141.218.60.56/~jnz1568/getInfo.php?workbook=20_05.xlsx&amp;sheet=U0&amp;row=3604&amp;col=6&amp;number=3&amp;sourceID=14","3")</f>
        <v>3</v>
      </c>
      <c r="G3604" s="4" t="str">
        <f>HYPERLINK("http://141.218.60.56/~jnz1568/getInfo.php?workbook=20_05.xlsx&amp;sheet=U0&amp;row=3604&amp;col=7&amp;number=0.000134&amp;sourceID=14","0.000134")</f>
        <v>0.000134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HYPERLINK("http://141.218.60.56/~jnz1568/getInfo.php?workbook=20_05.xlsx&amp;sheet=U0&amp;row=3605&amp;col=6&amp;number=3.1&amp;sourceID=14","3.1")</f>
        <v>3.1</v>
      </c>
      <c r="G3605" s="4" t="str">
        <f>HYPERLINK("http://141.218.60.56/~jnz1568/getInfo.php?workbook=20_05.xlsx&amp;sheet=U0&amp;row=3605&amp;col=7&amp;number=0.000134&amp;sourceID=14","0.000134")</f>
        <v>0.000134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HYPERLINK("http://141.218.60.56/~jnz1568/getInfo.php?workbook=20_05.xlsx&amp;sheet=U0&amp;row=3606&amp;col=6&amp;number=3.2&amp;sourceID=14","3.2")</f>
        <v>3.2</v>
      </c>
      <c r="G3606" s="4" t="str">
        <f>HYPERLINK("http://141.218.60.56/~jnz1568/getInfo.php?workbook=20_05.xlsx&amp;sheet=U0&amp;row=3606&amp;col=7&amp;number=0.000134&amp;sourceID=14","0.000134")</f>
        <v>0.000134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HYPERLINK("http://141.218.60.56/~jnz1568/getInfo.php?workbook=20_05.xlsx&amp;sheet=U0&amp;row=3607&amp;col=6&amp;number=3.3&amp;sourceID=14","3.3")</f>
        <v>3.3</v>
      </c>
      <c r="G3607" s="4" t="str">
        <f>HYPERLINK("http://141.218.60.56/~jnz1568/getInfo.php?workbook=20_05.xlsx&amp;sheet=U0&amp;row=3607&amp;col=7&amp;number=0.000134&amp;sourceID=14","0.000134")</f>
        <v>0.000134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HYPERLINK("http://141.218.60.56/~jnz1568/getInfo.php?workbook=20_05.xlsx&amp;sheet=U0&amp;row=3608&amp;col=6&amp;number=3.4&amp;sourceID=14","3.4")</f>
        <v>3.4</v>
      </c>
      <c r="G3608" s="4" t="str">
        <f>HYPERLINK("http://141.218.60.56/~jnz1568/getInfo.php?workbook=20_05.xlsx&amp;sheet=U0&amp;row=3608&amp;col=7&amp;number=0.000134&amp;sourceID=14","0.000134")</f>
        <v>0.000134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HYPERLINK("http://141.218.60.56/~jnz1568/getInfo.php?workbook=20_05.xlsx&amp;sheet=U0&amp;row=3609&amp;col=6&amp;number=3.5&amp;sourceID=14","3.5")</f>
        <v>3.5</v>
      </c>
      <c r="G3609" s="4" t="str">
        <f>HYPERLINK("http://141.218.60.56/~jnz1568/getInfo.php?workbook=20_05.xlsx&amp;sheet=U0&amp;row=3609&amp;col=7&amp;number=0.000134&amp;sourceID=14","0.000134")</f>
        <v>0.000134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HYPERLINK("http://141.218.60.56/~jnz1568/getInfo.php?workbook=20_05.xlsx&amp;sheet=U0&amp;row=3610&amp;col=6&amp;number=3.6&amp;sourceID=14","3.6")</f>
        <v>3.6</v>
      </c>
      <c r="G3610" s="4" t="str">
        <f>HYPERLINK("http://141.218.60.56/~jnz1568/getInfo.php?workbook=20_05.xlsx&amp;sheet=U0&amp;row=3610&amp;col=7&amp;number=0.000134&amp;sourceID=14","0.000134")</f>
        <v>0.000134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HYPERLINK("http://141.218.60.56/~jnz1568/getInfo.php?workbook=20_05.xlsx&amp;sheet=U0&amp;row=3611&amp;col=6&amp;number=3.7&amp;sourceID=14","3.7")</f>
        <v>3.7</v>
      </c>
      <c r="G3611" s="4" t="str">
        <f>HYPERLINK("http://141.218.60.56/~jnz1568/getInfo.php?workbook=20_05.xlsx&amp;sheet=U0&amp;row=3611&amp;col=7&amp;number=0.000134&amp;sourceID=14","0.000134")</f>
        <v>0.000134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HYPERLINK("http://141.218.60.56/~jnz1568/getInfo.php?workbook=20_05.xlsx&amp;sheet=U0&amp;row=3612&amp;col=6&amp;number=3.8&amp;sourceID=14","3.8")</f>
        <v>3.8</v>
      </c>
      <c r="G3612" s="4" t="str">
        <f>HYPERLINK("http://141.218.60.56/~jnz1568/getInfo.php?workbook=20_05.xlsx&amp;sheet=U0&amp;row=3612&amp;col=7&amp;number=0.000134&amp;sourceID=14","0.000134")</f>
        <v>0.000134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HYPERLINK("http://141.218.60.56/~jnz1568/getInfo.php?workbook=20_05.xlsx&amp;sheet=U0&amp;row=3613&amp;col=6&amp;number=3.9&amp;sourceID=14","3.9")</f>
        <v>3.9</v>
      </c>
      <c r="G3613" s="4" t="str">
        <f>HYPERLINK("http://141.218.60.56/~jnz1568/getInfo.php?workbook=20_05.xlsx&amp;sheet=U0&amp;row=3613&amp;col=7&amp;number=0.000134&amp;sourceID=14","0.000134")</f>
        <v>0.000134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HYPERLINK("http://141.218.60.56/~jnz1568/getInfo.php?workbook=20_05.xlsx&amp;sheet=U0&amp;row=3614&amp;col=6&amp;number=4&amp;sourceID=14","4")</f>
        <v>4</v>
      </c>
      <c r="G3614" s="4" t="str">
        <f>HYPERLINK("http://141.218.60.56/~jnz1568/getInfo.php?workbook=20_05.xlsx&amp;sheet=U0&amp;row=3614&amp;col=7&amp;number=0.000134&amp;sourceID=14","0.000134")</f>
        <v>0.000134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HYPERLINK("http://141.218.60.56/~jnz1568/getInfo.php?workbook=20_05.xlsx&amp;sheet=U0&amp;row=3615&amp;col=6&amp;number=4.1&amp;sourceID=14","4.1")</f>
        <v>4.1</v>
      </c>
      <c r="G3615" s="4" t="str">
        <f>HYPERLINK("http://141.218.60.56/~jnz1568/getInfo.php?workbook=20_05.xlsx&amp;sheet=U0&amp;row=3615&amp;col=7&amp;number=0.000134&amp;sourceID=14","0.000134")</f>
        <v>0.000134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HYPERLINK("http://141.218.60.56/~jnz1568/getInfo.php?workbook=20_05.xlsx&amp;sheet=U0&amp;row=3616&amp;col=6&amp;number=4.2&amp;sourceID=14","4.2")</f>
        <v>4.2</v>
      </c>
      <c r="G3616" s="4" t="str">
        <f>HYPERLINK("http://141.218.60.56/~jnz1568/getInfo.php?workbook=20_05.xlsx&amp;sheet=U0&amp;row=3616&amp;col=7&amp;number=0.000134&amp;sourceID=14","0.000134")</f>
        <v>0.000134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HYPERLINK("http://141.218.60.56/~jnz1568/getInfo.php?workbook=20_05.xlsx&amp;sheet=U0&amp;row=3617&amp;col=6&amp;number=4.3&amp;sourceID=14","4.3")</f>
        <v>4.3</v>
      </c>
      <c r="G3617" s="4" t="str">
        <f>HYPERLINK("http://141.218.60.56/~jnz1568/getInfo.php?workbook=20_05.xlsx&amp;sheet=U0&amp;row=3617&amp;col=7&amp;number=0.000134&amp;sourceID=14","0.000134")</f>
        <v>0.000134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HYPERLINK("http://141.218.60.56/~jnz1568/getInfo.php?workbook=20_05.xlsx&amp;sheet=U0&amp;row=3618&amp;col=6&amp;number=4.4&amp;sourceID=14","4.4")</f>
        <v>4.4</v>
      </c>
      <c r="G3618" s="4" t="str">
        <f>HYPERLINK("http://141.218.60.56/~jnz1568/getInfo.php?workbook=20_05.xlsx&amp;sheet=U0&amp;row=3618&amp;col=7&amp;number=0.000134&amp;sourceID=14","0.000134")</f>
        <v>0.000134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HYPERLINK("http://141.218.60.56/~jnz1568/getInfo.php?workbook=20_05.xlsx&amp;sheet=U0&amp;row=3619&amp;col=6&amp;number=4.5&amp;sourceID=14","4.5")</f>
        <v>4.5</v>
      </c>
      <c r="G3619" s="4" t="str">
        <f>HYPERLINK("http://141.218.60.56/~jnz1568/getInfo.php?workbook=20_05.xlsx&amp;sheet=U0&amp;row=3619&amp;col=7&amp;number=0.000134&amp;sourceID=14","0.000134")</f>
        <v>0.000134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HYPERLINK("http://141.218.60.56/~jnz1568/getInfo.php?workbook=20_05.xlsx&amp;sheet=U0&amp;row=3620&amp;col=6&amp;number=4.6&amp;sourceID=14","4.6")</f>
        <v>4.6</v>
      </c>
      <c r="G3620" s="4" t="str">
        <f>HYPERLINK("http://141.218.60.56/~jnz1568/getInfo.php?workbook=20_05.xlsx&amp;sheet=U0&amp;row=3620&amp;col=7&amp;number=0.000134&amp;sourceID=14","0.000134")</f>
        <v>0.000134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HYPERLINK("http://141.218.60.56/~jnz1568/getInfo.php?workbook=20_05.xlsx&amp;sheet=U0&amp;row=3621&amp;col=6&amp;number=4.7&amp;sourceID=14","4.7")</f>
        <v>4.7</v>
      </c>
      <c r="G3621" s="4" t="str">
        <f>HYPERLINK("http://141.218.60.56/~jnz1568/getInfo.php?workbook=20_05.xlsx&amp;sheet=U0&amp;row=3621&amp;col=7&amp;number=0.000134&amp;sourceID=14","0.000134")</f>
        <v>0.000134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HYPERLINK("http://141.218.60.56/~jnz1568/getInfo.php?workbook=20_05.xlsx&amp;sheet=U0&amp;row=3622&amp;col=6&amp;number=4.8&amp;sourceID=14","4.8")</f>
        <v>4.8</v>
      </c>
      <c r="G3622" s="4" t="str">
        <f>HYPERLINK("http://141.218.60.56/~jnz1568/getInfo.php?workbook=20_05.xlsx&amp;sheet=U0&amp;row=3622&amp;col=7&amp;number=0.000135&amp;sourceID=14","0.000135")</f>
        <v>0.000135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HYPERLINK("http://141.218.60.56/~jnz1568/getInfo.php?workbook=20_05.xlsx&amp;sheet=U0&amp;row=3623&amp;col=6&amp;number=4.9&amp;sourceID=14","4.9")</f>
        <v>4.9</v>
      </c>
      <c r="G3623" s="4" t="str">
        <f>HYPERLINK("http://141.218.60.56/~jnz1568/getInfo.php?workbook=20_05.xlsx&amp;sheet=U0&amp;row=3623&amp;col=7&amp;number=0.000135&amp;sourceID=14","0.000135")</f>
        <v>0.000135</v>
      </c>
    </row>
    <row r="3624" spans="1:7">
      <c r="A3624" s="3">
        <v>20</v>
      </c>
      <c r="B3624" s="3">
        <v>5</v>
      </c>
      <c r="C3624" s="3">
        <v>2</v>
      </c>
      <c r="D3624" s="3">
        <v>28</v>
      </c>
      <c r="E3624" s="3">
        <v>1</v>
      </c>
      <c r="F3624" s="4" t="str">
        <f>HYPERLINK("http://141.218.60.56/~jnz1568/getInfo.php?workbook=20_05.xlsx&amp;sheet=U0&amp;row=3624&amp;col=6&amp;number=3&amp;sourceID=14","3")</f>
        <v>3</v>
      </c>
      <c r="G3624" s="4" t="str">
        <f>HYPERLINK("http://141.218.60.56/~jnz1568/getInfo.php?workbook=20_05.xlsx&amp;sheet=U0&amp;row=3624&amp;col=7&amp;number=0.00017&amp;sourceID=14","0.00017")</f>
        <v>0.00017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HYPERLINK("http://141.218.60.56/~jnz1568/getInfo.php?workbook=20_05.xlsx&amp;sheet=U0&amp;row=3625&amp;col=6&amp;number=3.1&amp;sourceID=14","3.1")</f>
        <v>3.1</v>
      </c>
      <c r="G3625" s="4" t="str">
        <f>HYPERLINK("http://141.218.60.56/~jnz1568/getInfo.php?workbook=20_05.xlsx&amp;sheet=U0&amp;row=3625&amp;col=7&amp;number=0.00017&amp;sourceID=14","0.00017")</f>
        <v>0.00017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HYPERLINK("http://141.218.60.56/~jnz1568/getInfo.php?workbook=20_05.xlsx&amp;sheet=U0&amp;row=3626&amp;col=6&amp;number=3.2&amp;sourceID=14","3.2")</f>
        <v>3.2</v>
      </c>
      <c r="G3626" s="4" t="str">
        <f>HYPERLINK("http://141.218.60.56/~jnz1568/getInfo.php?workbook=20_05.xlsx&amp;sheet=U0&amp;row=3626&amp;col=7&amp;number=0.00017&amp;sourceID=14","0.00017")</f>
        <v>0.00017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HYPERLINK("http://141.218.60.56/~jnz1568/getInfo.php?workbook=20_05.xlsx&amp;sheet=U0&amp;row=3627&amp;col=6&amp;number=3.3&amp;sourceID=14","3.3")</f>
        <v>3.3</v>
      </c>
      <c r="G3627" s="4" t="str">
        <f>HYPERLINK("http://141.218.60.56/~jnz1568/getInfo.php?workbook=20_05.xlsx&amp;sheet=U0&amp;row=3627&amp;col=7&amp;number=0.00017&amp;sourceID=14","0.00017")</f>
        <v>0.00017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HYPERLINK("http://141.218.60.56/~jnz1568/getInfo.php?workbook=20_05.xlsx&amp;sheet=U0&amp;row=3628&amp;col=6&amp;number=3.4&amp;sourceID=14","3.4")</f>
        <v>3.4</v>
      </c>
      <c r="G3628" s="4" t="str">
        <f>HYPERLINK("http://141.218.60.56/~jnz1568/getInfo.php?workbook=20_05.xlsx&amp;sheet=U0&amp;row=3628&amp;col=7&amp;number=0.00017&amp;sourceID=14","0.00017")</f>
        <v>0.00017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HYPERLINK("http://141.218.60.56/~jnz1568/getInfo.php?workbook=20_05.xlsx&amp;sheet=U0&amp;row=3629&amp;col=6&amp;number=3.5&amp;sourceID=14","3.5")</f>
        <v>3.5</v>
      </c>
      <c r="G3629" s="4" t="str">
        <f>HYPERLINK("http://141.218.60.56/~jnz1568/getInfo.php?workbook=20_05.xlsx&amp;sheet=U0&amp;row=3629&amp;col=7&amp;number=0.00017&amp;sourceID=14","0.00017")</f>
        <v>0.00017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HYPERLINK("http://141.218.60.56/~jnz1568/getInfo.php?workbook=20_05.xlsx&amp;sheet=U0&amp;row=3630&amp;col=6&amp;number=3.6&amp;sourceID=14","3.6")</f>
        <v>3.6</v>
      </c>
      <c r="G3630" s="4" t="str">
        <f>HYPERLINK("http://141.218.60.56/~jnz1568/getInfo.php?workbook=20_05.xlsx&amp;sheet=U0&amp;row=3630&amp;col=7&amp;number=0.00017&amp;sourceID=14","0.00017")</f>
        <v>0.00017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HYPERLINK("http://141.218.60.56/~jnz1568/getInfo.php?workbook=20_05.xlsx&amp;sheet=U0&amp;row=3631&amp;col=6&amp;number=3.7&amp;sourceID=14","3.7")</f>
        <v>3.7</v>
      </c>
      <c r="G3631" s="4" t="str">
        <f>HYPERLINK("http://141.218.60.56/~jnz1568/getInfo.php?workbook=20_05.xlsx&amp;sheet=U0&amp;row=3631&amp;col=7&amp;number=0.00017&amp;sourceID=14","0.00017")</f>
        <v>0.00017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HYPERLINK("http://141.218.60.56/~jnz1568/getInfo.php?workbook=20_05.xlsx&amp;sheet=U0&amp;row=3632&amp;col=6&amp;number=3.8&amp;sourceID=14","3.8")</f>
        <v>3.8</v>
      </c>
      <c r="G3632" s="4" t="str">
        <f>HYPERLINK("http://141.218.60.56/~jnz1568/getInfo.php?workbook=20_05.xlsx&amp;sheet=U0&amp;row=3632&amp;col=7&amp;number=0.00017&amp;sourceID=14","0.00017")</f>
        <v>0.00017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HYPERLINK("http://141.218.60.56/~jnz1568/getInfo.php?workbook=20_05.xlsx&amp;sheet=U0&amp;row=3633&amp;col=6&amp;number=3.9&amp;sourceID=14","3.9")</f>
        <v>3.9</v>
      </c>
      <c r="G3633" s="4" t="str">
        <f>HYPERLINK("http://141.218.60.56/~jnz1568/getInfo.php?workbook=20_05.xlsx&amp;sheet=U0&amp;row=3633&amp;col=7&amp;number=0.00017&amp;sourceID=14","0.00017")</f>
        <v>0.00017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HYPERLINK("http://141.218.60.56/~jnz1568/getInfo.php?workbook=20_05.xlsx&amp;sheet=U0&amp;row=3634&amp;col=6&amp;number=4&amp;sourceID=14","4")</f>
        <v>4</v>
      </c>
      <c r="G3634" s="4" t="str">
        <f>HYPERLINK("http://141.218.60.56/~jnz1568/getInfo.php?workbook=20_05.xlsx&amp;sheet=U0&amp;row=3634&amp;col=7&amp;number=0.00017&amp;sourceID=14","0.00017")</f>
        <v>0.00017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HYPERLINK("http://141.218.60.56/~jnz1568/getInfo.php?workbook=20_05.xlsx&amp;sheet=U0&amp;row=3635&amp;col=6&amp;number=4.1&amp;sourceID=14","4.1")</f>
        <v>4.1</v>
      </c>
      <c r="G3635" s="4" t="str">
        <f>HYPERLINK("http://141.218.60.56/~jnz1568/getInfo.php?workbook=20_05.xlsx&amp;sheet=U0&amp;row=3635&amp;col=7&amp;number=0.00017&amp;sourceID=14","0.00017")</f>
        <v>0.00017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HYPERLINK("http://141.218.60.56/~jnz1568/getInfo.php?workbook=20_05.xlsx&amp;sheet=U0&amp;row=3636&amp;col=6&amp;number=4.2&amp;sourceID=14","4.2")</f>
        <v>4.2</v>
      </c>
      <c r="G3636" s="4" t="str">
        <f>HYPERLINK("http://141.218.60.56/~jnz1568/getInfo.php?workbook=20_05.xlsx&amp;sheet=U0&amp;row=3636&amp;col=7&amp;number=0.00017&amp;sourceID=14","0.00017")</f>
        <v>0.00017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HYPERLINK("http://141.218.60.56/~jnz1568/getInfo.php?workbook=20_05.xlsx&amp;sheet=U0&amp;row=3637&amp;col=6&amp;number=4.3&amp;sourceID=14","4.3")</f>
        <v>4.3</v>
      </c>
      <c r="G3637" s="4" t="str">
        <f>HYPERLINK("http://141.218.60.56/~jnz1568/getInfo.php?workbook=20_05.xlsx&amp;sheet=U0&amp;row=3637&amp;col=7&amp;number=0.00017&amp;sourceID=14","0.00017")</f>
        <v>0.00017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HYPERLINK("http://141.218.60.56/~jnz1568/getInfo.php?workbook=20_05.xlsx&amp;sheet=U0&amp;row=3638&amp;col=6&amp;number=4.4&amp;sourceID=14","4.4")</f>
        <v>4.4</v>
      </c>
      <c r="G3638" s="4" t="str">
        <f>HYPERLINK("http://141.218.60.56/~jnz1568/getInfo.php?workbook=20_05.xlsx&amp;sheet=U0&amp;row=3638&amp;col=7&amp;number=0.00017&amp;sourceID=14","0.00017")</f>
        <v>0.00017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HYPERLINK("http://141.218.60.56/~jnz1568/getInfo.php?workbook=20_05.xlsx&amp;sheet=U0&amp;row=3639&amp;col=6&amp;number=4.5&amp;sourceID=14","4.5")</f>
        <v>4.5</v>
      </c>
      <c r="G3639" s="4" t="str">
        <f>HYPERLINK("http://141.218.60.56/~jnz1568/getInfo.php?workbook=20_05.xlsx&amp;sheet=U0&amp;row=3639&amp;col=7&amp;number=0.00017&amp;sourceID=14","0.00017")</f>
        <v>0.00017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HYPERLINK("http://141.218.60.56/~jnz1568/getInfo.php?workbook=20_05.xlsx&amp;sheet=U0&amp;row=3640&amp;col=6&amp;number=4.6&amp;sourceID=14","4.6")</f>
        <v>4.6</v>
      </c>
      <c r="G3640" s="4" t="str">
        <f>HYPERLINK("http://141.218.60.56/~jnz1568/getInfo.php?workbook=20_05.xlsx&amp;sheet=U0&amp;row=3640&amp;col=7&amp;number=0.000171&amp;sourceID=14","0.000171")</f>
        <v>0.000171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HYPERLINK("http://141.218.60.56/~jnz1568/getInfo.php?workbook=20_05.xlsx&amp;sheet=U0&amp;row=3641&amp;col=6&amp;number=4.7&amp;sourceID=14","4.7")</f>
        <v>4.7</v>
      </c>
      <c r="G3641" s="4" t="str">
        <f>HYPERLINK("http://141.218.60.56/~jnz1568/getInfo.php?workbook=20_05.xlsx&amp;sheet=U0&amp;row=3641&amp;col=7&amp;number=0.000171&amp;sourceID=14","0.000171")</f>
        <v>0.000171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HYPERLINK("http://141.218.60.56/~jnz1568/getInfo.php?workbook=20_05.xlsx&amp;sheet=U0&amp;row=3642&amp;col=6&amp;number=4.8&amp;sourceID=14","4.8")</f>
        <v>4.8</v>
      </c>
      <c r="G3642" s="4" t="str">
        <f>HYPERLINK("http://141.218.60.56/~jnz1568/getInfo.php?workbook=20_05.xlsx&amp;sheet=U0&amp;row=3642&amp;col=7&amp;number=0.000171&amp;sourceID=14","0.000171")</f>
        <v>0.000171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HYPERLINK("http://141.218.60.56/~jnz1568/getInfo.php?workbook=20_05.xlsx&amp;sheet=U0&amp;row=3643&amp;col=6&amp;number=4.9&amp;sourceID=14","4.9")</f>
        <v>4.9</v>
      </c>
      <c r="G3643" s="4" t="str">
        <f>HYPERLINK("http://141.218.60.56/~jnz1568/getInfo.php?workbook=20_05.xlsx&amp;sheet=U0&amp;row=3643&amp;col=7&amp;number=0.000171&amp;sourceID=14","0.000171")</f>
        <v>0.000171</v>
      </c>
    </row>
    <row r="3644" spans="1:7">
      <c r="A3644" s="3">
        <v>20</v>
      </c>
      <c r="B3644" s="3">
        <v>5</v>
      </c>
      <c r="C3644" s="3">
        <v>2</v>
      </c>
      <c r="D3644" s="3">
        <v>29</v>
      </c>
      <c r="E3644" s="3">
        <v>1</v>
      </c>
      <c r="F3644" s="4" t="str">
        <f>HYPERLINK("http://141.218.60.56/~jnz1568/getInfo.php?workbook=20_05.xlsx&amp;sheet=U0&amp;row=3644&amp;col=6&amp;number=3&amp;sourceID=14","3")</f>
        <v>3</v>
      </c>
      <c r="G3644" s="4" t="str">
        <f>HYPERLINK("http://141.218.60.56/~jnz1568/getInfo.php?workbook=20_05.xlsx&amp;sheet=U0&amp;row=3644&amp;col=7&amp;number=0.000231&amp;sourceID=14","0.000231")</f>
        <v>0.000231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HYPERLINK("http://141.218.60.56/~jnz1568/getInfo.php?workbook=20_05.xlsx&amp;sheet=U0&amp;row=3645&amp;col=6&amp;number=3.1&amp;sourceID=14","3.1")</f>
        <v>3.1</v>
      </c>
      <c r="G3645" s="4" t="str">
        <f>HYPERLINK("http://141.218.60.56/~jnz1568/getInfo.php?workbook=20_05.xlsx&amp;sheet=U0&amp;row=3645&amp;col=7&amp;number=0.000231&amp;sourceID=14","0.000231")</f>
        <v>0.000231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HYPERLINK("http://141.218.60.56/~jnz1568/getInfo.php?workbook=20_05.xlsx&amp;sheet=U0&amp;row=3646&amp;col=6&amp;number=3.2&amp;sourceID=14","3.2")</f>
        <v>3.2</v>
      </c>
      <c r="G3646" s="4" t="str">
        <f>HYPERLINK("http://141.218.60.56/~jnz1568/getInfo.php?workbook=20_05.xlsx&amp;sheet=U0&amp;row=3646&amp;col=7&amp;number=0.000231&amp;sourceID=14","0.000231")</f>
        <v>0.000231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HYPERLINK("http://141.218.60.56/~jnz1568/getInfo.php?workbook=20_05.xlsx&amp;sheet=U0&amp;row=3647&amp;col=6&amp;number=3.3&amp;sourceID=14","3.3")</f>
        <v>3.3</v>
      </c>
      <c r="G3647" s="4" t="str">
        <f>HYPERLINK("http://141.218.60.56/~jnz1568/getInfo.php?workbook=20_05.xlsx&amp;sheet=U0&amp;row=3647&amp;col=7&amp;number=0.000231&amp;sourceID=14","0.000231")</f>
        <v>0.000231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HYPERLINK("http://141.218.60.56/~jnz1568/getInfo.php?workbook=20_05.xlsx&amp;sheet=U0&amp;row=3648&amp;col=6&amp;number=3.4&amp;sourceID=14","3.4")</f>
        <v>3.4</v>
      </c>
      <c r="G3648" s="4" t="str">
        <f>HYPERLINK("http://141.218.60.56/~jnz1568/getInfo.php?workbook=20_05.xlsx&amp;sheet=U0&amp;row=3648&amp;col=7&amp;number=0.000231&amp;sourceID=14","0.000231")</f>
        <v>0.000231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HYPERLINK("http://141.218.60.56/~jnz1568/getInfo.php?workbook=20_05.xlsx&amp;sheet=U0&amp;row=3649&amp;col=6&amp;number=3.5&amp;sourceID=14","3.5")</f>
        <v>3.5</v>
      </c>
      <c r="G3649" s="4" t="str">
        <f>HYPERLINK("http://141.218.60.56/~jnz1568/getInfo.php?workbook=20_05.xlsx&amp;sheet=U0&amp;row=3649&amp;col=7&amp;number=0.000231&amp;sourceID=14","0.000231")</f>
        <v>0.000231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HYPERLINK("http://141.218.60.56/~jnz1568/getInfo.php?workbook=20_05.xlsx&amp;sheet=U0&amp;row=3650&amp;col=6&amp;number=3.6&amp;sourceID=14","3.6")</f>
        <v>3.6</v>
      </c>
      <c r="G3650" s="4" t="str">
        <f>HYPERLINK("http://141.218.60.56/~jnz1568/getInfo.php?workbook=20_05.xlsx&amp;sheet=U0&amp;row=3650&amp;col=7&amp;number=0.000231&amp;sourceID=14","0.000231")</f>
        <v>0.000231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HYPERLINK("http://141.218.60.56/~jnz1568/getInfo.php?workbook=20_05.xlsx&amp;sheet=U0&amp;row=3651&amp;col=6&amp;number=3.7&amp;sourceID=14","3.7")</f>
        <v>3.7</v>
      </c>
      <c r="G3651" s="4" t="str">
        <f>HYPERLINK("http://141.218.60.56/~jnz1568/getInfo.php?workbook=20_05.xlsx&amp;sheet=U0&amp;row=3651&amp;col=7&amp;number=0.000231&amp;sourceID=14","0.000231")</f>
        <v>0.000231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HYPERLINK("http://141.218.60.56/~jnz1568/getInfo.php?workbook=20_05.xlsx&amp;sheet=U0&amp;row=3652&amp;col=6&amp;number=3.8&amp;sourceID=14","3.8")</f>
        <v>3.8</v>
      </c>
      <c r="G3652" s="4" t="str">
        <f>HYPERLINK("http://141.218.60.56/~jnz1568/getInfo.php?workbook=20_05.xlsx&amp;sheet=U0&amp;row=3652&amp;col=7&amp;number=0.000231&amp;sourceID=14","0.000231")</f>
        <v>0.000231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HYPERLINK("http://141.218.60.56/~jnz1568/getInfo.php?workbook=20_05.xlsx&amp;sheet=U0&amp;row=3653&amp;col=6&amp;number=3.9&amp;sourceID=14","3.9")</f>
        <v>3.9</v>
      </c>
      <c r="G3653" s="4" t="str">
        <f>HYPERLINK("http://141.218.60.56/~jnz1568/getInfo.php?workbook=20_05.xlsx&amp;sheet=U0&amp;row=3653&amp;col=7&amp;number=0.000231&amp;sourceID=14","0.000231")</f>
        <v>0.000231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HYPERLINK("http://141.218.60.56/~jnz1568/getInfo.php?workbook=20_05.xlsx&amp;sheet=U0&amp;row=3654&amp;col=6&amp;number=4&amp;sourceID=14","4")</f>
        <v>4</v>
      </c>
      <c r="G3654" s="4" t="str">
        <f>HYPERLINK("http://141.218.60.56/~jnz1568/getInfo.php?workbook=20_05.xlsx&amp;sheet=U0&amp;row=3654&amp;col=7&amp;number=0.000231&amp;sourceID=14","0.000231")</f>
        <v>0.000231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HYPERLINK("http://141.218.60.56/~jnz1568/getInfo.php?workbook=20_05.xlsx&amp;sheet=U0&amp;row=3655&amp;col=6&amp;number=4.1&amp;sourceID=14","4.1")</f>
        <v>4.1</v>
      </c>
      <c r="G3655" s="4" t="str">
        <f>HYPERLINK("http://141.218.60.56/~jnz1568/getInfo.php?workbook=20_05.xlsx&amp;sheet=U0&amp;row=3655&amp;col=7&amp;number=0.000231&amp;sourceID=14","0.000231")</f>
        <v>0.000231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HYPERLINK("http://141.218.60.56/~jnz1568/getInfo.php?workbook=20_05.xlsx&amp;sheet=U0&amp;row=3656&amp;col=6&amp;number=4.2&amp;sourceID=14","4.2")</f>
        <v>4.2</v>
      </c>
      <c r="G3656" s="4" t="str">
        <f>HYPERLINK("http://141.218.60.56/~jnz1568/getInfo.php?workbook=20_05.xlsx&amp;sheet=U0&amp;row=3656&amp;col=7&amp;number=0.000231&amp;sourceID=14","0.000231")</f>
        <v>0.000231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HYPERLINK("http://141.218.60.56/~jnz1568/getInfo.php?workbook=20_05.xlsx&amp;sheet=U0&amp;row=3657&amp;col=6&amp;number=4.3&amp;sourceID=14","4.3")</f>
        <v>4.3</v>
      </c>
      <c r="G3657" s="4" t="str">
        <f>HYPERLINK("http://141.218.60.56/~jnz1568/getInfo.php?workbook=20_05.xlsx&amp;sheet=U0&amp;row=3657&amp;col=7&amp;number=0.000231&amp;sourceID=14","0.000231")</f>
        <v>0.000231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HYPERLINK("http://141.218.60.56/~jnz1568/getInfo.php?workbook=20_05.xlsx&amp;sheet=U0&amp;row=3658&amp;col=6&amp;number=4.4&amp;sourceID=14","4.4")</f>
        <v>4.4</v>
      </c>
      <c r="G3658" s="4" t="str">
        <f>HYPERLINK("http://141.218.60.56/~jnz1568/getInfo.php?workbook=20_05.xlsx&amp;sheet=U0&amp;row=3658&amp;col=7&amp;number=0.000231&amp;sourceID=14","0.000231")</f>
        <v>0.000231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HYPERLINK("http://141.218.60.56/~jnz1568/getInfo.php?workbook=20_05.xlsx&amp;sheet=U0&amp;row=3659&amp;col=6&amp;number=4.5&amp;sourceID=14","4.5")</f>
        <v>4.5</v>
      </c>
      <c r="G3659" s="4" t="str">
        <f>HYPERLINK("http://141.218.60.56/~jnz1568/getInfo.php?workbook=20_05.xlsx&amp;sheet=U0&amp;row=3659&amp;col=7&amp;number=0.000231&amp;sourceID=14","0.000231")</f>
        <v>0.000231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HYPERLINK("http://141.218.60.56/~jnz1568/getInfo.php?workbook=20_05.xlsx&amp;sheet=U0&amp;row=3660&amp;col=6&amp;number=4.6&amp;sourceID=14","4.6")</f>
        <v>4.6</v>
      </c>
      <c r="G3660" s="4" t="str">
        <f>HYPERLINK("http://141.218.60.56/~jnz1568/getInfo.php?workbook=20_05.xlsx&amp;sheet=U0&amp;row=3660&amp;col=7&amp;number=0.000232&amp;sourceID=14","0.000232")</f>
        <v>0.000232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HYPERLINK("http://141.218.60.56/~jnz1568/getInfo.php?workbook=20_05.xlsx&amp;sheet=U0&amp;row=3661&amp;col=6&amp;number=4.7&amp;sourceID=14","4.7")</f>
        <v>4.7</v>
      </c>
      <c r="G3661" s="4" t="str">
        <f>HYPERLINK("http://141.218.60.56/~jnz1568/getInfo.php?workbook=20_05.xlsx&amp;sheet=U0&amp;row=3661&amp;col=7&amp;number=0.000232&amp;sourceID=14","0.000232")</f>
        <v>0.000232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HYPERLINK("http://141.218.60.56/~jnz1568/getInfo.php?workbook=20_05.xlsx&amp;sheet=U0&amp;row=3662&amp;col=6&amp;number=4.8&amp;sourceID=14","4.8")</f>
        <v>4.8</v>
      </c>
      <c r="G3662" s="4" t="str">
        <f>HYPERLINK("http://141.218.60.56/~jnz1568/getInfo.php?workbook=20_05.xlsx&amp;sheet=U0&amp;row=3662&amp;col=7&amp;number=0.000232&amp;sourceID=14","0.000232")</f>
        <v>0.000232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HYPERLINK("http://141.218.60.56/~jnz1568/getInfo.php?workbook=20_05.xlsx&amp;sheet=U0&amp;row=3663&amp;col=6&amp;number=4.9&amp;sourceID=14","4.9")</f>
        <v>4.9</v>
      </c>
      <c r="G3663" s="4" t="str">
        <f>HYPERLINK("http://141.218.60.56/~jnz1568/getInfo.php?workbook=20_05.xlsx&amp;sheet=U0&amp;row=3663&amp;col=7&amp;number=0.000232&amp;sourceID=14","0.000232")</f>
        <v>0.000232</v>
      </c>
    </row>
    <row r="3664" spans="1:7">
      <c r="A3664" s="3">
        <v>20</v>
      </c>
      <c r="B3664" s="3">
        <v>5</v>
      </c>
      <c r="C3664" s="3">
        <v>2</v>
      </c>
      <c r="D3664" s="3">
        <v>30</v>
      </c>
      <c r="E3664" s="3">
        <v>1</v>
      </c>
      <c r="F3664" s="4" t="str">
        <f>HYPERLINK("http://141.218.60.56/~jnz1568/getInfo.php?workbook=20_05.xlsx&amp;sheet=U0&amp;row=3664&amp;col=6&amp;number=3&amp;sourceID=14","3")</f>
        <v>3</v>
      </c>
      <c r="G3664" s="4" t="str">
        <f>HYPERLINK("http://141.218.60.56/~jnz1568/getInfo.php?workbook=20_05.xlsx&amp;sheet=U0&amp;row=3664&amp;col=7&amp;number=0.000397&amp;sourceID=14","0.000397")</f>
        <v>0.000397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HYPERLINK("http://141.218.60.56/~jnz1568/getInfo.php?workbook=20_05.xlsx&amp;sheet=U0&amp;row=3665&amp;col=6&amp;number=3.1&amp;sourceID=14","3.1")</f>
        <v>3.1</v>
      </c>
      <c r="G3665" s="4" t="str">
        <f>HYPERLINK("http://141.218.60.56/~jnz1568/getInfo.php?workbook=20_05.xlsx&amp;sheet=U0&amp;row=3665&amp;col=7&amp;number=0.000397&amp;sourceID=14","0.000397")</f>
        <v>0.000397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HYPERLINK("http://141.218.60.56/~jnz1568/getInfo.php?workbook=20_05.xlsx&amp;sheet=U0&amp;row=3666&amp;col=6&amp;number=3.2&amp;sourceID=14","3.2")</f>
        <v>3.2</v>
      </c>
      <c r="G3666" s="4" t="str">
        <f>HYPERLINK("http://141.218.60.56/~jnz1568/getInfo.php?workbook=20_05.xlsx&amp;sheet=U0&amp;row=3666&amp;col=7&amp;number=0.000397&amp;sourceID=14","0.000397")</f>
        <v>0.000397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HYPERLINK("http://141.218.60.56/~jnz1568/getInfo.php?workbook=20_05.xlsx&amp;sheet=U0&amp;row=3667&amp;col=6&amp;number=3.3&amp;sourceID=14","3.3")</f>
        <v>3.3</v>
      </c>
      <c r="G3667" s="4" t="str">
        <f>HYPERLINK("http://141.218.60.56/~jnz1568/getInfo.php?workbook=20_05.xlsx&amp;sheet=U0&amp;row=3667&amp;col=7&amp;number=0.000397&amp;sourceID=14","0.000397")</f>
        <v>0.000397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HYPERLINK("http://141.218.60.56/~jnz1568/getInfo.php?workbook=20_05.xlsx&amp;sheet=U0&amp;row=3668&amp;col=6&amp;number=3.4&amp;sourceID=14","3.4")</f>
        <v>3.4</v>
      </c>
      <c r="G3668" s="4" t="str">
        <f>HYPERLINK("http://141.218.60.56/~jnz1568/getInfo.php?workbook=20_05.xlsx&amp;sheet=U0&amp;row=3668&amp;col=7&amp;number=0.000397&amp;sourceID=14","0.000397")</f>
        <v>0.000397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HYPERLINK("http://141.218.60.56/~jnz1568/getInfo.php?workbook=20_05.xlsx&amp;sheet=U0&amp;row=3669&amp;col=6&amp;number=3.5&amp;sourceID=14","3.5")</f>
        <v>3.5</v>
      </c>
      <c r="G3669" s="4" t="str">
        <f>HYPERLINK("http://141.218.60.56/~jnz1568/getInfo.php?workbook=20_05.xlsx&amp;sheet=U0&amp;row=3669&amp;col=7&amp;number=0.000397&amp;sourceID=14","0.000397")</f>
        <v>0.000397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HYPERLINK("http://141.218.60.56/~jnz1568/getInfo.php?workbook=20_05.xlsx&amp;sheet=U0&amp;row=3670&amp;col=6&amp;number=3.6&amp;sourceID=14","3.6")</f>
        <v>3.6</v>
      </c>
      <c r="G3670" s="4" t="str">
        <f>HYPERLINK("http://141.218.60.56/~jnz1568/getInfo.php?workbook=20_05.xlsx&amp;sheet=U0&amp;row=3670&amp;col=7&amp;number=0.000397&amp;sourceID=14","0.000397")</f>
        <v>0.000397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HYPERLINK("http://141.218.60.56/~jnz1568/getInfo.php?workbook=20_05.xlsx&amp;sheet=U0&amp;row=3671&amp;col=6&amp;number=3.7&amp;sourceID=14","3.7")</f>
        <v>3.7</v>
      </c>
      <c r="G3671" s="4" t="str">
        <f>HYPERLINK("http://141.218.60.56/~jnz1568/getInfo.php?workbook=20_05.xlsx&amp;sheet=U0&amp;row=3671&amp;col=7&amp;number=0.000397&amp;sourceID=14","0.000397")</f>
        <v>0.000397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HYPERLINK("http://141.218.60.56/~jnz1568/getInfo.php?workbook=20_05.xlsx&amp;sheet=U0&amp;row=3672&amp;col=6&amp;number=3.8&amp;sourceID=14","3.8")</f>
        <v>3.8</v>
      </c>
      <c r="G3672" s="4" t="str">
        <f>HYPERLINK("http://141.218.60.56/~jnz1568/getInfo.php?workbook=20_05.xlsx&amp;sheet=U0&amp;row=3672&amp;col=7&amp;number=0.000397&amp;sourceID=14","0.000397")</f>
        <v>0.000397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HYPERLINK("http://141.218.60.56/~jnz1568/getInfo.php?workbook=20_05.xlsx&amp;sheet=U0&amp;row=3673&amp;col=6&amp;number=3.9&amp;sourceID=14","3.9")</f>
        <v>3.9</v>
      </c>
      <c r="G3673" s="4" t="str">
        <f>HYPERLINK("http://141.218.60.56/~jnz1568/getInfo.php?workbook=20_05.xlsx&amp;sheet=U0&amp;row=3673&amp;col=7&amp;number=0.000397&amp;sourceID=14","0.000397")</f>
        <v>0.000397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HYPERLINK("http://141.218.60.56/~jnz1568/getInfo.php?workbook=20_05.xlsx&amp;sheet=U0&amp;row=3674&amp;col=6&amp;number=4&amp;sourceID=14","4")</f>
        <v>4</v>
      </c>
      <c r="G3674" s="4" t="str">
        <f>HYPERLINK("http://141.218.60.56/~jnz1568/getInfo.php?workbook=20_05.xlsx&amp;sheet=U0&amp;row=3674&amp;col=7&amp;number=0.000397&amp;sourceID=14","0.000397")</f>
        <v>0.000397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HYPERLINK("http://141.218.60.56/~jnz1568/getInfo.php?workbook=20_05.xlsx&amp;sheet=U0&amp;row=3675&amp;col=6&amp;number=4.1&amp;sourceID=14","4.1")</f>
        <v>4.1</v>
      </c>
      <c r="G3675" s="4" t="str">
        <f>HYPERLINK("http://141.218.60.56/~jnz1568/getInfo.php?workbook=20_05.xlsx&amp;sheet=U0&amp;row=3675&amp;col=7&amp;number=0.000398&amp;sourceID=14","0.000398")</f>
        <v>0.000398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HYPERLINK("http://141.218.60.56/~jnz1568/getInfo.php?workbook=20_05.xlsx&amp;sheet=U0&amp;row=3676&amp;col=6&amp;number=4.2&amp;sourceID=14","4.2")</f>
        <v>4.2</v>
      </c>
      <c r="G3676" s="4" t="str">
        <f>HYPERLINK("http://141.218.60.56/~jnz1568/getInfo.php?workbook=20_05.xlsx&amp;sheet=U0&amp;row=3676&amp;col=7&amp;number=0.000398&amp;sourceID=14","0.000398")</f>
        <v>0.000398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HYPERLINK("http://141.218.60.56/~jnz1568/getInfo.php?workbook=20_05.xlsx&amp;sheet=U0&amp;row=3677&amp;col=6&amp;number=4.3&amp;sourceID=14","4.3")</f>
        <v>4.3</v>
      </c>
      <c r="G3677" s="4" t="str">
        <f>HYPERLINK("http://141.218.60.56/~jnz1568/getInfo.php?workbook=20_05.xlsx&amp;sheet=U0&amp;row=3677&amp;col=7&amp;number=0.000398&amp;sourceID=14","0.000398")</f>
        <v>0.000398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HYPERLINK("http://141.218.60.56/~jnz1568/getInfo.php?workbook=20_05.xlsx&amp;sheet=U0&amp;row=3678&amp;col=6&amp;number=4.4&amp;sourceID=14","4.4")</f>
        <v>4.4</v>
      </c>
      <c r="G3678" s="4" t="str">
        <f>HYPERLINK("http://141.218.60.56/~jnz1568/getInfo.php?workbook=20_05.xlsx&amp;sheet=U0&amp;row=3678&amp;col=7&amp;number=0.000398&amp;sourceID=14","0.000398")</f>
        <v>0.000398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HYPERLINK("http://141.218.60.56/~jnz1568/getInfo.php?workbook=20_05.xlsx&amp;sheet=U0&amp;row=3679&amp;col=6&amp;number=4.5&amp;sourceID=14","4.5")</f>
        <v>4.5</v>
      </c>
      <c r="G3679" s="4" t="str">
        <f>HYPERLINK("http://141.218.60.56/~jnz1568/getInfo.php?workbook=20_05.xlsx&amp;sheet=U0&amp;row=3679&amp;col=7&amp;number=0.000398&amp;sourceID=14","0.000398")</f>
        <v>0.000398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HYPERLINK("http://141.218.60.56/~jnz1568/getInfo.php?workbook=20_05.xlsx&amp;sheet=U0&amp;row=3680&amp;col=6&amp;number=4.6&amp;sourceID=14","4.6")</f>
        <v>4.6</v>
      </c>
      <c r="G3680" s="4" t="str">
        <f>HYPERLINK("http://141.218.60.56/~jnz1568/getInfo.php?workbook=20_05.xlsx&amp;sheet=U0&amp;row=3680&amp;col=7&amp;number=0.000399&amp;sourceID=14","0.000399")</f>
        <v>0.000399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HYPERLINK("http://141.218.60.56/~jnz1568/getInfo.php?workbook=20_05.xlsx&amp;sheet=U0&amp;row=3681&amp;col=6&amp;number=4.7&amp;sourceID=14","4.7")</f>
        <v>4.7</v>
      </c>
      <c r="G3681" s="4" t="str">
        <f>HYPERLINK("http://141.218.60.56/~jnz1568/getInfo.php?workbook=20_05.xlsx&amp;sheet=U0&amp;row=3681&amp;col=7&amp;number=0.000399&amp;sourceID=14","0.000399")</f>
        <v>0.000399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HYPERLINK("http://141.218.60.56/~jnz1568/getInfo.php?workbook=20_05.xlsx&amp;sheet=U0&amp;row=3682&amp;col=6&amp;number=4.8&amp;sourceID=14","4.8")</f>
        <v>4.8</v>
      </c>
      <c r="G3682" s="4" t="str">
        <f>HYPERLINK("http://141.218.60.56/~jnz1568/getInfo.php?workbook=20_05.xlsx&amp;sheet=U0&amp;row=3682&amp;col=7&amp;number=0.0004&amp;sourceID=14","0.0004")</f>
        <v>0.0004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HYPERLINK("http://141.218.60.56/~jnz1568/getInfo.php?workbook=20_05.xlsx&amp;sheet=U0&amp;row=3683&amp;col=6&amp;number=4.9&amp;sourceID=14","4.9")</f>
        <v>4.9</v>
      </c>
      <c r="G3683" s="4" t="str">
        <f>HYPERLINK("http://141.218.60.56/~jnz1568/getInfo.php?workbook=20_05.xlsx&amp;sheet=U0&amp;row=3683&amp;col=7&amp;number=0.000401&amp;sourceID=14","0.000401")</f>
        <v>0.000401</v>
      </c>
    </row>
    <row r="3684" spans="1:7">
      <c r="A3684" s="3">
        <v>20</v>
      </c>
      <c r="B3684" s="3">
        <v>5</v>
      </c>
      <c r="C3684" s="3">
        <v>2</v>
      </c>
      <c r="D3684" s="3">
        <v>31</v>
      </c>
      <c r="E3684" s="3">
        <v>1</v>
      </c>
      <c r="F3684" s="4" t="str">
        <f>HYPERLINK("http://141.218.60.56/~jnz1568/getInfo.php?workbook=20_05.xlsx&amp;sheet=U0&amp;row=3684&amp;col=6&amp;number=3&amp;sourceID=14","3")</f>
        <v>3</v>
      </c>
      <c r="G3684" s="4" t="str">
        <f>HYPERLINK("http://141.218.60.56/~jnz1568/getInfo.php?workbook=20_05.xlsx&amp;sheet=U0&amp;row=3684&amp;col=7&amp;number=0.037&amp;sourceID=14","0.037")</f>
        <v>0.037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HYPERLINK("http://141.218.60.56/~jnz1568/getInfo.php?workbook=20_05.xlsx&amp;sheet=U0&amp;row=3685&amp;col=6&amp;number=3.1&amp;sourceID=14","3.1")</f>
        <v>3.1</v>
      </c>
      <c r="G3685" s="4" t="str">
        <f>HYPERLINK("http://141.218.60.56/~jnz1568/getInfo.php?workbook=20_05.xlsx&amp;sheet=U0&amp;row=3685&amp;col=7&amp;number=0.037&amp;sourceID=14","0.037")</f>
        <v>0.037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HYPERLINK("http://141.218.60.56/~jnz1568/getInfo.php?workbook=20_05.xlsx&amp;sheet=U0&amp;row=3686&amp;col=6&amp;number=3.2&amp;sourceID=14","3.2")</f>
        <v>3.2</v>
      </c>
      <c r="G3686" s="4" t="str">
        <f>HYPERLINK("http://141.218.60.56/~jnz1568/getInfo.php?workbook=20_05.xlsx&amp;sheet=U0&amp;row=3686&amp;col=7&amp;number=0.037&amp;sourceID=14","0.037")</f>
        <v>0.037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HYPERLINK("http://141.218.60.56/~jnz1568/getInfo.php?workbook=20_05.xlsx&amp;sheet=U0&amp;row=3687&amp;col=6&amp;number=3.3&amp;sourceID=14","3.3")</f>
        <v>3.3</v>
      </c>
      <c r="G3687" s="4" t="str">
        <f>HYPERLINK("http://141.218.60.56/~jnz1568/getInfo.php?workbook=20_05.xlsx&amp;sheet=U0&amp;row=3687&amp;col=7&amp;number=0.037&amp;sourceID=14","0.037")</f>
        <v>0.037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HYPERLINK("http://141.218.60.56/~jnz1568/getInfo.php?workbook=20_05.xlsx&amp;sheet=U0&amp;row=3688&amp;col=6&amp;number=3.4&amp;sourceID=14","3.4")</f>
        <v>3.4</v>
      </c>
      <c r="G3688" s="4" t="str">
        <f>HYPERLINK("http://141.218.60.56/~jnz1568/getInfo.php?workbook=20_05.xlsx&amp;sheet=U0&amp;row=3688&amp;col=7&amp;number=0.037&amp;sourceID=14","0.037")</f>
        <v>0.037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HYPERLINK("http://141.218.60.56/~jnz1568/getInfo.php?workbook=20_05.xlsx&amp;sheet=U0&amp;row=3689&amp;col=6&amp;number=3.5&amp;sourceID=14","3.5")</f>
        <v>3.5</v>
      </c>
      <c r="G3689" s="4" t="str">
        <f>HYPERLINK("http://141.218.60.56/~jnz1568/getInfo.php?workbook=20_05.xlsx&amp;sheet=U0&amp;row=3689&amp;col=7&amp;number=0.037&amp;sourceID=14","0.037")</f>
        <v>0.037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HYPERLINK("http://141.218.60.56/~jnz1568/getInfo.php?workbook=20_05.xlsx&amp;sheet=U0&amp;row=3690&amp;col=6&amp;number=3.6&amp;sourceID=14","3.6")</f>
        <v>3.6</v>
      </c>
      <c r="G3690" s="4" t="str">
        <f>HYPERLINK("http://141.218.60.56/~jnz1568/getInfo.php?workbook=20_05.xlsx&amp;sheet=U0&amp;row=3690&amp;col=7&amp;number=0.037&amp;sourceID=14","0.037")</f>
        <v>0.037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HYPERLINK("http://141.218.60.56/~jnz1568/getInfo.php?workbook=20_05.xlsx&amp;sheet=U0&amp;row=3691&amp;col=6&amp;number=3.7&amp;sourceID=14","3.7")</f>
        <v>3.7</v>
      </c>
      <c r="G3691" s="4" t="str">
        <f>HYPERLINK("http://141.218.60.56/~jnz1568/getInfo.php?workbook=20_05.xlsx&amp;sheet=U0&amp;row=3691&amp;col=7&amp;number=0.037&amp;sourceID=14","0.037")</f>
        <v>0.037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HYPERLINK("http://141.218.60.56/~jnz1568/getInfo.php?workbook=20_05.xlsx&amp;sheet=U0&amp;row=3692&amp;col=6&amp;number=3.8&amp;sourceID=14","3.8")</f>
        <v>3.8</v>
      </c>
      <c r="G3692" s="4" t="str">
        <f>HYPERLINK("http://141.218.60.56/~jnz1568/getInfo.php?workbook=20_05.xlsx&amp;sheet=U0&amp;row=3692&amp;col=7&amp;number=0.037&amp;sourceID=14","0.037")</f>
        <v>0.037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HYPERLINK("http://141.218.60.56/~jnz1568/getInfo.php?workbook=20_05.xlsx&amp;sheet=U0&amp;row=3693&amp;col=6&amp;number=3.9&amp;sourceID=14","3.9")</f>
        <v>3.9</v>
      </c>
      <c r="G3693" s="4" t="str">
        <f>HYPERLINK("http://141.218.60.56/~jnz1568/getInfo.php?workbook=20_05.xlsx&amp;sheet=U0&amp;row=3693&amp;col=7&amp;number=0.037&amp;sourceID=14","0.037")</f>
        <v>0.037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HYPERLINK("http://141.218.60.56/~jnz1568/getInfo.php?workbook=20_05.xlsx&amp;sheet=U0&amp;row=3694&amp;col=6&amp;number=4&amp;sourceID=14","4")</f>
        <v>4</v>
      </c>
      <c r="G3694" s="4" t="str">
        <f>HYPERLINK("http://141.218.60.56/~jnz1568/getInfo.php?workbook=20_05.xlsx&amp;sheet=U0&amp;row=3694&amp;col=7&amp;number=0.037&amp;sourceID=14","0.037")</f>
        <v>0.037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HYPERLINK("http://141.218.60.56/~jnz1568/getInfo.php?workbook=20_05.xlsx&amp;sheet=U0&amp;row=3695&amp;col=6&amp;number=4.1&amp;sourceID=14","4.1")</f>
        <v>4.1</v>
      </c>
      <c r="G3695" s="4" t="str">
        <f>HYPERLINK("http://141.218.60.56/~jnz1568/getInfo.php?workbook=20_05.xlsx&amp;sheet=U0&amp;row=3695&amp;col=7&amp;number=0.037&amp;sourceID=14","0.037")</f>
        <v>0.037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HYPERLINK("http://141.218.60.56/~jnz1568/getInfo.php?workbook=20_05.xlsx&amp;sheet=U0&amp;row=3696&amp;col=6&amp;number=4.2&amp;sourceID=14","4.2")</f>
        <v>4.2</v>
      </c>
      <c r="G3696" s="4" t="str">
        <f>HYPERLINK("http://141.218.60.56/~jnz1568/getInfo.php?workbook=20_05.xlsx&amp;sheet=U0&amp;row=3696&amp;col=7&amp;number=0.037&amp;sourceID=14","0.037")</f>
        <v>0.037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HYPERLINK("http://141.218.60.56/~jnz1568/getInfo.php?workbook=20_05.xlsx&amp;sheet=U0&amp;row=3697&amp;col=6&amp;number=4.3&amp;sourceID=14","4.3")</f>
        <v>4.3</v>
      </c>
      <c r="G3697" s="4" t="str">
        <f>HYPERLINK("http://141.218.60.56/~jnz1568/getInfo.php?workbook=20_05.xlsx&amp;sheet=U0&amp;row=3697&amp;col=7&amp;number=0.037&amp;sourceID=14","0.037")</f>
        <v>0.037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HYPERLINK("http://141.218.60.56/~jnz1568/getInfo.php?workbook=20_05.xlsx&amp;sheet=U0&amp;row=3698&amp;col=6&amp;number=4.4&amp;sourceID=14","4.4")</f>
        <v>4.4</v>
      </c>
      <c r="G3698" s="4" t="str">
        <f>HYPERLINK("http://141.218.60.56/~jnz1568/getInfo.php?workbook=20_05.xlsx&amp;sheet=U0&amp;row=3698&amp;col=7&amp;number=0.037&amp;sourceID=14","0.037")</f>
        <v>0.037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HYPERLINK("http://141.218.60.56/~jnz1568/getInfo.php?workbook=20_05.xlsx&amp;sheet=U0&amp;row=3699&amp;col=6&amp;number=4.5&amp;sourceID=14","4.5")</f>
        <v>4.5</v>
      </c>
      <c r="G3699" s="4" t="str">
        <f>HYPERLINK("http://141.218.60.56/~jnz1568/getInfo.php?workbook=20_05.xlsx&amp;sheet=U0&amp;row=3699&amp;col=7&amp;number=0.0369&amp;sourceID=14","0.0369")</f>
        <v>0.0369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HYPERLINK("http://141.218.60.56/~jnz1568/getInfo.php?workbook=20_05.xlsx&amp;sheet=U0&amp;row=3700&amp;col=6&amp;number=4.6&amp;sourceID=14","4.6")</f>
        <v>4.6</v>
      </c>
      <c r="G3700" s="4" t="str">
        <f>HYPERLINK("http://141.218.60.56/~jnz1568/getInfo.php?workbook=20_05.xlsx&amp;sheet=U0&amp;row=3700&amp;col=7&amp;number=0.0369&amp;sourceID=14","0.0369")</f>
        <v>0.0369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HYPERLINK("http://141.218.60.56/~jnz1568/getInfo.php?workbook=20_05.xlsx&amp;sheet=U0&amp;row=3701&amp;col=6&amp;number=4.7&amp;sourceID=14","4.7")</f>
        <v>4.7</v>
      </c>
      <c r="G3701" s="4" t="str">
        <f>HYPERLINK("http://141.218.60.56/~jnz1568/getInfo.php?workbook=20_05.xlsx&amp;sheet=U0&amp;row=3701&amp;col=7&amp;number=0.0369&amp;sourceID=14","0.0369")</f>
        <v>0.0369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HYPERLINK("http://141.218.60.56/~jnz1568/getInfo.php?workbook=20_05.xlsx&amp;sheet=U0&amp;row=3702&amp;col=6&amp;number=4.8&amp;sourceID=14","4.8")</f>
        <v>4.8</v>
      </c>
      <c r="G3702" s="4" t="str">
        <f>HYPERLINK("http://141.218.60.56/~jnz1568/getInfo.php?workbook=20_05.xlsx&amp;sheet=U0&amp;row=3702&amp;col=7&amp;number=0.0369&amp;sourceID=14","0.0369")</f>
        <v>0.0369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HYPERLINK("http://141.218.60.56/~jnz1568/getInfo.php?workbook=20_05.xlsx&amp;sheet=U0&amp;row=3703&amp;col=6&amp;number=4.9&amp;sourceID=14","4.9")</f>
        <v>4.9</v>
      </c>
      <c r="G3703" s="4" t="str">
        <f>HYPERLINK("http://141.218.60.56/~jnz1568/getInfo.php?workbook=20_05.xlsx&amp;sheet=U0&amp;row=3703&amp;col=7&amp;number=0.0369&amp;sourceID=14","0.0369")</f>
        <v>0.0369</v>
      </c>
    </row>
    <row r="3704" spans="1:7">
      <c r="A3704" s="3">
        <v>20</v>
      </c>
      <c r="B3704" s="3">
        <v>5</v>
      </c>
      <c r="C3704" s="3">
        <v>2</v>
      </c>
      <c r="D3704" s="3">
        <v>32</v>
      </c>
      <c r="E3704" s="3">
        <v>1</v>
      </c>
      <c r="F3704" s="4" t="str">
        <f>HYPERLINK("http://141.218.60.56/~jnz1568/getInfo.php?workbook=20_05.xlsx&amp;sheet=U0&amp;row=3704&amp;col=6&amp;number=3&amp;sourceID=14","3")</f>
        <v>3</v>
      </c>
      <c r="G3704" s="4" t="str">
        <f>HYPERLINK("http://141.218.60.56/~jnz1568/getInfo.php?workbook=20_05.xlsx&amp;sheet=U0&amp;row=3704&amp;col=7&amp;number=0.00166&amp;sourceID=14","0.00166")</f>
        <v>0.00166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HYPERLINK("http://141.218.60.56/~jnz1568/getInfo.php?workbook=20_05.xlsx&amp;sheet=U0&amp;row=3705&amp;col=6&amp;number=3.1&amp;sourceID=14","3.1")</f>
        <v>3.1</v>
      </c>
      <c r="G3705" s="4" t="str">
        <f>HYPERLINK("http://141.218.60.56/~jnz1568/getInfo.php?workbook=20_05.xlsx&amp;sheet=U0&amp;row=3705&amp;col=7&amp;number=0.00166&amp;sourceID=14","0.00166")</f>
        <v>0.00166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HYPERLINK("http://141.218.60.56/~jnz1568/getInfo.php?workbook=20_05.xlsx&amp;sheet=U0&amp;row=3706&amp;col=6&amp;number=3.2&amp;sourceID=14","3.2")</f>
        <v>3.2</v>
      </c>
      <c r="G3706" s="4" t="str">
        <f>HYPERLINK("http://141.218.60.56/~jnz1568/getInfo.php?workbook=20_05.xlsx&amp;sheet=U0&amp;row=3706&amp;col=7&amp;number=0.00166&amp;sourceID=14","0.00166")</f>
        <v>0.00166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HYPERLINK("http://141.218.60.56/~jnz1568/getInfo.php?workbook=20_05.xlsx&amp;sheet=U0&amp;row=3707&amp;col=6&amp;number=3.3&amp;sourceID=14","3.3")</f>
        <v>3.3</v>
      </c>
      <c r="G3707" s="4" t="str">
        <f>HYPERLINK("http://141.218.60.56/~jnz1568/getInfo.php?workbook=20_05.xlsx&amp;sheet=U0&amp;row=3707&amp;col=7&amp;number=0.00166&amp;sourceID=14","0.00166")</f>
        <v>0.00166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HYPERLINK("http://141.218.60.56/~jnz1568/getInfo.php?workbook=20_05.xlsx&amp;sheet=U0&amp;row=3708&amp;col=6&amp;number=3.4&amp;sourceID=14","3.4")</f>
        <v>3.4</v>
      </c>
      <c r="G3708" s="4" t="str">
        <f>HYPERLINK("http://141.218.60.56/~jnz1568/getInfo.php?workbook=20_05.xlsx&amp;sheet=U0&amp;row=3708&amp;col=7&amp;number=0.00166&amp;sourceID=14","0.00166")</f>
        <v>0.00166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HYPERLINK("http://141.218.60.56/~jnz1568/getInfo.php?workbook=20_05.xlsx&amp;sheet=U0&amp;row=3709&amp;col=6&amp;number=3.5&amp;sourceID=14","3.5")</f>
        <v>3.5</v>
      </c>
      <c r="G3709" s="4" t="str">
        <f>HYPERLINK("http://141.218.60.56/~jnz1568/getInfo.php?workbook=20_05.xlsx&amp;sheet=U0&amp;row=3709&amp;col=7&amp;number=0.00166&amp;sourceID=14","0.00166")</f>
        <v>0.00166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HYPERLINK("http://141.218.60.56/~jnz1568/getInfo.php?workbook=20_05.xlsx&amp;sheet=U0&amp;row=3710&amp;col=6&amp;number=3.6&amp;sourceID=14","3.6")</f>
        <v>3.6</v>
      </c>
      <c r="G3710" s="4" t="str">
        <f>HYPERLINK("http://141.218.60.56/~jnz1568/getInfo.php?workbook=20_05.xlsx&amp;sheet=U0&amp;row=3710&amp;col=7&amp;number=0.00166&amp;sourceID=14","0.00166")</f>
        <v>0.00166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HYPERLINK("http://141.218.60.56/~jnz1568/getInfo.php?workbook=20_05.xlsx&amp;sheet=U0&amp;row=3711&amp;col=6&amp;number=3.7&amp;sourceID=14","3.7")</f>
        <v>3.7</v>
      </c>
      <c r="G3711" s="4" t="str">
        <f>HYPERLINK("http://141.218.60.56/~jnz1568/getInfo.php?workbook=20_05.xlsx&amp;sheet=U0&amp;row=3711&amp;col=7&amp;number=0.00166&amp;sourceID=14","0.00166")</f>
        <v>0.00166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HYPERLINK("http://141.218.60.56/~jnz1568/getInfo.php?workbook=20_05.xlsx&amp;sheet=U0&amp;row=3712&amp;col=6&amp;number=3.8&amp;sourceID=14","3.8")</f>
        <v>3.8</v>
      </c>
      <c r="G3712" s="4" t="str">
        <f>HYPERLINK("http://141.218.60.56/~jnz1568/getInfo.php?workbook=20_05.xlsx&amp;sheet=U0&amp;row=3712&amp;col=7&amp;number=0.00166&amp;sourceID=14","0.00166")</f>
        <v>0.00166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HYPERLINK("http://141.218.60.56/~jnz1568/getInfo.php?workbook=20_05.xlsx&amp;sheet=U0&amp;row=3713&amp;col=6&amp;number=3.9&amp;sourceID=14","3.9")</f>
        <v>3.9</v>
      </c>
      <c r="G3713" s="4" t="str">
        <f>HYPERLINK("http://141.218.60.56/~jnz1568/getInfo.php?workbook=20_05.xlsx&amp;sheet=U0&amp;row=3713&amp;col=7&amp;number=0.00167&amp;sourceID=14","0.00167")</f>
        <v>0.00167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HYPERLINK("http://141.218.60.56/~jnz1568/getInfo.php?workbook=20_05.xlsx&amp;sheet=U0&amp;row=3714&amp;col=6&amp;number=4&amp;sourceID=14","4")</f>
        <v>4</v>
      </c>
      <c r="G3714" s="4" t="str">
        <f>HYPERLINK("http://141.218.60.56/~jnz1568/getInfo.php?workbook=20_05.xlsx&amp;sheet=U0&amp;row=3714&amp;col=7&amp;number=0.00167&amp;sourceID=14","0.00167")</f>
        <v>0.00167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HYPERLINK("http://141.218.60.56/~jnz1568/getInfo.php?workbook=20_05.xlsx&amp;sheet=U0&amp;row=3715&amp;col=6&amp;number=4.1&amp;sourceID=14","4.1")</f>
        <v>4.1</v>
      </c>
      <c r="G3715" s="4" t="str">
        <f>HYPERLINK("http://141.218.60.56/~jnz1568/getInfo.php?workbook=20_05.xlsx&amp;sheet=U0&amp;row=3715&amp;col=7&amp;number=0.00167&amp;sourceID=14","0.00167")</f>
        <v>0.00167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HYPERLINK("http://141.218.60.56/~jnz1568/getInfo.php?workbook=20_05.xlsx&amp;sheet=U0&amp;row=3716&amp;col=6&amp;number=4.2&amp;sourceID=14","4.2")</f>
        <v>4.2</v>
      </c>
      <c r="G3716" s="4" t="str">
        <f>HYPERLINK("http://141.218.60.56/~jnz1568/getInfo.php?workbook=20_05.xlsx&amp;sheet=U0&amp;row=3716&amp;col=7&amp;number=0.00167&amp;sourceID=14","0.00167")</f>
        <v>0.00167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HYPERLINK("http://141.218.60.56/~jnz1568/getInfo.php?workbook=20_05.xlsx&amp;sheet=U0&amp;row=3717&amp;col=6&amp;number=4.3&amp;sourceID=14","4.3")</f>
        <v>4.3</v>
      </c>
      <c r="G3717" s="4" t="str">
        <f>HYPERLINK("http://141.218.60.56/~jnz1568/getInfo.php?workbook=20_05.xlsx&amp;sheet=U0&amp;row=3717&amp;col=7&amp;number=0.00167&amp;sourceID=14","0.00167")</f>
        <v>0.00167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HYPERLINK("http://141.218.60.56/~jnz1568/getInfo.php?workbook=20_05.xlsx&amp;sheet=U0&amp;row=3718&amp;col=6&amp;number=4.4&amp;sourceID=14","4.4")</f>
        <v>4.4</v>
      </c>
      <c r="G3718" s="4" t="str">
        <f>HYPERLINK("http://141.218.60.56/~jnz1568/getInfo.php?workbook=20_05.xlsx&amp;sheet=U0&amp;row=3718&amp;col=7&amp;number=0.00167&amp;sourceID=14","0.00167")</f>
        <v>0.00167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HYPERLINK("http://141.218.60.56/~jnz1568/getInfo.php?workbook=20_05.xlsx&amp;sheet=U0&amp;row=3719&amp;col=6&amp;number=4.5&amp;sourceID=14","4.5")</f>
        <v>4.5</v>
      </c>
      <c r="G3719" s="4" t="str">
        <f>HYPERLINK("http://141.218.60.56/~jnz1568/getInfo.php?workbook=20_05.xlsx&amp;sheet=U0&amp;row=3719&amp;col=7&amp;number=0.00168&amp;sourceID=14","0.00168")</f>
        <v>0.00168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HYPERLINK("http://141.218.60.56/~jnz1568/getInfo.php?workbook=20_05.xlsx&amp;sheet=U0&amp;row=3720&amp;col=6&amp;number=4.6&amp;sourceID=14","4.6")</f>
        <v>4.6</v>
      </c>
      <c r="G3720" s="4" t="str">
        <f>HYPERLINK("http://141.218.60.56/~jnz1568/getInfo.php?workbook=20_05.xlsx&amp;sheet=U0&amp;row=3720&amp;col=7&amp;number=0.00168&amp;sourceID=14","0.00168")</f>
        <v>0.00168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HYPERLINK("http://141.218.60.56/~jnz1568/getInfo.php?workbook=20_05.xlsx&amp;sheet=U0&amp;row=3721&amp;col=6&amp;number=4.7&amp;sourceID=14","4.7")</f>
        <v>4.7</v>
      </c>
      <c r="G3721" s="4" t="str">
        <f>HYPERLINK("http://141.218.60.56/~jnz1568/getInfo.php?workbook=20_05.xlsx&amp;sheet=U0&amp;row=3721&amp;col=7&amp;number=0.00169&amp;sourceID=14","0.00169")</f>
        <v>0.00169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HYPERLINK("http://141.218.60.56/~jnz1568/getInfo.php?workbook=20_05.xlsx&amp;sheet=U0&amp;row=3722&amp;col=6&amp;number=4.8&amp;sourceID=14","4.8")</f>
        <v>4.8</v>
      </c>
      <c r="G3722" s="4" t="str">
        <f>HYPERLINK("http://141.218.60.56/~jnz1568/getInfo.php?workbook=20_05.xlsx&amp;sheet=U0&amp;row=3722&amp;col=7&amp;number=0.00169&amp;sourceID=14","0.00169")</f>
        <v>0.00169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HYPERLINK("http://141.218.60.56/~jnz1568/getInfo.php?workbook=20_05.xlsx&amp;sheet=U0&amp;row=3723&amp;col=6&amp;number=4.9&amp;sourceID=14","4.9")</f>
        <v>4.9</v>
      </c>
      <c r="G3723" s="4" t="str">
        <f>HYPERLINK("http://141.218.60.56/~jnz1568/getInfo.php?workbook=20_05.xlsx&amp;sheet=U0&amp;row=3723&amp;col=7&amp;number=0.0017&amp;sourceID=14","0.0017")</f>
        <v>0.0017</v>
      </c>
    </row>
    <row r="3724" spans="1:7">
      <c r="A3724" s="3">
        <v>20</v>
      </c>
      <c r="B3724" s="3">
        <v>5</v>
      </c>
      <c r="C3724" s="3">
        <v>2</v>
      </c>
      <c r="D3724" s="3">
        <v>33</v>
      </c>
      <c r="E3724" s="3">
        <v>1</v>
      </c>
      <c r="F3724" s="4" t="str">
        <f>HYPERLINK("http://141.218.60.56/~jnz1568/getInfo.php?workbook=20_05.xlsx&amp;sheet=U0&amp;row=3724&amp;col=6&amp;number=3&amp;sourceID=14","3")</f>
        <v>3</v>
      </c>
      <c r="G3724" s="4" t="str">
        <f>HYPERLINK("http://141.218.60.56/~jnz1568/getInfo.php?workbook=20_05.xlsx&amp;sheet=U0&amp;row=3724&amp;col=7&amp;number=0.00385&amp;sourceID=14","0.00385")</f>
        <v>0.00385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HYPERLINK("http://141.218.60.56/~jnz1568/getInfo.php?workbook=20_05.xlsx&amp;sheet=U0&amp;row=3725&amp;col=6&amp;number=3.1&amp;sourceID=14","3.1")</f>
        <v>3.1</v>
      </c>
      <c r="G3725" s="4" t="str">
        <f>HYPERLINK("http://141.218.60.56/~jnz1568/getInfo.php?workbook=20_05.xlsx&amp;sheet=U0&amp;row=3725&amp;col=7&amp;number=0.00385&amp;sourceID=14","0.00385")</f>
        <v>0.00385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HYPERLINK("http://141.218.60.56/~jnz1568/getInfo.php?workbook=20_05.xlsx&amp;sheet=U0&amp;row=3726&amp;col=6&amp;number=3.2&amp;sourceID=14","3.2")</f>
        <v>3.2</v>
      </c>
      <c r="G3726" s="4" t="str">
        <f>HYPERLINK("http://141.218.60.56/~jnz1568/getInfo.php?workbook=20_05.xlsx&amp;sheet=U0&amp;row=3726&amp;col=7&amp;number=0.00385&amp;sourceID=14","0.00385")</f>
        <v>0.00385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HYPERLINK("http://141.218.60.56/~jnz1568/getInfo.php?workbook=20_05.xlsx&amp;sheet=U0&amp;row=3727&amp;col=6&amp;number=3.3&amp;sourceID=14","3.3")</f>
        <v>3.3</v>
      </c>
      <c r="G3727" s="4" t="str">
        <f>HYPERLINK("http://141.218.60.56/~jnz1568/getInfo.php?workbook=20_05.xlsx&amp;sheet=U0&amp;row=3727&amp;col=7&amp;number=0.00385&amp;sourceID=14","0.00385")</f>
        <v>0.00385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HYPERLINK("http://141.218.60.56/~jnz1568/getInfo.php?workbook=20_05.xlsx&amp;sheet=U0&amp;row=3728&amp;col=6&amp;number=3.4&amp;sourceID=14","3.4")</f>
        <v>3.4</v>
      </c>
      <c r="G3728" s="4" t="str">
        <f>HYPERLINK("http://141.218.60.56/~jnz1568/getInfo.php?workbook=20_05.xlsx&amp;sheet=U0&amp;row=3728&amp;col=7&amp;number=0.00385&amp;sourceID=14","0.00385")</f>
        <v>0.00385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HYPERLINK("http://141.218.60.56/~jnz1568/getInfo.php?workbook=20_05.xlsx&amp;sheet=U0&amp;row=3729&amp;col=6&amp;number=3.5&amp;sourceID=14","3.5")</f>
        <v>3.5</v>
      </c>
      <c r="G3729" s="4" t="str">
        <f>HYPERLINK("http://141.218.60.56/~jnz1568/getInfo.php?workbook=20_05.xlsx&amp;sheet=U0&amp;row=3729&amp;col=7&amp;number=0.00385&amp;sourceID=14","0.00385")</f>
        <v>0.00385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HYPERLINK("http://141.218.60.56/~jnz1568/getInfo.php?workbook=20_05.xlsx&amp;sheet=U0&amp;row=3730&amp;col=6&amp;number=3.6&amp;sourceID=14","3.6")</f>
        <v>3.6</v>
      </c>
      <c r="G3730" s="4" t="str">
        <f>HYPERLINK("http://141.218.60.56/~jnz1568/getInfo.php?workbook=20_05.xlsx&amp;sheet=U0&amp;row=3730&amp;col=7&amp;number=0.00385&amp;sourceID=14","0.00385")</f>
        <v>0.00385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HYPERLINK("http://141.218.60.56/~jnz1568/getInfo.php?workbook=20_05.xlsx&amp;sheet=U0&amp;row=3731&amp;col=6&amp;number=3.7&amp;sourceID=14","3.7")</f>
        <v>3.7</v>
      </c>
      <c r="G3731" s="4" t="str">
        <f>HYPERLINK("http://141.218.60.56/~jnz1568/getInfo.php?workbook=20_05.xlsx&amp;sheet=U0&amp;row=3731&amp;col=7&amp;number=0.00386&amp;sourceID=14","0.00386")</f>
        <v>0.00386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HYPERLINK("http://141.218.60.56/~jnz1568/getInfo.php?workbook=20_05.xlsx&amp;sheet=U0&amp;row=3732&amp;col=6&amp;number=3.8&amp;sourceID=14","3.8")</f>
        <v>3.8</v>
      </c>
      <c r="G3732" s="4" t="str">
        <f>HYPERLINK("http://141.218.60.56/~jnz1568/getInfo.php?workbook=20_05.xlsx&amp;sheet=U0&amp;row=3732&amp;col=7&amp;number=0.00386&amp;sourceID=14","0.00386")</f>
        <v>0.00386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HYPERLINK("http://141.218.60.56/~jnz1568/getInfo.php?workbook=20_05.xlsx&amp;sheet=U0&amp;row=3733&amp;col=6&amp;number=3.9&amp;sourceID=14","3.9")</f>
        <v>3.9</v>
      </c>
      <c r="G3733" s="4" t="str">
        <f>HYPERLINK("http://141.218.60.56/~jnz1568/getInfo.php?workbook=20_05.xlsx&amp;sheet=U0&amp;row=3733&amp;col=7&amp;number=0.00386&amp;sourceID=14","0.00386")</f>
        <v>0.00386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HYPERLINK("http://141.218.60.56/~jnz1568/getInfo.php?workbook=20_05.xlsx&amp;sheet=U0&amp;row=3734&amp;col=6&amp;number=4&amp;sourceID=14","4")</f>
        <v>4</v>
      </c>
      <c r="G3734" s="4" t="str">
        <f>HYPERLINK("http://141.218.60.56/~jnz1568/getInfo.php?workbook=20_05.xlsx&amp;sheet=U0&amp;row=3734&amp;col=7&amp;number=0.00387&amp;sourceID=14","0.00387")</f>
        <v>0.00387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HYPERLINK("http://141.218.60.56/~jnz1568/getInfo.php?workbook=20_05.xlsx&amp;sheet=U0&amp;row=3735&amp;col=6&amp;number=4.1&amp;sourceID=14","4.1")</f>
        <v>4.1</v>
      </c>
      <c r="G3735" s="4" t="str">
        <f>HYPERLINK("http://141.218.60.56/~jnz1568/getInfo.php?workbook=20_05.xlsx&amp;sheet=U0&amp;row=3735&amp;col=7&amp;number=0.00387&amp;sourceID=14","0.00387")</f>
        <v>0.00387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HYPERLINK("http://141.218.60.56/~jnz1568/getInfo.php?workbook=20_05.xlsx&amp;sheet=U0&amp;row=3736&amp;col=6&amp;number=4.2&amp;sourceID=14","4.2")</f>
        <v>4.2</v>
      </c>
      <c r="G3736" s="4" t="str">
        <f>HYPERLINK("http://141.218.60.56/~jnz1568/getInfo.php?workbook=20_05.xlsx&amp;sheet=U0&amp;row=3736&amp;col=7&amp;number=0.00388&amp;sourceID=14","0.00388")</f>
        <v>0.00388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HYPERLINK("http://141.218.60.56/~jnz1568/getInfo.php?workbook=20_05.xlsx&amp;sheet=U0&amp;row=3737&amp;col=6&amp;number=4.3&amp;sourceID=14","4.3")</f>
        <v>4.3</v>
      </c>
      <c r="G3737" s="4" t="str">
        <f>HYPERLINK("http://141.218.60.56/~jnz1568/getInfo.php?workbook=20_05.xlsx&amp;sheet=U0&amp;row=3737&amp;col=7&amp;number=0.00388&amp;sourceID=14","0.00388")</f>
        <v>0.00388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HYPERLINK("http://141.218.60.56/~jnz1568/getInfo.php?workbook=20_05.xlsx&amp;sheet=U0&amp;row=3738&amp;col=6&amp;number=4.4&amp;sourceID=14","4.4")</f>
        <v>4.4</v>
      </c>
      <c r="G3738" s="4" t="str">
        <f>HYPERLINK("http://141.218.60.56/~jnz1568/getInfo.php?workbook=20_05.xlsx&amp;sheet=U0&amp;row=3738&amp;col=7&amp;number=0.00389&amp;sourceID=14","0.00389")</f>
        <v>0.00389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HYPERLINK("http://141.218.60.56/~jnz1568/getInfo.php?workbook=20_05.xlsx&amp;sheet=U0&amp;row=3739&amp;col=6&amp;number=4.5&amp;sourceID=14","4.5")</f>
        <v>4.5</v>
      </c>
      <c r="G3739" s="4" t="str">
        <f>HYPERLINK("http://141.218.60.56/~jnz1568/getInfo.php?workbook=20_05.xlsx&amp;sheet=U0&amp;row=3739&amp;col=7&amp;number=0.0039&amp;sourceID=14","0.0039")</f>
        <v>0.0039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HYPERLINK("http://141.218.60.56/~jnz1568/getInfo.php?workbook=20_05.xlsx&amp;sheet=U0&amp;row=3740&amp;col=6&amp;number=4.6&amp;sourceID=14","4.6")</f>
        <v>4.6</v>
      </c>
      <c r="G3740" s="4" t="str">
        <f>HYPERLINK("http://141.218.60.56/~jnz1568/getInfo.php?workbook=20_05.xlsx&amp;sheet=U0&amp;row=3740&amp;col=7&amp;number=0.00392&amp;sourceID=14","0.00392")</f>
        <v>0.00392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HYPERLINK("http://141.218.60.56/~jnz1568/getInfo.php?workbook=20_05.xlsx&amp;sheet=U0&amp;row=3741&amp;col=6&amp;number=4.7&amp;sourceID=14","4.7")</f>
        <v>4.7</v>
      </c>
      <c r="G3741" s="4" t="str">
        <f>HYPERLINK("http://141.218.60.56/~jnz1568/getInfo.php?workbook=20_05.xlsx&amp;sheet=U0&amp;row=3741&amp;col=7&amp;number=0.00393&amp;sourceID=14","0.00393")</f>
        <v>0.00393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HYPERLINK("http://141.218.60.56/~jnz1568/getInfo.php?workbook=20_05.xlsx&amp;sheet=U0&amp;row=3742&amp;col=6&amp;number=4.8&amp;sourceID=14","4.8")</f>
        <v>4.8</v>
      </c>
      <c r="G3742" s="4" t="str">
        <f>HYPERLINK("http://141.218.60.56/~jnz1568/getInfo.php?workbook=20_05.xlsx&amp;sheet=U0&amp;row=3742&amp;col=7&amp;number=0.00396&amp;sourceID=14","0.00396")</f>
        <v>0.00396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HYPERLINK("http://141.218.60.56/~jnz1568/getInfo.php?workbook=20_05.xlsx&amp;sheet=U0&amp;row=3743&amp;col=6&amp;number=4.9&amp;sourceID=14","4.9")</f>
        <v>4.9</v>
      </c>
      <c r="G3743" s="4" t="str">
        <f>HYPERLINK("http://141.218.60.56/~jnz1568/getInfo.php?workbook=20_05.xlsx&amp;sheet=U0&amp;row=3743&amp;col=7&amp;number=0.00398&amp;sourceID=14","0.00398")</f>
        <v>0.00398</v>
      </c>
    </row>
    <row r="3744" spans="1:7">
      <c r="A3744" s="3">
        <v>20</v>
      </c>
      <c r="B3744" s="3">
        <v>5</v>
      </c>
      <c r="C3744" s="3">
        <v>2</v>
      </c>
      <c r="D3744" s="3">
        <v>34</v>
      </c>
      <c r="E3744" s="3">
        <v>1</v>
      </c>
      <c r="F3744" s="4" t="str">
        <f>HYPERLINK("http://141.218.60.56/~jnz1568/getInfo.php?workbook=20_05.xlsx&amp;sheet=U0&amp;row=3744&amp;col=6&amp;number=3&amp;sourceID=14","3")</f>
        <v>3</v>
      </c>
      <c r="G3744" s="4" t="str">
        <f>HYPERLINK("http://141.218.60.56/~jnz1568/getInfo.php?workbook=20_05.xlsx&amp;sheet=U0&amp;row=3744&amp;col=7&amp;number=0.00189&amp;sourceID=14","0.00189")</f>
        <v>0.00189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HYPERLINK("http://141.218.60.56/~jnz1568/getInfo.php?workbook=20_05.xlsx&amp;sheet=U0&amp;row=3745&amp;col=6&amp;number=3.1&amp;sourceID=14","3.1")</f>
        <v>3.1</v>
      </c>
      <c r="G3745" s="4" t="str">
        <f>HYPERLINK("http://141.218.60.56/~jnz1568/getInfo.php?workbook=20_05.xlsx&amp;sheet=U0&amp;row=3745&amp;col=7&amp;number=0.00189&amp;sourceID=14","0.00189")</f>
        <v>0.00189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HYPERLINK("http://141.218.60.56/~jnz1568/getInfo.php?workbook=20_05.xlsx&amp;sheet=U0&amp;row=3746&amp;col=6&amp;number=3.2&amp;sourceID=14","3.2")</f>
        <v>3.2</v>
      </c>
      <c r="G3746" s="4" t="str">
        <f>HYPERLINK("http://141.218.60.56/~jnz1568/getInfo.php?workbook=20_05.xlsx&amp;sheet=U0&amp;row=3746&amp;col=7&amp;number=0.00189&amp;sourceID=14","0.00189")</f>
        <v>0.00189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HYPERLINK("http://141.218.60.56/~jnz1568/getInfo.php?workbook=20_05.xlsx&amp;sheet=U0&amp;row=3747&amp;col=6&amp;number=3.3&amp;sourceID=14","3.3")</f>
        <v>3.3</v>
      </c>
      <c r="G3747" s="4" t="str">
        <f>HYPERLINK("http://141.218.60.56/~jnz1568/getInfo.php?workbook=20_05.xlsx&amp;sheet=U0&amp;row=3747&amp;col=7&amp;number=0.00189&amp;sourceID=14","0.00189")</f>
        <v>0.00189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HYPERLINK("http://141.218.60.56/~jnz1568/getInfo.php?workbook=20_05.xlsx&amp;sheet=U0&amp;row=3748&amp;col=6&amp;number=3.4&amp;sourceID=14","3.4")</f>
        <v>3.4</v>
      </c>
      <c r="G3748" s="4" t="str">
        <f>HYPERLINK("http://141.218.60.56/~jnz1568/getInfo.php?workbook=20_05.xlsx&amp;sheet=U0&amp;row=3748&amp;col=7&amp;number=0.00189&amp;sourceID=14","0.00189")</f>
        <v>0.00189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HYPERLINK("http://141.218.60.56/~jnz1568/getInfo.php?workbook=20_05.xlsx&amp;sheet=U0&amp;row=3749&amp;col=6&amp;number=3.5&amp;sourceID=14","3.5")</f>
        <v>3.5</v>
      </c>
      <c r="G3749" s="4" t="str">
        <f>HYPERLINK("http://141.218.60.56/~jnz1568/getInfo.php?workbook=20_05.xlsx&amp;sheet=U0&amp;row=3749&amp;col=7&amp;number=0.00189&amp;sourceID=14","0.00189")</f>
        <v>0.00189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HYPERLINK("http://141.218.60.56/~jnz1568/getInfo.php?workbook=20_05.xlsx&amp;sheet=U0&amp;row=3750&amp;col=6&amp;number=3.6&amp;sourceID=14","3.6")</f>
        <v>3.6</v>
      </c>
      <c r="G3750" s="4" t="str">
        <f>HYPERLINK("http://141.218.60.56/~jnz1568/getInfo.php?workbook=20_05.xlsx&amp;sheet=U0&amp;row=3750&amp;col=7&amp;number=0.00189&amp;sourceID=14","0.00189")</f>
        <v>0.00189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HYPERLINK("http://141.218.60.56/~jnz1568/getInfo.php?workbook=20_05.xlsx&amp;sheet=U0&amp;row=3751&amp;col=6&amp;number=3.7&amp;sourceID=14","3.7")</f>
        <v>3.7</v>
      </c>
      <c r="G3751" s="4" t="str">
        <f>HYPERLINK("http://141.218.60.56/~jnz1568/getInfo.php?workbook=20_05.xlsx&amp;sheet=U0&amp;row=3751&amp;col=7&amp;number=0.00189&amp;sourceID=14","0.00189")</f>
        <v>0.00189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HYPERLINK("http://141.218.60.56/~jnz1568/getInfo.php?workbook=20_05.xlsx&amp;sheet=U0&amp;row=3752&amp;col=6&amp;number=3.8&amp;sourceID=14","3.8")</f>
        <v>3.8</v>
      </c>
      <c r="G3752" s="4" t="str">
        <f>HYPERLINK("http://141.218.60.56/~jnz1568/getInfo.php?workbook=20_05.xlsx&amp;sheet=U0&amp;row=3752&amp;col=7&amp;number=0.00189&amp;sourceID=14","0.00189")</f>
        <v>0.00189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HYPERLINK("http://141.218.60.56/~jnz1568/getInfo.php?workbook=20_05.xlsx&amp;sheet=U0&amp;row=3753&amp;col=6&amp;number=3.9&amp;sourceID=14","3.9")</f>
        <v>3.9</v>
      </c>
      <c r="G3753" s="4" t="str">
        <f>HYPERLINK("http://141.218.60.56/~jnz1568/getInfo.php?workbook=20_05.xlsx&amp;sheet=U0&amp;row=3753&amp;col=7&amp;number=0.00189&amp;sourceID=14","0.00189")</f>
        <v>0.00189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HYPERLINK("http://141.218.60.56/~jnz1568/getInfo.php?workbook=20_05.xlsx&amp;sheet=U0&amp;row=3754&amp;col=6&amp;number=4&amp;sourceID=14","4")</f>
        <v>4</v>
      </c>
      <c r="G3754" s="4" t="str">
        <f>HYPERLINK("http://141.218.60.56/~jnz1568/getInfo.php?workbook=20_05.xlsx&amp;sheet=U0&amp;row=3754&amp;col=7&amp;number=0.00189&amp;sourceID=14","0.00189")</f>
        <v>0.00189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HYPERLINK("http://141.218.60.56/~jnz1568/getInfo.php?workbook=20_05.xlsx&amp;sheet=U0&amp;row=3755&amp;col=6&amp;number=4.1&amp;sourceID=14","4.1")</f>
        <v>4.1</v>
      </c>
      <c r="G3755" s="4" t="str">
        <f>HYPERLINK("http://141.218.60.56/~jnz1568/getInfo.php?workbook=20_05.xlsx&amp;sheet=U0&amp;row=3755&amp;col=7&amp;number=0.00189&amp;sourceID=14","0.00189")</f>
        <v>0.00189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HYPERLINK("http://141.218.60.56/~jnz1568/getInfo.php?workbook=20_05.xlsx&amp;sheet=U0&amp;row=3756&amp;col=6&amp;number=4.2&amp;sourceID=14","4.2")</f>
        <v>4.2</v>
      </c>
      <c r="G3756" s="4" t="str">
        <f>HYPERLINK("http://141.218.60.56/~jnz1568/getInfo.php?workbook=20_05.xlsx&amp;sheet=U0&amp;row=3756&amp;col=7&amp;number=0.00189&amp;sourceID=14","0.00189")</f>
        <v>0.00189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HYPERLINK("http://141.218.60.56/~jnz1568/getInfo.php?workbook=20_05.xlsx&amp;sheet=U0&amp;row=3757&amp;col=6&amp;number=4.3&amp;sourceID=14","4.3")</f>
        <v>4.3</v>
      </c>
      <c r="G3757" s="4" t="str">
        <f>HYPERLINK("http://141.218.60.56/~jnz1568/getInfo.php?workbook=20_05.xlsx&amp;sheet=U0&amp;row=3757&amp;col=7&amp;number=0.00189&amp;sourceID=14","0.00189")</f>
        <v>0.00189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HYPERLINK("http://141.218.60.56/~jnz1568/getInfo.php?workbook=20_05.xlsx&amp;sheet=U0&amp;row=3758&amp;col=6&amp;number=4.4&amp;sourceID=14","4.4")</f>
        <v>4.4</v>
      </c>
      <c r="G3758" s="4" t="str">
        <f>HYPERLINK("http://141.218.60.56/~jnz1568/getInfo.php?workbook=20_05.xlsx&amp;sheet=U0&amp;row=3758&amp;col=7&amp;number=0.00189&amp;sourceID=14","0.00189")</f>
        <v>0.00189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HYPERLINK("http://141.218.60.56/~jnz1568/getInfo.php?workbook=20_05.xlsx&amp;sheet=U0&amp;row=3759&amp;col=6&amp;number=4.5&amp;sourceID=14","4.5")</f>
        <v>4.5</v>
      </c>
      <c r="G3759" s="4" t="str">
        <f>HYPERLINK("http://141.218.60.56/~jnz1568/getInfo.php?workbook=20_05.xlsx&amp;sheet=U0&amp;row=3759&amp;col=7&amp;number=0.00189&amp;sourceID=14","0.00189")</f>
        <v>0.00189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HYPERLINK("http://141.218.60.56/~jnz1568/getInfo.php?workbook=20_05.xlsx&amp;sheet=U0&amp;row=3760&amp;col=6&amp;number=4.6&amp;sourceID=14","4.6")</f>
        <v>4.6</v>
      </c>
      <c r="G3760" s="4" t="str">
        <f>HYPERLINK("http://141.218.60.56/~jnz1568/getInfo.php?workbook=20_05.xlsx&amp;sheet=U0&amp;row=3760&amp;col=7&amp;number=0.0019&amp;sourceID=14","0.0019")</f>
        <v>0.0019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HYPERLINK("http://141.218.60.56/~jnz1568/getInfo.php?workbook=20_05.xlsx&amp;sheet=U0&amp;row=3761&amp;col=6&amp;number=4.7&amp;sourceID=14","4.7")</f>
        <v>4.7</v>
      </c>
      <c r="G3761" s="4" t="str">
        <f>HYPERLINK("http://141.218.60.56/~jnz1568/getInfo.php?workbook=20_05.xlsx&amp;sheet=U0&amp;row=3761&amp;col=7&amp;number=0.0019&amp;sourceID=14","0.0019")</f>
        <v>0.0019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HYPERLINK("http://141.218.60.56/~jnz1568/getInfo.php?workbook=20_05.xlsx&amp;sheet=U0&amp;row=3762&amp;col=6&amp;number=4.8&amp;sourceID=14","4.8")</f>
        <v>4.8</v>
      </c>
      <c r="G3762" s="4" t="str">
        <f>HYPERLINK("http://141.218.60.56/~jnz1568/getInfo.php?workbook=20_05.xlsx&amp;sheet=U0&amp;row=3762&amp;col=7&amp;number=0.0019&amp;sourceID=14","0.0019")</f>
        <v>0.0019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HYPERLINK("http://141.218.60.56/~jnz1568/getInfo.php?workbook=20_05.xlsx&amp;sheet=U0&amp;row=3763&amp;col=6&amp;number=4.9&amp;sourceID=14","4.9")</f>
        <v>4.9</v>
      </c>
      <c r="G3763" s="4" t="str">
        <f>HYPERLINK("http://141.218.60.56/~jnz1568/getInfo.php?workbook=20_05.xlsx&amp;sheet=U0&amp;row=3763&amp;col=7&amp;number=0.0019&amp;sourceID=14","0.0019")</f>
        <v>0.0019</v>
      </c>
    </row>
    <row r="3764" spans="1:7">
      <c r="A3764" s="3">
        <v>20</v>
      </c>
      <c r="B3764" s="3">
        <v>5</v>
      </c>
      <c r="C3764" s="3">
        <v>2</v>
      </c>
      <c r="D3764" s="3">
        <v>35</v>
      </c>
      <c r="E3764" s="3">
        <v>1</v>
      </c>
      <c r="F3764" s="4" t="str">
        <f>HYPERLINK("http://141.218.60.56/~jnz1568/getInfo.php?workbook=20_05.xlsx&amp;sheet=U0&amp;row=3764&amp;col=6&amp;number=3&amp;sourceID=14","3")</f>
        <v>3</v>
      </c>
      <c r="G3764" s="4" t="str">
        <f>HYPERLINK("http://141.218.60.56/~jnz1568/getInfo.php?workbook=20_05.xlsx&amp;sheet=U0&amp;row=3764&amp;col=7&amp;number=0.00203&amp;sourceID=14","0.00203")</f>
        <v>0.00203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HYPERLINK("http://141.218.60.56/~jnz1568/getInfo.php?workbook=20_05.xlsx&amp;sheet=U0&amp;row=3765&amp;col=6&amp;number=3.1&amp;sourceID=14","3.1")</f>
        <v>3.1</v>
      </c>
      <c r="G3765" s="4" t="str">
        <f>HYPERLINK("http://141.218.60.56/~jnz1568/getInfo.php?workbook=20_05.xlsx&amp;sheet=U0&amp;row=3765&amp;col=7&amp;number=0.00203&amp;sourceID=14","0.00203")</f>
        <v>0.00203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HYPERLINK("http://141.218.60.56/~jnz1568/getInfo.php?workbook=20_05.xlsx&amp;sheet=U0&amp;row=3766&amp;col=6&amp;number=3.2&amp;sourceID=14","3.2")</f>
        <v>3.2</v>
      </c>
      <c r="G3766" s="4" t="str">
        <f>HYPERLINK("http://141.218.60.56/~jnz1568/getInfo.php?workbook=20_05.xlsx&amp;sheet=U0&amp;row=3766&amp;col=7&amp;number=0.00203&amp;sourceID=14","0.00203")</f>
        <v>0.00203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HYPERLINK("http://141.218.60.56/~jnz1568/getInfo.php?workbook=20_05.xlsx&amp;sheet=U0&amp;row=3767&amp;col=6&amp;number=3.3&amp;sourceID=14","3.3")</f>
        <v>3.3</v>
      </c>
      <c r="G3767" s="4" t="str">
        <f>HYPERLINK("http://141.218.60.56/~jnz1568/getInfo.php?workbook=20_05.xlsx&amp;sheet=U0&amp;row=3767&amp;col=7&amp;number=0.00203&amp;sourceID=14","0.00203")</f>
        <v>0.00203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HYPERLINK("http://141.218.60.56/~jnz1568/getInfo.php?workbook=20_05.xlsx&amp;sheet=U0&amp;row=3768&amp;col=6&amp;number=3.4&amp;sourceID=14","3.4")</f>
        <v>3.4</v>
      </c>
      <c r="G3768" s="4" t="str">
        <f>HYPERLINK("http://141.218.60.56/~jnz1568/getInfo.php?workbook=20_05.xlsx&amp;sheet=U0&amp;row=3768&amp;col=7&amp;number=0.00203&amp;sourceID=14","0.00203")</f>
        <v>0.00203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HYPERLINK("http://141.218.60.56/~jnz1568/getInfo.php?workbook=20_05.xlsx&amp;sheet=U0&amp;row=3769&amp;col=6&amp;number=3.5&amp;sourceID=14","3.5")</f>
        <v>3.5</v>
      </c>
      <c r="G3769" s="4" t="str">
        <f>HYPERLINK("http://141.218.60.56/~jnz1568/getInfo.php?workbook=20_05.xlsx&amp;sheet=U0&amp;row=3769&amp;col=7&amp;number=0.00203&amp;sourceID=14","0.00203")</f>
        <v>0.00203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HYPERLINK("http://141.218.60.56/~jnz1568/getInfo.php?workbook=20_05.xlsx&amp;sheet=U0&amp;row=3770&amp;col=6&amp;number=3.6&amp;sourceID=14","3.6")</f>
        <v>3.6</v>
      </c>
      <c r="G3770" s="4" t="str">
        <f>HYPERLINK("http://141.218.60.56/~jnz1568/getInfo.php?workbook=20_05.xlsx&amp;sheet=U0&amp;row=3770&amp;col=7&amp;number=0.00203&amp;sourceID=14","0.00203")</f>
        <v>0.00203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HYPERLINK("http://141.218.60.56/~jnz1568/getInfo.php?workbook=20_05.xlsx&amp;sheet=U0&amp;row=3771&amp;col=6&amp;number=3.7&amp;sourceID=14","3.7")</f>
        <v>3.7</v>
      </c>
      <c r="G3771" s="4" t="str">
        <f>HYPERLINK("http://141.218.60.56/~jnz1568/getInfo.php?workbook=20_05.xlsx&amp;sheet=U0&amp;row=3771&amp;col=7&amp;number=0.00203&amp;sourceID=14","0.00203")</f>
        <v>0.00203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HYPERLINK("http://141.218.60.56/~jnz1568/getInfo.php?workbook=20_05.xlsx&amp;sheet=U0&amp;row=3772&amp;col=6&amp;number=3.8&amp;sourceID=14","3.8")</f>
        <v>3.8</v>
      </c>
      <c r="G3772" s="4" t="str">
        <f>HYPERLINK("http://141.218.60.56/~jnz1568/getInfo.php?workbook=20_05.xlsx&amp;sheet=U0&amp;row=3772&amp;col=7&amp;number=0.00203&amp;sourceID=14","0.00203")</f>
        <v>0.00203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HYPERLINK("http://141.218.60.56/~jnz1568/getInfo.php?workbook=20_05.xlsx&amp;sheet=U0&amp;row=3773&amp;col=6&amp;number=3.9&amp;sourceID=14","3.9")</f>
        <v>3.9</v>
      </c>
      <c r="G3773" s="4" t="str">
        <f>HYPERLINK("http://141.218.60.56/~jnz1568/getInfo.php?workbook=20_05.xlsx&amp;sheet=U0&amp;row=3773&amp;col=7&amp;number=0.00203&amp;sourceID=14","0.00203")</f>
        <v>0.00203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HYPERLINK("http://141.218.60.56/~jnz1568/getInfo.php?workbook=20_05.xlsx&amp;sheet=U0&amp;row=3774&amp;col=6&amp;number=4&amp;sourceID=14","4")</f>
        <v>4</v>
      </c>
      <c r="G3774" s="4" t="str">
        <f>HYPERLINK("http://141.218.60.56/~jnz1568/getInfo.php?workbook=20_05.xlsx&amp;sheet=U0&amp;row=3774&amp;col=7&amp;number=0.00203&amp;sourceID=14","0.00203")</f>
        <v>0.00203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HYPERLINK("http://141.218.60.56/~jnz1568/getInfo.php?workbook=20_05.xlsx&amp;sheet=U0&amp;row=3775&amp;col=6&amp;number=4.1&amp;sourceID=14","4.1")</f>
        <v>4.1</v>
      </c>
      <c r="G3775" s="4" t="str">
        <f>HYPERLINK("http://141.218.60.56/~jnz1568/getInfo.php?workbook=20_05.xlsx&amp;sheet=U0&amp;row=3775&amp;col=7&amp;number=0.00203&amp;sourceID=14","0.00203")</f>
        <v>0.00203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HYPERLINK("http://141.218.60.56/~jnz1568/getInfo.php?workbook=20_05.xlsx&amp;sheet=U0&amp;row=3776&amp;col=6&amp;number=4.2&amp;sourceID=14","4.2")</f>
        <v>4.2</v>
      </c>
      <c r="G3776" s="4" t="str">
        <f>HYPERLINK("http://141.218.60.56/~jnz1568/getInfo.php?workbook=20_05.xlsx&amp;sheet=U0&amp;row=3776&amp;col=7&amp;number=0.00203&amp;sourceID=14","0.00203")</f>
        <v>0.00203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HYPERLINK("http://141.218.60.56/~jnz1568/getInfo.php?workbook=20_05.xlsx&amp;sheet=U0&amp;row=3777&amp;col=6&amp;number=4.3&amp;sourceID=14","4.3")</f>
        <v>4.3</v>
      </c>
      <c r="G3777" s="4" t="str">
        <f>HYPERLINK("http://141.218.60.56/~jnz1568/getInfo.php?workbook=20_05.xlsx&amp;sheet=U0&amp;row=3777&amp;col=7&amp;number=0.00203&amp;sourceID=14","0.00203")</f>
        <v>0.00203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HYPERLINK("http://141.218.60.56/~jnz1568/getInfo.php?workbook=20_05.xlsx&amp;sheet=U0&amp;row=3778&amp;col=6&amp;number=4.4&amp;sourceID=14","4.4")</f>
        <v>4.4</v>
      </c>
      <c r="G3778" s="4" t="str">
        <f>HYPERLINK("http://141.218.60.56/~jnz1568/getInfo.php?workbook=20_05.xlsx&amp;sheet=U0&amp;row=3778&amp;col=7&amp;number=0.00202&amp;sourceID=14","0.00202")</f>
        <v>0.00202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HYPERLINK("http://141.218.60.56/~jnz1568/getInfo.php?workbook=20_05.xlsx&amp;sheet=U0&amp;row=3779&amp;col=6&amp;number=4.5&amp;sourceID=14","4.5")</f>
        <v>4.5</v>
      </c>
      <c r="G3779" s="4" t="str">
        <f>HYPERLINK("http://141.218.60.56/~jnz1568/getInfo.php?workbook=20_05.xlsx&amp;sheet=U0&amp;row=3779&amp;col=7&amp;number=0.00202&amp;sourceID=14","0.00202")</f>
        <v>0.00202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HYPERLINK("http://141.218.60.56/~jnz1568/getInfo.php?workbook=20_05.xlsx&amp;sheet=U0&amp;row=3780&amp;col=6&amp;number=4.6&amp;sourceID=14","4.6")</f>
        <v>4.6</v>
      </c>
      <c r="G3780" s="4" t="str">
        <f>HYPERLINK("http://141.218.60.56/~jnz1568/getInfo.php?workbook=20_05.xlsx&amp;sheet=U0&amp;row=3780&amp;col=7&amp;number=0.00202&amp;sourceID=14","0.00202")</f>
        <v>0.00202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HYPERLINK("http://141.218.60.56/~jnz1568/getInfo.php?workbook=20_05.xlsx&amp;sheet=U0&amp;row=3781&amp;col=6&amp;number=4.7&amp;sourceID=14","4.7")</f>
        <v>4.7</v>
      </c>
      <c r="G3781" s="4" t="str">
        <f>HYPERLINK("http://141.218.60.56/~jnz1568/getInfo.php?workbook=20_05.xlsx&amp;sheet=U0&amp;row=3781&amp;col=7&amp;number=0.00202&amp;sourceID=14","0.00202")</f>
        <v>0.00202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HYPERLINK("http://141.218.60.56/~jnz1568/getInfo.php?workbook=20_05.xlsx&amp;sheet=U0&amp;row=3782&amp;col=6&amp;number=4.8&amp;sourceID=14","4.8")</f>
        <v>4.8</v>
      </c>
      <c r="G3782" s="4" t="str">
        <f>HYPERLINK("http://141.218.60.56/~jnz1568/getInfo.php?workbook=20_05.xlsx&amp;sheet=U0&amp;row=3782&amp;col=7&amp;number=0.00201&amp;sourceID=14","0.00201")</f>
        <v>0.00201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HYPERLINK("http://141.218.60.56/~jnz1568/getInfo.php?workbook=20_05.xlsx&amp;sheet=U0&amp;row=3783&amp;col=6&amp;number=4.9&amp;sourceID=14","4.9")</f>
        <v>4.9</v>
      </c>
      <c r="G3783" s="4" t="str">
        <f>HYPERLINK("http://141.218.60.56/~jnz1568/getInfo.php?workbook=20_05.xlsx&amp;sheet=U0&amp;row=3783&amp;col=7&amp;number=0.00201&amp;sourceID=14","0.00201")</f>
        <v>0.00201</v>
      </c>
    </row>
    <row r="3784" spans="1:7">
      <c r="A3784" s="3">
        <v>20</v>
      </c>
      <c r="B3784" s="3">
        <v>5</v>
      </c>
      <c r="C3784" s="3">
        <v>2</v>
      </c>
      <c r="D3784" s="3">
        <v>36</v>
      </c>
      <c r="E3784" s="3">
        <v>1</v>
      </c>
      <c r="F3784" s="4" t="str">
        <f>HYPERLINK("http://141.218.60.56/~jnz1568/getInfo.php?workbook=20_05.xlsx&amp;sheet=U0&amp;row=3784&amp;col=6&amp;number=3&amp;sourceID=14","3")</f>
        <v>3</v>
      </c>
      <c r="G3784" s="4" t="str">
        <f>HYPERLINK("http://141.218.60.56/~jnz1568/getInfo.php?workbook=20_05.xlsx&amp;sheet=U0&amp;row=3784&amp;col=7&amp;number=0.0039&amp;sourceID=14","0.0039")</f>
        <v>0.0039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HYPERLINK("http://141.218.60.56/~jnz1568/getInfo.php?workbook=20_05.xlsx&amp;sheet=U0&amp;row=3785&amp;col=6&amp;number=3.1&amp;sourceID=14","3.1")</f>
        <v>3.1</v>
      </c>
      <c r="G3785" s="4" t="str">
        <f>HYPERLINK("http://141.218.60.56/~jnz1568/getInfo.php?workbook=20_05.xlsx&amp;sheet=U0&amp;row=3785&amp;col=7&amp;number=0.0039&amp;sourceID=14","0.0039")</f>
        <v>0.0039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HYPERLINK("http://141.218.60.56/~jnz1568/getInfo.php?workbook=20_05.xlsx&amp;sheet=U0&amp;row=3786&amp;col=6&amp;number=3.2&amp;sourceID=14","3.2")</f>
        <v>3.2</v>
      </c>
      <c r="G3786" s="4" t="str">
        <f>HYPERLINK("http://141.218.60.56/~jnz1568/getInfo.php?workbook=20_05.xlsx&amp;sheet=U0&amp;row=3786&amp;col=7&amp;number=0.0039&amp;sourceID=14","0.0039")</f>
        <v>0.0039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HYPERLINK("http://141.218.60.56/~jnz1568/getInfo.php?workbook=20_05.xlsx&amp;sheet=U0&amp;row=3787&amp;col=6&amp;number=3.3&amp;sourceID=14","3.3")</f>
        <v>3.3</v>
      </c>
      <c r="G3787" s="4" t="str">
        <f>HYPERLINK("http://141.218.60.56/~jnz1568/getInfo.php?workbook=20_05.xlsx&amp;sheet=U0&amp;row=3787&amp;col=7&amp;number=0.0039&amp;sourceID=14","0.0039")</f>
        <v>0.0039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HYPERLINK("http://141.218.60.56/~jnz1568/getInfo.php?workbook=20_05.xlsx&amp;sheet=U0&amp;row=3788&amp;col=6&amp;number=3.4&amp;sourceID=14","3.4")</f>
        <v>3.4</v>
      </c>
      <c r="G3788" s="4" t="str">
        <f>HYPERLINK("http://141.218.60.56/~jnz1568/getInfo.php?workbook=20_05.xlsx&amp;sheet=U0&amp;row=3788&amp;col=7&amp;number=0.0039&amp;sourceID=14","0.0039")</f>
        <v>0.0039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HYPERLINK("http://141.218.60.56/~jnz1568/getInfo.php?workbook=20_05.xlsx&amp;sheet=U0&amp;row=3789&amp;col=6&amp;number=3.5&amp;sourceID=14","3.5")</f>
        <v>3.5</v>
      </c>
      <c r="G3789" s="4" t="str">
        <f>HYPERLINK("http://141.218.60.56/~jnz1568/getInfo.php?workbook=20_05.xlsx&amp;sheet=U0&amp;row=3789&amp;col=7&amp;number=0.0039&amp;sourceID=14","0.0039")</f>
        <v>0.0039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HYPERLINK("http://141.218.60.56/~jnz1568/getInfo.php?workbook=20_05.xlsx&amp;sheet=U0&amp;row=3790&amp;col=6&amp;number=3.6&amp;sourceID=14","3.6")</f>
        <v>3.6</v>
      </c>
      <c r="G3790" s="4" t="str">
        <f>HYPERLINK("http://141.218.60.56/~jnz1568/getInfo.php?workbook=20_05.xlsx&amp;sheet=U0&amp;row=3790&amp;col=7&amp;number=0.0039&amp;sourceID=14","0.0039")</f>
        <v>0.0039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HYPERLINK("http://141.218.60.56/~jnz1568/getInfo.php?workbook=20_05.xlsx&amp;sheet=U0&amp;row=3791&amp;col=6&amp;number=3.7&amp;sourceID=14","3.7")</f>
        <v>3.7</v>
      </c>
      <c r="G3791" s="4" t="str">
        <f>HYPERLINK("http://141.218.60.56/~jnz1568/getInfo.php?workbook=20_05.xlsx&amp;sheet=U0&amp;row=3791&amp;col=7&amp;number=0.0039&amp;sourceID=14","0.0039")</f>
        <v>0.0039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HYPERLINK("http://141.218.60.56/~jnz1568/getInfo.php?workbook=20_05.xlsx&amp;sheet=U0&amp;row=3792&amp;col=6&amp;number=3.8&amp;sourceID=14","3.8")</f>
        <v>3.8</v>
      </c>
      <c r="G3792" s="4" t="str">
        <f>HYPERLINK("http://141.218.60.56/~jnz1568/getInfo.php?workbook=20_05.xlsx&amp;sheet=U0&amp;row=3792&amp;col=7&amp;number=0.00391&amp;sourceID=14","0.00391")</f>
        <v>0.00391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HYPERLINK("http://141.218.60.56/~jnz1568/getInfo.php?workbook=20_05.xlsx&amp;sheet=U0&amp;row=3793&amp;col=6&amp;number=3.9&amp;sourceID=14","3.9")</f>
        <v>3.9</v>
      </c>
      <c r="G3793" s="4" t="str">
        <f>HYPERLINK("http://141.218.60.56/~jnz1568/getInfo.php?workbook=20_05.xlsx&amp;sheet=U0&amp;row=3793&amp;col=7&amp;number=0.00391&amp;sourceID=14","0.00391")</f>
        <v>0.00391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HYPERLINK("http://141.218.60.56/~jnz1568/getInfo.php?workbook=20_05.xlsx&amp;sheet=U0&amp;row=3794&amp;col=6&amp;number=4&amp;sourceID=14","4")</f>
        <v>4</v>
      </c>
      <c r="G3794" s="4" t="str">
        <f>HYPERLINK("http://141.218.60.56/~jnz1568/getInfo.php?workbook=20_05.xlsx&amp;sheet=U0&amp;row=3794&amp;col=7&amp;number=0.00391&amp;sourceID=14","0.00391")</f>
        <v>0.00391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HYPERLINK("http://141.218.60.56/~jnz1568/getInfo.php?workbook=20_05.xlsx&amp;sheet=U0&amp;row=3795&amp;col=6&amp;number=4.1&amp;sourceID=14","4.1")</f>
        <v>4.1</v>
      </c>
      <c r="G3795" s="4" t="str">
        <f>HYPERLINK("http://141.218.60.56/~jnz1568/getInfo.php?workbook=20_05.xlsx&amp;sheet=U0&amp;row=3795&amp;col=7&amp;number=0.00392&amp;sourceID=14","0.00392")</f>
        <v>0.00392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HYPERLINK("http://141.218.60.56/~jnz1568/getInfo.php?workbook=20_05.xlsx&amp;sheet=U0&amp;row=3796&amp;col=6&amp;number=4.2&amp;sourceID=14","4.2")</f>
        <v>4.2</v>
      </c>
      <c r="G3796" s="4" t="str">
        <f>HYPERLINK("http://141.218.60.56/~jnz1568/getInfo.php?workbook=20_05.xlsx&amp;sheet=U0&amp;row=3796&amp;col=7&amp;number=0.00392&amp;sourceID=14","0.00392")</f>
        <v>0.00392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HYPERLINK("http://141.218.60.56/~jnz1568/getInfo.php?workbook=20_05.xlsx&amp;sheet=U0&amp;row=3797&amp;col=6&amp;number=4.3&amp;sourceID=14","4.3")</f>
        <v>4.3</v>
      </c>
      <c r="G3797" s="4" t="str">
        <f>HYPERLINK("http://141.218.60.56/~jnz1568/getInfo.php?workbook=20_05.xlsx&amp;sheet=U0&amp;row=3797&amp;col=7&amp;number=0.00393&amp;sourceID=14","0.00393")</f>
        <v>0.00393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HYPERLINK("http://141.218.60.56/~jnz1568/getInfo.php?workbook=20_05.xlsx&amp;sheet=U0&amp;row=3798&amp;col=6&amp;number=4.4&amp;sourceID=14","4.4")</f>
        <v>4.4</v>
      </c>
      <c r="G3798" s="4" t="str">
        <f>HYPERLINK("http://141.218.60.56/~jnz1568/getInfo.php?workbook=20_05.xlsx&amp;sheet=U0&amp;row=3798&amp;col=7&amp;number=0.00394&amp;sourceID=14","0.00394")</f>
        <v>0.00394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HYPERLINK("http://141.218.60.56/~jnz1568/getInfo.php?workbook=20_05.xlsx&amp;sheet=U0&amp;row=3799&amp;col=6&amp;number=4.5&amp;sourceID=14","4.5")</f>
        <v>4.5</v>
      </c>
      <c r="G3799" s="4" t="str">
        <f>HYPERLINK("http://141.218.60.56/~jnz1568/getInfo.php?workbook=20_05.xlsx&amp;sheet=U0&amp;row=3799&amp;col=7&amp;number=0.00395&amp;sourceID=14","0.00395")</f>
        <v>0.00395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HYPERLINK("http://141.218.60.56/~jnz1568/getInfo.php?workbook=20_05.xlsx&amp;sheet=U0&amp;row=3800&amp;col=6&amp;number=4.6&amp;sourceID=14","4.6")</f>
        <v>4.6</v>
      </c>
      <c r="G3800" s="4" t="str">
        <f>HYPERLINK("http://141.218.60.56/~jnz1568/getInfo.php?workbook=20_05.xlsx&amp;sheet=U0&amp;row=3800&amp;col=7&amp;number=0.00396&amp;sourceID=14","0.00396")</f>
        <v>0.00396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HYPERLINK("http://141.218.60.56/~jnz1568/getInfo.php?workbook=20_05.xlsx&amp;sheet=U0&amp;row=3801&amp;col=6&amp;number=4.7&amp;sourceID=14","4.7")</f>
        <v>4.7</v>
      </c>
      <c r="G3801" s="4" t="str">
        <f>HYPERLINK("http://141.218.60.56/~jnz1568/getInfo.php?workbook=20_05.xlsx&amp;sheet=U0&amp;row=3801&amp;col=7&amp;number=0.00398&amp;sourceID=14","0.00398")</f>
        <v>0.00398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HYPERLINK("http://141.218.60.56/~jnz1568/getInfo.php?workbook=20_05.xlsx&amp;sheet=U0&amp;row=3802&amp;col=6&amp;number=4.8&amp;sourceID=14","4.8")</f>
        <v>4.8</v>
      </c>
      <c r="G3802" s="4" t="str">
        <f>HYPERLINK("http://141.218.60.56/~jnz1568/getInfo.php?workbook=20_05.xlsx&amp;sheet=U0&amp;row=3802&amp;col=7&amp;number=0.004&amp;sourceID=14","0.004")</f>
        <v>0.004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HYPERLINK("http://141.218.60.56/~jnz1568/getInfo.php?workbook=20_05.xlsx&amp;sheet=U0&amp;row=3803&amp;col=6&amp;number=4.9&amp;sourceID=14","4.9")</f>
        <v>4.9</v>
      </c>
      <c r="G3803" s="4" t="str">
        <f>HYPERLINK("http://141.218.60.56/~jnz1568/getInfo.php?workbook=20_05.xlsx&amp;sheet=U0&amp;row=3803&amp;col=7&amp;number=0.00403&amp;sourceID=14","0.00403")</f>
        <v>0.00403</v>
      </c>
    </row>
    <row r="3804" spans="1:7">
      <c r="A3804" s="3">
        <v>20</v>
      </c>
      <c r="B3804" s="3">
        <v>5</v>
      </c>
      <c r="C3804" s="3">
        <v>2</v>
      </c>
      <c r="D3804" s="3">
        <v>37</v>
      </c>
      <c r="E3804" s="3">
        <v>1</v>
      </c>
      <c r="F3804" s="4" t="str">
        <f>HYPERLINK("http://141.218.60.56/~jnz1568/getInfo.php?workbook=20_05.xlsx&amp;sheet=U0&amp;row=3804&amp;col=6&amp;number=3&amp;sourceID=14","3")</f>
        <v>3</v>
      </c>
      <c r="G3804" s="4" t="str">
        <f>HYPERLINK("http://141.218.60.56/~jnz1568/getInfo.php?workbook=20_05.xlsx&amp;sheet=U0&amp;row=3804&amp;col=7&amp;number=0.00277&amp;sourceID=14","0.00277")</f>
        <v>0.00277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HYPERLINK("http://141.218.60.56/~jnz1568/getInfo.php?workbook=20_05.xlsx&amp;sheet=U0&amp;row=3805&amp;col=6&amp;number=3.1&amp;sourceID=14","3.1")</f>
        <v>3.1</v>
      </c>
      <c r="G3805" s="4" t="str">
        <f>HYPERLINK("http://141.218.60.56/~jnz1568/getInfo.php?workbook=20_05.xlsx&amp;sheet=U0&amp;row=3805&amp;col=7&amp;number=0.00277&amp;sourceID=14","0.00277")</f>
        <v>0.00277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HYPERLINK("http://141.218.60.56/~jnz1568/getInfo.php?workbook=20_05.xlsx&amp;sheet=U0&amp;row=3806&amp;col=6&amp;number=3.2&amp;sourceID=14","3.2")</f>
        <v>3.2</v>
      </c>
      <c r="G3806" s="4" t="str">
        <f>HYPERLINK("http://141.218.60.56/~jnz1568/getInfo.php?workbook=20_05.xlsx&amp;sheet=U0&amp;row=3806&amp;col=7&amp;number=0.00277&amp;sourceID=14","0.00277")</f>
        <v>0.00277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HYPERLINK("http://141.218.60.56/~jnz1568/getInfo.php?workbook=20_05.xlsx&amp;sheet=U0&amp;row=3807&amp;col=6&amp;number=3.3&amp;sourceID=14","3.3")</f>
        <v>3.3</v>
      </c>
      <c r="G3807" s="4" t="str">
        <f>HYPERLINK("http://141.218.60.56/~jnz1568/getInfo.php?workbook=20_05.xlsx&amp;sheet=U0&amp;row=3807&amp;col=7&amp;number=0.00277&amp;sourceID=14","0.00277")</f>
        <v>0.00277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HYPERLINK("http://141.218.60.56/~jnz1568/getInfo.php?workbook=20_05.xlsx&amp;sheet=U0&amp;row=3808&amp;col=6&amp;number=3.4&amp;sourceID=14","3.4")</f>
        <v>3.4</v>
      </c>
      <c r="G3808" s="4" t="str">
        <f>HYPERLINK("http://141.218.60.56/~jnz1568/getInfo.php?workbook=20_05.xlsx&amp;sheet=U0&amp;row=3808&amp;col=7&amp;number=0.00277&amp;sourceID=14","0.00277")</f>
        <v>0.00277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HYPERLINK("http://141.218.60.56/~jnz1568/getInfo.php?workbook=20_05.xlsx&amp;sheet=U0&amp;row=3809&amp;col=6&amp;number=3.5&amp;sourceID=14","3.5")</f>
        <v>3.5</v>
      </c>
      <c r="G3809" s="4" t="str">
        <f>HYPERLINK("http://141.218.60.56/~jnz1568/getInfo.php?workbook=20_05.xlsx&amp;sheet=U0&amp;row=3809&amp;col=7&amp;number=0.00277&amp;sourceID=14","0.00277")</f>
        <v>0.00277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HYPERLINK("http://141.218.60.56/~jnz1568/getInfo.php?workbook=20_05.xlsx&amp;sheet=U0&amp;row=3810&amp;col=6&amp;number=3.6&amp;sourceID=14","3.6")</f>
        <v>3.6</v>
      </c>
      <c r="G3810" s="4" t="str">
        <f>HYPERLINK("http://141.218.60.56/~jnz1568/getInfo.php?workbook=20_05.xlsx&amp;sheet=U0&amp;row=3810&amp;col=7&amp;number=0.00277&amp;sourceID=14","0.00277")</f>
        <v>0.00277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HYPERLINK("http://141.218.60.56/~jnz1568/getInfo.php?workbook=20_05.xlsx&amp;sheet=U0&amp;row=3811&amp;col=6&amp;number=3.7&amp;sourceID=14","3.7")</f>
        <v>3.7</v>
      </c>
      <c r="G3811" s="4" t="str">
        <f>HYPERLINK("http://141.218.60.56/~jnz1568/getInfo.php?workbook=20_05.xlsx&amp;sheet=U0&amp;row=3811&amp;col=7&amp;number=0.00277&amp;sourceID=14","0.00277")</f>
        <v>0.00277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HYPERLINK("http://141.218.60.56/~jnz1568/getInfo.php?workbook=20_05.xlsx&amp;sheet=U0&amp;row=3812&amp;col=6&amp;number=3.8&amp;sourceID=14","3.8")</f>
        <v>3.8</v>
      </c>
      <c r="G3812" s="4" t="str">
        <f>HYPERLINK("http://141.218.60.56/~jnz1568/getInfo.php?workbook=20_05.xlsx&amp;sheet=U0&amp;row=3812&amp;col=7&amp;number=0.00277&amp;sourceID=14","0.00277")</f>
        <v>0.00277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HYPERLINK("http://141.218.60.56/~jnz1568/getInfo.php?workbook=20_05.xlsx&amp;sheet=U0&amp;row=3813&amp;col=6&amp;number=3.9&amp;sourceID=14","3.9")</f>
        <v>3.9</v>
      </c>
      <c r="G3813" s="4" t="str">
        <f>HYPERLINK("http://141.218.60.56/~jnz1568/getInfo.php?workbook=20_05.xlsx&amp;sheet=U0&amp;row=3813&amp;col=7&amp;number=0.00277&amp;sourceID=14","0.00277")</f>
        <v>0.00277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HYPERLINK("http://141.218.60.56/~jnz1568/getInfo.php?workbook=20_05.xlsx&amp;sheet=U0&amp;row=3814&amp;col=6&amp;number=4&amp;sourceID=14","4")</f>
        <v>4</v>
      </c>
      <c r="G3814" s="4" t="str">
        <f>HYPERLINK("http://141.218.60.56/~jnz1568/getInfo.php?workbook=20_05.xlsx&amp;sheet=U0&amp;row=3814&amp;col=7&amp;number=0.00277&amp;sourceID=14","0.00277")</f>
        <v>0.00277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HYPERLINK("http://141.218.60.56/~jnz1568/getInfo.php?workbook=20_05.xlsx&amp;sheet=U0&amp;row=3815&amp;col=6&amp;number=4.1&amp;sourceID=14","4.1")</f>
        <v>4.1</v>
      </c>
      <c r="G3815" s="4" t="str">
        <f>HYPERLINK("http://141.218.60.56/~jnz1568/getInfo.php?workbook=20_05.xlsx&amp;sheet=U0&amp;row=3815&amp;col=7&amp;number=0.00278&amp;sourceID=14","0.00278")</f>
        <v>0.00278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HYPERLINK("http://141.218.60.56/~jnz1568/getInfo.php?workbook=20_05.xlsx&amp;sheet=U0&amp;row=3816&amp;col=6&amp;number=4.2&amp;sourceID=14","4.2")</f>
        <v>4.2</v>
      </c>
      <c r="G3816" s="4" t="str">
        <f>HYPERLINK("http://141.218.60.56/~jnz1568/getInfo.php?workbook=20_05.xlsx&amp;sheet=U0&amp;row=3816&amp;col=7&amp;number=0.00278&amp;sourceID=14","0.00278")</f>
        <v>0.00278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HYPERLINK("http://141.218.60.56/~jnz1568/getInfo.php?workbook=20_05.xlsx&amp;sheet=U0&amp;row=3817&amp;col=6&amp;number=4.3&amp;sourceID=14","4.3")</f>
        <v>4.3</v>
      </c>
      <c r="G3817" s="4" t="str">
        <f>HYPERLINK("http://141.218.60.56/~jnz1568/getInfo.php?workbook=20_05.xlsx&amp;sheet=U0&amp;row=3817&amp;col=7&amp;number=0.00278&amp;sourceID=14","0.00278")</f>
        <v>0.00278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HYPERLINK("http://141.218.60.56/~jnz1568/getInfo.php?workbook=20_05.xlsx&amp;sheet=U0&amp;row=3818&amp;col=6&amp;number=4.4&amp;sourceID=14","4.4")</f>
        <v>4.4</v>
      </c>
      <c r="G3818" s="4" t="str">
        <f>HYPERLINK("http://141.218.60.56/~jnz1568/getInfo.php?workbook=20_05.xlsx&amp;sheet=U0&amp;row=3818&amp;col=7&amp;number=0.00279&amp;sourceID=14","0.00279")</f>
        <v>0.00279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HYPERLINK("http://141.218.60.56/~jnz1568/getInfo.php?workbook=20_05.xlsx&amp;sheet=U0&amp;row=3819&amp;col=6&amp;number=4.5&amp;sourceID=14","4.5")</f>
        <v>4.5</v>
      </c>
      <c r="G3819" s="4" t="str">
        <f>HYPERLINK("http://141.218.60.56/~jnz1568/getInfo.php?workbook=20_05.xlsx&amp;sheet=U0&amp;row=3819&amp;col=7&amp;number=0.00279&amp;sourceID=14","0.00279")</f>
        <v>0.00279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HYPERLINK("http://141.218.60.56/~jnz1568/getInfo.php?workbook=20_05.xlsx&amp;sheet=U0&amp;row=3820&amp;col=6&amp;number=4.6&amp;sourceID=14","4.6")</f>
        <v>4.6</v>
      </c>
      <c r="G3820" s="4" t="str">
        <f>HYPERLINK("http://141.218.60.56/~jnz1568/getInfo.php?workbook=20_05.xlsx&amp;sheet=U0&amp;row=3820&amp;col=7&amp;number=0.0028&amp;sourceID=14","0.0028")</f>
        <v>0.0028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HYPERLINK("http://141.218.60.56/~jnz1568/getInfo.php?workbook=20_05.xlsx&amp;sheet=U0&amp;row=3821&amp;col=6&amp;number=4.7&amp;sourceID=14","4.7")</f>
        <v>4.7</v>
      </c>
      <c r="G3821" s="4" t="str">
        <f>HYPERLINK("http://141.218.60.56/~jnz1568/getInfo.php?workbook=20_05.xlsx&amp;sheet=U0&amp;row=3821&amp;col=7&amp;number=0.0028&amp;sourceID=14","0.0028")</f>
        <v>0.0028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HYPERLINK("http://141.218.60.56/~jnz1568/getInfo.php?workbook=20_05.xlsx&amp;sheet=U0&amp;row=3822&amp;col=6&amp;number=4.8&amp;sourceID=14","4.8")</f>
        <v>4.8</v>
      </c>
      <c r="G3822" s="4" t="str">
        <f>HYPERLINK("http://141.218.60.56/~jnz1568/getInfo.php?workbook=20_05.xlsx&amp;sheet=U0&amp;row=3822&amp;col=7&amp;number=0.00281&amp;sourceID=14","0.00281")</f>
        <v>0.00281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HYPERLINK("http://141.218.60.56/~jnz1568/getInfo.php?workbook=20_05.xlsx&amp;sheet=U0&amp;row=3823&amp;col=6&amp;number=4.9&amp;sourceID=14","4.9")</f>
        <v>4.9</v>
      </c>
      <c r="G3823" s="4" t="str">
        <f>HYPERLINK("http://141.218.60.56/~jnz1568/getInfo.php?workbook=20_05.xlsx&amp;sheet=U0&amp;row=3823&amp;col=7&amp;number=0.00283&amp;sourceID=14","0.00283")</f>
        <v>0.00283</v>
      </c>
    </row>
    <row r="3824" spans="1:7">
      <c r="A3824" s="3">
        <v>20</v>
      </c>
      <c r="B3824" s="3">
        <v>5</v>
      </c>
      <c r="C3824" s="3">
        <v>2</v>
      </c>
      <c r="D3824" s="3">
        <v>38</v>
      </c>
      <c r="E3824" s="3">
        <v>1</v>
      </c>
      <c r="F3824" s="4" t="str">
        <f>HYPERLINK("http://141.218.60.56/~jnz1568/getInfo.php?workbook=20_05.xlsx&amp;sheet=U0&amp;row=3824&amp;col=6&amp;number=3&amp;sourceID=14","3")</f>
        <v>3</v>
      </c>
      <c r="G3824" s="4" t="str">
        <f>HYPERLINK("http://141.218.60.56/~jnz1568/getInfo.php?workbook=20_05.xlsx&amp;sheet=U0&amp;row=3824&amp;col=7&amp;number=0.00257&amp;sourceID=14","0.00257")</f>
        <v>0.00257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HYPERLINK("http://141.218.60.56/~jnz1568/getInfo.php?workbook=20_05.xlsx&amp;sheet=U0&amp;row=3825&amp;col=6&amp;number=3.1&amp;sourceID=14","3.1")</f>
        <v>3.1</v>
      </c>
      <c r="G3825" s="4" t="str">
        <f>HYPERLINK("http://141.218.60.56/~jnz1568/getInfo.php?workbook=20_05.xlsx&amp;sheet=U0&amp;row=3825&amp;col=7&amp;number=0.00257&amp;sourceID=14","0.00257")</f>
        <v>0.00257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HYPERLINK("http://141.218.60.56/~jnz1568/getInfo.php?workbook=20_05.xlsx&amp;sheet=U0&amp;row=3826&amp;col=6&amp;number=3.2&amp;sourceID=14","3.2")</f>
        <v>3.2</v>
      </c>
      <c r="G3826" s="4" t="str">
        <f>HYPERLINK("http://141.218.60.56/~jnz1568/getInfo.php?workbook=20_05.xlsx&amp;sheet=U0&amp;row=3826&amp;col=7&amp;number=0.00257&amp;sourceID=14","0.00257")</f>
        <v>0.00257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HYPERLINK("http://141.218.60.56/~jnz1568/getInfo.php?workbook=20_05.xlsx&amp;sheet=U0&amp;row=3827&amp;col=6&amp;number=3.3&amp;sourceID=14","3.3")</f>
        <v>3.3</v>
      </c>
      <c r="G3827" s="4" t="str">
        <f>HYPERLINK("http://141.218.60.56/~jnz1568/getInfo.php?workbook=20_05.xlsx&amp;sheet=U0&amp;row=3827&amp;col=7&amp;number=0.00257&amp;sourceID=14","0.00257")</f>
        <v>0.00257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HYPERLINK("http://141.218.60.56/~jnz1568/getInfo.php?workbook=20_05.xlsx&amp;sheet=U0&amp;row=3828&amp;col=6&amp;number=3.4&amp;sourceID=14","3.4")</f>
        <v>3.4</v>
      </c>
      <c r="G3828" s="4" t="str">
        <f>HYPERLINK("http://141.218.60.56/~jnz1568/getInfo.php?workbook=20_05.xlsx&amp;sheet=U0&amp;row=3828&amp;col=7&amp;number=0.00257&amp;sourceID=14","0.00257")</f>
        <v>0.00257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HYPERLINK("http://141.218.60.56/~jnz1568/getInfo.php?workbook=20_05.xlsx&amp;sheet=U0&amp;row=3829&amp;col=6&amp;number=3.5&amp;sourceID=14","3.5")</f>
        <v>3.5</v>
      </c>
      <c r="G3829" s="4" t="str">
        <f>HYPERLINK("http://141.218.60.56/~jnz1568/getInfo.php?workbook=20_05.xlsx&amp;sheet=U0&amp;row=3829&amp;col=7&amp;number=0.00257&amp;sourceID=14","0.00257")</f>
        <v>0.00257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HYPERLINK("http://141.218.60.56/~jnz1568/getInfo.php?workbook=20_05.xlsx&amp;sheet=U0&amp;row=3830&amp;col=6&amp;number=3.6&amp;sourceID=14","3.6")</f>
        <v>3.6</v>
      </c>
      <c r="G3830" s="4" t="str">
        <f>HYPERLINK("http://141.218.60.56/~jnz1568/getInfo.php?workbook=20_05.xlsx&amp;sheet=U0&amp;row=3830&amp;col=7&amp;number=0.00257&amp;sourceID=14","0.00257")</f>
        <v>0.00257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HYPERLINK("http://141.218.60.56/~jnz1568/getInfo.php?workbook=20_05.xlsx&amp;sheet=U0&amp;row=3831&amp;col=6&amp;number=3.7&amp;sourceID=14","3.7")</f>
        <v>3.7</v>
      </c>
      <c r="G3831" s="4" t="str">
        <f>HYPERLINK("http://141.218.60.56/~jnz1568/getInfo.php?workbook=20_05.xlsx&amp;sheet=U0&amp;row=3831&amp;col=7&amp;number=0.00257&amp;sourceID=14","0.00257")</f>
        <v>0.00257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HYPERLINK("http://141.218.60.56/~jnz1568/getInfo.php?workbook=20_05.xlsx&amp;sheet=U0&amp;row=3832&amp;col=6&amp;number=3.8&amp;sourceID=14","3.8")</f>
        <v>3.8</v>
      </c>
      <c r="G3832" s="4" t="str">
        <f>HYPERLINK("http://141.218.60.56/~jnz1568/getInfo.php?workbook=20_05.xlsx&amp;sheet=U0&amp;row=3832&amp;col=7&amp;number=0.00257&amp;sourceID=14","0.00257")</f>
        <v>0.00257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HYPERLINK("http://141.218.60.56/~jnz1568/getInfo.php?workbook=20_05.xlsx&amp;sheet=U0&amp;row=3833&amp;col=6&amp;number=3.9&amp;sourceID=14","3.9")</f>
        <v>3.9</v>
      </c>
      <c r="G3833" s="4" t="str">
        <f>HYPERLINK("http://141.218.60.56/~jnz1568/getInfo.php?workbook=20_05.xlsx&amp;sheet=U0&amp;row=3833&amp;col=7&amp;number=0.00257&amp;sourceID=14","0.00257")</f>
        <v>0.00257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HYPERLINK("http://141.218.60.56/~jnz1568/getInfo.php?workbook=20_05.xlsx&amp;sheet=U0&amp;row=3834&amp;col=6&amp;number=4&amp;sourceID=14","4")</f>
        <v>4</v>
      </c>
      <c r="G3834" s="4" t="str">
        <f>HYPERLINK("http://141.218.60.56/~jnz1568/getInfo.php?workbook=20_05.xlsx&amp;sheet=U0&amp;row=3834&amp;col=7&amp;number=0.00257&amp;sourceID=14","0.00257")</f>
        <v>0.00257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HYPERLINK("http://141.218.60.56/~jnz1568/getInfo.php?workbook=20_05.xlsx&amp;sheet=U0&amp;row=3835&amp;col=6&amp;number=4.1&amp;sourceID=14","4.1")</f>
        <v>4.1</v>
      </c>
      <c r="G3835" s="4" t="str">
        <f>HYPERLINK("http://141.218.60.56/~jnz1568/getInfo.php?workbook=20_05.xlsx&amp;sheet=U0&amp;row=3835&amp;col=7&amp;number=0.00257&amp;sourceID=14","0.00257")</f>
        <v>0.00257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HYPERLINK("http://141.218.60.56/~jnz1568/getInfo.php?workbook=20_05.xlsx&amp;sheet=U0&amp;row=3836&amp;col=6&amp;number=4.2&amp;sourceID=14","4.2")</f>
        <v>4.2</v>
      </c>
      <c r="G3836" s="4" t="str">
        <f>HYPERLINK("http://141.218.60.56/~jnz1568/getInfo.php?workbook=20_05.xlsx&amp;sheet=U0&amp;row=3836&amp;col=7&amp;number=0.00257&amp;sourceID=14","0.00257")</f>
        <v>0.00257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HYPERLINK("http://141.218.60.56/~jnz1568/getInfo.php?workbook=20_05.xlsx&amp;sheet=U0&amp;row=3837&amp;col=6&amp;number=4.3&amp;sourceID=14","4.3")</f>
        <v>4.3</v>
      </c>
      <c r="G3837" s="4" t="str">
        <f>HYPERLINK("http://141.218.60.56/~jnz1568/getInfo.php?workbook=20_05.xlsx&amp;sheet=U0&amp;row=3837&amp;col=7&amp;number=0.00257&amp;sourceID=14","0.00257")</f>
        <v>0.00257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HYPERLINK("http://141.218.60.56/~jnz1568/getInfo.php?workbook=20_05.xlsx&amp;sheet=U0&amp;row=3838&amp;col=6&amp;number=4.4&amp;sourceID=14","4.4")</f>
        <v>4.4</v>
      </c>
      <c r="G3838" s="4" t="str">
        <f>HYPERLINK("http://141.218.60.56/~jnz1568/getInfo.php?workbook=20_05.xlsx&amp;sheet=U0&amp;row=3838&amp;col=7&amp;number=0.00257&amp;sourceID=14","0.00257")</f>
        <v>0.00257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HYPERLINK("http://141.218.60.56/~jnz1568/getInfo.php?workbook=20_05.xlsx&amp;sheet=U0&amp;row=3839&amp;col=6&amp;number=4.5&amp;sourceID=14","4.5")</f>
        <v>4.5</v>
      </c>
      <c r="G3839" s="4" t="str">
        <f>HYPERLINK("http://141.218.60.56/~jnz1568/getInfo.php?workbook=20_05.xlsx&amp;sheet=U0&amp;row=3839&amp;col=7&amp;number=0.00258&amp;sourceID=14","0.00258")</f>
        <v>0.00258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HYPERLINK("http://141.218.60.56/~jnz1568/getInfo.php?workbook=20_05.xlsx&amp;sheet=U0&amp;row=3840&amp;col=6&amp;number=4.6&amp;sourceID=14","4.6")</f>
        <v>4.6</v>
      </c>
      <c r="G3840" s="4" t="str">
        <f>HYPERLINK("http://141.218.60.56/~jnz1568/getInfo.php?workbook=20_05.xlsx&amp;sheet=U0&amp;row=3840&amp;col=7&amp;number=0.00258&amp;sourceID=14","0.00258")</f>
        <v>0.00258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HYPERLINK("http://141.218.60.56/~jnz1568/getInfo.php?workbook=20_05.xlsx&amp;sheet=U0&amp;row=3841&amp;col=6&amp;number=4.7&amp;sourceID=14","4.7")</f>
        <v>4.7</v>
      </c>
      <c r="G3841" s="4" t="str">
        <f>HYPERLINK("http://141.218.60.56/~jnz1568/getInfo.php?workbook=20_05.xlsx&amp;sheet=U0&amp;row=3841&amp;col=7&amp;number=0.00258&amp;sourceID=14","0.00258")</f>
        <v>0.00258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HYPERLINK("http://141.218.60.56/~jnz1568/getInfo.php?workbook=20_05.xlsx&amp;sheet=U0&amp;row=3842&amp;col=6&amp;number=4.8&amp;sourceID=14","4.8")</f>
        <v>4.8</v>
      </c>
      <c r="G3842" s="4" t="str">
        <f>HYPERLINK("http://141.218.60.56/~jnz1568/getInfo.php?workbook=20_05.xlsx&amp;sheet=U0&amp;row=3842&amp;col=7&amp;number=0.00259&amp;sourceID=14","0.00259")</f>
        <v>0.00259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HYPERLINK("http://141.218.60.56/~jnz1568/getInfo.php?workbook=20_05.xlsx&amp;sheet=U0&amp;row=3843&amp;col=6&amp;number=4.9&amp;sourceID=14","4.9")</f>
        <v>4.9</v>
      </c>
      <c r="G3843" s="4" t="str">
        <f>HYPERLINK("http://141.218.60.56/~jnz1568/getInfo.php?workbook=20_05.xlsx&amp;sheet=U0&amp;row=3843&amp;col=7&amp;number=0.00259&amp;sourceID=14","0.00259")</f>
        <v>0.00259</v>
      </c>
    </row>
    <row r="3844" spans="1:7">
      <c r="A3844" s="3">
        <v>20</v>
      </c>
      <c r="B3844" s="3">
        <v>5</v>
      </c>
      <c r="C3844" s="3">
        <v>2</v>
      </c>
      <c r="D3844" s="3">
        <v>39</v>
      </c>
      <c r="E3844" s="3">
        <v>1</v>
      </c>
      <c r="F3844" s="4" t="str">
        <f>HYPERLINK("http://141.218.60.56/~jnz1568/getInfo.php?workbook=20_05.xlsx&amp;sheet=U0&amp;row=3844&amp;col=6&amp;number=3&amp;sourceID=14","3")</f>
        <v>3</v>
      </c>
      <c r="G3844" s="4" t="str">
        <f>HYPERLINK("http://141.218.60.56/~jnz1568/getInfo.php?workbook=20_05.xlsx&amp;sheet=U0&amp;row=3844&amp;col=7&amp;number=6.86e-05&amp;sourceID=14","6.86e-05")</f>
        <v>6.86e-05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HYPERLINK("http://141.218.60.56/~jnz1568/getInfo.php?workbook=20_05.xlsx&amp;sheet=U0&amp;row=3845&amp;col=6&amp;number=3.1&amp;sourceID=14","3.1")</f>
        <v>3.1</v>
      </c>
      <c r="G3845" s="4" t="str">
        <f>HYPERLINK("http://141.218.60.56/~jnz1568/getInfo.php?workbook=20_05.xlsx&amp;sheet=U0&amp;row=3845&amp;col=7&amp;number=6.86e-05&amp;sourceID=14","6.86e-05")</f>
        <v>6.86e-05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HYPERLINK("http://141.218.60.56/~jnz1568/getInfo.php?workbook=20_05.xlsx&amp;sheet=U0&amp;row=3846&amp;col=6&amp;number=3.2&amp;sourceID=14","3.2")</f>
        <v>3.2</v>
      </c>
      <c r="G3846" s="4" t="str">
        <f>HYPERLINK("http://141.218.60.56/~jnz1568/getInfo.php?workbook=20_05.xlsx&amp;sheet=U0&amp;row=3846&amp;col=7&amp;number=6.86e-05&amp;sourceID=14","6.86e-05")</f>
        <v>6.86e-05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HYPERLINK("http://141.218.60.56/~jnz1568/getInfo.php?workbook=20_05.xlsx&amp;sheet=U0&amp;row=3847&amp;col=6&amp;number=3.3&amp;sourceID=14","3.3")</f>
        <v>3.3</v>
      </c>
      <c r="G3847" s="4" t="str">
        <f>HYPERLINK("http://141.218.60.56/~jnz1568/getInfo.php?workbook=20_05.xlsx&amp;sheet=U0&amp;row=3847&amp;col=7&amp;number=6.86e-05&amp;sourceID=14","6.86e-05")</f>
        <v>6.86e-05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HYPERLINK("http://141.218.60.56/~jnz1568/getInfo.php?workbook=20_05.xlsx&amp;sheet=U0&amp;row=3848&amp;col=6&amp;number=3.4&amp;sourceID=14","3.4")</f>
        <v>3.4</v>
      </c>
      <c r="G3848" s="4" t="str">
        <f>HYPERLINK("http://141.218.60.56/~jnz1568/getInfo.php?workbook=20_05.xlsx&amp;sheet=U0&amp;row=3848&amp;col=7&amp;number=6.86e-05&amp;sourceID=14","6.86e-05")</f>
        <v>6.86e-05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HYPERLINK("http://141.218.60.56/~jnz1568/getInfo.php?workbook=20_05.xlsx&amp;sheet=U0&amp;row=3849&amp;col=6&amp;number=3.5&amp;sourceID=14","3.5")</f>
        <v>3.5</v>
      </c>
      <c r="G3849" s="4" t="str">
        <f>HYPERLINK("http://141.218.60.56/~jnz1568/getInfo.php?workbook=20_05.xlsx&amp;sheet=U0&amp;row=3849&amp;col=7&amp;number=6.87e-05&amp;sourceID=14","6.87e-05")</f>
        <v>6.87e-05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HYPERLINK("http://141.218.60.56/~jnz1568/getInfo.php?workbook=20_05.xlsx&amp;sheet=U0&amp;row=3850&amp;col=6&amp;number=3.6&amp;sourceID=14","3.6")</f>
        <v>3.6</v>
      </c>
      <c r="G3850" s="4" t="str">
        <f>HYPERLINK("http://141.218.60.56/~jnz1568/getInfo.php?workbook=20_05.xlsx&amp;sheet=U0&amp;row=3850&amp;col=7&amp;number=6.87e-05&amp;sourceID=14","6.87e-05")</f>
        <v>6.87e-05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HYPERLINK("http://141.218.60.56/~jnz1568/getInfo.php?workbook=20_05.xlsx&amp;sheet=U0&amp;row=3851&amp;col=6&amp;number=3.7&amp;sourceID=14","3.7")</f>
        <v>3.7</v>
      </c>
      <c r="G3851" s="4" t="str">
        <f>HYPERLINK("http://141.218.60.56/~jnz1568/getInfo.php?workbook=20_05.xlsx&amp;sheet=U0&amp;row=3851&amp;col=7&amp;number=6.87e-05&amp;sourceID=14","6.87e-05")</f>
        <v>6.87e-05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HYPERLINK("http://141.218.60.56/~jnz1568/getInfo.php?workbook=20_05.xlsx&amp;sheet=U0&amp;row=3852&amp;col=6&amp;number=3.8&amp;sourceID=14","3.8")</f>
        <v>3.8</v>
      </c>
      <c r="G3852" s="4" t="str">
        <f>HYPERLINK("http://141.218.60.56/~jnz1568/getInfo.php?workbook=20_05.xlsx&amp;sheet=U0&amp;row=3852&amp;col=7&amp;number=6.87e-05&amp;sourceID=14","6.87e-05")</f>
        <v>6.87e-05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HYPERLINK("http://141.218.60.56/~jnz1568/getInfo.php?workbook=20_05.xlsx&amp;sheet=U0&amp;row=3853&amp;col=6&amp;number=3.9&amp;sourceID=14","3.9")</f>
        <v>3.9</v>
      </c>
      <c r="G3853" s="4" t="str">
        <f>HYPERLINK("http://141.218.60.56/~jnz1568/getInfo.php?workbook=20_05.xlsx&amp;sheet=U0&amp;row=3853&amp;col=7&amp;number=6.87e-05&amp;sourceID=14","6.87e-05")</f>
        <v>6.87e-05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HYPERLINK("http://141.218.60.56/~jnz1568/getInfo.php?workbook=20_05.xlsx&amp;sheet=U0&amp;row=3854&amp;col=6&amp;number=4&amp;sourceID=14","4")</f>
        <v>4</v>
      </c>
      <c r="G3854" s="4" t="str">
        <f>HYPERLINK("http://141.218.60.56/~jnz1568/getInfo.php?workbook=20_05.xlsx&amp;sheet=U0&amp;row=3854&amp;col=7&amp;number=6.87e-05&amp;sourceID=14","6.87e-05")</f>
        <v>6.87e-05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HYPERLINK("http://141.218.60.56/~jnz1568/getInfo.php?workbook=20_05.xlsx&amp;sheet=U0&amp;row=3855&amp;col=6&amp;number=4.1&amp;sourceID=14","4.1")</f>
        <v>4.1</v>
      </c>
      <c r="G3855" s="4" t="str">
        <f>HYPERLINK("http://141.218.60.56/~jnz1568/getInfo.php?workbook=20_05.xlsx&amp;sheet=U0&amp;row=3855&amp;col=7&amp;number=6.88e-05&amp;sourceID=14","6.88e-05")</f>
        <v>6.88e-05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HYPERLINK("http://141.218.60.56/~jnz1568/getInfo.php?workbook=20_05.xlsx&amp;sheet=U0&amp;row=3856&amp;col=6&amp;number=4.2&amp;sourceID=14","4.2")</f>
        <v>4.2</v>
      </c>
      <c r="G3856" s="4" t="str">
        <f>HYPERLINK("http://141.218.60.56/~jnz1568/getInfo.php?workbook=20_05.xlsx&amp;sheet=U0&amp;row=3856&amp;col=7&amp;number=6.88e-05&amp;sourceID=14","6.88e-05")</f>
        <v>6.88e-05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HYPERLINK("http://141.218.60.56/~jnz1568/getInfo.php?workbook=20_05.xlsx&amp;sheet=U0&amp;row=3857&amp;col=6&amp;number=4.3&amp;sourceID=14","4.3")</f>
        <v>4.3</v>
      </c>
      <c r="G3857" s="4" t="str">
        <f>HYPERLINK("http://141.218.60.56/~jnz1568/getInfo.php?workbook=20_05.xlsx&amp;sheet=U0&amp;row=3857&amp;col=7&amp;number=6.89e-05&amp;sourceID=14","6.89e-05")</f>
        <v>6.89e-05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HYPERLINK("http://141.218.60.56/~jnz1568/getInfo.php?workbook=20_05.xlsx&amp;sheet=U0&amp;row=3858&amp;col=6&amp;number=4.4&amp;sourceID=14","4.4")</f>
        <v>4.4</v>
      </c>
      <c r="G3858" s="4" t="str">
        <f>HYPERLINK("http://141.218.60.56/~jnz1568/getInfo.php?workbook=20_05.xlsx&amp;sheet=U0&amp;row=3858&amp;col=7&amp;number=6.9e-05&amp;sourceID=14","6.9e-05")</f>
        <v>6.9e-05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HYPERLINK("http://141.218.60.56/~jnz1568/getInfo.php?workbook=20_05.xlsx&amp;sheet=U0&amp;row=3859&amp;col=6&amp;number=4.5&amp;sourceID=14","4.5")</f>
        <v>4.5</v>
      </c>
      <c r="G3859" s="4" t="str">
        <f>HYPERLINK("http://141.218.60.56/~jnz1568/getInfo.php?workbook=20_05.xlsx&amp;sheet=U0&amp;row=3859&amp;col=7&amp;number=6.9e-05&amp;sourceID=14","6.9e-05")</f>
        <v>6.9e-05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HYPERLINK("http://141.218.60.56/~jnz1568/getInfo.php?workbook=20_05.xlsx&amp;sheet=U0&amp;row=3860&amp;col=6&amp;number=4.6&amp;sourceID=14","4.6")</f>
        <v>4.6</v>
      </c>
      <c r="G3860" s="4" t="str">
        <f>HYPERLINK("http://141.218.60.56/~jnz1568/getInfo.php?workbook=20_05.xlsx&amp;sheet=U0&amp;row=3860&amp;col=7&amp;number=6.91e-05&amp;sourceID=14","6.91e-05")</f>
        <v>6.91e-05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HYPERLINK("http://141.218.60.56/~jnz1568/getInfo.php?workbook=20_05.xlsx&amp;sheet=U0&amp;row=3861&amp;col=6&amp;number=4.7&amp;sourceID=14","4.7")</f>
        <v>4.7</v>
      </c>
      <c r="G3861" s="4" t="str">
        <f>HYPERLINK("http://141.218.60.56/~jnz1568/getInfo.php?workbook=20_05.xlsx&amp;sheet=U0&amp;row=3861&amp;col=7&amp;number=6.93e-05&amp;sourceID=14","6.93e-05")</f>
        <v>6.93e-05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HYPERLINK("http://141.218.60.56/~jnz1568/getInfo.php?workbook=20_05.xlsx&amp;sheet=U0&amp;row=3862&amp;col=6&amp;number=4.8&amp;sourceID=14","4.8")</f>
        <v>4.8</v>
      </c>
      <c r="G3862" s="4" t="str">
        <f>HYPERLINK("http://141.218.60.56/~jnz1568/getInfo.php?workbook=20_05.xlsx&amp;sheet=U0&amp;row=3862&amp;col=7&amp;number=6.95e-05&amp;sourceID=14","6.95e-05")</f>
        <v>6.95e-05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HYPERLINK("http://141.218.60.56/~jnz1568/getInfo.php?workbook=20_05.xlsx&amp;sheet=U0&amp;row=3863&amp;col=6&amp;number=4.9&amp;sourceID=14","4.9")</f>
        <v>4.9</v>
      </c>
      <c r="G3863" s="4" t="str">
        <f>HYPERLINK("http://141.218.60.56/~jnz1568/getInfo.php?workbook=20_05.xlsx&amp;sheet=U0&amp;row=3863&amp;col=7&amp;number=6.97e-05&amp;sourceID=14","6.97e-05")</f>
        <v>6.97e-05</v>
      </c>
    </row>
    <row r="3864" spans="1:7">
      <c r="A3864" s="3">
        <v>20</v>
      </c>
      <c r="B3864" s="3">
        <v>5</v>
      </c>
      <c r="C3864" s="3">
        <v>2</v>
      </c>
      <c r="D3864" s="3">
        <v>40</v>
      </c>
      <c r="E3864" s="3">
        <v>1</v>
      </c>
      <c r="F3864" s="4" t="str">
        <f>HYPERLINK("http://141.218.60.56/~jnz1568/getInfo.php?workbook=20_05.xlsx&amp;sheet=U0&amp;row=3864&amp;col=6&amp;number=3&amp;sourceID=14","3")</f>
        <v>3</v>
      </c>
      <c r="G3864" s="4" t="str">
        <f>HYPERLINK("http://141.218.60.56/~jnz1568/getInfo.php?workbook=20_05.xlsx&amp;sheet=U0&amp;row=3864&amp;col=7&amp;number=0.000944&amp;sourceID=14","0.000944")</f>
        <v>0.000944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HYPERLINK("http://141.218.60.56/~jnz1568/getInfo.php?workbook=20_05.xlsx&amp;sheet=U0&amp;row=3865&amp;col=6&amp;number=3.1&amp;sourceID=14","3.1")</f>
        <v>3.1</v>
      </c>
      <c r="G3865" s="4" t="str">
        <f>HYPERLINK("http://141.218.60.56/~jnz1568/getInfo.php?workbook=20_05.xlsx&amp;sheet=U0&amp;row=3865&amp;col=7&amp;number=0.000944&amp;sourceID=14","0.000944")</f>
        <v>0.000944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HYPERLINK("http://141.218.60.56/~jnz1568/getInfo.php?workbook=20_05.xlsx&amp;sheet=U0&amp;row=3866&amp;col=6&amp;number=3.2&amp;sourceID=14","3.2")</f>
        <v>3.2</v>
      </c>
      <c r="G3866" s="4" t="str">
        <f>HYPERLINK("http://141.218.60.56/~jnz1568/getInfo.php?workbook=20_05.xlsx&amp;sheet=U0&amp;row=3866&amp;col=7&amp;number=0.000944&amp;sourceID=14","0.000944")</f>
        <v>0.000944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HYPERLINK("http://141.218.60.56/~jnz1568/getInfo.php?workbook=20_05.xlsx&amp;sheet=U0&amp;row=3867&amp;col=6&amp;number=3.3&amp;sourceID=14","3.3")</f>
        <v>3.3</v>
      </c>
      <c r="G3867" s="4" t="str">
        <f>HYPERLINK("http://141.218.60.56/~jnz1568/getInfo.php?workbook=20_05.xlsx&amp;sheet=U0&amp;row=3867&amp;col=7&amp;number=0.000944&amp;sourceID=14","0.000944")</f>
        <v>0.000944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HYPERLINK("http://141.218.60.56/~jnz1568/getInfo.php?workbook=20_05.xlsx&amp;sheet=U0&amp;row=3868&amp;col=6&amp;number=3.4&amp;sourceID=14","3.4")</f>
        <v>3.4</v>
      </c>
      <c r="G3868" s="4" t="str">
        <f>HYPERLINK("http://141.218.60.56/~jnz1568/getInfo.php?workbook=20_05.xlsx&amp;sheet=U0&amp;row=3868&amp;col=7&amp;number=0.000945&amp;sourceID=14","0.000945")</f>
        <v>0.000945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HYPERLINK("http://141.218.60.56/~jnz1568/getInfo.php?workbook=20_05.xlsx&amp;sheet=U0&amp;row=3869&amp;col=6&amp;number=3.5&amp;sourceID=14","3.5")</f>
        <v>3.5</v>
      </c>
      <c r="G3869" s="4" t="str">
        <f>HYPERLINK("http://141.218.60.56/~jnz1568/getInfo.php?workbook=20_05.xlsx&amp;sheet=U0&amp;row=3869&amp;col=7&amp;number=0.000945&amp;sourceID=14","0.000945")</f>
        <v>0.000945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HYPERLINK("http://141.218.60.56/~jnz1568/getInfo.php?workbook=20_05.xlsx&amp;sheet=U0&amp;row=3870&amp;col=6&amp;number=3.6&amp;sourceID=14","3.6")</f>
        <v>3.6</v>
      </c>
      <c r="G3870" s="4" t="str">
        <f>HYPERLINK("http://141.218.60.56/~jnz1568/getInfo.php?workbook=20_05.xlsx&amp;sheet=U0&amp;row=3870&amp;col=7&amp;number=0.000945&amp;sourceID=14","0.000945")</f>
        <v>0.000945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HYPERLINK("http://141.218.60.56/~jnz1568/getInfo.php?workbook=20_05.xlsx&amp;sheet=U0&amp;row=3871&amp;col=6&amp;number=3.7&amp;sourceID=14","3.7")</f>
        <v>3.7</v>
      </c>
      <c r="G3871" s="4" t="str">
        <f>HYPERLINK("http://141.218.60.56/~jnz1568/getInfo.php?workbook=20_05.xlsx&amp;sheet=U0&amp;row=3871&amp;col=7&amp;number=0.000945&amp;sourceID=14","0.000945")</f>
        <v>0.000945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HYPERLINK("http://141.218.60.56/~jnz1568/getInfo.php?workbook=20_05.xlsx&amp;sheet=U0&amp;row=3872&amp;col=6&amp;number=3.8&amp;sourceID=14","3.8")</f>
        <v>3.8</v>
      </c>
      <c r="G3872" s="4" t="str">
        <f>HYPERLINK("http://141.218.60.56/~jnz1568/getInfo.php?workbook=20_05.xlsx&amp;sheet=U0&amp;row=3872&amp;col=7&amp;number=0.000946&amp;sourceID=14","0.000946")</f>
        <v>0.000946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HYPERLINK("http://141.218.60.56/~jnz1568/getInfo.php?workbook=20_05.xlsx&amp;sheet=U0&amp;row=3873&amp;col=6&amp;number=3.9&amp;sourceID=14","3.9")</f>
        <v>3.9</v>
      </c>
      <c r="G3873" s="4" t="str">
        <f>HYPERLINK("http://141.218.60.56/~jnz1568/getInfo.php?workbook=20_05.xlsx&amp;sheet=U0&amp;row=3873&amp;col=7&amp;number=0.000946&amp;sourceID=14","0.000946")</f>
        <v>0.000946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HYPERLINK("http://141.218.60.56/~jnz1568/getInfo.php?workbook=20_05.xlsx&amp;sheet=U0&amp;row=3874&amp;col=6&amp;number=4&amp;sourceID=14","4")</f>
        <v>4</v>
      </c>
      <c r="G3874" s="4" t="str">
        <f>HYPERLINK("http://141.218.60.56/~jnz1568/getInfo.php?workbook=20_05.xlsx&amp;sheet=U0&amp;row=3874&amp;col=7&amp;number=0.000947&amp;sourceID=14","0.000947")</f>
        <v>0.000947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HYPERLINK("http://141.218.60.56/~jnz1568/getInfo.php?workbook=20_05.xlsx&amp;sheet=U0&amp;row=3875&amp;col=6&amp;number=4.1&amp;sourceID=14","4.1")</f>
        <v>4.1</v>
      </c>
      <c r="G3875" s="4" t="str">
        <f>HYPERLINK("http://141.218.60.56/~jnz1568/getInfo.php?workbook=20_05.xlsx&amp;sheet=U0&amp;row=3875&amp;col=7&amp;number=0.000948&amp;sourceID=14","0.000948")</f>
        <v>0.000948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HYPERLINK("http://141.218.60.56/~jnz1568/getInfo.php?workbook=20_05.xlsx&amp;sheet=U0&amp;row=3876&amp;col=6&amp;number=4.2&amp;sourceID=14","4.2")</f>
        <v>4.2</v>
      </c>
      <c r="G3876" s="4" t="str">
        <f>HYPERLINK("http://141.218.60.56/~jnz1568/getInfo.php?workbook=20_05.xlsx&amp;sheet=U0&amp;row=3876&amp;col=7&amp;number=0.000949&amp;sourceID=14","0.000949")</f>
        <v>0.000949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HYPERLINK("http://141.218.60.56/~jnz1568/getInfo.php?workbook=20_05.xlsx&amp;sheet=U0&amp;row=3877&amp;col=6&amp;number=4.3&amp;sourceID=14","4.3")</f>
        <v>4.3</v>
      </c>
      <c r="G3877" s="4" t="str">
        <f>HYPERLINK("http://141.218.60.56/~jnz1568/getInfo.php?workbook=20_05.xlsx&amp;sheet=U0&amp;row=3877&amp;col=7&amp;number=0.00095&amp;sourceID=14","0.00095")</f>
        <v>0.00095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HYPERLINK("http://141.218.60.56/~jnz1568/getInfo.php?workbook=20_05.xlsx&amp;sheet=U0&amp;row=3878&amp;col=6&amp;number=4.4&amp;sourceID=14","4.4")</f>
        <v>4.4</v>
      </c>
      <c r="G3878" s="4" t="str">
        <f>HYPERLINK("http://141.218.60.56/~jnz1568/getInfo.php?workbook=20_05.xlsx&amp;sheet=U0&amp;row=3878&amp;col=7&amp;number=0.000952&amp;sourceID=14","0.000952")</f>
        <v>0.000952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HYPERLINK("http://141.218.60.56/~jnz1568/getInfo.php?workbook=20_05.xlsx&amp;sheet=U0&amp;row=3879&amp;col=6&amp;number=4.5&amp;sourceID=14","4.5")</f>
        <v>4.5</v>
      </c>
      <c r="G3879" s="4" t="str">
        <f>HYPERLINK("http://141.218.60.56/~jnz1568/getInfo.php?workbook=20_05.xlsx&amp;sheet=U0&amp;row=3879&amp;col=7&amp;number=0.000954&amp;sourceID=14","0.000954")</f>
        <v>0.000954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HYPERLINK("http://141.218.60.56/~jnz1568/getInfo.php?workbook=20_05.xlsx&amp;sheet=U0&amp;row=3880&amp;col=6&amp;number=4.6&amp;sourceID=14","4.6")</f>
        <v>4.6</v>
      </c>
      <c r="G3880" s="4" t="str">
        <f>HYPERLINK("http://141.218.60.56/~jnz1568/getInfo.php?workbook=20_05.xlsx&amp;sheet=U0&amp;row=3880&amp;col=7&amp;number=0.000957&amp;sourceID=14","0.000957")</f>
        <v>0.000957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HYPERLINK("http://141.218.60.56/~jnz1568/getInfo.php?workbook=20_05.xlsx&amp;sheet=U0&amp;row=3881&amp;col=6&amp;number=4.7&amp;sourceID=14","4.7")</f>
        <v>4.7</v>
      </c>
      <c r="G3881" s="4" t="str">
        <f>HYPERLINK("http://141.218.60.56/~jnz1568/getInfo.php?workbook=20_05.xlsx&amp;sheet=U0&amp;row=3881&amp;col=7&amp;number=0.00096&amp;sourceID=14","0.00096")</f>
        <v>0.00096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HYPERLINK("http://141.218.60.56/~jnz1568/getInfo.php?workbook=20_05.xlsx&amp;sheet=U0&amp;row=3882&amp;col=6&amp;number=4.8&amp;sourceID=14","4.8")</f>
        <v>4.8</v>
      </c>
      <c r="G3882" s="4" t="str">
        <f>HYPERLINK("http://141.218.60.56/~jnz1568/getInfo.php?workbook=20_05.xlsx&amp;sheet=U0&amp;row=3882&amp;col=7&amp;number=0.000964&amp;sourceID=14","0.000964")</f>
        <v>0.000964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HYPERLINK("http://141.218.60.56/~jnz1568/getInfo.php?workbook=20_05.xlsx&amp;sheet=U0&amp;row=3883&amp;col=6&amp;number=4.9&amp;sourceID=14","4.9")</f>
        <v>4.9</v>
      </c>
      <c r="G3883" s="4" t="str">
        <f>HYPERLINK("http://141.218.60.56/~jnz1568/getInfo.php?workbook=20_05.xlsx&amp;sheet=U0&amp;row=3883&amp;col=7&amp;number=0.00097&amp;sourceID=14","0.00097")</f>
        <v>0.00097</v>
      </c>
    </row>
    <row r="3884" spans="1:7">
      <c r="A3884" s="3">
        <v>20</v>
      </c>
      <c r="B3884" s="3">
        <v>5</v>
      </c>
      <c r="C3884" s="3">
        <v>2</v>
      </c>
      <c r="D3884" s="3">
        <v>41</v>
      </c>
      <c r="E3884" s="3">
        <v>1</v>
      </c>
      <c r="F3884" s="4" t="str">
        <f>HYPERLINK("http://141.218.60.56/~jnz1568/getInfo.php?workbook=20_05.xlsx&amp;sheet=U0&amp;row=3884&amp;col=6&amp;number=3&amp;sourceID=14","3")</f>
        <v>3</v>
      </c>
      <c r="G3884" s="4" t="str">
        <f>HYPERLINK("http://141.218.60.56/~jnz1568/getInfo.php?workbook=20_05.xlsx&amp;sheet=U0&amp;row=3884&amp;col=7&amp;number=0.000396&amp;sourceID=14","0.000396")</f>
        <v>0.000396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HYPERLINK("http://141.218.60.56/~jnz1568/getInfo.php?workbook=20_05.xlsx&amp;sheet=U0&amp;row=3885&amp;col=6&amp;number=3.1&amp;sourceID=14","3.1")</f>
        <v>3.1</v>
      </c>
      <c r="G3885" s="4" t="str">
        <f>HYPERLINK("http://141.218.60.56/~jnz1568/getInfo.php?workbook=20_05.xlsx&amp;sheet=U0&amp;row=3885&amp;col=7&amp;number=0.000396&amp;sourceID=14","0.000396")</f>
        <v>0.000396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HYPERLINK("http://141.218.60.56/~jnz1568/getInfo.php?workbook=20_05.xlsx&amp;sheet=U0&amp;row=3886&amp;col=6&amp;number=3.2&amp;sourceID=14","3.2")</f>
        <v>3.2</v>
      </c>
      <c r="G3886" s="4" t="str">
        <f>HYPERLINK("http://141.218.60.56/~jnz1568/getInfo.php?workbook=20_05.xlsx&amp;sheet=U0&amp;row=3886&amp;col=7&amp;number=0.000396&amp;sourceID=14","0.000396")</f>
        <v>0.000396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HYPERLINK("http://141.218.60.56/~jnz1568/getInfo.php?workbook=20_05.xlsx&amp;sheet=U0&amp;row=3887&amp;col=6&amp;number=3.3&amp;sourceID=14","3.3")</f>
        <v>3.3</v>
      </c>
      <c r="G3887" s="4" t="str">
        <f>HYPERLINK("http://141.218.60.56/~jnz1568/getInfo.php?workbook=20_05.xlsx&amp;sheet=U0&amp;row=3887&amp;col=7&amp;number=0.000396&amp;sourceID=14","0.000396")</f>
        <v>0.000396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HYPERLINK("http://141.218.60.56/~jnz1568/getInfo.php?workbook=20_05.xlsx&amp;sheet=U0&amp;row=3888&amp;col=6&amp;number=3.4&amp;sourceID=14","3.4")</f>
        <v>3.4</v>
      </c>
      <c r="G3888" s="4" t="str">
        <f>HYPERLINK("http://141.218.60.56/~jnz1568/getInfo.php?workbook=20_05.xlsx&amp;sheet=U0&amp;row=3888&amp;col=7&amp;number=0.000396&amp;sourceID=14","0.000396")</f>
        <v>0.000396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HYPERLINK("http://141.218.60.56/~jnz1568/getInfo.php?workbook=20_05.xlsx&amp;sheet=U0&amp;row=3889&amp;col=6&amp;number=3.5&amp;sourceID=14","3.5")</f>
        <v>3.5</v>
      </c>
      <c r="G3889" s="4" t="str">
        <f>HYPERLINK("http://141.218.60.56/~jnz1568/getInfo.php?workbook=20_05.xlsx&amp;sheet=U0&amp;row=3889&amp;col=7&amp;number=0.000396&amp;sourceID=14","0.000396")</f>
        <v>0.000396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HYPERLINK("http://141.218.60.56/~jnz1568/getInfo.php?workbook=20_05.xlsx&amp;sheet=U0&amp;row=3890&amp;col=6&amp;number=3.6&amp;sourceID=14","3.6")</f>
        <v>3.6</v>
      </c>
      <c r="G3890" s="4" t="str">
        <f>HYPERLINK("http://141.218.60.56/~jnz1568/getInfo.php?workbook=20_05.xlsx&amp;sheet=U0&amp;row=3890&amp;col=7&amp;number=0.000396&amp;sourceID=14","0.000396")</f>
        <v>0.000396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HYPERLINK("http://141.218.60.56/~jnz1568/getInfo.php?workbook=20_05.xlsx&amp;sheet=U0&amp;row=3891&amp;col=6&amp;number=3.7&amp;sourceID=14","3.7")</f>
        <v>3.7</v>
      </c>
      <c r="G3891" s="4" t="str">
        <f>HYPERLINK("http://141.218.60.56/~jnz1568/getInfo.php?workbook=20_05.xlsx&amp;sheet=U0&amp;row=3891&amp;col=7&amp;number=0.000397&amp;sourceID=14","0.000397")</f>
        <v>0.000397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HYPERLINK("http://141.218.60.56/~jnz1568/getInfo.php?workbook=20_05.xlsx&amp;sheet=U0&amp;row=3892&amp;col=6&amp;number=3.8&amp;sourceID=14","3.8")</f>
        <v>3.8</v>
      </c>
      <c r="G3892" s="4" t="str">
        <f>HYPERLINK("http://141.218.60.56/~jnz1568/getInfo.php?workbook=20_05.xlsx&amp;sheet=U0&amp;row=3892&amp;col=7&amp;number=0.000397&amp;sourceID=14","0.000397")</f>
        <v>0.000397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HYPERLINK("http://141.218.60.56/~jnz1568/getInfo.php?workbook=20_05.xlsx&amp;sheet=U0&amp;row=3893&amp;col=6&amp;number=3.9&amp;sourceID=14","3.9")</f>
        <v>3.9</v>
      </c>
      <c r="G3893" s="4" t="str">
        <f>HYPERLINK("http://141.218.60.56/~jnz1568/getInfo.php?workbook=20_05.xlsx&amp;sheet=U0&amp;row=3893&amp;col=7&amp;number=0.000397&amp;sourceID=14","0.000397")</f>
        <v>0.000397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HYPERLINK("http://141.218.60.56/~jnz1568/getInfo.php?workbook=20_05.xlsx&amp;sheet=U0&amp;row=3894&amp;col=6&amp;number=4&amp;sourceID=14","4")</f>
        <v>4</v>
      </c>
      <c r="G3894" s="4" t="str">
        <f>HYPERLINK("http://141.218.60.56/~jnz1568/getInfo.php?workbook=20_05.xlsx&amp;sheet=U0&amp;row=3894&amp;col=7&amp;number=0.000397&amp;sourceID=14","0.000397")</f>
        <v>0.000397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HYPERLINK("http://141.218.60.56/~jnz1568/getInfo.php?workbook=20_05.xlsx&amp;sheet=U0&amp;row=3895&amp;col=6&amp;number=4.1&amp;sourceID=14","4.1")</f>
        <v>4.1</v>
      </c>
      <c r="G3895" s="4" t="str">
        <f>HYPERLINK("http://141.218.60.56/~jnz1568/getInfo.php?workbook=20_05.xlsx&amp;sheet=U0&amp;row=3895&amp;col=7&amp;number=0.000398&amp;sourceID=14","0.000398")</f>
        <v>0.000398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HYPERLINK("http://141.218.60.56/~jnz1568/getInfo.php?workbook=20_05.xlsx&amp;sheet=U0&amp;row=3896&amp;col=6&amp;number=4.2&amp;sourceID=14","4.2")</f>
        <v>4.2</v>
      </c>
      <c r="G3896" s="4" t="str">
        <f>HYPERLINK("http://141.218.60.56/~jnz1568/getInfo.php?workbook=20_05.xlsx&amp;sheet=U0&amp;row=3896&amp;col=7&amp;number=0.000398&amp;sourceID=14","0.000398")</f>
        <v>0.000398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HYPERLINK("http://141.218.60.56/~jnz1568/getInfo.php?workbook=20_05.xlsx&amp;sheet=U0&amp;row=3897&amp;col=6&amp;number=4.3&amp;sourceID=14","4.3")</f>
        <v>4.3</v>
      </c>
      <c r="G3897" s="4" t="str">
        <f>HYPERLINK("http://141.218.60.56/~jnz1568/getInfo.php?workbook=20_05.xlsx&amp;sheet=U0&amp;row=3897&amp;col=7&amp;number=0.000398&amp;sourceID=14","0.000398")</f>
        <v>0.000398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HYPERLINK("http://141.218.60.56/~jnz1568/getInfo.php?workbook=20_05.xlsx&amp;sheet=U0&amp;row=3898&amp;col=6&amp;number=4.4&amp;sourceID=14","4.4")</f>
        <v>4.4</v>
      </c>
      <c r="G3898" s="4" t="str">
        <f>HYPERLINK("http://141.218.60.56/~jnz1568/getInfo.php?workbook=20_05.xlsx&amp;sheet=U0&amp;row=3898&amp;col=7&amp;number=0.000399&amp;sourceID=14","0.000399")</f>
        <v>0.000399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HYPERLINK("http://141.218.60.56/~jnz1568/getInfo.php?workbook=20_05.xlsx&amp;sheet=U0&amp;row=3899&amp;col=6&amp;number=4.5&amp;sourceID=14","4.5")</f>
        <v>4.5</v>
      </c>
      <c r="G3899" s="4" t="str">
        <f>HYPERLINK("http://141.218.60.56/~jnz1568/getInfo.php?workbook=20_05.xlsx&amp;sheet=U0&amp;row=3899&amp;col=7&amp;number=0.0004&amp;sourceID=14","0.0004")</f>
        <v>0.0004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HYPERLINK("http://141.218.60.56/~jnz1568/getInfo.php?workbook=20_05.xlsx&amp;sheet=U0&amp;row=3900&amp;col=6&amp;number=4.6&amp;sourceID=14","4.6")</f>
        <v>4.6</v>
      </c>
      <c r="G3900" s="4" t="str">
        <f>HYPERLINK("http://141.218.60.56/~jnz1568/getInfo.php?workbook=20_05.xlsx&amp;sheet=U0&amp;row=3900&amp;col=7&amp;number=0.000401&amp;sourceID=14","0.000401")</f>
        <v>0.000401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HYPERLINK("http://141.218.60.56/~jnz1568/getInfo.php?workbook=20_05.xlsx&amp;sheet=U0&amp;row=3901&amp;col=6&amp;number=4.7&amp;sourceID=14","4.7")</f>
        <v>4.7</v>
      </c>
      <c r="G3901" s="4" t="str">
        <f>HYPERLINK("http://141.218.60.56/~jnz1568/getInfo.php?workbook=20_05.xlsx&amp;sheet=U0&amp;row=3901&amp;col=7&amp;number=0.000402&amp;sourceID=14","0.000402")</f>
        <v>0.000402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HYPERLINK("http://141.218.60.56/~jnz1568/getInfo.php?workbook=20_05.xlsx&amp;sheet=U0&amp;row=3902&amp;col=6&amp;number=4.8&amp;sourceID=14","4.8")</f>
        <v>4.8</v>
      </c>
      <c r="G3902" s="4" t="str">
        <f>HYPERLINK("http://141.218.60.56/~jnz1568/getInfo.php?workbook=20_05.xlsx&amp;sheet=U0&amp;row=3902&amp;col=7&amp;number=0.000404&amp;sourceID=14","0.000404")</f>
        <v>0.000404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HYPERLINK("http://141.218.60.56/~jnz1568/getInfo.php?workbook=20_05.xlsx&amp;sheet=U0&amp;row=3903&amp;col=6&amp;number=4.9&amp;sourceID=14","4.9")</f>
        <v>4.9</v>
      </c>
      <c r="G3903" s="4" t="str">
        <f>HYPERLINK("http://141.218.60.56/~jnz1568/getInfo.php?workbook=20_05.xlsx&amp;sheet=U0&amp;row=3903&amp;col=7&amp;number=0.000406&amp;sourceID=14","0.000406")</f>
        <v>0.000406</v>
      </c>
    </row>
    <row r="3904" spans="1:7">
      <c r="A3904" s="3">
        <v>20</v>
      </c>
      <c r="B3904" s="3">
        <v>5</v>
      </c>
      <c r="C3904" s="3">
        <v>2</v>
      </c>
      <c r="D3904" s="3">
        <v>42</v>
      </c>
      <c r="E3904" s="3">
        <v>1</v>
      </c>
      <c r="F3904" s="4" t="str">
        <f>HYPERLINK("http://141.218.60.56/~jnz1568/getInfo.php?workbook=20_05.xlsx&amp;sheet=U0&amp;row=3904&amp;col=6&amp;number=3&amp;sourceID=14","3")</f>
        <v>3</v>
      </c>
      <c r="G3904" s="4" t="str">
        <f>HYPERLINK("http://141.218.60.56/~jnz1568/getInfo.php?workbook=20_05.xlsx&amp;sheet=U0&amp;row=3904&amp;col=7&amp;number=3.44e-05&amp;sourceID=14","3.44e-05")</f>
        <v>3.44e-05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HYPERLINK("http://141.218.60.56/~jnz1568/getInfo.php?workbook=20_05.xlsx&amp;sheet=U0&amp;row=3905&amp;col=6&amp;number=3.1&amp;sourceID=14","3.1")</f>
        <v>3.1</v>
      </c>
      <c r="G3905" s="4" t="str">
        <f>HYPERLINK("http://141.218.60.56/~jnz1568/getInfo.php?workbook=20_05.xlsx&amp;sheet=U0&amp;row=3905&amp;col=7&amp;number=3.44e-05&amp;sourceID=14","3.44e-05")</f>
        <v>3.44e-05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HYPERLINK("http://141.218.60.56/~jnz1568/getInfo.php?workbook=20_05.xlsx&amp;sheet=U0&amp;row=3906&amp;col=6&amp;number=3.2&amp;sourceID=14","3.2")</f>
        <v>3.2</v>
      </c>
      <c r="G3906" s="4" t="str">
        <f>HYPERLINK("http://141.218.60.56/~jnz1568/getInfo.php?workbook=20_05.xlsx&amp;sheet=U0&amp;row=3906&amp;col=7&amp;number=3.44e-05&amp;sourceID=14","3.44e-05")</f>
        <v>3.44e-05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HYPERLINK("http://141.218.60.56/~jnz1568/getInfo.php?workbook=20_05.xlsx&amp;sheet=U0&amp;row=3907&amp;col=6&amp;number=3.3&amp;sourceID=14","3.3")</f>
        <v>3.3</v>
      </c>
      <c r="G3907" s="4" t="str">
        <f>HYPERLINK("http://141.218.60.56/~jnz1568/getInfo.php?workbook=20_05.xlsx&amp;sheet=U0&amp;row=3907&amp;col=7&amp;number=3.44e-05&amp;sourceID=14","3.44e-05")</f>
        <v>3.44e-05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HYPERLINK("http://141.218.60.56/~jnz1568/getInfo.php?workbook=20_05.xlsx&amp;sheet=U0&amp;row=3908&amp;col=6&amp;number=3.4&amp;sourceID=14","3.4")</f>
        <v>3.4</v>
      </c>
      <c r="G3908" s="4" t="str">
        <f>HYPERLINK("http://141.218.60.56/~jnz1568/getInfo.php?workbook=20_05.xlsx&amp;sheet=U0&amp;row=3908&amp;col=7&amp;number=3.44e-05&amp;sourceID=14","3.44e-05")</f>
        <v>3.44e-05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HYPERLINK("http://141.218.60.56/~jnz1568/getInfo.php?workbook=20_05.xlsx&amp;sheet=U0&amp;row=3909&amp;col=6&amp;number=3.5&amp;sourceID=14","3.5")</f>
        <v>3.5</v>
      </c>
      <c r="G3909" s="4" t="str">
        <f>HYPERLINK("http://141.218.60.56/~jnz1568/getInfo.php?workbook=20_05.xlsx&amp;sheet=U0&amp;row=3909&amp;col=7&amp;number=3.44e-05&amp;sourceID=14","3.44e-05")</f>
        <v>3.44e-05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HYPERLINK("http://141.218.60.56/~jnz1568/getInfo.php?workbook=20_05.xlsx&amp;sheet=U0&amp;row=3910&amp;col=6&amp;number=3.6&amp;sourceID=14","3.6")</f>
        <v>3.6</v>
      </c>
      <c r="G3910" s="4" t="str">
        <f>HYPERLINK("http://141.218.60.56/~jnz1568/getInfo.php?workbook=20_05.xlsx&amp;sheet=U0&amp;row=3910&amp;col=7&amp;number=3.44e-05&amp;sourceID=14","3.44e-05")</f>
        <v>3.44e-05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HYPERLINK("http://141.218.60.56/~jnz1568/getInfo.php?workbook=20_05.xlsx&amp;sheet=U0&amp;row=3911&amp;col=6&amp;number=3.7&amp;sourceID=14","3.7")</f>
        <v>3.7</v>
      </c>
      <c r="G3911" s="4" t="str">
        <f>HYPERLINK("http://141.218.60.56/~jnz1568/getInfo.php?workbook=20_05.xlsx&amp;sheet=U0&amp;row=3911&amp;col=7&amp;number=3.44e-05&amp;sourceID=14","3.44e-05")</f>
        <v>3.44e-05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HYPERLINK("http://141.218.60.56/~jnz1568/getInfo.php?workbook=20_05.xlsx&amp;sheet=U0&amp;row=3912&amp;col=6&amp;number=3.8&amp;sourceID=14","3.8")</f>
        <v>3.8</v>
      </c>
      <c r="G3912" s="4" t="str">
        <f>HYPERLINK("http://141.218.60.56/~jnz1568/getInfo.php?workbook=20_05.xlsx&amp;sheet=U0&amp;row=3912&amp;col=7&amp;number=3.44e-05&amp;sourceID=14","3.44e-05")</f>
        <v>3.44e-05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HYPERLINK("http://141.218.60.56/~jnz1568/getInfo.php?workbook=20_05.xlsx&amp;sheet=U0&amp;row=3913&amp;col=6&amp;number=3.9&amp;sourceID=14","3.9")</f>
        <v>3.9</v>
      </c>
      <c r="G3913" s="4" t="str">
        <f>HYPERLINK("http://141.218.60.56/~jnz1568/getInfo.php?workbook=20_05.xlsx&amp;sheet=U0&amp;row=3913&amp;col=7&amp;number=3.44e-05&amp;sourceID=14","3.44e-05")</f>
        <v>3.44e-05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HYPERLINK("http://141.218.60.56/~jnz1568/getInfo.php?workbook=20_05.xlsx&amp;sheet=U0&amp;row=3914&amp;col=6&amp;number=4&amp;sourceID=14","4")</f>
        <v>4</v>
      </c>
      <c r="G3914" s="4" t="str">
        <f>HYPERLINK("http://141.218.60.56/~jnz1568/getInfo.php?workbook=20_05.xlsx&amp;sheet=U0&amp;row=3914&amp;col=7&amp;number=3.43e-05&amp;sourceID=14","3.43e-05")</f>
        <v>3.43e-05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HYPERLINK("http://141.218.60.56/~jnz1568/getInfo.php?workbook=20_05.xlsx&amp;sheet=U0&amp;row=3915&amp;col=6&amp;number=4.1&amp;sourceID=14","4.1")</f>
        <v>4.1</v>
      </c>
      <c r="G3915" s="4" t="str">
        <f>HYPERLINK("http://141.218.60.56/~jnz1568/getInfo.php?workbook=20_05.xlsx&amp;sheet=U0&amp;row=3915&amp;col=7&amp;number=3.43e-05&amp;sourceID=14","3.43e-05")</f>
        <v>3.43e-05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HYPERLINK("http://141.218.60.56/~jnz1568/getInfo.php?workbook=20_05.xlsx&amp;sheet=U0&amp;row=3916&amp;col=6&amp;number=4.2&amp;sourceID=14","4.2")</f>
        <v>4.2</v>
      </c>
      <c r="G3916" s="4" t="str">
        <f>HYPERLINK("http://141.218.60.56/~jnz1568/getInfo.php?workbook=20_05.xlsx&amp;sheet=U0&amp;row=3916&amp;col=7&amp;number=3.43e-05&amp;sourceID=14","3.43e-05")</f>
        <v>3.43e-05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HYPERLINK("http://141.218.60.56/~jnz1568/getInfo.php?workbook=20_05.xlsx&amp;sheet=U0&amp;row=3917&amp;col=6&amp;number=4.3&amp;sourceID=14","4.3")</f>
        <v>4.3</v>
      </c>
      <c r="G3917" s="4" t="str">
        <f>HYPERLINK("http://141.218.60.56/~jnz1568/getInfo.php?workbook=20_05.xlsx&amp;sheet=U0&amp;row=3917&amp;col=7&amp;number=3.42e-05&amp;sourceID=14","3.42e-05")</f>
        <v>3.42e-05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HYPERLINK("http://141.218.60.56/~jnz1568/getInfo.php?workbook=20_05.xlsx&amp;sheet=U0&amp;row=3918&amp;col=6&amp;number=4.4&amp;sourceID=14","4.4")</f>
        <v>4.4</v>
      </c>
      <c r="G3918" s="4" t="str">
        <f>HYPERLINK("http://141.218.60.56/~jnz1568/getInfo.php?workbook=20_05.xlsx&amp;sheet=U0&amp;row=3918&amp;col=7&amp;number=3.42e-05&amp;sourceID=14","3.42e-05")</f>
        <v>3.42e-05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HYPERLINK("http://141.218.60.56/~jnz1568/getInfo.php?workbook=20_05.xlsx&amp;sheet=U0&amp;row=3919&amp;col=6&amp;number=4.5&amp;sourceID=14","4.5")</f>
        <v>4.5</v>
      </c>
      <c r="G3919" s="4" t="str">
        <f>HYPERLINK("http://141.218.60.56/~jnz1568/getInfo.php?workbook=20_05.xlsx&amp;sheet=U0&amp;row=3919&amp;col=7&amp;number=3.41e-05&amp;sourceID=14","3.41e-05")</f>
        <v>3.41e-05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HYPERLINK("http://141.218.60.56/~jnz1568/getInfo.php?workbook=20_05.xlsx&amp;sheet=U0&amp;row=3920&amp;col=6&amp;number=4.6&amp;sourceID=14","4.6")</f>
        <v>4.6</v>
      </c>
      <c r="G3920" s="4" t="str">
        <f>HYPERLINK("http://141.218.60.56/~jnz1568/getInfo.php?workbook=20_05.xlsx&amp;sheet=U0&amp;row=3920&amp;col=7&amp;number=3.4e-05&amp;sourceID=14","3.4e-05")</f>
        <v>3.4e-05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HYPERLINK("http://141.218.60.56/~jnz1568/getInfo.php?workbook=20_05.xlsx&amp;sheet=U0&amp;row=3921&amp;col=6&amp;number=4.7&amp;sourceID=14","4.7")</f>
        <v>4.7</v>
      </c>
      <c r="G3921" s="4" t="str">
        <f>HYPERLINK("http://141.218.60.56/~jnz1568/getInfo.php?workbook=20_05.xlsx&amp;sheet=U0&amp;row=3921&amp;col=7&amp;number=3.39e-05&amp;sourceID=14","3.39e-05")</f>
        <v>3.39e-05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HYPERLINK("http://141.218.60.56/~jnz1568/getInfo.php?workbook=20_05.xlsx&amp;sheet=U0&amp;row=3922&amp;col=6&amp;number=4.8&amp;sourceID=14","4.8")</f>
        <v>4.8</v>
      </c>
      <c r="G3922" s="4" t="str">
        <f>HYPERLINK("http://141.218.60.56/~jnz1568/getInfo.php?workbook=20_05.xlsx&amp;sheet=U0&amp;row=3922&amp;col=7&amp;number=3.38e-05&amp;sourceID=14","3.38e-05")</f>
        <v>3.38e-05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HYPERLINK("http://141.218.60.56/~jnz1568/getInfo.php?workbook=20_05.xlsx&amp;sheet=U0&amp;row=3923&amp;col=6&amp;number=4.9&amp;sourceID=14","4.9")</f>
        <v>4.9</v>
      </c>
      <c r="G3923" s="4" t="str">
        <f>HYPERLINK("http://141.218.60.56/~jnz1568/getInfo.php?workbook=20_05.xlsx&amp;sheet=U0&amp;row=3923&amp;col=7&amp;number=3.36e-05&amp;sourceID=14","3.36e-05")</f>
        <v>3.36e-05</v>
      </c>
    </row>
    <row r="3924" spans="1:7">
      <c r="A3924" s="3">
        <v>20</v>
      </c>
      <c r="B3924" s="3">
        <v>5</v>
      </c>
      <c r="C3924" s="3">
        <v>2</v>
      </c>
      <c r="D3924" s="3">
        <v>43</v>
      </c>
      <c r="E3924" s="3">
        <v>1</v>
      </c>
      <c r="F3924" s="4" t="str">
        <f>HYPERLINK("http://141.218.60.56/~jnz1568/getInfo.php?workbook=20_05.xlsx&amp;sheet=U0&amp;row=3924&amp;col=6&amp;number=3&amp;sourceID=14","3")</f>
        <v>3</v>
      </c>
      <c r="G3924" s="4" t="str">
        <f>HYPERLINK("http://141.218.60.56/~jnz1568/getInfo.php?workbook=20_05.xlsx&amp;sheet=U0&amp;row=3924&amp;col=7&amp;number=0.000241&amp;sourceID=14","0.000241")</f>
        <v>0.000241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HYPERLINK("http://141.218.60.56/~jnz1568/getInfo.php?workbook=20_05.xlsx&amp;sheet=U0&amp;row=3925&amp;col=6&amp;number=3.1&amp;sourceID=14","3.1")</f>
        <v>3.1</v>
      </c>
      <c r="G3925" s="4" t="str">
        <f>HYPERLINK("http://141.218.60.56/~jnz1568/getInfo.php?workbook=20_05.xlsx&amp;sheet=U0&amp;row=3925&amp;col=7&amp;number=0.000241&amp;sourceID=14","0.000241")</f>
        <v>0.000241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HYPERLINK("http://141.218.60.56/~jnz1568/getInfo.php?workbook=20_05.xlsx&amp;sheet=U0&amp;row=3926&amp;col=6&amp;number=3.2&amp;sourceID=14","3.2")</f>
        <v>3.2</v>
      </c>
      <c r="G3926" s="4" t="str">
        <f>HYPERLINK("http://141.218.60.56/~jnz1568/getInfo.php?workbook=20_05.xlsx&amp;sheet=U0&amp;row=3926&amp;col=7&amp;number=0.000241&amp;sourceID=14","0.000241")</f>
        <v>0.000241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HYPERLINK("http://141.218.60.56/~jnz1568/getInfo.php?workbook=20_05.xlsx&amp;sheet=U0&amp;row=3927&amp;col=6&amp;number=3.3&amp;sourceID=14","3.3")</f>
        <v>3.3</v>
      </c>
      <c r="G3927" s="4" t="str">
        <f>HYPERLINK("http://141.218.60.56/~jnz1568/getInfo.php?workbook=20_05.xlsx&amp;sheet=U0&amp;row=3927&amp;col=7&amp;number=0.000241&amp;sourceID=14","0.000241")</f>
        <v>0.000241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HYPERLINK("http://141.218.60.56/~jnz1568/getInfo.php?workbook=20_05.xlsx&amp;sheet=U0&amp;row=3928&amp;col=6&amp;number=3.4&amp;sourceID=14","3.4")</f>
        <v>3.4</v>
      </c>
      <c r="G3928" s="4" t="str">
        <f>HYPERLINK("http://141.218.60.56/~jnz1568/getInfo.php?workbook=20_05.xlsx&amp;sheet=U0&amp;row=3928&amp;col=7&amp;number=0.000241&amp;sourceID=14","0.000241")</f>
        <v>0.000241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HYPERLINK("http://141.218.60.56/~jnz1568/getInfo.php?workbook=20_05.xlsx&amp;sheet=U0&amp;row=3929&amp;col=6&amp;number=3.5&amp;sourceID=14","3.5")</f>
        <v>3.5</v>
      </c>
      <c r="G3929" s="4" t="str">
        <f>HYPERLINK("http://141.218.60.56/~jnz1568/getInfo.php?workbook=20_05.xlsx&amp;sheet=U0&amp;row=3929&amp;col=7&amp;number=0.000241&amp;sourceID=14","0.000241")</f>
        <v>0.000241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HYPERLINK("http://141.218.60.56/~jnz1568/getInfo.php?workbook=20_05.xlsx&amp;sheet=U0&amp;row=3930&amp;col=6&amp;number=3.6&amp;sourceID=14","3.6")</f>
        <v>3.6</v>
      </c>
      <c r="G3930" s="4" t="str">
        <f>HYPERLINK("http://141.218.60.56/~jnz1568/getInfo.php?workbook=20_05.xlsx&amp;sheet=U0&amp;row=3930&amp;col=7&amp;number=0.000241&amp;sourceID=14","0.000241")</f>
        <v>0.000241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HYPERLINK("http://141.218.60.56/~jnz1568/getInfo.php?workbook=20_05.xlsx&amp;sheet=U0&amp;row=3931&amp;col=6&amp;number=3.7&amp;sourceID=14","3.7")</f>
        <v>3.7</v>
      </c>
      <c r="G3931" s="4" t="str">
        <f>HYPERLINK("http://141.218.60.56/~jnz1568/getInfo.php?workbook=20_05.xlsx&amp;sheet=U0&amp;row=3931&amp;col=7&amp;number=0.000241&amp;sourceID=14","0.000241")</f>
        <v>0.000241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HYPERLINK("http://141.218.60.56/~jnz1568/getInfo.php?workbook=20_05.xlsx&amp;sheet=U0&amp;row=3932&amp;col=6&amp;number=3.8&amp;sourceID=14","3.8")</f>
        <v>3.8</v>
      </c>
      <c r="G3932" s="4" t="str">
        <f>HYPERLINK("http://141.218.60.56/~jnz1568/getInfo.php?workbook=20_05.xlsx&amp;sheet=U0&amp;row=3932&amp;col=7&amp;number=0.000241&amp;sourceID=14","0.000241")</f>
        <v>0.000241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HYPERLINK("http://141.218.60.56/~jnz1568/getInfo.php?workbook=20_05.xlsx&amp;sheet=U0&amp;row=3933&amp;col=6&amp;number=3.9&amp;sourceID=14","3.9")</f>
        <v>3.9</v>
      </c>
      <c r="G3933" s="4" t="str">
        <f>HYPERLINK("http://141.218.60.56/~jnz1568/getInfo.php?workbook=20_05.xlsx&amp;sheet=U0&amp;row=3933&amp;col=7&amp;number=0.000241&amp;sourceID=14","0.000241")</f>
        <v>0.000241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HYPERLINK("http://141.218.60.56/~jnz1568/getInfo.php?workbook=20_05.xlsx&amp;sheet=U0&amp;row=3934&amp;col=6&amp;number=4&amp;sourceID=14","4")</f>
        <v>4</v>
      </c>
      <c r="G3934" s="4" t="str">
        <f>HYPERLINK("http://141.218.60.56/~jnz1568/getInfo.php?workbook=20_05.xlsx&amp;sheet=U0&amp;row=3934&amp;col=7&amp;number=0.000241&amp;sourceID=14","0.000241")</f>
        <v>0.000241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HYPERLINK("http://141.218.60.56/~jnz1568/getInfo.php?workbook=20_05.xlsx&amp;sheet=U0&amp;row=3935&amp;col=6&amp;number=4.1&amp;sourceID=14","4.1")</f>
        <v>4.1</v>
      </c>
      <c r="G3935" s="4" t="str">
        <f>HYPERLINK("http://141.218.60.56/~jnz1568/getInfo.php?workbook=20_05.xlsx&amp;sheet=U0&amp;row=3935&amp;col=7&amp;number=0.000241&amp;sourceID=14","0.000241")</f>
        <v>0.000241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HYPERLINK("http://141.218.60.56/~jnz1568/getInfo.php?workbook=20_05.xlsx&amp;sheet=U0&amp;row=3936&amp;col=6&amp;number=4.2&amp;sourceID=14","4.2")</f>
        <v>4.2</v>
      </c>
      <c r="G3936" s="4" t="str">
        <f>HYPERLINK("http://141.218.60.56/~jnz1568/getInfo.php?workbook=20_05.xlsx&amp;sheet=U0&amp;row=3936&amp;col=7&amp;number=0.000241&amp;sourceID=14","0.000241")</f>
        <v>0.000241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HYPERLINK("http://141.218.60.56/~jnz1568/getInfo.php?workbook=20_05.xlsx&amp;sheet=U0&amp;row=3937&amp;col=6&amp;number=4.3&amp;sourceID=14","4.3")</f>
        <v>4.3</v>
      </c>
      <c r="G3937" s="4" t="str">
        <f>HYPERLINK("http://141.218.60.56/~jnz1568/getInfo.php?workbook=20_05.xlsx&amp;sheet=U0&amp;row=3937&amp;col=7&amp;number=0.000241&amp;sourceID=14","0.000241")</f>
        <v>0.000241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HYPERLINK("http://141.218.60.56/~jnz1568/getInfo.php?workbook=20_05.xlsx&amp;sheet=U0&amp;row=3938&amp;col=6&amp;number=4.4&amp;sourceID=14","4.4")</f>
        <v>4.4</v>
      </c>
      <c r="G3938" s="4" t="str">
        <f>HYPERLINK("http://141.218.60.56/~jnz1568/getInfo.php?workbook=20_05.xlsx&amp;sheet=U0&amp;row=3938&amp;col=7&amp;number=0.000241&amp;sourceID=14","0.000241")</f>
        <v>0.000241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HYPERLINK("http://141.218.60.56/~jnz1568/getInfo.php?workbook=20_05.xlsx&amp;sheet=U0&amp;row=3939&amp;col=6&amp;number=4.5&amp;sourceID=14","4.5")</f>
        <v>4.5</v>
      </c>
      <c r="G3939" s="4" t="str">
        <f>HYPERLINK("http://141.218.60.56/~jnz1568/getInfo.php?workbook=20_05.xlsx&amp;sheet=U0&amp;row=3939&amp;col=7&amp;number=0.000241&amp;sourceID=14","0.000241")</f>
        <v>0.000241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HYPERLINK("http://141.218.60.56/~jnz1568/getInfo.php?workbook=20_05.xlsx&amp;sheet=U0&amp;row=3940&amp;col=6&amp;number=4.6&amp;sourceID=14","4.6")</f>
        <v>4.6</v>
      </c>
      <c r="G3940" s="4" t="str">
        <f>HYPERLINK("http://141.218.60.56/~jnz1568/getInfo.php?workbook=20_05.xlsx&amp;sheet=U0&amp;row=3940&amp;col=7&amp;number=0.000241&amp;sourceID=14","0.000241")</f>
        <v>0.000241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HYPERLINK("http://141.218.60.56/~jnz1568/getInfo.php?workbook=20_05.xlsx&amp;sheet=U0&amp;row=3941&amp;col=6&amp;number=4.7&amp;sourceID=14","4.7")</f>
        <v>4.7</v>
      </c>
      <c r="G3941" s="4" t="str">
        <f>HYPERLINK("http://141.218.60.56/~jnz1568/getInfo.php?workbook=20_05.xlsx&amp;sheet=U0&amp;row=3941&amp;col=7&amp;number=0.000242&amp;sourceID=14","0.000242")</f>
        <v>0.000242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HYPERLINK("http://141.218.60.56/~jnz1568/getInfo.php?workbook=20_05.xlsx&amp;sheet=U0&amp;row=3942&amp;col=6&amp;number=4.8&amp;sourceID=14","4.8")</f>
        <v>4.8</v>
      </c>
      <c r="G3942" s="4" t="str">
        <f>HYPERLINK("http://141.218.60.56/~jnz1568/getInfo.php?workbook=20_05.xlsx&amp;sheet=U0&amp;row=3942&amp;col=7&amp;number=0.000242&amp;sourceID=14","0.000242")</f>
        <v>0.000242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HYPERLINK("http://141.218.60.56/~jnz1568/getInfo.php?workbook=20_05.xlsx&amp;sheet=U0&amp;row=3943&amp;col=6&amp;number=4.9&amp;sourceID=14","4.9")</f>
        <v>4.9</v>
      </c>
      <c r="G3943" s="4" t="str">
        <f>HYPERLINK("http://141.218.60.56/~jnz1568/getInfo.php?workbook=20_05.xlsx&amp;sheet=U0&amp;row=3943&amp;col=7&amp;number=0.000242&amp;sourceID=14","0.000242")</f>
        <v>0.000242</v>
      </c>
    </row>
    <row r="3944" spans="1:7">
      <c r="A3944" s="3">
        <v>20</v>
      </c>
      <c r="B3944" s="3">
        <v>5</v>
      </c>
      <c r="C3944" s="3">
        <v>2</v>
      </c>
      <c r="D3944" s="3">
        <v>44</v>
      </c>
      <c r="E3944" s="3">
        <v>1</v>
      </c>
      <c r="F3944" s="4" t="str">
        <f>HYPERLINK("http://141.218.60.56/~jnz1568/getInfo.php?workbook=20_05.xlsx&amp;sheet=U0&amp;row=3944&amp;col=6&amp;number=3&amp;sourceID=14","3")</f>
        <v>3</v>
      </c>
      <c r="G3944" s="4" t="str">
        <f>HYPERLINK("http://141.218.60.56/~jnz1568/getInfo.php?workbook=20_05.xlsx&amp;sheet=U0&amp;row=3944&amp;col=7&amp;number=0.000233&amp;sourceID=14","0.000233")</f>
        <v>0.000233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HYPERLINK("http://141.218.60.56/~jnz1568/getInfo.php?workbook=20_05.xlsx&amp;sheet=U0&amp;row=3945&amp;col=6&amp;number=3.1&amp;sourceID=14","3.1")</f>
        <v>3.1</v>
      </c>
      <c r="G3945" s="4" t="str">
        <f>HYPERLINK("http://141.218.60.56/~jnz1568/getInfo.php?workbook=20_05.xlsx&amp;sheet=U0&amp;row=3945&amp;col=7&amp;number=0.000233&amp;sourceID=14","0.000233")</f>
        <v>0.000233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HYPERLINK("http://141.218.60.56/~jnz1568/getInfo.php?workbook=20_05.xlsx&amp;sheet=U0&amp;row=3946&amp;col=6&amp;number=3.2&amp;sourceID=14","3.2")</f>
        <v>3.2</v>
      </c>
      <c r="G3946" s="4" t="str">
        <f>HYPERLINK("http://141.218.60.56/~jnz1568/getInfo.php?workbook=20_05.xlsx&amp;sheet=U0&amp;row=3946&amp;col=7&amp;number=0.000233&amp;sourceID=14","0.000233")</f>
        <v>0.000233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HYPERLINK("http://141.218.60.56/~jnz1568/getInfo.php?workbook=20_05.xlsx&amp;sheet=U0&amp;row=3947&amp;col=6&amp;number=3.3&amp;sourceID=14","3.3")</f>
        <v>3.3</v>
      </c>
      <c r="G3947" s="4" t="str">
        <f>HYPERLINK("http://141.218.60.56/~jnz1568/getInfo.php?workbook=20_05.xlsx&amp;sheet=U0&amp;row=3947&amp;col=7&amp;number=0.000233&amp;sourceID=14","0.000233")</f>
        <v>0.000233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HYPERLINK("http://141.218.60.56/~jnz1568/getInfo.php?workbook=20_05.xlsx&amp;sheet=U0&amp;row=3948&amp;col=6&amp;number=3.4&amp;sourceID=14","3.4")</f>
        <v>3.4</v>
      </c>
      <c r="G3948" s="4" t="str">
        <f>HYPERLINK("http://141.218.60.56/~jnz1568/getInfo.php?workbook=20_05.xlsx&amp;sheet=U0&amp;row=3948&amp;col=7&amp;number=0.000233&amp;sourceID=14","0.000233")</f>
        <v>0.000233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HYPERLINK("http://141.218.60.56/~jnz1568/getInfo.php?workbook=20_05.xlsx&amp;sheet=U0&amp;row=3949&amp;col=6&amp;number=3.5&amp;sourceID=14","3.5")</f>
        <v>3.5</v>
      </c>
      <c r="G3949" s="4" t="str">
        <f>HYPERLINK("http://141.218.60.56/~jnz1568/getInfo.php?workbook=20_05.xlsx&amp;sheet=U0&amp;row=3949&amp;col=7&amp;number=0.000233&amp;sourceID=14","0.000233")</f>
        <v>0.000233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HYPERLINK("http://141.218.60.56/~jnz1568/getInfo.php?workbook=20_05.xlsx&amp;sheet=U0&amp;row=3950&amp;col=6&amp;number=3.6&amp;sourceID=14","3.6")</f>
        <v>3.6</v>
      </c>
      <c r="G3950" s="4" t="str">
        <f>HYPERLINK("http://141.218.60.56/~jnz1568/getInfo.php?workbook=20_05.xlsx&amp;sheet=U0&amp;row=3950&amp;col=7&amp;number=0.000233&amp;sourceID=14","0.000233")</f>
        <v>0.000233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HYPERLINK("http://141.218.60.56/~jnz1568/getInfo.php?workbook=20_05.xlsx&amp;sheet=U0&amp;row=3951&amp;col=6&amp;number=3.7&amp;sourceID=14","3.7")</f>
        <v>3.7</v>
      </c>
      <c r="G3951" s="4" t="str">
        <f>HYPERLINK("http://141.218.60.56/~jnz1568/getInfo.php?workbook=20_05.xlsx&amp;sheet=U0&amp;row=3951&amp;col=7&amp;number=0.000233&amp;sourceID=14","0.000233")</f>
        <v>0.000233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HYPERLINK("http://141.218.60.56/~jnz1568/getInfo.php?workbook=20_05.xlsx&amp;sheet=U0&amp;row=3952&amp;col=6&amp;number=3.8&amp;sourceID=14","3.8")</f>
        <v>3.8</v>
      </c>
      <c r="G3952" s="4" t="str">
        <f>HYPERLINK("http://141.218.60.56/~jnz1568/getInfo.php?workbook=20_05.xlsx&amp;sheet=U0&amp;row=3952&amp;col=7&amp;number=0.000233&amp;sourceID=14","0.000233")</f>
        <v>0.000233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HYPERLINK("http://141.218.60.56/~jnz1568/getInfo.php?workbook=20_05.xlsx&amp;sheet=U0&amp;row=3953&amp;col=6&amp;number=3.9&amp;sourceID=14","3.9")</f>
        <v>3.9</v>
      </c>
      <c r="G3953" s="4" t="str">
        <f>HYPERLINK("http://141.218.60.56/~jnz1568/getInfo.php?workbook=20_05.xlsx&amp;sheet=U0&amp;row=3953&amp;col=7&amp;number=0.000233&amp;sourceID=14","0.000233")</f>
        <v>0.000233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HYPERLINK("http://141.218.60.56/~jnz1568/getInfo.php?workbook=20_05.xlsx&amp;sheet=U0&amp;row=3954&amp;col=6&amp;number=4&amp;sourceID=14","4")</f>
        <v>4</v>
      </c>
      <c r="G3954" s="4" t="str">
        <f>HYPERLINK("http://141.218.60.56/~jnz1568/getInfo.php?workbook=20_05.xlsx&amp;sheet=U0&amp;row=3954&amp;col=7&amp;number=0.000233&amp;sourceID=14","0.000233")</f>
        <v>0.000233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HYPERLINK("http://141.218.60.56/~jnz1568/getInfo.php?workbook=20_05.xlsx&amp;sheet=U0&amp;row=3955&amp;col=6&amp;number=4.1&amp;sourceID=14","4.1")</f>
        <v>4.1</v>
      </c>
      <c r="G3955" s="4" t="str">
        <f>HYPERLINK("http://141.218.60.56/~jnz1568/getInfo.php?workbook=20_05.xlsx&amp;sheet=U0&amp;row=3955&amp;col=7&amp;number=0.000233&amp;sourceID=14","0.000233")</f>
        <v>0.000233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HYPERLINK("http://141.218.60.56/~jnz1568/getInfo.php?workbook=20_05.xlsx&amp;sheet=U0&amp;row=3956&amp;col=6&amp;number=4.2&amp;sourceID=14","4.2")</f>
        <v>4.2</v>
      </c>
      <c r="G3956" s="4" t="str">
        <f>HYPERLINK("http://141.218.60.56/~jnz1568/getInfo.php?workbook=20_05.xlsx&amp;sheet=U0&amp;row=3956&amp;col=7&amp;number=0.000233&amp;sourceID=14","0.000233")</f>
        <v>0.000233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HYPERLINK("http://141.218.60.56/~jnz1568/getInfo.php?workbook=20_05.xlsx&amp;sheet=U0&amp;row=3957&amp;col=6&amp;number=4.3&amp;sourceID=14","4.3")</f>
        <v>4.3</v>
      </c>
      <c r="G3957" s="4" t="str">
        <f>HYPERLINK("http://141.218.60.56/~jnz1568/getInfo.php?workbook=20_05.xlsx&amp;sheet=U0&amp;row=3957&amp;col=7&amp;number=0.000233&amp;sourceID=14","0.000233")</f>
        <v>0.000233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HYPERLINK("http://141.218.60.56/~jnz1568/getInfo.php?workbook=20_05.xlsx&amp;sheet=U0&amp;row=3958&amp;col=6&amp;number=4.4&amp;sourceID=14","4.4")</f>
        <v>4.4</v>
      </c>
      <c r="G3958" s="4" t="str">
        <f>HYPERLINK("http://141.218.60.56/~jnz1568/getInfo.php?workbook=20_05.xlsx&amp;sheet=U0&amp;row=3958&amp;col=7&amp;number=0.000233&amp;sourceID=14","0.000233")</f>
        <v>0.000233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HYPERLINK("http://141.218.60.56/~jnz1568/getInfo.php?workbook=20_05.xlsx&amp;sheet=U0&amp;row=3959&amp;col=6&amp;number=4.5&amp;sourceID=14","4.5")</f>
        <v>4.5</v>
      </c>
      <c r="G3959" s="4" t="str">
        <f>HYPERLINK("http://141.218.60.56/~jnz1568/getInfo.php?workbook=20_05.xlsx&amp;sheet=U0&amp;row=3959&amp;col=7&amp;number=0.000233&amp;sourceID=14","0.000233")</f>
        <v>0.000233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HYPERLINK("http://141.218.60.56/~jnz1568/getInfo.php?workbook=20_05.xlsx&amp;sheet=U0&amp;row=3960&amp;col=6&amp;number=4.6&amp;sourceID=14","4.6")</f>
        <v>4.6</v>
      </c>
      <c r="G3960" s="4" t="str">
        <f>HYPERLINK("http://141.218.60.56/~jnz1568/getInfo.php?workbook=20_05.xlsx&amp;sheet=U0&amp;row=3960&amp;col=7&amp;number=0.000233&amp;sourceID=14","0.000233")</f>
        <v>0.000233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HYPERLINK("http://141.218.60.56/~jnz1568/getInfo.php?workbook=20_05.xlsx&amp;sheet=U0&amp;row=3961&amp;col=6&amp;number=4.7&amp;sourceID=14","4.7")</f>
        <v>4.7</v>
      </c>
      <c r="G3961" s="4" t="str">
        <f>HYPERLINK("http://141.218.60.56/~jnz1568/getInfo.php?workbook=20_05.xlsx&amp;sheet=U0&amp;row=3961&amp;col=7&amp;number=0.000233&amp;sourceID=14","0.000233")</f>
        <v>0.000233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HYPERLINK("http://141.218.60.56/~jnz1568/getInfo.php?workbook=20_05.xlsx&amp;sheet=U0&amp;row=3962&amp;col=6&amp;number=4.8&amp;sourceID=14","4.8")</f>
        <v>4.8</v>
      </c>
      <c r="G3962" s="4" t="str">
        <f>HYPERLINK("http://141.218.60.56/~jnz1568/getInfo.php?workbook=20_05.xlsx&amp;sheet=U0&amp;row=3962&amp;col=7&amp;number=0.000233&amp;sourceID=14","0.000233")</f>
        <v>0.000233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HYPERLINK("http://141.218.60.56/~jnz1568/getInfo.php?workbook=20_05.xlsx&amp;sheet=U0&amp;row=3963&amp;col=6&amp;number=4.9&amp;sourceID=14","4.9")</f>
        <v>4.9</v>
      </c>
      <c r="G3963" s="4" t="str">
        <f>HYPERLINK("http://141.218.60.56/~jnz1568/getInfo.php?workbook=20_05.xlsx&amp;sheet=U0&amp;row=3963&amp;col=7&amp;number=0.000233&amp;sourceID=14","0.000233")</f>
        <v>0.000233</v>
      </c>
    </row>
    <row r="3964" spans="1:7">
      <c r="A3964" s="3">
        <v>20</v>
      </c>
      <c r="B3964" s="3">
        <v>5</v>
      </c>
      <c r="C3964" s="3">
        <v>2</v>
      </c>
      <c r="D3964" s="3">
        <v>45</v>
      </c>
      <c r="E3964" s="3">
        <v>1</v>
      </c>
      <c r="F3964" s="4" t="str">
        <f>HYPERLINK("http://141.218.60.56/~jnz1568/getInfo.php?workbook=20_05.xlsx&amp;sheet=U0&amp;row=3964&amp;col=6&amp;number=3&amp;sourceID=14","3")</f>
        <v>3</v>
      </c>
      <c r="G3964" s="4" t="str">
        <f>HYPERLINK("http://141.218.60.56/~jnz1568/getInfo.php?workbook=20_05.xlsx&amp;sheet=U0&amp;row=3964&amp;col=7&amp;number=0.000121&amp;sourceID=14","0.000121")</f>
        <v>0.000121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HYPERLINK("http://141.218.60.56/~jnz1568/getInfo.php?workbook=20_05.xlsx&amp;sheet=U0&amp;row=3965&amp;col=6&amp;number=3.1&amp;sourceID=14","3.1")</f>
        <v>3.1</v>
      </c>
      <c r="G3965" s="4" t="str">
        <f>HYPERLINK("http://141.218.60.56/~jnz1568/getInfo.php?workbook=20_05.xlsx&amp;sheet=U0&amp;row=3965&amp;col=7&amp;number=0.000121&amp;sourceID=14","0.000121")</f>
        <v>0.000121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HYPERLINK("http://141.218.60.56/~jnz1568/getInfo.php?workbook=20_05.xlsx&amp;sheet=U0&amp;row=3966&amp;col=6&amp;number=3.2&amp;sourceID=14","3.2")</f>
        <v>3.2</v>
      </c>
      <c r="G3966" s="4" t="str">
        <f>HYPERLINK("http://141.218.60.56/~jnz1568/getInfo.php?workbook=20_05.xlsx&amp;sheet=U0&amp;row=3966&amp;col=7&amp;number=0.000121&amp;sourceID=14","0.000121")</f>
        <v>0.000121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HYPERLINK("http://141.218.60.56/~jnz1568/getInfo.php?workbook=20_05.xlsx&amp;sheet=U0&amp;row=3967&amp;col=6&amp;number=3.3&amp;sourceID=14","3.3")</f>
        <v>3.3</v>
      </c>
      <c r="G3967" s="4" t="str">
        <f>HYPERLINK("http://141.218.60.56/~jnz1568/getInfo.php?workbook=20_05.xlsx&amp;sheet=U0&amp;row=3967&amp;col=7&amp;number=0.000121&amp;sourceID=14","0.000121")</f>
        <v>0.000121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HYPERLINK("http://141.218.60.56/~jnz1568/getInfo.php?workbook=20_05.xlsx&amp;sheet=U0&amp;row=3968&amp;col=6&amp;number=3.4&amp;sourceID=14","3.4")</f>
        <v>3.4</v>
      </c>
      <c r="G3968" s="4" t="str">
        <f>HYPERLINK("http://141.218.60.56/~jnz1568/getInfo.php?workbook=20_05.xlsx&amp;sheet=U0&amp;row=3968&amp;col=7&amp;number=0.000121&amp;sourceID=14","0.000121")</f>
        <v>0.000121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HYPERLINK("http://141.218.60.56/~jnz1568/getInfo.php?workbook=20_05.xlsx&amp;sheet=U0&amp;row=3969&amp;col=6&amp;number=3.5&amp;sourceID=14","3.5")</f>
        <v>3.5</v>
      </c>
      <c r="G3969" s="4" t="str">
        <f>HYPERLINK("http://141.218.60.56/~jnz1568/getInfo.php?workbook=20_05.xlsx&amp;sheet=U0&amp;row=3969&amp;col=7&amp;number=0.000121&amp;sourceID=14","0.000121")</f>
        <v>0.000121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HYPERLINK("http://141.218.60.56/~jnz1568/getInfo.php?workbook=20_05.xlsx&amp;sheet=U0&amp;row=3970&amp;col=6&amp;number=3.6&amp;sourceID=14","3.6")</f>
        <v>3.6</v>
      </c>
      <c r="G3970" s="4" t="str">
        <f>HYPERLINK("http://141.218.60.56/~jnz1568/getInfo.php?workbook=20_05.xlsx&amp;sheet=U0&amp;row=3970&amp;col=7&amp;number=0.000121&amp;sourceID=14","0.000121")</f>
        <v>0.000121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HYPERLINK("http://141.218.60.56/~jnz1568/getInfo.php?workbook=20_05.xlsx&amp;sheet=U0&amp;row=3971&amp;col=6&amp;number=3.7&amp;sourceID=14","3.7")</f>
        <v>3.7</v>
      </c>
      <c r="G3971" s="4" t="str">
        <f>HYPERLINK("http://141.218.60.56/~jnz1568/getInfo.php?workbook=20_05.xlsx&amp;sheet=U0&amp;row=3971&amp;col=7&amp;number=0.000121&amp;sourceID=14","0.000121")</f>
        <v>0.000121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HYPERLINK("http://141.218.60.56/~jnz1568/getInfo.php?workbook=20_05.xlsx&amp;sheet=U0&amp;row=3972&amp;col=6&amp;number=3.8&amp;sourceID=14","3.8")</f>
        <v>3.8</v>
      </c>
      <c r="G3972" s="4" t="str">
        <f>HYPERLINK("http://141.218.60.56/~jnz1568/getInfo.php?workbook=20_05.xlsx&amp;sheet=U0&amp;row=3972&amp;col=7&amp;number=0.000121&amp;sourceID=14","0.000121")</f>
        <v>0.000121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HYPERLINK("http://141.218.60.56/~jnz1568/getInfo.php?workbook=20_05.xlsx&amp;sheet=U0&amp;row=3973&amp;col=6&amp;number=3.9&amp;sourceID=14","3.9")</f>
        <v>3.9</v>
      </c>
      <c r="G3973" s="4" t="str">
        <f>HYPERLINK("http://141.218.60.56/~jnz1568/getInfo.php?workbook=20_05.xlsx&amp;sheet=U0&amp;row=3973&amp;col=7&amp;number=0.000121&amp;sourceID=14","0.000121")</f>
        <v>0.000121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HYPERLINK("http://141.218.60.56/~jnz1568/getInfo.php?workbook=20_05.xlsx&amp;sheet=U0&amp;row=3974&amp;col=6&amp;number=4&amp;sourceID=14","4")</f>
        <v>4</v>
      </c>
      <c r="G3974" s="4" t="str">
        <f>HYPERLINK("http://141.218.60.56/~jnz1568/getInfo.php?workbook=20_05.xlsx&amp;sheet=U0&amp;row=3974&amp;col=7&amp;number=0.000121&amp;sourceID=14","0.000121")</f>
        <v>0.000121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HYPERLINK("http://141.218.60.56/~jnz1568/getInfo.php?workbook=20_05.xlsx&amp;sheet=U0&amp;row=3975&amp;col=6&amp;number=4.1&amp;sourceID=14","4.1")</f>
        <v>4.1</v>
      </c>
      <c r="G3975" s="4" t="str">
        <f>HYPERLINK("http://141.218.60.56/~jnz1568/getInfo.php?workbook=20_05.xlsx&amp;sheet=U0&amp;row=3975&amp;col=7&amp;number=0.000121&amp;sourceID=14","0.000121")</f>
        <v>0.000121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HYPERLINK("http://141.218.60.56/~jnz1568/getInfo.php?workbook=20_05.xlsx&amp;sheet=U0&amp;row=3976&amp;col=6&amp;number=4.2&amp;sourceID=14","4.2")</f>
        <v>4.2</v>
      </c>
      <c r="G3976" s="4" t="str">
        <f>HYPERLINK("http://141.218.60.56/~jnz1568/getInfo.php?workbook=20_05.xlsx&amp;sheet=U0&amp;row=3976&amp;col=7&amp;number=0.000121&amp;sourceID=14","0.000121")</f>
        <v>0.000121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HYPERLINK("http://141.218.60.56/~jnz1568/getInfo.php?workbook=20_05.xlsx&amp;sheet=U0&amp;row=3977&amp;col=6&amp;number=4.3&amp;sourceID=14","4.3")</f>
        <v>4.3</v>
      </c>
      <c r="G3977" s="4" t="str">
        <f>HYPERLINK("http://141.218.60.56/~jnz1568/getInfo.php?workbook=20_05.xlsx&amp;sheet=U0&amp;row=3977&amp;col=7&amp;number=0.000121&amp;sourceID=14","0.000121")</f>
        <v>0.000121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HYPERLINK("http://141.218.60.56/~jnz1568/getInfo.php?workbook=20_05.xlsx&amp;sheet=U0&amp;row=3978&amp;col=6&amp;number=4.4&amp;sourceID=14","4.4")</f>
        <v>4.4</v>
      </c>
      <c r="G3978" s="4" t="str">
        <f>HYPERLINK("http://141.218.60.56/~jnz1568/getInfo.php?workbook=20_05.xlsx&amp;sheet=U0&amp;row=3978&amp;col=7&amp;number=0.000121&amp;sourceID=14","0.000121")</f>
        <v>0.000121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HYPERLINK("http://141.218.60.56/~jnz1568/getInfo.php?workbook=20_05.xlsx&amp;sheet=U0&amp;row=3979&amp;col=6&amp;number=4.5&amp;sourceID=14","4.5")</f>
        <v>4.5</v>
      </c>
      <c r="G3979" s="4" t="str">
        <f>HYPERLINK("http://141.218.60.56/~jnz1568/getInfo.php?workbook=20_05.xlsx&amp;sheet=U0&amp;row=3979&amp;col=7&amp;number=0.000121&amp;sourceID=14","0.000121")</f>
        <v>0.000121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HYPERLINK("http://141.218.60.56/~jnz1568/getInfo.php?workbook=20_05.xlsx&amp;sheet=U0&amp;row=3980&amp;col=6&amp;number=4.6&amp;sourceID=14","4.6")</f>
        <v>4.6</v>
      </c>
      <c r="G3980" s="4" t="str">
        <f>HYPERLINK("http://141.218.60.56/~jnz1568/getInfo.php?workbook=20_05.xlsx&amp;sheet=U0&amp;row=3980&amp;col=7&amp;number=0.000121&amp;sourceID=14","0.000121")</f>
        <v>0.000121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HYPERLINK("http://141.218.60.56/~jnz1568/getInfo.php?workbook=20_05.xlsx&amp;sheet=U0&amp;row=3981&amp;col=6&amp;number=4.7&amp;sourceID=14","4.7")</f>
        <v>4.7</v>
      </c>
      <c r="G3981" s="4" t="str">
        <f>HYPERLINK("http://141.218.60.56/~jnz1568/getInfo.php?workbook=20_05.xlsx&amp;sheet=U0&amp;row=3981&amp;col=7&amp;number=0.000121&amp;sourceID=14","0.000121")</f>
        <v>0.000121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HYPERLINK("http://141.218.60.56/~jnz1568/getInfo.php?workbook=20_05.xlsx&amp;sheet=U0&amp;row=3982&amp;col=6&amp;number=4.8&amp;sourceID=14","4.8")</f>
        <v>4.8</v>
      </c>
      <c r="G3982" s="4" t="str">
        <f>HYPERLINK("http://141.218.60.56/~jnz1568/getInfo.php?workbook=20_05.xlsx&amp;sheet=U0&amp;row=3982&amp;col=7&amp;number=0.00012&amp;sourceID=14","0.00012")</f>
        <v>0.00012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HYPERLINK("http://141.218.60.56/~jnz1568/getInfo.php?workbook=20_05.xlsx&amp;sheet=U0&amp;row=3983&amp;col=6&amp;number=4.9&amp;sourceID=14","4.9")</f>
        <v>4.9</v>
      </c>
      <c r="G3983" s="4" t="str">
        <f>HYPERLINK("http://141.218.60.56/~jnz1568/getInfo.php?workbook=20_05.xlsx&amp;sheet=U0&amp;row=3983&amp;col=7&amp;number=0.00012&amp;sourceID=14","0.00012")</f>
        <v>0.00012</v>
      </c>
    </row>
    <row r="3984" spans="1:7">
      <c r="A3984" s="3">
        <v>20</v>
      </c>
      <c r="B3984" s="3">
        <v>5</v>
      </c>
      <c r="C3984" s="3">
        <v>2</v>
      </c>
      <c r="D3984" s="3">
        <v>46</v>
      </c>
      <c r="E3984" s="3">
        <v>1</v>
      </c>
      <c r="F3984" s="4" t="str">
        <f>HYPERLINK("http://141.218.60.56/~jnz1568/getInfo.php?workbook=20_05.xlsx&amp;sheet=U0&amp;row=3984&amp;col=6&amp;number=3&amp;sourceID=14","3")</f>
        <v>3</v>
      </c>
      <c r="G3984" s="4" t="str">
        <f>HYPERLINK("http://141.218.60.56/~jnz1568/getInfo.php?workbook=20_05.xlsx&amp;sheet=U0&amp;row=3984&amp;col=7&amp;number=0.000315&amp;sourceID=14","0.000315")</f>
        <v>0.000315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HYPERLINK("http://141.218.60.56/~jnz1568/getInfo.php?workbook=20_05.xlsx&amp;sheet=U0&amp;row=3985&amp;col=6&amp;number=3.1&amp;sourceID=14","3.1")</f>
        <v>3.1</v>
      </c>
      <c r="G3985" s="4" t="str">
        <f>HYPERLINK("http://141.218.60.56/~jnz1568/getInfo.php?workbook=20_05.xlsx&amp;sheet=U0&amp;row=3985&amp;col=7&amp;number=0.000315&amp;sourceID=14","0.000315")</f>
        <v>0.000315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HYPERLINK("http://141.218.60.56/~jnz1568/getInfo.php?workbook=20_05.xlsx&amp;sheet=U0&amp;row=3986&amp;col=6&amp;number=3.2&amp;sourceID=14","3.2")</f>
        <v>3.2</v>
      </c>
      <c r="G3986" s="4" t="str">
        <f>HYPERLINK("http://141.218.60.56/~jnz1568/getInfo.php?workbook=20_05.xlsx&amp;sheet=U0&amp;row=3986&amp;col=7&amp;number=0.000315&amp;sourceID=14","0.000315")</f>
        <v>0.000315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HYPERLINK("http://141.218.60.56/~jnz1568/getInfo.php?workbook=20_05.xlsx&amp;sheet=U0&amp;row=3987&amp;col=6&amp;number=3.3&amp;sourceID=14","3.3")</f>
        <v>3.3</v>
      </c>
      <c r="G3987" s="4" t="str">
        <f>HYPERLINK("http://141.218.60.56/~jnz1568/getInfo.php?workbook=20_05.xlsx&amp;sheet=U0&amp;row=3987&amp;col=7&amp;number=0.000315&amp;sourceID=14","0.000315")</f>
        <v>0.000315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HYPERLINK("http://141.218.60.56/~jnz1568/getInfo.php?workbook=20_05.xlsx&amp;sheet=U0&amp;row=3988&amp;col=6&amp;number=3.4&amp;sourceID=14","3.4")</f>
        <v>3.4</v>
      </c>
      <c r="G3988" s="4" t="str">
        <f>HYPERLINK("http://141.218.60.56/~jnz1568/getInfo.php?workbook=20_05.xlsx&amp;sheet=U0&amp;row=3988&amp;col=7&amp;number=0.000315&amp;sourceID=14","0.000315")</f>
        <v>0.000315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HYPERLINK("http://141.218.60.56/~jnz1568/getInfo.php?workbook=20_05.xlsx&amp;sheet=U0&amp;row=3989&amp;col=6&amp;number=3.5&amp;sourceID=14","3.5")</f>
        <v>3.5</v>
      </c>
      <c r="G3989" s="4" t="str">
        <f>HYPERLINK("http://141.218.60.56/~jnz1568/getInfo.php?workbook=20_05.xlsx&amp;sheet=U0&amp;row=3989&amp;col=7&amp;number=0.000315&amp;sourceID=14","0.000315")</f>
        <v>0.000315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HYPERLINK("http://141.218.60.56/~jnz1568/getInfo.php?workbook=20_05.xlsx&amp;sheet=U0&amp;row=3990&amp;col=6&amp;number=3.6&amp;sourceID=14","3.6")</f>
        <v>3.6</v>
      </c>
      <c r="G3990" s="4" t="str">
        <f>HYPERLINK("http://141.218.60.56/~jnz1568/getInfo.php?workbook=20_05.xlsx&amp;sheet=U0&amp;row=3990&amp;col=7&amp;number=0.000315&amp;sourceID=14","0.000315")</f>
        <v>0.000315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HYPERLINK("http://141.218.60.56/~jnz1568/getInfo.php?workbook=20_05.xlsx&amp;sheet=U0&amp;row=3991&amp;col=6&amp;number=3.7&amp;sourceID=14","3.7")</f>
        <v>3.7</v>
      </c>
      <c r="G3991" s="4" t="str">
        <f>HYPERLINK("http://141.218.60.56/~jnz1568/getInfo.php?workbook=20_05.xlsx&amp;sheet=U0&amp;row=3991&amp;col=7&amp;number=0.000315&amp;sourceID=14","0.000315")</f>
        <v>0.000315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HYPERLINK("http://141.218.60.56/~jnz1568/getInfo.php?workbook=20_05.xlsx&amp;sheet=U0&amp;row=3992&amp;col=6&amp;number=3.8&amp;sourceID=14","3.8")</f>
        <v>3.8</v>
      </c>
      <c r="G3992" s="4" t="str">
        <f>HYPERLINK("http://141.218.60.56/~jnz1568/getInfo.php?workbook=20_05.xlsx&amp;sheet=U0&amp;row=3992&amp;col=7&amp;number=0.000315&amp;sourceID=14","0.000315")</f>
        <v>0.000315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HYPERLINK("http://141.218.60.56/~jnz1568/getInfo.php?workbook=20_05.xlsx&amp;sheet=U0&amp;row=3993&amp;col=6&amp;number=3.9&amp;sourceID=14","3.9")</f>
        <v>3.9</v>
      </c>
      <c r="G3993" s="4" t="str">
        <f>HYPERLINK("http://141.218.60.56/~jnz1568/getInfo.php?workbook=20_05.xlsx&amp;sheet=U0&amp;row=3993&amp;col=7&amp;number=0.000316&amp;sourceID=14","0.000316")</f>
        <v>0.000316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HYPERLINK("http://141.218.60.56/~jnz1568/getInfo.php?workbook=20_05.xlsx&amp;sheet=U0&amp;row=3994&amp;col=6&amp;number=4&amp;sourceID=14","4")</f>
        <v>4</v>
      </c>
      <c r="G3994" s="4" t="str">
        <f>HYPERLINK("http://141.218.60.56/~jnz1568/getInfo.php?workbook=20_05.xlsx&amp;sheet=U0&amp;row=3994&amp;col=7&amp;number=0.000316&amp;sourceID=14","0.000316")</f>
        <v>0.000316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HYPERLINK("http://141.218.60.56/~jnz1568/getInfo.php?workbook=20_05.xlsx&amp;sheet=U0&amp;row=3995&amp;col=6&amp;number=4.1&amp;sourceID=14","4.1")</f>
        <v>4.1</v>
      </c>
      <c r="G3995" s="4" t="str">
        <f>HYPERLINK("http://141.218.60.56/~jnz1568/getInfo.php?workbook=20_05.xlsx&amp;sheet=U0&amp;row=3995&amp;col=7&amp;number=0.000316&amp;sourceID=14","0.000316")</f>
        <v>0.000316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HYPERLINK("http://141.218.60.56/~jnz1568/getInfo.php?workbook=20_05.xlsx&amp;sheet=U0&amp;row=3996&amp;col=6&amp;number=4.2&amp;sourceID=14","4.2")</f>
        <v>4.2</v>
      </c>
      <c r="G3996" s="4" t="str">
        <f>HYPERLINK("http://141.218.60.56/~jnz1568/getInfo.php?workbook=20_05.xlsx&amp;sheet=U0&amp;row=3996&amp;col=7&amp;number=0.000316&amp;sourceID=14","0.000316")</f>
        <v>0.000316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HYPERLINK("http://141.218.60.56/~jnz1568/getInfo.php?workbook=20_05.xlsx&amp;sheet=U0&amp;row=3997&amp;col=6&amp;number=4.3&amp;sourceID=14","4.3")</f>
        <v>4.3</v>
      </c>
      <c r="G3997" s="4" t="str">
        <f>HYPERLINK("http://141.218.60.56/~jnz1568/getInfo.php?workbook=20_05.xlsx&amp;sheet=U0&amp;row=3997&amp;col=7&amp;number=0.000316&amp;sourceID=14","0.000316")</f>
        <v>0.000316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HYPERLINK("http://141.218.60.56/~jnz1568/getInfo.php?workbook=20_05.xlsx&amp;sheet=U0&amp;row=3998&amp;col=6&amp;number=4.4&amp;sourceID=14","4.4")</f>
        <v>4.4</v>
      </c>
      <c r="G3998" s="4" t="str">
        <f>HYPERLINK("http://141.218.60.56/~jnz1568/getInfo.php?workbook=20_05.xlsx&amp;sheet=U0&amp;row=3998&amp;col=7&amp;number=0.000316&amp;sourceID=14","0.000316")</f>
        <v>0.000316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HYPERLINK("http://141.218.60.56/~jnz1568/getInfo.php?workbook=20_05.xlsx&amp;sheet=U0&amp;row=3999&amp;col=6&amp;number=4.5&amp;sourceID=14","4.5")</f>
        <v>4.5</v>
      </c>
      <c r="G3999" s="4" t="str">
        <f>HYPERLINK("http://141.218.60.56/~jnz1568/getInfo.php?workbook=20_05.xlsx&amp;sheet=U0&amp;row=3999&amp;col=7&amp;number=0.000317&amp;sourceID=14","0.000317")</f>
        <v>0.000317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HYPERLINK("http://141.218.60.56/~jnz1568/getInfo.php?workbook=20_05.xlsx&amp;sheet=U0&amp;row=4000&amp;col=6&amp;number=4.6&amp;sourceID=14","4.6")</f>
        <v>4.6</v>
      </c>
      <c r="G4000" s="4" t="str">
        <f>HYPERLINK("http://141.218.60.56/~jnz1568/getInfo.php?workbook=20_05.xlsx&amp;sheet=U0&amp;row=4000&amp;col=7&amp;number=0.000317&amp;sourceID=14","0.000317")</f>
        <v>0.000317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HYPERLINK("http://141.218.60.56/~jnz1568/getInfo.php?workbook=20_05.xlsx&amp;sheet=U0&amp;row=4001&amp;col=6&amp;number=4.7&amp;sourceID=14","4.7")</f>
        <v>4.7</v>
      </c>
      <c r="G4001" s="4" t="str">
        <f>HYPERLINK("http://141.218.60.56/~jnz1568/getInfo.php?workbook=20_05.xlsx&amp;sheet=U0&amp;row=4001&amp;col=7&amp;number=0.000317&amp;sourceID=14","0.000317")</f>
        <v>0.000317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HYPERLINK("http://141.218.60.56/~jnz1568/getInfo.php?workbook=20_05.xlsx&amp;sheet=U0&amp;row=4002&amp;col=6&amp;number=4.8&amp;sourceID=14","4.8")</f>
        <v>4.8</v>
      </c>
      <c r="G4002" s="4" t="str">
        <f>HYPERLINK("http://141.218.60.56/~jnz1568/getInfo.php?workbook=20_05.xlsx&amp;sheet=U0&amp;row=4002&amp;col=7&amp;number=0.000318&amp;sourceID=14","0.000318")</f>
        <v>0.000318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HYPERLINK("http://141.218.60.56/~jnz1568/getInfo.php?workbook=20_05.xlsx&amp;sheet=U0&amp;row=4003&amp;col=6&amp;number=4.9&amp;sourceID=14","4.9")</f>
        <v>4.9</v>
      </c>
      <c r="G4003" s="4" t="str">
        <f>HYPERLINK("http://141.218.60.56/~jnz1568/getInfo.php?workbook=20_05.xlsx&amp;sheet=U0&amp;row=4003&amp;col=7&amp;number=0.000319&amp;sourceID=14","0.000319")</f>
        <v>0.000319</v>
      </c>
    </row>
    <row r="4004" spans="1:7">
      <c r="A4004" s="3">
        <v>20</v>
      </c>
      <c r="B4004" s="3">
        <v>5</v>
      </c>
      <c r="C4004" s="3">
        <v>2</v>
      </c>
      <c r="D4004" s="3">
        <v>47</v>
      </c>
      <c r="E4004" s="3">
        <v>1</v>
      </c>
      <c r="F4004" s="4" t="str">
        <f>HYPERLINK("http://141.218.60.56/~jnz1568/getInfo.php?workbook=20_05.xlsx&amp;sheet=U0&amp;row=4004&amp;col=6&amp;number=3&amp;sourceID=14","3")</f>
        <v>3</v>
      </c>
      <c r="G4004" s="4" t="str">
        <f>HYPERLINK("http://141.218.60.56/~jnz1568/getInfo.php?workbook=20_05.xlsx&amp;sheet=U0&amp;row=4004&amp;col=7&amp;number=0.000171&amp;sourceID=14","0.000171")</f>
        <v>0.000171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HYPERLINK("http://141.218.60.56/~jnz1568/getInfo.php?workbook=20_05.xlsx&amp;sheet=U0&amp;row=4005&amp;col=6&amp;number=3.1&amp;sourceID=14","3.1")</f>
        <v>3.1</v>
      </c>
      <c r="G4005" s="4" t="str">
        <f>HYPERLINK("http://141.218.60.56/~jnz1568/getInfo.php?workbook=20_05.xlsx&amp;sheet=U0&amp;row=4005&amp;col=7&amp;number=0.000171&amp;sourceID=14","0.000171")</f>
        <v>0.000171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HYPERLINK("http://141.218.60.56/~jnz1568/getInfo.php?workbook=20_05.xlsx&amp;sheet=U0&amp;row=4006&amp;col=6&amp;number=3.2&amp;sourceID=14","3.2")</f>
        <v>3.2</v>
      </c>
      <c r="G4006" s="4" t="str">
        <f>HYPERLINK("http://141.218.60.56/~jnz1568/getInfo.php?workbook=20_05.xlsx&amp;sheet=U0&amp;row=4006&amp;col=7&amp;number=0.000171&amp;sourceID=14","0.000171")</f>
        <v>0.000171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HYPERLINK("http://141.218.60.56/~jnz1568/getInfo.php?workbook=20_05.xlsx&amp;sheet=U0&amp;row=4007&amp;col=6&amp;number=3.3&amp;sourceID=14","3.3")</f>
        <v>3.3</v>
      </c>
      <c r="G4007" s="4" t="str">
        <f>HYPERLINK("http://141.218.60.56/~jnz1568/getInfo.php?workbook=20_05.xlsx&amp;sheet=U0&amp;row=4007&amp;col=7&amp;number=0.000171&amp;sourceID=14","0.000171")</f>
        <v>0.000171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HYPERLINK("http://141.218.60.56/~jnz1568/getInfo.php?workbook=20_05.xlsx&amp;sheet=U0&amp;row=4008&amp;col=6&amp;number=3.4&amp;sourceID=14","3.4")</f>
        <v>3.4</v>
      </c>
      <c r="G4008" s="4" t="str">
        <f>HYPERLINK("http://141.218.60.56/~jnz1568/getInfo.php?workbook=20_05.xlsx&amp;sheet=U0&amp;row=4008&amp;col=7&amp;number=0.000171&amp;sourceID=14","0.000171")</f>
        <v>0.000171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HYPERLINK("http://141.218.60.56/~jnz1568/getInfo.php?workbook=20_05.xlsx&amp;sheet=U0&amp;row=4009&amp;col=6&amp;number=3.5&amp;sourceID=14","3.5")</f>
        <v>3.5</v>
      </c>
      <c r="G4009" s="4" t="str">
        <f>HYPERLINK("http://141.218.60.56/~jnz1568/getInfo.php?workbook=20_05.xlsx&amp;sheet=U0&amp;row=4009&amp;col=7&amp;number=0.000171&amp;sourceID=14","0.000171")</f>
        <v>0.000171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HYPERLINK("http://141.218.60.56/~jnz1568/getInfo.php?workbook=20_05.xlsx&amp;sheet=U0&amp;row=4010&amp;col=6&amp;number=3.6&amp;sourceID=14","3.6")</f>
        <v>3.6</v>
      </c>
      <c r="G4010" s="4" t="str">
        <f>HYPERLINK("http://141.218.60.56/~jnz1568/getInfo.php?workbook=20_05.xlsx&amp;sheet=U0&amp;row=4010&amp;col=7&amp;number=0.000171&amp;sourceID=14","0.000171")</f>
        <v>0.000171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HYPERLINK("http://141.218.60.56/~jnz1568/getInfo.php?workbook=20_05.xlsx&amp;sheet=U0&amp;row=4011&amp;col=6&amp;number=3.7&amp;sourceID=14","3.7")</f>
        <v>3.7</v>
      </c>
      <c r="G4011" s="4" t="str">
        <f>HYPERLINK("http://141.218.60.56/~jnz1568/getInfo.php?workbook=20_05.xlsx&amp;sheet=U0&amp;row=4011&amp;col=7&amp;number=0.000171&amp;sourceID=14","0.000171")</f>
        <v>0.000171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HYPERLINK("http://141.218.60.56/~jnz1568/getInfo.php?workbook=20_05.xlsx&amp;sheet=U0&amp;row=4012&amp;col=6&amp;number=3.8&amp;sourceID=14","3.8")</f>
        <v>3.8</v>
      </c>
      <c r="G4012" s="4" t="str">
        <f>HYPERLINK("http://141.218.60.56/~jnz1568/getInfo.php?workbook=20_05.xlsx&amp;sheet=U0&amp;row=4012&amp;col=7&amp;number=0.000171&amp;sourceID=14","0.000171")</f>
        <v>0.000171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HYPERLINK("http://141.218.60.56/~jnz1568/getInfo.php?workbook=20_05.xlsx&amp;sheet=U0&amp;row=4013&amp;col=6&amp;number=3.9&amp;sourceID=14","3.9")</f>
        <v>3.9</v>
      </c>
      <c r="G4013" s="4" t="str">
        <f>HYPERLINK("http://141.218.60.56/~jnz1568/getInfo.php?workbook=20_05.xlsx&amp;sheet=U0&amp;row=4013&amp;col=7&amp;number=0.000171&amp;sourceID=14","0.000171")</f>
        <v>0.000171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HYPERLINK("http://141.218.60.56/~jnz1568/getInfo.php?workbook=20_05.xlsx&amp;sheet=U0&amp;row=4014&amp;col=6&amp;number=4&amp;sourceID=14","4")</f>
        <v>4</v>
      </c>
      <c r="G4014" s="4" t="str">
        <f>HYPERLINK("http://141.218.60.56/~jnz1568/getInfo.php?workbook=20_05.xlsx&amp;sheet=U0&amp;row=4014&amp;col=7&amp;number=0.000171&amp;sourceID=14","0.000171")</f>
        <v>0.000171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HYPERLINK("http://141.218.60.56/~jnz1568/getInfo.php?workbook=20_05.xlsx&amp;sheet=U0&amp;row=4015&amp;col=6&amp;number=4.1&amp;sourceID=14","4.1")</f>
        <v>4.1</v>
      </c>
      <c r="G4015" s="4" t="str">
        <f>HYPERLINK("http://141.218.60.56/~jnz1568/getInfo.php?workbook=20_05.xlsx&amp;sheet=U0&amp;row=4015&amp;col=7&amp;number=0.000171&amp;sourceID=14","0.000171")</f>
        <v>0.000171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HYPERLINK("http://141.218.60.56/~jnz1568/getInfo.php?workbook=20_05.xlsx&amp;sheet=U0&amp;row=4016&amp;col=6&amp;number=4.2&amp;sourceID=14","4.2")</f>
        <v>4.2</v>
      </c>
      <c r="G4016" s="4" t="str">
        <f>HYPERLINK("http://141.218.60.56/~jnz1568/getInfo.php?workbook=20_05.xlsx&amp;sheet=U0&amp;row=4016&amp;col=7&amp;number=0.000171&amp;sourceID=14","0.000171")</f>
        <v>0.000171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HYPERLINK("http://141.218.60.56/~jnz1568/getInfo.php?workbook=20_05.xlsx&amp;sheet=U0&amp;row=4017&amp;col=6&amp;number=4.3&amp;sourceID=14","4.3")</f>
        <v>4.3</v>
      </c>
      <c r="G4017" s="4" t="str">
        <f>HYPERLINK("http://141.218.60.56/~jnz1568/getInfo.php?workbook=20_05.xlsx&amp;sheet=U0&amp;row=4017&amp;col=7&amp;number=0.000171&amp;sourceID=14","0.000171")</f>
        <v>0.000171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HYPERLINK("http://141.218.60.56/~jnz1568/getInfo.php?workbook=20_05.xlsx&amp;sheet=U0&amp;row=4018&amp;col=6&amp;number=4.4&amp;sourceID=14","4.4")</f>
        <v>4.4</v>
      </c>
      <c r="G4018" s="4" t="str">
        <f>HYPERLINK("http://141.218.60.56/~jnz1568/getInfo.php?workbook=20_05.xlsx&amp;sheet=U0&amp;row=4018&amp;col=7&amp;number=0.000171&amp;sourceID=14","0.000171")</f>
        <v>0.000171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HYPERLINK("http://141.218.60.56/~jnz1568/getInfo.php?workbook=20_05.xlsx&amp;sheet=U0&amp;row=4019&amp;col=6&amp;number=4.5&amp;sourceID=14","4.5")</f>
        <v>4.5</v>
      </c>
      <c r="G4019" s="4" t="str">
        <f>HYPERLINK("http://141.218.60.56/~jnz1568/getInfo.php?workbook=20_05.xlsx&amp;sheet=U0&amp;row=4019&amp;col=7&amp;number=0.000171&amp;sourceID=14","0.000171")</f>
        <v>0.000171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HYPERLINK("http://141.218.60.56/~jnz1568/getInfo.php?workbook=20_05.xlsx&amp;sheet=U0&amp;row=4020&amp;col=6&amp;number=4.6&amp;sourceID=14","4.6")</f>
        <v>4.6</v>
      </c>
      <c r="G4020" s="4" t="str">
        <f>HYPERLINK("http://141.218.60.56/~jnz1568/getInfo.php?workbook=20_05.xlsx&amp;sheet=U0&amp;row=4020&amp;col=7&amp;number=0.000171&amp;sourceID=14","0.000171")</f>
        <v>0.000171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HYPERLINK("http://141.218.60.56/~jnz1568/getInfo.php?workbook=20_05.xlsx&amp;sheet=U0&amp;row=4021&amp;col=6&amp;number=4.7&amp;sourceID=14","4.7")</f>
        <v>4.7</v>
      </c>
      <c r="G4021" s="4" t="str">
        <f>HYPERLINK("http://141.218.60.56/~jnz1568/getInfo.php?workbook=20_05.xlsx&amp;sheet=U0&amp;row=4021&amp;col=7&amp;number=0.00017&amp;sourceID=14","0.00017")</f>
        <v>0.00017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HYPERLINK("http://141.218.60.56/~jnz1568/getInfo.php?workbook=20_05.xlsx&amp;sheet=U0&amp;row=4022&amp;col=6&amp;number=4.8&amp;sourceID=14","4.8")</f>
        <v>4.8</v>
      </c>
      <c r="G4022" s="4" t="str">
        <f>HYPERLINK("http://141.218.60.56/~jnz1568/getInfo.php?workbook=20_05.xlsx&amp;sheet=U0&amp;row=4022&amp;col=7&amp;number=0.00017&amp;sourceID=14","0.00017")</f>
        <v>0.00017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HYPERLINK("http://141.218.60.56/~jnz1568/getInfo.php?workbook=20_05.xlsx&amp;sheet=U0&amp;row=4023&amp;col=6&amp;number=4.9&amp;sourceID=14","4.9")</f>
        <v>4.9</v>
      </c>
      <c r="G4023" s="4" t="str">
        <f>HYPERLINK("http://141.218.60.56/~jnz1568/getInfo.php?workbook=20_05.xlsx&amp;sheet=U0&amp;row=4023&amp;col=7&amp;number=0.00017&amp;sourceID=14","0.00017")</f>
        <v>0.00017</v>
      </c>
    </row>
    <row r="4024" spans="1:7">
      <c r="A4024" s="3">
        <v>20</v>
      </c>
      <c r="B4024" s="3">
        <v>5</v>
      </c>
      <c r="C4024" s="3">
        <v>2</v>
      </c>
      <c r="D4024" s="3">
        <v>48</v>
      </c>
      <c r="E4024" s="3">
        <v>1</v>
      </c>
      <c r="F4024" s="4" t="str">
        <f>HYPERLINK("http://141.218.60.56/~jnz1568/getInfo.php?workbook=20_05.xlsx&amp;sheet=U0&amp;row=4024&amp;col=6&amp;number=3&amp;sourceID=14","3")</f>
        <v>3</v>
      </c>
      <c r="G4024" s="4" t="str">
        <f>HYPERLINK("http://141.218.60.56/~jnz1568/getInfo.php?workbook=20_05.xlsx&amp;sheet=U0&amp;row=4024&amp;col=7&amp;number=0.0013&amp;sourceID=14","0.0013")</f>
        <v>0.0013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HYPERLINK("http://141.218.60.56/~jnz1568/getInfo.php?workbook=20_05.xlsx&amp;sheet=U0&amp;row=4025&amp;col=6&amp;number=3.1&amp;sourceID=14","3.1")</f>
        <v>3.1</v>
      </c>
      <c r="G4025" s="4" t="str">
        <f>HYPERLINK("http://141.218.60.56/~jnz1568/getInfo.php?workbook=20_05.xlsx&amp;sheet=U0&amp;row=4025&amp;col=7&amp;number=0.0013&amp;sourceID=14","0.0013")</f>
        <v>0.0013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HYPERLINK("http://141.218.60.56/~jnz1568/getInfo.php?workbook=20_05.xlsx&amp;sheet=U0&amp;row=4026&amp;col=6&amp;number=3.2&amp;sourceID=14","3.2")</f>
        <v>3.2</v>
      </c>
      <c r="G4026" s="4" t="str">
        <f>HYPERLINK("http://141.218.60.56/~jnz1568/getInfo.php?workbook=20_05.xlsx&amp;sheet=U0&amp;row=4026&amp;col=7&amp;number=0.0013&amp;sourceID=14","0.0013")</f>
        <v>0.0013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HYPERLINK("http://141.218.60.56/~jnz1568/getInfo.php?workbook=20_05.xlsx&amp;sheet=U0&amp;row=4027&amp;col=6&amp;number=3.3&amp;sourceID=14","3.3")</f>
        <v>3.3</v>
      </c>
      <c r="G4027" s="4" t="str">
        <f>HYPERLINK("http://141.218.60.56/~jnz1568/getInfo.php?workbook=20_05.xlsx&amp;sheet=U0&amp;row=4027&amp;col=7&amp;number=0.0013&amp;sourceID=14","0.0013")</f>
        <v>0.0013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HYPERLINK("http://141.218.60.56/~jnz1568/getInfo.php?workbook=20_05.xlsx&amp;sheet=U0&amp;row=4028&amp;col=6&amp;number=3.4&amp;sourceID=14","3.4")</f>
        <v>3.4</v>
      </c>
      <c r="G4028" s="4" t="str">
        <f>HYPERLINK("http://141.218.60.56/~jnz1568/getInfo.php?workbook=20_05.xlsx&amp;sheet=U0&amp;row=4028&amp;col=7&amp;number=0.0013&amp;sourceID=14","0.0013")</f>
        <v>0.0013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HYPERLINK("http://141.218.60.56/~jnz1568/getInfo.php?workbook=20_05.xlsx&amp;sheet=U0&amp;row=4029&amp;col=6&amp;number=3.5&amp;sourceID=14","3.5")</f>
        <v>3.5</v>
      </c>
      <c r="G4029" s="4" t="str">
        <f>HYPERLINK("http://141.218.60.56/~jnz1568/getInfo.php?workbook=20_05.xlsx&amp;sheet=U0&amp;row=4029&amp;col=7&amp;number=0.0013&amp;sourceID=14","0.0013")</f>
        <v>0.0013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HYPERLINK("http://141.218.60.56/~jnz1568/getInfo.php?workbook=20_05.xlsx&amp;sheet=U0&amp;row=4030&amp;col=6&amp;number=3.6&amp;sourceID=14","3.6")</f>
        <v>3.6</v>
      </c>
      <c r="G4030" s="4" t="str">
        <f>HYPERLINK("http://141.218.60.56/~jnz1568/getInfo.php?workbook=20_05.xlsx&amp;sheet=U0&amp;row=4030&amp;col=7&amp;number=0.0013&amp;sourceID=14","0.0013")</f>
        <v>0.0013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HYPERLINK("http://141.218.60.56/~jnz1568/getInfo.php?workbook=20_05.xlsx&amp;sheet=U0&amp;row=4031&amp;col=6&amp;number=3.7&amp;sourceID=14","3.7")</f>
        <v>3.7</v>
      </c>
      <c r="G4031" s="4" t="str">
        <f>HYPERLINK("http://141.218.60.56/~jnz1568/getInfo.php?workbook=20_05.xlsx&amp;sheet=U0&amp;row=4031&amp;col=7&amp;number=0.0013&amp;sourceID=14","0.0013")</f>
        <v>0.0013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HYPERLINK("http://141.218.60.56/~jnz1568/getInfo.php?workbook=20_05.xlsx&amp;sheet=U0&amp;row=4032&amp;col=6&amp;number=3.8&amp;sourceID=14","3.8")</f>
        <v>3.8</v>
      </c>
      <c r="G4032" s="4" t="str">
        <f>HYPERLINK("http://141.218.60.56/~jnz1568/getInfo.php?workbook=20_05.xlsx&amp;sheet=U0&amp;row=4032&amp;col=7&amp;number=0.0013&amp;sourceID=14","0.0013")</f>
        <v>0.0013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HYPERLINK("http://141.218.60.56/~jnz1568/getInfo.php?workbook=20_05.xlsx&amp;sheet=U0&amp;row=4033&amp;col=6&amp;number=3.9&amp;sourceID=14","3.9")</f>
        <v>3.9</v>
      </c>
      <c r="G4033" s="4" t="str">
        <f>HYPERLINK("http://141.218.60.56/~jnz1568/getInfo.php?workbook=20_05.xlsx&amp;sheet=U0&amp;row=4033&amp;col=7&amp;number=0.0013&amp;sourceID=14","0.0013")</f>
        <v>0.0013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HYPERLINK("http://141.218.60.56/~jnz1568/getInfo.php?workbook=20_05.xlsx&amp;sheet=U0&amp;row=4034&amp;col=6&amp;number=4&amp;sourceID=14","4")</f>
        <v>4</v>
      </c>
      <c r="G4034" s="4" t="str">
        <f>HYPERLINK("http://141.218.60.56/~jnz1568/getInfo.php?workbook=20_05.xlsx&amp;sheet=U0&amp;row=4034&amp;col=7&amp;number=0.0013&amp;sourceID=14","0.0013")</f>
        <v>0.0013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HYPERLINK("http://141.218.60.56/~jnz1568/getInfo.php?workbook=20_05.xlsx&amp;sheet=U0&amp;row=4035&amp;col=6&amp;number=4.1&amp;sourceID=14","4.1")</f>
        <v>4.1</v>
      </c>
      <c r="G4035" s="4" t="str">
        <f>HYPERLINK("http://141.218.60.56/~jnz1568/getInfo.php?workbook=20_05.xlsx&amp;sheet=U0&amp;row=4035&amp;col=7&amp;number=0.0013&amp;sourceID=14","0.0013")</f>
        <v>0.0013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HYPERLINK("http://141.218.60.56/~jnz1568/getInfo.php?workbook=20_05.xlsx&amp;sheet=U0&amp;row=4036&amp;col=6&amp;number=4.2&amp;sourceID=14","4.2")</f>
        <v>4.2</v>
      </c>
      <c r="G4036" s="4" t="str">
        <f>HYPERLINK("http://141.218.60.56/~jnz1568/getInfo.php?workbook=20_05.xlsx&amp;sheet=U0&amp;row=4036&amp;col=7&amp;number=0.0013&amp;sourceID=14","0.0013")</f>
        <v>0.0013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HYPERLINK("http://141.218.60.56/~jnz1568/getInfo.php?workbook=20_05.xlsx&amp;sheet=U0&amp;row=4037&amp;col=6&amp;number=4.3&amp;sourceID=14","4.3")</f>
        <v>4.3</v>
      </c>
      <c r="G4037" s="4" t="str">
        <f>HYPERLINK("http://141.218.60.56/~jnz1568/getInfo.php?workbook=20_05.xlsx&amp;sheet=U0&amp;row=4037&amp;col=7&amp;number=0.0013&amp;sourceID=14","0.0013")</f>
        <v>0.0013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HYPERLINK("http://141.218.60.56/~jnz1568/getInfo.php?workbook=20_05.xlsx&amp;sheet=U0&amp;row=4038&amp;col=6&amp;number=4.4&amp;sourceID=14","4.4")</f>
        <v>4.4</v>
      </c>
      <c r="G4038" s="4" t="str">
        <f>HYPERLINK("http://141.218.60.56/~jnz1568/getInfo.php?workbook=20_05.xlsx&amp;sheet=U0&amp;row=4038&amp;col=7&amp;number=0.0013&amp;sourceID=14","0.0013")</f>
        <v>0.0013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HYPERLINK("http://141.218.60.56/~jnz1568/getInfo.php?workbook=20_05.xlsx&amp;sheet=U0&amp;row=4039&amp;col=6&amp;number=4.5&amp;sourceID=14","4.5")</f>
        <v>4.5</v>
      </c>
      <c r="G4039" s="4" t="str">
        <f>HYPERLINK("http://141.218.60.56/~jnz1568/getInfo.php?workbook=20_05.xlsx&amp;sheet=U0&amp;row=4039&amp;col=7&amp;number=0.00131&amp;sourceID=14","0.00131")</f>
        <v>0.00131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HYPERLINK("http://141.218.60.56/~jnz1568/getInfo.php?workbook=20_05.xlsx&amp;sheet=U0&amp;row=4040&amp;col=6&amp;number=4.6&amp;sourceID=14","4.6")</f>
        <v>4.6</v>
      </c>
      <c r="G4040" s="4" t="str">
        <f>HYPERLINK("http://141.218.60.56/~jnz1568/getInfo.php?workbook=20_05.xlsx&amp;sheet=U0&amp;row=4040&amp;col=7&amp;number=0.00131&amp;sourceID=14","0.00131")</f>
        <v>0.00131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HYPERLINK("http://141.218.60.56/~jnz1568/getInfo.php?workbook=20_05.xlsx&amp;sheet=U0&amp;row=4041&amp;col=6&amp;number=4.7&amp;sourceID=14","4.7")</f>
        <v>4.7</v>
      </c>
      <c r="G4041" s="4" t="str">
        <f>HYPERLINK("http://141.218.60.56/~jnz1568/getInfo.php?workbook=20_05.xlsx&amp;sheet=U0&amp;row=4041&amp;col=7&amp;number=0.00131&amp;sourceID=14","0.00131")</f>
        <v>0.00131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HYPERLINK("http://141.218.60.56/~jnz1568/getInfo.php?workbook=20_05.xlsx&amp;sheet=U0&amp;row=4042&amp;col=6&amp;number=4.8&amp;sourceID=14","4.8")</f>
        <v>4.8</v>
      </c>
      <c r="G4042" s="4" t="str">
        <f>HYPERLINK("http://141.218.60.56/~jnz1568/getInfo.php?workbook=20_05.xlsx&amp;sheet=U0&amp;row=4042&amp;col=7&amp;number=0.00131&amp;sourceID=14","0.00131")</f>
        <v>0.00131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HYPERLINK("http://141.218.60.56/~jnz1568/getInfo.php?workbook=20_05.xlsx&amp;sheet=U0&amp;row=4043&amp;col=6&amp;number=4.9&amp;sourceID=14","4.9")</f>
        <v>4.9</v>
      </c>
      <c r="G4043" s="4" t="str">
        <f>HYPERLINK("http://141.218.60.56/~jnz1568/getInfo.php?workbook=20_05.xlsx&amp;sheet=U0&amp;row=4043&amp;col=7&amp;number=0.00131&amp;sourceID=14","0.00131")</f>
        <v>0.00131</v>
      </c>
    </row>
    <row r="4044" spans="1:7">
      <c r="A4044" s="3">
        <v>20</v>
      </c>
      <c r="B4044" s="3">
        <v>5</v>
      </c>
      <c r="C4044" s="3">
        <v>2</v>
      </c>
      <c r="D4044" s="3">
        <v>49</v>
      </c>
      <c r="E4044" s="3">
        <v>1</v>
      </c>
      <c r="F4044" s="4" t="str">
        <f>HYPERLINK("http://141.218.60.56/~jnz1568/getInfo.php?workbook=20_05.xlsx&amp;sheet=U0&amp;row=4044&amp;col=6&amp;number=3&amp;sourceID=14","3")</f>
        <v>3</v>
      </c>
      <c r="G4044" s="4" t="str">
        <f>HYPERLINK("http://141.218.60.56/~jnz1568/getInfo.php?workbook=20_05.xlsx&amp;sheet=U0&amp;row=4044&amp;col=7&amp;number=0.00019&amp;sourceID=14","0.00019")</f>
        <v>0.00019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HYPERLINK("http://141.218.60.56/~jnz1568/getInfo.php?workbook=20_05.xlsx&amp;sheet=U0&amp;row=4045&amp;col=6&amp;number=3.1&amp;sourceID=14","3.1")</f>
        <v>3.1</v>
      </c>
      <c r="G4045" s="4" t="str">
        <f>HYPERLINK("http://141.218.60.56/~jnz1568/getInfo.php?workbook=20_05.xlsx&amp;sheet=U0&amp;row=4045&amp;col=7&amp;number=0.00019&amp;sourceID=14","0.00019")</f>
        <v>0.00019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HYPERLINK("http://141.218.60.56/~jnz1568/getInfo.php?workbook=20_05.xlsx&amp;sheet=U0&amp;row=4046&amp;col=6&amp;number=3.2&amp;sourceID=14","3.2")</f>
        <v>3.2</v>
      </c>
      <c r="G4046" s="4" t="str">
        <f>HYPERLINK("http://141.218.60.56/~jnz1568/getInfo.php?workbook=20_05.xlsx&amp;sheet=U0&amp;row=4046&amp;col=7&amp;number=0.00019&amp;sourceID=14","0.00019")</f>
        <v>0.00019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HYPERLINK("http://141.218.60.56/~jnz1568/getInfo.php?workbook=20_05.xlsx&amp;sheet=U0&amp;row=4047&amp;col=6&amp;number=3.3&amp;sourceID=14","3.3")</f>
        <v>3.3</v>
      </c>
      <c r="G4047" s="4" t="str">
        <f>HYPERLINK("http://141.218.60.56/~jnz1568/getInfo.php?workbook=20_05.xlsx&amp;sheet=U0&amp;row=4047&amp;col=7&amp;number=0.00019&amp;sourceID=14","0.00019")</f>
        <v>0.00019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HYPERLINK("http://141.218.60.56/~jnz1568/getInfo.php?workbook=20_05.xlsx&amp;sheet=U0&amp;row=4048&amp;col=6&amp;number=3.4&amp;sourceID=14","3.4")</f>
        <v>3.4</v>
      </c>
      <c r="G4048" s="4" t="str">
        <f>HYPERLINK("http://141.218.60.56/~jnz1568/getInfo.php?workbook=20_05.xlsx&amp;sheet=U0&amp;row=4048&amp;col=7&amp;number=0.00019&amp;sourceID=14","0.00019")</f>
        <v>0.00019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HYPERLINK("http://141.218.60.56/~jnz1568/getInfo.php?workbook=20_05.xlsx&amp;sheet=U0&amp;row=4049&amp;col=6&amp;number=3.5&amp;sourceID=14","3.5")</f>
        <v>3.5</v>
      </c>
      <c r="G4049" s="4" t="str">
        <f>HYPERLINK("http://141.218.60.56/~jnz1568/getInfo.php?workbook=20_05.xlsx&amp;sheet=U0&amp;row=4049&amp;col=7&amp;number=0.00019&amp;sourceID=14","0.00019")</f>
        <v>0.00019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HYPERLINK("http://141.218.60.56/~jnz1568/getInfo.php?workbook=20_05.xlsx&amp;sheet=U0&amp;row=4050&amp;col=6&amp;number=3.6&amp;sourceID=14","3.6")</f>
        <v>3.6</v>
      </c>
      <c r="G4050" s="4" t="str">
        <f>HYPERLINK("http://141.218.60.56/~jnz1568/getInfo.php?workbook=20_05.xlsx&amp;sheet=U0&amp;row=4050&amp;col=7&amp;number=0.00019&amp;sourceID=14","0.00019")</f>
        <v>0.00019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HYPERLINK("http://141.218.60.56/~jnz1568/getInfo.php?workbook=20_05.xlsx&amp;sheet=U0&amp;row=4051&amp;col=6&amp;number=3.7&amp;sourceID=14","3.7")</f>
        <v>3.7</v>
      </c>
      <c r="G4051" s="4" t="str">
        <f>HYPERLINK("http://141.218.60.56/~jnz1568/getInfo.php?workbook=20_05.xlsx&amp;sheet=U0&amp;row=4051&amp;col=7&amp;number=0.00019&amp;sourceID=14","0.00019")</f>
        <v>0.00019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HYPERLINK("http://141.218.60.56/~jnz1568/getInfo.php?workbook=20_05.xlsx&amp;sheet=U0&amp;row=4052&amp;col=6&amp;number=3.8&amp;sourceID=14","3.8")</f>
        <v>3.8</v>
      </c>
      <c r="G4052" s="4" t="str">
        <f>HYPERLINK("http://141.218.60.56/~jnz1568/getInfo.php?workbook=20_05.xlsx&amp;sheet=U0&amp;row=4052&amp;col=7&amp;number=0.00019&amp;sourceID=14","0.00019")</f>
        <v>0.00019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HYPERLINK("http://141.218.60.56/~jnz1568/getInfo.php?workbook=20_05.xlsx&amp;sheet=U0&amp;row=4053&amp;col=6&amp;number=3.9&amp;sourceID=14","3.9")</f>
        <v>3.9</v>
      </c>
      <c r="G4053" s="4" t="str">
        <f>HYPERLINK("http://141.218.60.56/~jnz1568/getInfo.php?workbook=20_05.xlsx&amp;sheet=U0&amp;row=4053&amp;col=7&amp;number=0.00019&amp;sourceID=14","0.00019")</f>
        <v>0.00019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HYPERLINK("http://141.218.60.56/~jnz1568/getInfo.php?workbook=20_05.xlsx&amp;sheet=U0&amp;row=4054&amp;col=6&amp;number=4&amp;sourceID=14","4")</f>
        <v>4</v>
      </c>
      <c r="G4054" s="4" t="str">
        <f>HYPERLINK("http://141.218.60.56/~jnz1568/getInfo.php?workbook=20_05.xlsx&amp;sheet=U0&amp;row=4054&amp;col=7&amp;number=0.00019&amp;sourceID=14","0.00019")</f>
        <v>0.00019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HYPERLINK("http://141.218.60.56/~jnz1568/getInfo.php?workbook=20_05.xlsx&amp;sheet=U0&amp;row=4055&amp;col=6&amp;number=4.1&amp;sourceID=14","4.1")</f>
        <v>4.1</v>
      </c>
      <c r="G4055" s="4" t="str">
        <f>HYPERLINK("http://141.218.60.56/~jnz1568/getInfo.php?workbook=20_05.xlsx&amp;sheet=U0&amp;row=4055&amp;col=7&amp;number=0.00019&amp;sourceID=14","0.00019")</f>
        <v>0.00019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HYPERLINK("http://141.218.60.56/~jnz1568/getInfo.php?workbook=20_05.xlsx&amp;sheet=U0&amp;row=4056&amp;col=6&amp;number=4.2&amp;sourceID=14","4.2")</f>
        <v>4.2</v>
      </c>
      <c r="G4056" s="4" t="str">
        <f>HYPERLINK("http://141.218.60.56/~jnz1568/getInfo.php?workbook=20_05.xlsx&amp;sheet=U0&amp;row=4056&amp;col=7&amp;number=0.00019&amp;sourceID=14","0.00019")</f>
        <v>0.00019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HYPERLINK("http://141.218.60.56/~jnz1568/getInfo.php?workbook=20_05.xlsx&amp;sheet=U0&amp;row=4057&amp;col=6&amp;number=4.3&amp;sourceID=14","4.3")</f>
        <v>4.3</v>
      </c>
      <c r="G4057" s="4" t="str">
        <f>HYPERLINK("http://141.218.60.56/~jnz1568/getInfo.php?workbook=20_05.xlsx&amp;sheet=U0&amp;row=4057&amp;col=7&amp;number=0.00019&amp;sourceID=14","0.00019")</f>
        <v>0.00019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HYPERLINK("http://141.218.60.56/~jnz1568/getInfo.php?workbook=20_05.xlsx&amp;sheet=U0&amp;row=4058&amp;col=6&amp;number=4.4&amp;sourceID=14","4.4")</f>
        <v>4.4</v>
      </c>
      <c r="G4058" s="4" t="str">
        <f>HYPERLINK("http://141.218.60.56/~jnz1568/getInfo.php?workbook=20_05.xlsx&amp;sheet=U0&amp;row=4058&amp;col=7&amp;number=0.00019&amp;sourceID=14","0.00019")</f>
        <v>0.00019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HYPERLINK("http://141.218.60.56/~jnz1568/getInfo.php?workbook=20_05.xlsx&amp;sheet=U0&amp;row=4059&amp;col=6&amp;number=4.5&amp;sourceID=14","4.5")</f>
        <v>4.5</v>
      </c>
      <c r="G4059" s="4" t="str">
        <f>HYPERLINK("http://141.218.60.56/~jnz1568/getInfo.php?workbook=20_05.xlsx&amp;sheet=U0&amp;row=4059&amp;col=7&amp;number=0.00019&amp;sourceID=14","0.00019")</f>
        <v>0.00019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HYPERLINK("http://141.218.60.56/~jnz1568/getInfo.php?workbook=20_05.xlsx&amp;sheet=U0&amp;row=4060&amp;col=6&amp;number=4.6&amp;sourceID=14","4.6")</f>
        <v>4.6</v>
      </c>
      <c r="G4060" s="4" t="str">
        <f>HYPERLINK("http://141.218.60.56/~jnz1568/getInfo.php?workbook=20_05.xlsx&amp;sheet=U0&amp;row=4060&amp;col=7&amp;number=0.00019&amp;sourceID=14","0.00019")</f>
        <v>0.00019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HYPERLINK("http://141.218.60.56/~jnz1568/getInfo.php?workbook=20_05.xlsx&amp;sheet=U0&amp;row=4061&amp;col=6&amp;number=4.7&amp;sourceID=14","4.7")</f>
        <v>4.7</v>
      </c>
      <c r="G4061" s="4" t="str">
        <f>HYPERLINK("http://141.218.60.56/~jnz1568/getInfo.php?workbook=20_05.xlsx&amp;sheet=U0&amp;row=4061&amp;col=7&amp;number=0.000189&amp;sourceID=14","0.000189")</f>
        <v>0.000189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HYPERLINK("http://141.218.60.56/~jnz1568/getInfo.php?workbook=20_05.xlsx&amp;sheet=U0&amp;row=4062&amp;col=6&amp;number=4.8&amp;sourceID=14","4.8")</f>
        <v>4.8</v>
      </c>
      <c r="G4062" s="4" t="str">
        <f>HYPERLINK("http://141.218.60.56/~jnz1568/getInfo.php?workbook=20_05.xlsx&amp;sheet=U0&amp;row=4062&amp;col=7&amp;number=0.000189&amp;sourceID=14","0.000189")</f>
        <v>0.000189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HYPERLINK("http://141.218.60.56/~jnz1568/getInfo.php?workbook=20_05.xlsx&amp;sheet=U0&amp;row=4063&amp;col=6&amp;number=4.9&amp;sourceID=14","4.9")</f>
        <v>4.9</v>
      </c>
      <c r="G4063" s="4" t="str">
        <f>HYPERLINK("http://141.218.60.56/~jnz1568/getInfo.php?workbook=20_05.xlsx&amp;sheet=U0&amp;row=4063&amp;col=7&amp;number=0.000189&amp;sourceID=14","0.000189")</f>
        <v>0.000189</v>
      </c>
    </row>
    <row r="4064" spans="1:7">
      <c r="A4064" s="3">
        <v>20</v>
      </c>
      <c r="B4064" s="3">
        <v>5</v>
      </c>
      <c r="C4064" s="3">
        <v>2</v>
      </c>
      <c r="D4064" s="3">
        <v>50</v>
      </c>
      <c r="E4064" s="3">
        <v>1</v>
      </c>
      <c r="F4064" s="4" t="str">
        <f>HYPERLINK("http://141.218.60.56/~jnz1568/getInfo.php?workbook=20_05.xlsx&amp;sheet=U0&amp;row=4064&amp;col=6&amp;number=3&amp;sourceID=14","3")</f>
        <v>3</v>
      </c>
      <c r="G4064" s="4" t="str">
        <f>HYPERLINK("http://141.218.60.56/~jnz1568/getInfo.php?workbook=20_05.xlsx&amp;sheet=U0&amp;row=4064&amp;col=7&amp;number=0.155&amp;sourceID=14","0.155")</f>
        <v>0.155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HYPERLINK("http://141.218.60.56/~jnz1568/getInfo.php?workbook=20_05.xlsx&amp;sheet=U0&amp;row=4065&amp;col=6&amp;number=3.1&amp;sourceID=14","3.1")</f>
        <v>3.1</v>
      </c>
      <c r="G4065" s="4" t="str">
        <f>HYPERLINK("http://141.218.60.56/~jnz1568/getInfo.php?workbook=20_05.xlsx&amp;sheet=U0&amp;row=4065&amp;col=7&amp;number=0.155&amp;sourceID=14","0.155")</f>
        <v>0.155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HYPERLINK("http://141.218.60.56/~jnz1568/getInfo.php?workbook=20_05.xlsx&amp;sheet=U0&amp;row=4066&amp;col=6&amp;number=3.2&amp;sourceID=14","3.2")</f>
        <v>3.2</v>
      </c>
      <c r="G4066" s="4" t="str">
        <f>HYPERLINK("http://141.218.60.56/~jnz1568/getInfo.php?workbook=20_05.xlsx&amp;sheet=U0&amp;row=4066&amp;col=7&amp;number=0.155&amp;sourceID=14","0.155")</f>
        <v>0.155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HYPERLINK("http://141.218.60.56/~jnz1568/getInfo.php?workbook=20_05.xlsx&amp;sheet=U0&amp;row=4067&amp;col=6&amp;number=3.3&amp;sourceID=14","3.3")</f>
        <v>3.3</v>
      </c>
      <c r="G4067" s="4" t="str">
        <f>HYPERLINK("http://141.218.60.56/~jnz1568/getInfo.php?workbook=20_05.xlsx&amp;sheet=U0&amp;row=4067&amp;col=7&amp;number=0.155&amp;sourceID=14","0.155")</f>
        <v>0.155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HYPERLINK("http://141.218.60.56/~jnz1568/getInfo.php?workbook=20_05.xlsx&amp;sheet=U0&amp;row=4068&amp;col=6&amp;number=3.4&amp;sourceID=14","3.4")</f>
        <v>3.4</v>
      </c>
      <c r="G4068" s="4" t="str">
        <f>HYPERLINK("http://141.218.60.56/~jnz1568/getInfo.php?workbook=20_05.xlsx&amp;sheet=U0&amp;row=4068&amp;col=7&amp;number=0.155&amp;sourceID=14","0.155")</f>
        <v>0.155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HYPERLINK("http://141.218.60.56/~jnz1568/getInfo.php?workbook=20_05.xlsx&amp;sheet=U0&amp;row=4069&amp;col=6&amp;number=3.5&amp;sourceID=14","3.5")</f>
        <v>3.5</v>
      </c>
      <c r="G4069" s="4" t="str">
        <f>HYPERLINK("http://141.218.60.56/~jnz1568/getInfo.php?workbook=20_05.xlsx&amp;sheet=U0&amp;row=4069&amp;col=7&amp;number=0.155&amp;sourceID=14","0.155")</f>
        <v>0.155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HYPERLINK("http://141.218.60.56/~jnz1568/getInfo.php?workbook=20_05.xlsx&amp;sheet=U0&amp;row=4070&amp;col=6&amp;number=3.6&amp;sourceID=14","3.6")</f>
        <v>3.6</v>
      </c>
      <c r="G4070" s="4" t="str">
        <f>HYPERLINK("http://141.218.60.56/~jnz1568/getInfo.php?workbook=20_05.xlsx&amp;sheet=U0&amp;row=4070&amp;col=7&amp;number=0.155&amp;sourceID=14","0.155")</f>
        <v>0.155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HYPERLINK("http://141.218.60.56/~jnz1568/getInfo.php?workbook=20_05.xlsx&amp;sheet=U0&amp;row=4071&amp;col=6&amp;number=3.7&amp;sourceID=14","3.7")</f>
        <v>3.7</v>
      </c>
      <c r="G4071" s="4" t="str">
        <f>HYPERLINK("http://141.218.60.56/~jnz1568/getInfo.php?workbook=20_05.xlsx&amp;sheet=U0&amp;row=4071&amp;col=7&amp;number=0.156&amp;sourceID=14","0.156")</f>
        <v>0.156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HYPERLINK("http://141.218.60.56/~jnz1568/getInfo.php?workbook=20_05.xlsx&amp;sheet=U0&amp;row=4072&amp;col=6&amp;number=3.8&amp;sourceID=14","3.8")</f>
        <v>3.8</v>
      </c>
      <c r="G4072" s="4" t="str">
        <f>HYPERLINK("http://141.218.60.56/~jnz1568/getInfo.php?workbook=20_05.xlsx&amp;sheet=U0&amp;row=4072&amp;col=7&amp;number=0.156&amp;sourceID=14","0.156")</f>
        <v>0.156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HYPERLINK("http://141.218.60.56/~jnz1568/getInfo.php?workbook=20_05.xlsx&amp;sheet=U0&amp;row=4073&amp;col=6&amp;number=3.9&amp;sourceID=14","3.9")</f>
        <v>3.9</v>
      </c>
      <c r="G4073" s="4" t="str">
        <f>HYPERLINK("http://141.218.60.56/~jnz1568/getInfo.php?workbook=20_05.xlsx&amp;sheet=U0&amp;row=4073&amp;col=7&amp;number=0.156&amp;sourceID=14","0.156")</f>
        <v>0.156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HYPERLINK("http://141.218.60.56/~jnz1568/getInfo.php?workbook=20_05.xlsx&amp;sheet=U0&amp;row=4074&amp;col=6&amp;number=4&amp;sourceID=14","4")</f>
        <v>4</v>
      </c>
      <c r="G4074" s="4" t="str">
        <f>HYPERLINK("http://141.218.60.56/~jnz1568/getInfo.php?workbook=20_05.xlsx&amp;sheet=U0&amp;row=4074&amp;col=7&amp;number=0.156&amp;sourceID=14","0.156")</f>
        <v>0.156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HYPERLINK("http://141.218.60.56/~jnz1568/getInfo.php?workbook=20_05.xlsx&amp;sheet=U0&amp;row=4075&amp;col=6&amp;number=4.1&amp;sourceID=14","4.1")</f>
        <v>4.1</v>
      </c>
      <c r="G4075" s="4" t="str">
        <f>HYPERLINK("http://141.218.60.56/~jnz1568/getInfo.php?workbook=20_05.xlsx&amp;sheet=U0&amp;row=4075&amp;col=7&amp;number=0.156&amp;sourceID=14","0.156")</f>
        <v>0.156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HYPERLINK("http://141.218.60.56/~jnz1568/getInfo.php?workbook=20_05.xlsx&amp;sheet=U0&amp;row=4076&amp;col=6&amp;number=4.2&amp;sourceID=14","4.2")</f>
        <v>4.2</v>
      </c>
      <c r="G4076" s="4" t="str">
        <f>HYPERLINK("http://141.218.60.56/~jnz1568/getInfo.php?workbook=20_05.xlsx&amp;sheet=U0&amp;row=4076&amp;col=7&amp;number=0.156&amp;sourceID=14","0.156")</f>
        <v>0.156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HYPERLINK("http://141.218.60.56/~jnz1568/getInfo.php?workbook=20_05.xlsx&amp;sheet=U0&amp;row=4077&amp;col=6&amp;number=4.3&amp;sourceID=14","4.3")</f>
        <v>4.3</v>
      </c>
      <c r="G4077" s="4" t="str">
        <f>HYPERLINK("http://141.218.60.56/~jnz1568/getInfo.php?workbook=20_05.xlsx&amp;sheet=U0&amp;row=4077&amp;col=7&amp;number=0.156&amp;sourceID=14","0.156")</f>
        <v>0.156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HYPERLINK("http://141.218.60.56/~jnz1568/getInfo.php?workbook=20_05.xlsx&amp;sheet=U0&amp;row=4078&amp;col=6&amp;number=4.4&amp;sourceID=14","4.4")</f>
        <v>4.4</v>
      </c>
      <c r="G4078" s="4" t="str">
        <f>HYPERLINK("http://141.218.60.56/~jnz1568/getInfo.php?workbook=20_05.xlsx&amp;sheet=U0&amp;row=4078&amp;col=7&amp;number=0.156&amp;sourceID=14","0.156")</f>
        <v>0.156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HYPERLINK("http://141.218.60.56/~jnz1568/getInfo.php?workbook=20_05.xlsx&amp;sheet=U0&amp;row=4079&amp;col=6&amp;number=4.5&amp;sourceID=14","4.5")</f>
        <v>4.5</v>
      </c>
      <c r="G4079" s="4" t="str">
        <f>HYPERLINK("http://141.218.60.56/~jnz1568/getInfo.php?workbook=20_05.xlsx&amp;sheet=U0&amp;row=4079&amp;col=7&amp;number=0.156&amp;sourceID=14","0.156")</f>
        <v>0.156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HYPERLINK("http://141.218.60.56/~jnz1568/getInfo.php?workbook=20_05.xlsx&amp;sheet=U0&amp;row=4080&amp;col=6&amp;number=4.6&amp;sourceID=14","4.6")</f>
        <v>4.6</v>
      </c>
      <c r="G4080" s="4" t="str">
        <f>HYPERLINK("http://141.218.60.56/~jnz1568/getInfo.php?workbook=20_05.xlsx&amp;sheet=U0&amp;row=4080&amp;col=7&amp;number=0.156&amp;sourceID=14","0.156")</f>
        <v>0.156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HYPERLINK("http://141.218.60.56/~jnz1568/getInfo.php?workbook=20_05.xlsx&amp;sheet=U0&amp;row=4081&amp;col=6&amp;number=4.7&amp;sourceID=14","4.7")</f>
        <v>4.7</v>
      </c>
      <c r="G4081" s="4" t="str">
        <f>HYPERLINK("http://141.218.60.56/~jnz1568/getInfo.php?workbook=20_05.xlsx&amp;sheet=U0&amp;row=4081&amp;col=7&amp;number=0.156&amp;sourceID=14","0.156")</f>
        <v>0.156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HYPERLINK("http://141.218.60.56/~jnz1568/getInfo.php?workbook=20_05.xlsx&amp;sheet=U0&amp;row=4082&amp;col=6&amp;number=4.8&amp;sourceID=14","4.8")</f>
        <v>4.8</v>
      </c>
      <c r="G4082" s="4" t="str">
        <f>HYPERLINK("http://141.218.60.56/~jnz1568/getInfo.php?workbook=20_05.xlsx&amp;sheet=U0&amp;row=4082&amp;col=7&amp;number=0.157&amp;sourceID=14","0.157")</f>
        <v>0.157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HYPERLINK("http://141.218.60.56/~jnz1568/getInfo.php?workbook=20_05.xlsx&amp;sheet=U0&amp;row=4083&amp;col=6&amp;number=4.9&amp;sourceID=14","4.9")</f>
        <v>4.9</v>
      </c>
      <c r="G4083" s="4" t="str">
        <f>HYPERLINK("http://141.218.60.56/~jnz1568/getInfo.php?workbook=20_05.xlsx&amp;sheet=U0&amp;row=4083&amp;col=7&amp;number=0.157&amp;sourceID=14","0.157")</f>
        <v>0.157</v>
      </c>
    </row>
    <row r="4084" spans="1:7">
      <c r="A4084" s="3">
        <v>20</v>
      </c>
      <c r="B4084" s="3">
        <v>5</v>
      </c>
      <c r="C4084" s="3">
        <v>2</v>
      </c>
      <c r="D4084" s="3">
        <v>51</v>
      </c>
      <c r="E4084" s="3">
        <v>1</v>
      </c>
      <c r="F4084" s="4" t="str">
        <f>HYPERLINK("http://141.218.60.56/~jnz1568/getInfo.php?workbook=20_05.xlsx&amp;sheet=U0&amp;row=4084&amp;col=6&amp;number=3&amp;sourceID=14","3")</f>
        <v>3</v>
      </c>
      <c r="G4084" s="4" t="str">
        <f>HYPERLINK("http://141.218.60.56/~jnz1568/getInfo.php?workbook=20_05.xlsx&amp;sheet=U0&amp;row=4084&amp;col=7&amp;number=0.00159&amp;sourceID=14","0.00159")</f>
        <v>0.00159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HYPERLINK("http://141.218.60.56/~jnz1568/getInfo.php?workbook=20_05.xlsx&amp;sheet=U0&amp;row=4085&amp;col=6&amp;number=3.1&amp;sourceID=14","3.1")</f>
        <v>3.1</v>
      </c>
      <c r="G4085" s="4" t="str">
        <f>HYPERLINK("http://141.218.60.56/~jnz1568/getInfo.php?workbook=20_05.xlsx&amp;sheet=U0&amp;row=4085&amp;col=7&amp;number=0.00159&amp;sourceID=14","0.00159")</f>
        <v>0.00159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HYPERLINK("http://141.218.60.56/~jnz1568/getInfo.php?workbook=20_05.xlsx&amp;sheet=U0&amp;row=4086&amp;col=6&amp;number=3.2&amp;sourceID=14","3.2")</f>
        <v>3.2</v>
      </c>
      <c r="G4086" s="4" t="str">
        <f>HYPERLINK("http://141.218.60.56/~jnz1568/getInfo.php?workbook=20_05.xlsx&amp;sheet=U0&amp;row=4086&amp;col=7&amp;number=0.00159&amp;sourceID=14","0.00159")</f>
        <v>0.00159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HYPERLINK("http://141.218.60.56/~jnz1568/getInfo.php?workbook=20_05.xlsx&amp;sheet=U0&amp;row=4087&amp;col=6&amp;number=3.3&amp;sourceID=14","3.3")</f>
        <v>3.3</v>
      </c>
      <c r="G4087" s="4" t="str">
        <f>HYPERLINK("http://141.218.60.56/~jnz1568/getInfo.php?workbook=20_05.xlsx&amp;sheet=U0&amp;row=4087&amp;col=7&amp;number=0.00159&amp;sourceID=14","0.00159")</f>
        <v>0.00159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HYPERLINK("http://141.218.60.56/~jnz1568/getInfo.php?workbook=20_05.xlsx&amp;sheet=U0&amp;row=4088&amp;col=6&amp;number=3.4&amp;sourceID=14","3.4")</f>
        <v>3.4</v>
      </c>
      <c r="G4088" s="4" t="str">
        <f>HYPERLINK("http://141.218.60.56/~jnz1568/getInfo.php?workbook=20_05.xlsx&amp;sheet=U0&amp;row=4088&amp;col=7&amp;number=0.00159&amp;sourceID=14","0.00159")</f>
        <v>0.00159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HYPERLINK("http://141.218.60.56/~jnz1568/getInfo.php?workbook=20_05.xlsx&amp;sheet=U0&amp;row=4089&amp;col=6&amp;number=3.5&amp;sourceID=14","3.5")</f>
        <v>3.5</v>
      </c>
      <c r="G4089" s="4" t="str">
        <f>HYPERLINK("http://141.218.60.56/~jnz1568/getInfo.php?workbook=20_05.xlsx&amp;sheet=U0&amp;row=4089&amp;col=7&amp;number=0.00159&amp;sourceID=14","0.00159")</f>
        <v>0.00159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HYPERLINK("http://141.218.60.56/~jnz1568/getInfo.php?workbook=20_05.xlsx&amp;sheet=U0&amp;row=4090&amp;col=6&amp;number=3.6&amp;sourceID=14","3.6")</f>
        <v>3.6</v>
      </c>
      <c r="G4090" s="4" t="str">
        <f>HYPERLINK("http://141.218.60.56/~jnz1568/getInfo.php?workbook=20_05.xlsx&amp;sheet=U0&amp;row=4090&amp;col=7&amp;number=0.00159&amp;sourceID=14","0.00159")</f>
        <v>0.00159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HYPERLINK("http://141.218.60.56/~jnz1568/getInfo.php?workbook=20_05.xlsx&amp;sheet=U0&amp;row=4091&amp;col=6&amp;number=3.7&amp;sourceID=14","3.7")</f>
        <v>3.7</v>
      </c>
      <c r="G4091" s="4" t="str">
        <f>HYPERLINK("http://141.218.60.56/~jnz1568/getInfo.php?workbook=20_05.xlsx&amp;sheet=U0&amp;row=4091&amp;col=7&amp;number=0.00159&amp;sourceID=14","0.00159")</f>
        <v>0.00159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HYPERLINK("http://141.218.60.56/~jnz1568/getInfo.php?workbook=20_05.xlsx&amp;sheet=U0&amp;row=4092&amp;col=6&amp;number=3.8&amp;sourceID=14","3.8")</f>
        <v>3.8</v>
      </c>
      <c r="G4092" s="4" t="str">
        <f>HYPERLINK("http://141.218.60.56/~jnz1568/getInfo.php?workbook=20_05.xlsx&amp;sheet=U0&amp;row=4092&amp;col=7&amp;number=0.00159&amp;sourceID=14","0.00159")</f>
        <v>0.00159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HYPERLINK("http://141.218.60.56/~jnz1568/getInfo.php?workbook=20_05.xlsx&amp;sheet=U0&amp;row=4093&amp;col=6&amp;number=3.9&amp;sourceID=14","3.9")</f>
        <v>3.9</v>
      </c>
      <c r="G4093" s="4" t="str">
        <f>HYPERLINK("http://141.218.60.56/~jnz1568/getInfo.php?workbook=20_05.xlsx&amp;sheet=U0&amp;row=4093&amp;col=7&amp;number=0.00159&amp;sourceID=14","0.00159")</f>
        <v>0.00159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HYPERLINK("http://141.218.60.56/~jnz1568/getInfo.php?workbook=20_05.xlsx&amp;sheet=U0&amp;row=4094&amp;col=6&amp;number=4&amp;sourceID=14","4")</f>
        <v>4</v>
      </c>
      <c r="G4094" s="4" t="str">
        <f>HYPERLINK("http://141.218.60.56/~jnz1568/getInfo.php?workbook=20_05.xlsx&amp;sheet=U0&amp;row=4094&amp;col=7&amp;number=0.00159&amp;sourceID=14","0.00159")</f>
        <v>0.00159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HYPERLINK("http://141.218.60.56/~jnz1568/getInfo.php?workbook=20_05.xlsx&amp;sheet=U0&amp;row=4095&amp;col=6&amp;number=4.1&amp;sourceID=14","4.1")</f>
        <v>4.1</v>
      </c>
      <c r="G4095" s="4" t="str">
        <f>HYPERLINK("http://141.218.60.56/~jnz1568/getInfo.php?workbook=20_05.xlsx&amp;sheet=U0&amp;row=4095&amp;col=7&amp;number=0.00159&amp;sourceID=14","0.00159")</f>
        <v>0.00159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HYPERLINK("http://141.218.60.56/~jnz1568/getInfo.php?workbook=20_05.xlsx&amp;sheet=U0&amp;row=4096&amp;col=6&amp;number=4.2&amp;sourceID=14","4.2")</f>
        <v>4.2</v>
      </c>
      <c r="G4096" s="4" t="str">
        <f>HYPERLINK("http://141.218.60.56/~jnz1568/getInfo.php?workbook=20_05.xlsx&amp;sheet=U0&amp;row=4096&amp;col=7&amp;number=0.00159&amp;sourceID=14","0.00159")</f>
        <v>0.00159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HYPERLINK("http://141.218.60.56/~jnz1568/getInfo.php?workbook=20_05.xlsx&amp;sheet=U0&amp;row=4097&amp;col=6&amp;number=4.3&amp;sourceID=14","4.3")</f>
        <v>4.3</v>
      </c>
      <c r="G4097" s="4" t="str">
        <f>HYPERLINK("http://141.218.60.56/~jnz1568/getInfo.php?workbook=20_05.xlsx&amp;sheet=U0&amp;row=4097&amp;col=7&amp;number=0.00159&amp;sourceID=14","0.00159")</f>
        <v>0.00159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HYPERLINK("http://141.218.60.56/~jnz1568/getInfo.php?workbook=20_05.xlsx&amp;sheet=U0&amp;row=4098&amp;col=6&amp;number=4.4&amp;sourceID=14","4.4")</f>
        <v>4.4</v>
      </c>
      <c r="G4098" s="4" t="str">
        <f>HYPERLINK("http://141.218.60.56/~jnz1568/getInfo.php?workbook=20_05.xlsx&amp;sheet=U0&amp;row=4098&amp;col=7&amp;number=0.00158&amp;sourceID=14","0.00158")</f>
        <v>0.00158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HYPERLINK("http://141.218.60.56/~jnz1568/getInfo.php?workbook=20_05.xlsx&amp;sheet=U0&amp;row=4099&amp;col=6&amp;number=4.5&amp;sourceID=14","4.5")</f>
        <v>4.5</v>
      </c>
      <c r="G4099" s="4" t="str">
        <f>HYPERLINK("http://141.218.60.56/~jnz1568/getInfo.php?workbook=20_05.xlsx&amp;sheet=U0&amp;row=4099&amp;col=7&amp;number=0.00158&amp;sourceID=14","0.00158")</f>
        <v>0.00158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HYPERLINK("http://141.218.60.56/~jnz1568/getInfo.php?workbook=20_05.xlsx&amp;sheet=U0&amp;row=4100&amp;col=6&amp;number=4.6&amp;sourceID=14","4.6")</f>
        <v>4.6</v>
      </c>
      <c r="G4100" s="4" t="str">
        <f>HYPERLINK("http://141.218.60.56/~jnz1568/getInfo.php?workbook=20_05.xlsx&amp;sheet=U0&amp;row=4100&amp;col=7&amp;number=0.00158&amp;sourceID=14","0.00158")</f>
        <v>0.00158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HYPERLINK("http://141.218.60.56/~jnz1568/getInfo.php?workbook=20_05.xlsx&amp;sheet=U0&amp;row=4101&amp;col=6&amp;number=4.7&amp;sourceID=14","4.7")</f>
        <v>4.7</v>
      </c>
      <c r="G4101" s="4" t="str">
        <f>HYPERLINK("http://141.218.60.56/~jnz1568/getInfo.php?workbook=20_05.xlsx&amp;sheet=U0&amp;row=4101&amp;col=7&amp;number=0.00157&amp;sourceID=14","0.00157")</f>
        <v>0.00157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HYPERLINK("http://141.218.60.56/~jnz1568/getInfo.php?workbook=20_05.xlsx&amp;sheet=U0&amp;row=4102&amp;col=6&amp;number=4.8&amp;sourceID=14","4.8")</f>
        <v>4.8</v>
      </c>
      <c r="G4102" s="4" t="str">
        <f>HYPERLINK("http://141.218.60.56/~jnz1568/getInfo.php?workbook=20_05.xlsx&amp;sheet=U0&amp;row=4102&amp;col=7&amp;number=0.00157&amp;sourceID=14","0.00157")</f>
        <v>0.00157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HYPERLINK("http://141.218.60.56/~jnz1568/getInfo.php?workbook=20_05.xlsx&amp;sheet=U0&amp;row=4103&amp;col=6&amp;number=4.9&amp;sourceID=14","4.9")</f>
        <v>4.9</v>
      </c>
      <c r="G4103" s="4" t="str">
        <f>HYPERLINK("http://141.218.60.56/~jnz1568/getInfo.php?workbook=20_05.xlsx&amp;sheet=U0&amp;row=4103&amp;col=7&amp;number=0.00156&amp;sourceID=14","0.00156")</f>
        <v>0.00156</v>
      </c>
    </row>
    <row r="4104" spans="1:7">
      <c r="A4104" s="3">
        <v>20</v>
      </c>
      <c r="B4104" s="3">
        <v>5</v>
      </c>
      <c r="C4104" s="3">
        <v>2</v>
      </c>
      <c r="D4104" s="3">
        <v>52</v>
      </c>
      <c r="E4104" s="3">
        <v>1</v>
      </c>
      <c r="F4104" s="4" t="str">
        <f>HYPERLINK("http://141.218.60.56/~jnz1568/getInfo.php?workbook=20_05.xlsx&amp;sheet=U0&amp;row=4104&amp;col=6&amp;number=3&amp;sourceID=14","3")</f>
        <v>3</v>
      </c>
      <c r="G4104" s="4" t="str">
        <f>HYPERLINK("http://141.218.60.56/~jnz1568/getInfo.php?workbook=20_05.xlsx&amp;sheet=U0&amp;row=4104&amp;col=7&amp;number=0.00399&amp;sourceID=14","0.00399")</f>
        <v>0.00399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HYPERLINK("http://141.218.60.56/~jnz1568/getInfo.php?workbook=20_05.xlsx&amp;sheet=U0&amp;row=4105&amp;col=6&amp;number=3.1&amp;sourceID=14","3.1")</f>
        <v>3.1</v>
      </c>
      <c r="G4105" s="4" t="str">
        <f>HYPERLINK("http://141.218.60.56/~jnz1568/getInfo.php?workbook=20_05.xlsx&amp;sheet=U0&amp;row=4105&amp;col=7&amp;number=0.00399&amp;sourceID=14","0.00399")</f>
        <v>0.00399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HYPERLINK("http://141.218.60.56/~jnz1568/getInfo.php?workbook=20_05.xlsx&amp;sheet=U0&amp;row=4106&amp;col=6&amp;number=3.2&amp;sourceID=14","3.2")</f>
        <v>3.2</v>
      </c>
      <c r="G4106" s="4" t="str">
        <f>HYPERLINK("http://141.218.60.56/~jnz1568/getInfo.php?workbook=20_05.xlsx&amp;sheet=U0&amp;row=4106&amp;col=7&amp;number=0.00399&amp;sourceID=14","0.00399")</f>
        <v>0.00399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HYPERLINK("http://141.218.60.56/~jnz1568/getInfo.php?workbook=20_05.xlsx&amp;sheet=U0&amp;row=4107&amp;col=6&amp;number=3.3&amp;sourceID=14","3.3")</f>
        <v>3.3</v>
      </c>
      <c r="G4107" s="4" t="str">
        <f>HYPERLINK("http://141.218.60.56/~jnz1568/getInfo.php?workbook=20_05.xlsx&amp;sheet=U0&amp;row=4107&amp;col=7&amp;number=0.00399&amp;sourceID=14","0.00399")</f>
        <v>0.00399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HYPERLINK("http://141.218.60.56/~jnz1568/getInfo.php?workbook=20_05.xlsx&amp;sheet=U0&amp;row=4108&amp;col=6&amp;number=3.4&amp;sourceID=14","3.4")</f>
        <v>3.4</v>
      </c>
      <c r="G4108" s="4" t="str">
        <f>HYPERLINK("http://141.218.60.56/~jnz1568/getInfo.php?workbook=20_05.xlsx&amp;sheet=U0&amp;row=4108&amp;col=7&amp;number=0.00399&amp;sourceID=14","0.00399")</f>
        <v>0.00399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HYPERLINK("http://141.218.60.56/~jnz1568/getInfo.php?workbook=20_05.xlsx&amp;sheet=U0&amp;row=4109&amp;col=6&amp;number=3.5&amp;sourceID=14","3.5")</f>
        <v>3.5</v>
      </c>
      <c r="G4109" s="4" t="str">
        <f>HYPERLINK("http://141.218.60.56/~jnz1568/getInfo.php?workbook=20_05.xlsx&amp;sheet=U0&amp;row=4109&amp;col=7&amp;number=0.00399&amp;sourceID=14","0.00399")</f>
        <v>0.00399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HYPERLINK("http://141.218.60.56/~jnz1568/getInfo.php?workbook=20_05.xlsx&amp;sheet=U0&amp;row=4110&amp;col=6&amp;number=3.6&amp;sourceID=14","3.6")</f>
        <v>3.6</v>
      </c>
      <c r="G4110" s="4" t="str">
        <f>HYPERLINK("http://141.218.60.56/~jnz1568/getInfo.php?workbook=20_05.xlsx&amp;sheet=U0&amp;row=4110&amp;col=7&amp;number=0.00399&amp;sourceID=14","0.00399")</f>
        <v>0.00399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HYPERLINK("http://141.218.60.56/~jnz1568/getInfo.php?workbook=20_05.xlsx&amp;sheet=U0&amp;row=4111&amp;col=6&amp;number=3.7&amp;sourceID=14","3.7")</f>
        <v>3.7</v>
      </c>
      <c r="G4111" s="4" t="str">
        <f>HYPERLINK("http://141.218.60.56/~jnz1568/getInfo.php?workbook=20_05.xlsx&amp;sheet=U0&amp;row=4111&amp;col=7&amp;number=0.00399&amp;sourceID=14","0.00399")</f>
        <v>0.00399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HYPERLINK("http://141.218.60.56/~jnz1568/getInfo.php?workbook=20_05.xlsx&amp;sheet=U0&amp;row=4112&amp;col=6&amp;number=3.8&amp;sourceID=14","3.8")</f>
        <v>3.8</v>
      </c>
      <c r="G4112" s="4" t="str">
        <f>HYPERLINK("http://141.218.60.56/~jnz1568/getInfo.php?workbook=20_05.xlsx&amp;sheet=U0&amp;row=4112&amp;col=7&amp;number=0.00399&amp;sourceID=14","0.00399")</f>
        <v>0.00399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HYPERLINK("http://141.218.60.56/~jnz1568/getInfo.php?workbook=20_05.xlsx&amp;sheet=U0&amp;row=4113&amp;col=6&amp;number=3.9&amp;sourceID=14","3.9")</f>
        <v>3.9</v>
      </c>
      <c r="G4113" s="4" t="str">
        <f>HYPERLINK("http://141.218.60.56/~jnz1568/getInfo.php?workbook=20_05.xlsx&amp;sheet=U0&amp;row=4113&amp;col=7&amp;number=0.00399&amp;sourceID=14","0.00399")</f>
        <v>0.00399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HYPERLINK("http://141.218.60.56/~jnz1568/getInfo.php?workbook=20_05.xlsx&amp;sheet=U0&amp;row=4114&amp;col=6&amp;number=4&amp;sourceID=14","4")</f>
        <v>4</v>
      </c>
      <c r="G4114" s="4" t="str">
        <f>HYPERLINK("http://141.218.60.56/~jnz1568/getInfo.php?workbook=20_05.xlsx&amp;sheet=U0&amp;row=4114&amp;col=7&amp;number=0.00399&amp;sourceID=14","0.00399")</f>
        <v>0.00399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HYPERLINK("http://141.218.60.56/~jnz1568/getInfo.php?workbook=20_05.xlsx&amp;sheet=U0&amp;row=4115&amp;col=6&amp;number=4.1&amp;sourceID=14","4.1")</f>
        <v>4.1</v>
      </c>
      <c r="G4115" s="4" t="str">
        <f>HYPERLINK("http://141.218.60.56/~jnz1568/getInfo.php?workbook=20_05.xlsx&amp;sheet=U0&amp;row=4115&amp;col=7&amp;number=0.00399&amp;sourceID=14","0.00399")</f>
        <v>0.00399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HYPERLINK("http://141.218.60.56/~jnz1568/getInfo.php?workbook=20_05.xlsx&amp;sheet=U0&amp;row=4116&amp;col=6&amp;number=4.2&amp;sourceID=14","4.2")</f>
        <v>4.2</v>
      </c>
      <c r="G4116" s="4" t="str">
        <f>HYPERLINK("http://141.218.60.56/~jnz1568/getInfo.php?workbook=20_05.xlsx&amp;sheet=U0&amp;row=4116&amp;col=7&amp;number=0.00399&amp;sourceID=14","0.00399")</f>
        <v>0.00399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HYPERLINK("http://141.218.60.56/~jnz1568/getInfo.php?workbook=20_05.xlsx&amp;sheet=U0&amp;row=4117&amp;col=6&amp;number=4.3&amp;sourceID=14","4.3")</f>
        <v>4.3</v>
      </c>
      <c r="G4117" s="4" t="str">
        <f>HYPERLINK("http://141.218.60.56/~jnz1568/getInfo.php?workbook=20_05.xlsx&amp;sheet=U0&amp;row=4117&amp;col=7&amp;number=0.00399&amp;sourceID=14","0.00399")</f>
        <v>0.00399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HYPERLINK("http://141.218.60.56/~jnz1568/getInfo.php?workbook=20_05.xlsx&amp;sheet=U0&amp;row=4118&amp;col=6&amp;number=4.4&amp;sourceID=14","4.4")</f>
        <v>4.4</v>
      </c>
      <c r="G4118" s="4" t="str">
        <f>HYPERLINK("http://141.218.60.56/~jnz1568/getInfo.php?workbook=20_05.xlsx&amp;sheet=U0&amp;row=4118&amp;col=7&amp;number=0.00399&amp;sourceID=14","0.00399")</f>
        <v>0.00399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HYPERLINK("http://141.218.60.56/~jnz1568/getInfo.php?workbook=20_05.xlsx&amp;sheet=U0&amp;row=4119&amp;col=6&amp;number=4.5&amp;sourceID=14","4.5")</f>
        <v>4.5</v>
      </c>
      <c r="G4119" s="4" t="str">
        <f>HYPERLINK("http://141.218.60.56/~jnz1568/getInfo.php?workbook=20_05.xlsx&amp;sheet=U0&amp;row=4119&amp;col=7&amp;number=0.00399&amp;sourceID=14","0.00399")</f>
        <v>0.00399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HYPERLINK("http://141.218.60.56/~jnz1568/getInfo.php?workbook=20_05.xlsx&amp;sheet=U0&amp;row=4120&amp;col=6&amp;number=4.6&amp;sourceID=14","4.6")</f>
        <v>4.6</v>
      </c>
      <c r="G4120" s="4" t="str">
        <f>HYPERLINK("http://141.218.60.56/~jnz1568/getInfo.php?workbook=20_05.xlsx&amp;sheet=U0&amp;row=4120&amp;col=7&amp;number=0.004&amp;sourceID=14","0.004")</f>
        <v>0.004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HYPERLINK("http://141.218.60.56/~jnz1568/getInfo.php?workbook=20_05.xlsx&amp;sheet=U0&amp;row=4121&amp;col=6&amp;number=4.7&amp;sourceID=14","4.7")</f>
        <v>4.7</v>
      </c>
      <c r="G4121" s="4" t="str">
        <f>HYPERLINK("http://141.218.60.56/~jnz1568/getInfo.php?workbook=20_05.xlsx&amp;sheet=U0&amp;row=4121&amp;col=7&amp;number=0.004&amp;sourceID=14","0.004")</f>
        <v>0.004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HYPERLINK("http://141.218.60.56/~jnz1568/getInfo.php?workbook=20_05.xlsx&amp;sheet=U0&amp;row=4122&amp;col=6&amp;number=4.8&amp;sourceID=14","4.8")</f>
        <v>4.8</v>
      </c>
      <c r="G4122" s="4" t="str">
        <f>HYPERLINK("http://141.218.60.56/~jnz1568/getInfo.php?workbook=20_05.xlsx&amp;sheet=U0&amp;row=4122&amp;col=7&amp;number=0.004&amp;sourceID=14","0.004")</f>
        <v>0.004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HYPERLINK("http://141.218.60.56/~jnz1568/getInfo.php?workbook=20_05.xlsx&amp;sheet=U0&amp;row=4123&amp;col=6&amp;number=4.9&amp;sourceID=14","4.9")</f>
        <v>4.9</v>
      </c>
      <c r="G4123" s="4" t="str">
        <f>HYPERLINK("http://141.218.60.56/~jnz1568/getInfo.php?workbook=20_05.xlsx&amp;sheet=U0&amp;row=4123&amp;col=7&amp;number=0.004&amp;sourceID=14","0.004")</f>
        <v>0.004</v>
      </c>
    </row>
    <row r="4124" spans="1:7">
      <c r="A4124" s="3">
        <v>20</v>
      </c>
      <c r="B4124" s="3">
        <v>5</v>
      </c>
      <c r="C4124" s="3">
        <v>2</v>
      </c>
      <c r="D4124" s="3">
        <v>53</v>
      </c>
      <c r="E4124" s="3">
        <v>1</v>
      </c>
      <c r="F4124" s="4" t="str">
        <f>HYPERLINK("http://141.218.60.56/~jnz1568/getInfo.php?workbook=20_05.xlsx&amp;sheet=U0&amp;row=4124&amp;col=6&amp;number=3&amp;sourceID=14","3")</f>
        <v>3</v>
      </c>
      <c r="G4124" s="4" t="str">
        <f>HYPERLINK("http://141.218.60.56/~jnz1568/getInfo.php?workbook=20_05.xlsx&amp;sheet=U0&amp;row=4124&amp;col=7&amp;number=0.0172&amp;sourceID=14","0.0172")</f>
        <v>0.0172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HYPERLINK("http://141.218.60.56/~jnz1568/getInfo.php?workbook=20_05.xlsx&amp;sheet=U0&amp;row=4125&amp;col=6&amp;number=3.1&amp;sourceID=14","3.1")</f>
        <v>3.1</v>
      </c>
      <c r="G4125" s="4" t="str">
        <f>HYPERLINK("http://141.218.60.56/~jnz1568/getInfo.php?workbook=20_05.xlsx&amp;sheet=U0&amp;row=4125&amp;col=7&amp;number=0.0172&amp;sourceID=14","0.0172")</f>
        <v>0.0172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HYPERLINK("http://141.218.60.56/~jnz1568/getInfo.php?workbook=20_05.xlsx&amp;sheet=U0&amp;row=4126&amp;col=6&amp;number=3.2&amp;sourceID=14","3.2")</f>
        <v>3.2</v>
      </c>
      <c r="G4126" s="4" t="str">
        <f>HYPERLINK("http://141.218.60.56/~jnz1568/getInfo.php?workbook=20_05.xlsx&amp;sheet=U0&amp;row=4126&amp;col=7&amp;number=0.0172&amp;sourceID=14","0.0172")</f>
        <v>0.0172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HYPERLINK("http://141.218.60.56/~jnz1568/getInfo.php?workbook=20_05.xlsx&amp;sheet=U0&amp;row=4127&amp;col=6&amp;number=3.3&amp;sourceID=14","3.3")</f>
        <v>3.3</v>
      </c>
      <c r="G4127" s="4" t="str">
        <f>HYPERLINK("http://141.218.60.56/~jnz1568/getInfo.php?workbook=20_05.xlsx&amp;sheet=U0&amp;row=4127&amp;col=7&amp;number=0.0172&amp;sourceID=14","0.0172")</f>
        <v>0.0172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HYPERLINK("http://141.218.60.56/~jnz1568/getInfo.php?workbook=20_05.xlsx&amp;sheet=U0&amp;row=4128&amp;col=6&amp;number=3.4&amp;sourceID=14","3.4")</f>
        <v>3.4</v>
      </c>
      <c r="G4128" s="4" t="str">
        <f>HYPERLINK("http://141.218.60.56/~jnz1568/getInfo.php?workbook=20_05.xlsx&amp;sheet=U0&amp;row=4128&amp;col=7&amp;number=0.0172&amp;sourceID=14","0.0172")</f>
        <v>0.0172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HYPERLINK("http://141.218.60.56/~jnz1568/getInfo.php?workbook=20_05.xlsx&amp;sheet=U0&amp;row=4129&amp;col=6&amp;number=3.5&amp;sourceID=14","3.5")</f>
        <v>3.5</v>
      </c>
      <c r="G4129" s="4" t="str">
        <f>HYPERLINK("http://141.218.60.56/~jnz1568/getInfo.php?workbook=20_05.xlsx&amp;sheet=U0&amp;row=4129&amp;col=7&amp;number=0.0172&amp;sourceID=14","0.0172")</f>
        <v>0.0172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HYPERLINK("http://141.218.60.56/~jnz1568/getInfo.php?workbook=20_05.xlsx&amp;sheet=U0&amp;row=4130&amp;col=6&amp;number=3.6&amp;sourceID=14","3.6")</f>
        <v>3.6</v>
      </c>
      <c r="G4130" s="4" t="str">
        <f>HYPERLINK("http://141.218.60.56/~jnz1568/getInfo.php?workbook=20_05.xlsx&amp;sheet=U0&amp;row=4130&amp;col=7&amp;number=0.0172&amp;sourceID=14","0.0172")</f>
        <v>0.0172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HYPERLINK("http://141.218.60.56/~jnz1568/getInfo.php?workbook=20_05.xlsx&amp;sheet=U0&amp;row=4131&amp;col=6&amp;number=3.7&amp;sourceID=14","3.7")</f>
        <v>3.7</v>
      </c>
      <c r="G4131" s="4" t="str">
        <f>HYPERLINK("http://141.218.60.56/~jnz1568/getInfo.php?workbook=20_05.xlsx&amp;sheet=U0&amp;row=4131&amp;col=7&amp;number=0.0173&amp;sourceID=14","0.0173")</f>
        <v>0.0173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HYPERLINK("http://141.218.60.56/~jnz1568/getInfo.php?workbook=20_05.xlsx&amp;sheet=U0&amp;row=4132&amp;col=6&amp;number=3.8&amp;sourceID=14","3.8")</f>
        <v>3.8</v>
      </c>
      <c r="G4132" s="4" t="str">
        <f>HYPERLINK("http://141.218.60.56/~jnz1568/getInfo.php?workbook=20_05.xlsx&amp;sheet=U0&amp;row=4132&amp;col=7&amp;number=0.0173&amp;sourceID=14","0.0173")</f>
        <v>0.0173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HYPERLINK("http://141.218.60.56/~jnz1568/getInfo.php?workbook=20_05.xlsx&amp;sheet=U0&amp;row=4133&amp;col=6&amp;number=3.9&amp;sourceID=14","3.9")</f>
        <v>3.9</v>
      </c>
      <c r="G4133" s="4" t="str">
        <f>HYPERLINK("http://141.218.60.56/~jnz1568/getInfo.php?workbook=20_05.xlsx&amp;sheet=U0&amp;row=4133&amp;col=7&amp;number=0.0173&amp;sourceID=14","0.0173")</f>
        <v>0.0173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HYPERLINK("http://141.218.60.56/~jnz1568/getInfo.php?workbook=20_05.xlsx&amp;sheet=U0&amp;row=4134&amp;col=6&amp;number=4&amp;sourceID=14","4")</f>
        <v>4</v>
      </c>
      <c r="G4134" s="4" t="str">
        <f>HYPERLINK("http://141.218.60.56/~jnz1568/getInfo.php?workbook=20_05.xlsx&amp;sheet=U0&amp;row=4134&amp;col=7&amp;number=0.0173&amp;sourceID=14","0.0173")</f>
        <v>0.0173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HYPERLINK("http://141.218.60.56/~jnz1568/getInfo.php?workbook=20_05.xlsx&amp;sheet=U0&amp;row=4135&amp;col=6&amp;number=4.1&amp;sourceID=14","4.1")</f>
        <v>4.1</v>
      </c>
      <c r="G4135" s="4" t="str">
        <f>HYPERLINK("http://141.218.60.56/~jnz1568/getInfo.php?workbook=20_05.xlsx&amp;sheet=U0&amp;row=4135&amp;col=7&amp;number=0.0173&amp;sourceID=14","0.0173")</f>
        <v>0.0173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HYPERLINK("http://141.218.60.56/~jnz1568/getInfo.php?workbook=20_05.xlsx&amp;sheet=U0&amp;row=4136&amp;col=6&amp;number=4.2&amp;sourceID=14","4.2")</f>
        <v>4.2</v>
      </c>
      <c r="G4136" s="4" t="str">
        <f>HYPERLINK("http://141.218.60.56/~jnz1568/getInfo.php?workbook=20_05.xlsx&amp;sheet=U0&amp;row=4136&amp;col=7&amp;number=0.0173&amp;sourceID=14","0.0173")</f>
        <v>0.0173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HYPERLINK("http://141.218.60.56/~jnz1568/getInfo.php?workbook=20_05.xlsx&amp;sheet=U0&amp;row=4137&amp;col=6&amp;number=4.3&amp;sourceID=14","4.3")</f>
        <v>4.3</v>
      </c>
      <c r="G4137" s="4" t="str">
        <f>HYPERLINK("http://141.218.60.56/~jnz1568/getInfo.php?workbook=20_05.xlsx&amp;sheet=U0&amp;row=4137&amp;col=7&amp;number=0.0174&amp;sourceID=14","0.0174")</f>
        <v>0.0174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HYPERLINK("http://141.218.60.56/~jnz1568/getInfo.php?workbook=20_05.xlsx&amp;sheet=U0&amp;row=4138&amp;col=6&amp;number=4.4&amp;sourceID=14","4.4")</f>
        <v>4.4</v>
      </c>
      <c r="G4138" s="4" t="str">
        <f>HYPERLINK("http://141.218.60.56/~jnz1568/getInfo.php?workbook=20_05.xlsx&amp;sheet=U0&amp;row=4138&amp;col=7&amp;number=0.0174&amp;sourceID=14","0.0174")</f>
        <v>0.0174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HYPERLINK("http://141.218.60.56/~jnz1568/getInfo.php?workbook=20_05.xlsx&amp;sheet=U0&amp;row=4139&amp;col=6&amp;number=4.5&amp;sourceID=14","4.5")</f>
        <v>4.5</v>
      </c>
      <c r="G4139" s="4" t="str">
        <f>HYPERLINK("http://141.218.60.56/~jnz1568/getInfo.php?workbook=20_05.xlsx&amp;sheet=U0&amp;row=4139&amp;col=7&amp;number=0.0175&amp;sourceID=14","0.0175")</f>
        <v>0.0175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HYPERLINK("http://141.218.60.56/~jnz1568/getInfo.php?workbook=20_05.xlsx&amp;sheet=U0&amp;row=4140&amp;col=6&amp;number=4.6&amp;sourceID=14","4.6")</f>
        <v>4.6</v>
      </c>
      <c r="G4140" s="4" t="str">
        <f>HYPERLINK("http://141.218.60.56/~jnz1568/getInfo.php?workbook=20_05.xlsx&amp;sheet=U0&amp;row=4140&amp;col=7&amp;number=0.0175&amp;sourceID=14","0.0175")</f>
        <v>0.0175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HYPERLINK("http://141.218.60.56/~jnz1568/getInfo.php?workbook=20_05.xlsx&amp;sheet=U0&amp;row=4141&amp;col=6&amp;number=4.7&amp;sourceID=14","4.7")</f>
        <v>4.7</v>
      </c>
      <c r="G4141" s="4" t="str">
        <f>HYPERLINK("http://141.218.60.56/~jnz1568/getInfo.php?workbook=20_05.xlsx&amp;sheet=U0&amp;row=4141&amp;col=7&amp;number=0.0176&amp;sourceID=14","0.0176")</f>
        <v>0.0176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HYPERLINK("http://141.218.60.56/~jnz1568/getInfo.php?workbook=20_05.xlsx&amp;sheet=U0&amp;row=4142&amp;col=6&amp;number=4.8&amp;sourceID=14","4.8")</f>
        <v>4.8</v>
      </c>
      <c r="G4142" s="4" t="str">
        <f>HYPERLINK("http://141.218.60.56/~jnz1568/getInfo.php?workbook=20_05.xlsx&amp;sheet=U0&amp;row=4142&amp;col=7&amp;number=0.0177&amp;sourceID=14","0.0177")</f>
        <v>0.0177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HYPERLINK("http://141.218.60.56/~jnz1568/getInfo.php?workbook=20_05.xlsx&amp;sheet=U0&amp;row=4143&amp;col=6&amp;number=4.9&amp;sourceID=14","4.9")</f>
        <v>4.9</v>
      </c>
      <c r="G4143" s="4" t="str">
        <f>HYPERLINK("http://141.218.60.56/~jnz1568/getInfo.php?workbook=20_05.xlsx&amp;sheet=U0&amp;row=4143&amp;col=7&amp;number=0.0178&amp;sourceID=14","0.0178")</f>
        <v>0.0178</v>
      </c>
    </row>
    <row r="4144" spans="1:7">
      <c r="A4144" s="3">
        <v>20</v>
      </c>
      <c r="B4144" s="3">
        <v>5</v>
      </c>
      <c r="C4144" s="3">
        <v>2</v>
      </c>
      <c r="D4144" s="3">
        <v>54</v>
      </c>
      <c r="E4144" s="3">
        <v>1</v>
      </c>
      <c r="F4144" s="4" t="str">
        <f>HYPERLINK("http://141.218.60.56/~jnz1568/getInfo.php?workbook=20_05.xlsx&amp;sheet=U0&amp;row=4144&amp;col=6&amp;number=3&amp;sourceID=14","3")</f>
        <v>3</v>
      </c>
      <c r="G4144" s="4" t="str">
        <f>HYPERLINK("http://141.218.60.56/~jnz1568/getInfo.php?workbook=20_05.xlsx&amp;sheet=U0&amp;row=4144&amp;col=7&amp;number=0.00221&amp;sourceID=14","0.00221")</f>
        <v>0.00221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HYPERLINK("http://141.218.60.56/~jnz1568/getInfo.php?workbook=20_05.xlsx&amp;sheet=U0&amp;row=4145&amp;col=6&amp;number=3.1&amp;sourceID=14","3.1")</f>
        <v>3.1</v>
      </c>
      <c r="G4145" s="4" t="str">
        <f>HYPERLINK("http://141.218.60.56/~jnz1568/getInfo.php?workbook=20_05.xlsx&amp;sheet=U0&amp;row=4145&amp;col=7&amp;number=0.00221&amp;sourceID=14","0.00221")</f>
        <v>0.00221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HYPERLINK("http://141.218.60.56/~jnz1568/getInfo.php?workbook=20_05.xlsx&amp;sheet=U0&amp;row=4146&amp;col=6&amp;number=3.2&amp;sourceID=14","3.2")</f>
        <v>3.2</v>
      </c>
      <c r="G4146" s="4" t="str">
        <f>HYPERLINK("http://141.218.60.56/~jnz1568/getInfo.php?workbook=20_05.xlsx&amp;sheet=U0&amp;row=4146&amp;col=7&amp;number=0.00221&amp;sourceID=14","0.00221")</f>
        <v>0.00221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HYPERLINK("http://141.218.60.56/~jnz1568/getInfo.php?workbook=20_05.xlsx&amp;sheet=U0&amp;row=4147&amp;col=6&amp;number=3.3&amp;sourceID=14","3.3")</f>
        <v>3.3</v>
      </c>
      <c r="G4147" s="4" t="str">
        <f>HYPERLINK("http://141.218.60.56/~jnz1568/getInfo.php?workbook=20_05.xlsx&amp;sheet=U0&amp;row=4147&amp;col=7&amp;number=0.00221&amp;sourceID=14","0.00221")</f>
        <v>0.00221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HYPERLINK("http://141.218.60.56/~jnz1568/getInfo.php?workbook=20_05.xlsx&amp;sheet=U0&amp;row=4148&amp;col=6&amp;number=3.4&amp;sourceID=14","3.4")</f>
        <v>3.4</v>
      </c>
      <c r="G4148" s="4" t="str">
        <f>HYPERLINK("http://141.218.60.56/~jnz1568/getInfo.php?workbook=20_05.xlsx&amp;sheet=U0&amp;row=4148&amp;col=7&amp;number=0.00221&amp;sourceID=14","0.00221")</f>
        <v>0.00221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HYPERLINK("http://141.218.60.56/~jnz1568/getInfo.php?workbook=20_05.xlsx&amp;sheet=U0&amp;row=4149&amp;col=6&amp;number=3.5&amp;sourceID=14","3.5")</f>
        <v>3.5</v>
      </c>
      <c r="G4149" s="4" t="str">
        <f>HYPERLINK("http://141.218.60.56/~jnz1568/getInfo.php?workbook=20_05.xlsx&amp;sheet=U0&amp;row=4149&amp;col=7&amp;number=0.00221&amp;sourceID=14","0.00221")</f>
        <v>0.00221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HYPERLINK("http://141.218.60.56/~jnz1568/getInfo.php?workbook=20_05.xlsx&amp;sheet=U0&amp;row=4150&amp;col=6&amp;number=3.6&amp;sourceID=14","3.6")</f>
        <v>3.6</v>
      </c>
      <c r="G4150" s="4" t="str">
        <f>HYPERLINK("http://141.218.60.56/~jnz1568/getInfo.php?workbook=20_05.xlsx&amp;sheet=U0&amp;row=4150&amp;col=7&amp;number=0.00221&amp;sourceID=14","0.00221")</f>
        <v>0.00221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HYPERLINK("http://141.218.60.56/~jnz1568/getInfo.php?workbook=20_05.xlsx&amp;sheet=U0&amp;row=4151&amp;col=6&amp;number=3.7&amp;sourceID=14","3.7")</f>
        <v>3.7</v>
      </c>
      <c r="G4151" s="4" t="str">
        <f>HYPERLINK("http://141.218.60.56/~jnz1568/getInfo.php?workbook=20_05.xlsx&amp;sheet=U0&amp;row=4151&amp;col=7&amp;number=0.00221&amp;sourceID=14","0.00221")</f>
        <v>0.00221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HYPERLINK("http://141.218.60.56/~jnz1568/getInfo.php?workbook=20_05.xlsx&amp;sheet=U0&amp;row=4152&amp;col=6&amp;number=3.8&amp;sourceID=14","3.8")</f>
        <v>3.8</v>
      </c>
      <c r="G4152" s="4" t="str">
        <f>HYPERLINK("http://141.218.60.56/~jnz1568/getInfo.php?workbook=20_05.xlsx&amp;sheet=U0&amp;row=4152&amp;col=7&amp;number=0.00221&amp;sourceID=14","0.00221")</f>
        <v>0.00221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HYPERLINK("http://141.218.60.56/~jnz1568/getInfo.php?workbook=20_05.xlsx&amp;sheet=U0&amp;row=4153&amp;col=6&amp;number=3.9&amp;sourceID=14","3.9")</f>
        <v>3.9</v>
      </c>
      <c r="G4153" s="4" t="str">
        <f>HYPERLINK("http://141.218.60.56/~jnz1568/getInfo.php?workbook=20_05.xlsx&amp;sheet=U0&amp;row=4153&amp;col=7&amp;number=0.00221&amp;sourceID=14","0.00221")</f>
        <v>0.00221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HYPERLINK("http://141.218.60.56/~jnz1568/getInfo.php?workbook=20_05.xlsx&amp;sheet=U0&amp;row=4154&amp;col=6&amp;number=4&amp;sourceID=14","4")</f>
        <v>4</v>
      </c>
      <c r="G4154" s="4" t="str">
        <f>HYPERLINK("http://141.218.60.56/~jnz1568/getInfo.php?workbook=20_05.xlsx&amp;sheet=U0&amp;row=4154&amp;col=7&amp;number=0.00221&amp;sourceID=14","0.00221")</f>
        <v>0.00221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HYPERLINK("http://141.218.60.56/~jnz1568/getInfo.php?workbook=20_05.xlsx&amp;sheet=U0&amp;row=4155&amp;col=6&amp;number=4.1&amp;sourceID=14","4.1")</f>
        <v>4.1</v>
      </c>
      <c r="G4155" s="4" t="str">
        <f>HYPERLINK("http://141.218.60.56/~jnz1568/getInfo.php?workbook=20_05.xlsx&amp;sheet=U0&amp;row=4155&amp;col=7&amp;number=0.00221&amp;sourceID=14","0.00221")</f>
        <v>0.00221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HYPERLINK("http://141.218.60.56/~jnz1568/getInfo.php?workbook=20_05.xlsx&amp;sheet=U0&amp;row=4156&amp;col=6&amp;number=4.2&amp;sourceID=14","4.2")</f>
        <v>4.2</v>
      </c>
      <c r="G4156" s="4" t="str">
        <f>HYPERLINK("http://141.218.60.56/~jnz1568/getInfo.php?workbook=20_05.xlsx&amp;sheet=U0&amp;row=4156&amp;col=7&amp;number=0.00221&amp;sourceID=14","0.00221")</f>
        <v>0.00221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HYPERLINK("http://141.218.60.56/~jnz1568/getInfo.php?workbook=20_05.xlsx&amp;sheet=U0&amp;row=4157&amp;col=6&amp;number=4.3&amp;sourceID=14","4.3")</f>
        <v>4.3</v>
      </c>
      <c r="G4157" s="4" t="str">
        <f>HYPERLINK("http://141.218.60.56/~jnz1568/getInfo.php?workbook=20_05.xlsx&amp;sheet=U0&amp;row=4157&amp;col=7&amp;number=0.00221&amp;sourceID=14","0.00221")</f>
        <v>0.00221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HYPERLINK("http://141.218.60.56/~jnz1568/getInfo.php?workbook=20_05.xlsx&amp;sheet=U0&amp;row=4158&amp;col=6&amp;number=4.4&amp;sourceID=14","4.4")</f>
        <v>4.4</v>
      </c>
      <c r="G4158" s="4" t="str">
        <f>HYPERLINK("http://141.218.60.56/~jnz1568/getInfo.php?workbook=20_05.xlsx&amp;sheet=U0&amp;row=4158&amp;col=7&amp;number=0.00222&amp;sourceID=14","0.00222")</f>
        <v>0.00222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HYPERLINK("http://141.218.60.56/~jnz1568/getInfo.php?workbook=20_05.xlsx&amp;sheet=U0&amp;row=4159&amp;col=6&amp;number=4.5&amp;sourceID=14","4.5")</f>
        <v>4.5</v>
      </c>
      <c r="G4159" s="4" t="str">
        <f>HYPERLINK("http://141.218.60.56/~jnz1568/getInfo.php?workbook=20_05.xlsx&amp;sheet=U0&amp;row=4159&amp;col=7&amp;number=0.00222&amp;sourceID=14","0.00222")</f>
        <v>0.00222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HYPERLINK("http://141.218.60.56/~jnz1568/getInfo.php?workbook=20_05.xlsx&amp;sheet=U0&amp;row=4160&amp;col=6&amp;number=4.6&amp;sourceID=14","4.6")</f>
        <v>4.6</v>
      </c>
      <c r="G4160" s="4" t="str">
        <f>HYPERLINK("http://141.218.60.56/~jnz1568/getInfo.php?workbook=20_05.xlsx&amp;sheet=U0&amp;row=4160&amp;col=7&amp;number=0.00222&amp;sourceID=14","0.00222")</f>
        <v>0.00222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HYPERLINK("http://141.218.60.56/~jnz1568/getInfo.php?workbook=20_05.xlsx&amp;sheet=U0&amp;row=4161&amp;col=6&amp;number=4.7&amp;sourceID=14","4.7")</f>
        <v>4.7</v>
      </c>
      <c r="G4161" s="4" t="str">
        <f>HYPERLINK("http://141.218.60.56/~jnz1568/getInfo.php?workbook=20_05.xlsx&amp;sheet=U0&amp;row=4161&amp;col=7&amp;number=0.00222&amp;sourceID=14","0.00222")</f>
        <v>0.00222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HYPERLINK("http://141.218.60.56/~jnz1568/getInfo.php?workbook=20_05.xlsx&amp;sheet=U0&amp;row=4162&amp;col=6&amp;number=4.8&amp;sourceID=14","4.8")</f>
        <v>4.8</v>
      </c>
      <c r="G4162" s="4" t="str">
        <f>HYPERLINK("http://141.218.60.56/~jnz1568/getInfo.php?workbook=20_05.xlsx&amp;sheet=U0&amp;row=4162&amp;col=7&amp;number=0.00222&amp;sourceID=14","0.00222")</f>
        <v>0.00222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HYPERLINK("http://141.218.60.56/~jnz1568/getInfo.php?workbook=20_05.xlsx&amp;sheet=U0&amp;row=4163&amp;col=6&amp;number=4.9&amp;sourceID=14","4.9")</f>
        <v>4.9</v>
      </c>
      <c r="G4163" s="4" t="str">
        <f>HYPERLINK("http://141.218.60.56/~jnz1568/getInfo.php?workbook=20_05.xlsx&amp;sheet=U0&amp;row=4163&amp;col=7&amp;number=0.00223&amp;sourceID=14","0.00223")</f>
        <v>0.00223</v>
      </c>
    </row>
    <row r="4164" spans="1:7">
      <c r="A4164" s="3">
        <v>20</v>
      </c>
      <c r="B4164" s="3">
        <v>5</v>
      </c>
      <c r="C4164" s="3">
        <v>2</v>
      </c>
      <c r="D4164" s="3">
        <v>55</v>
      </c>
      <c r="E4164" s="3">
        <v>1</v>
      </c>
      <c r="F4164" s="4" t="str">
        <f>HYPERLINK("http://141.218.60.56/~jnz1568/getInfo.php?workbook=20_05.xlsx&amp;sheet=U0&amp;row=4164&amp;col=6&amp;number=3&amp;sourceID=14","3")</f>
        <v>3</v>
      </c>
      <c r="G4164" s="4" t="str">
        <f>HYPERLINK("http://141.218.60.56/~jnz1568/getInfo.php?workbook=20_05.xlsx&amp;sheet=U0&amp;row=4164&amp;col=7&amp;number=8.36e-05&amp;sourceID=14","8.36e-05")</f>
        <v>8.36e-05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HYPERLINK("http://141.218.60.56/~jnz1568/getInfo.php?workbook=20_05.xlsx&amp;sheet=U0&amp;row=4165&amp;col=6&amp;number=3.1&amp;sourceID=14","3.1")</f>
        <v>3.1</v>
      </c>
      <c r="G4165" s="4" t="str">
        <f>HYPERLINK("http://141.218.60.56/~jnz1568/getInfo.php?workbook=20_05.xlsx&amp;sheet=U0&amp;row=4165&amp;col=7&amp;number=8.36e-05&amp;sourceID=14","8.36e-05")</f>
        <v>8.36e-05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HYPERLINK("http://141.218.60.56/~jnz1568/getInfo.php?workbook=20_05.xlsx&amp;sheet=U0&amp;row=4166&amp;col=6&amp;number=3.2&amp;sourceID=14","3.2")</f>
        <v>3.2</v>
      </c>
      <c r="G4166" s="4" t="str">
        <f>HYPERLINK("http://141.218.60.56/~jnz1568/getInfo.php?workbook=20_05.xlsx&amp;sheet=U0&amp;row=4166&amp;col=7&amp;number=8.36e-05&amp;sourceID=14","8.36e-05")</f>
        <v>8.36e-05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HYPERLINK("http://141.218.60.56/~jnz1568/getInfo.php?workbook=20_05.xlsx&amp;sheet=U0&amp;row=4167&amp;col=6&amp;number=3.3&amp;sourceID=14","3.3")</f>
        <v>3.3</v>
      </c>
      <c r="G4167" s="4" t="str">
        <f>HYPERLINK("http://141.218.60.56/~jnz1568/getInfo.php?workbook=20_05.xlsx&amp;sheet=U0&amp;row=4167&amp;col=7&amp;number=8.36e-05&amp;sourceID=14","8.36e-05")</f>
        <v>8.36e-05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HYPERLINK("http://141.218.60.56/~jnz1568/getInfo.php?workbook=20_05.xlsx&amp;sheet=U0&amp;row=4168&amp;col=6&amp;number=3.4&amp;sourceID=14","3.4")</f>
        <v>3.4</v>
      </c>
      <c r="G4168" s="4" t="str">
        <f>HYPERLINK("http://141.218.60.56/~jnz1568/getInfo.php?workbook=20_05.xlsx&amp;sheet=U0&amp;row=4168&amp;col=7&amp;number=8.36e-05&amp;sourceID=14","8.36e-05")</f>
        <v>8.36e-05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HYPERLINK("http://141.218.60.56/~jnz1568/getInfo.php?workbook=20_05.xlsx&amp;sheet=U0&amp;row=4169&amp;col=6&amp;number=3.5&amp;sourceID=14","3.5")</f>
        <v>3.5</v>
      </c>
      <c r="G4169" s="4" t="str">
        <f>HYPERLINK("http://141.218.60.56/~jnz1568/getInfo.php?workbook=20_05.xlsx&amp;sheet=U0&amp;row=4169&amp;col=7&amp;number=8.36e-05&amp;sourceID=14","8.36e-05")</f>
        <v>8.36e-05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HYPERLINK("http://141.218.60.56/~jnz1568/getInfo.php?workbook=20_05.xlsx&amp;sheet=U0&amp;row=4170&amp;col=6&amp;number=3.6&amp;sourceID=14","3.6")</f>
        <v>3.6</v>
      </c>
      <c r="G4170" s="4" t="str">
        <f>HYPERLINK("http://141.218.60.56/~jnz1568/getInfo.php?workbook=20_05.xlsx&amp;sheet=U0&amp;row=4170&amp;col=7&amp;number=8.36e-05&amp;sourceID=14","8.36e-05")</f>
        <v>8.36e-05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HYPERLINK("http://141.218.60.56/~jnz1568/getInfo.php?workbook=20_05.xlsx&amp;sheet=U0&amp;row=4171&amp;col=6&amp;number=3.7&amp;sourceID=14","3.7")</f>
        <v>3.7</v>
      </c>
      <c r="G4171" s="4" t="str">
        <f>HYPERLINK("http://141.218.60.56/~jnz1568/getInfo.php?workbook=20_05.xlsx&amp;sheet=U0&amp;row=4171&amp;col=7&amp;number=8.36e-05&amp;sourceID=14","8.36e-05")</f>
        <v>8.36e-05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HYPERLINK("http://141.218.60.56/~jnz1568/getInfo.php?workbook=20_05.xlsx&amp;sheet=U0&amp;row=4172&amp;col=6&amp;number=3.8&amp;sourceID=14","3.8")</f>
        <v>3.8</v>
      </c>
      <c r="G4172" s="4" t="str">
        <f>HYPERLINK("http://141.218.60.56/~jnz1568/getInfo.php?workbook=20_05.xlsx&amp;sheet=U0&amp;row=4172&amp;col=7&amp;number=8.36e-05&amp;sourceID=14","8.36e-05")</f>
        <v>8.36e-05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HYPERLINK("http://141.218.60.56/~jnz1568/getInfo.php?workbook=20_05.xlsx&amp;sheet=U0&amp;row=4173&amp;col=6&amp;number=3.9&amp;sourceID=14","3.9")</f>
        <v>3.9</v>
      </c>
      <c r="G4173" s="4" t="str">
        <f>HYPERLINK("http://141.218.60.56/~jnz1568/getInfo.php?workbook=20_05.xlsx&amp;sheet=U0&amp;row=4173&amp;col=7&amp;number=8.36e-05&amp;sourceID=14","8.36e-05")</f>
        <v>8.36e-05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HYPERLINK("http://141.218.60.56/~jnz1568/getInfo.php?workbook=20_05.xlsx&amp;sheet=U0&amp;row=4174&amp;col=6&amp;number=4&amp;sourceID=14","4")</f>
        <v>4</v>
      </c>
      <c r="G4174" s="4" t="str">
        <f>HYPERLINK("http://141.218.60.56/~jnz1568/getInfo.php?workbook=20_05.xlsx&amp;sheet=U0&amp;row=4174&amp;col=7&amp;number=8.36e-05&amp;sourceID=14","8.36e-05")</f>
        <v>8.36e-05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HYPERLINK("http://141.218.60.56/~jnz1568/getInfo.php?workbook=20_05.xlsx&amp;sheet=U0&amp;row=4175&amp;col=6&amp;number=4.1&amp;sourceID=14","4.1")</f>
        <v>4.1</v>
      </c>
      <c r="G4175" s="4" t="str">
        <f>HYPERLINK("http://141.218.60.56/~jnz1568/getInfo.php?workbook=20_05.xlsx&amp;sheet=U0&amp;row=4175&amp;col=7&amp;number=8.37e-05&amp;sourceID=14","8.37e-05")</f>
        <v>8.37e-05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HYPERLINK("http://141.218.60.56/~jnz1568/getInfo.php?workbook=20_05.xlsx&amp;sheet=U0&amp;row=4176&amp;col=6&amp;number=4.2&amp;sourceID=14","4.2")</f>
        <v>4.2</v>
      </c>
      <c r="G4176" s="4" t="str">
        <f>HYPERLINK("http://141.218.60.56/~jnz1568/getInfo.php?workbook=20_05.xlsx&amp;sheet=U0&amp;row=4176&amp;col=7&amp;number=8.37e-05&amp;sourceID=14","8.37e-05")</f>
        <v>8.37e-05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HYPERLINK("http://141.218.60.56/~jnz1568/getInfo.php?workbook=20_05.xlsx&amp;sheet=U0&amp;row=4177&amp;col=6&amp;number=4.3&amp;sourceID=14","4.3")</f>
        <v>4.3</v>
      </c>
      <c r="G4177" s="4" t="str">
        <f>HYPERLINK("http://141.218.60.56/~jnz1568/getInfo.php?workbook=20_05.xlsx&amp;sheet=U0&amp;row=4177&amp;col=7&amp;number=8.37e-05&amp;sourceID=14","8.37e-05")</f>
        <v>8.37e-05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HYPERLINK("http://141.218.60.56/~jnz1568/getInfo.php?workbook=20_05.xlsx&amp;sheet=U0&amp;row=4178&amp;col=6&amp;number=4.4&amp;sourceID=14","4.4")</f>
        <v>4.4</v>
      </c>
      <c r="G4178" s="4" t="str">
        <f>HYPERLINK("http://141.218.60.56/~jnz1568/getInfo.php?workbook=20_05.xlsx&amp;sheet=U0&amp;row=4178&amp;col=7&amp;number=8.38e-05&amp;sourceID=14","8.38e-05")</f>
        <v>8.38e-05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HYPERLINK("http://141.218.60.56/~jnz1568/getInfo.php?workbook=20_05.xlsx&amp;sheet=U0&amp;row=4179&amp;col=6&amp;number=4.5&amp;sourceID=14","4.5")</f>
        <v>4.5</v>
      </c>
      <c r="G4179" s="4" t="str">
        <f>HYPERLINK("http://141.218.60.56/~jnz1568/getInfo.php?workbook=20_05.xlsx&amp;sheet=U0&amp;row=4179&amp;col=7&amp;number=8.38e-05&amp;sourceID=14","8.38e-05")</f>
        <v>8.38e-05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HYPERLINK("http://141.218.60.56/~jnz1568/getInfo.php?workbook=20_05.xlsx&amp;sheet=U0&amp;row=4180&amp;col=6&amp;number=4.6&amp;sourceID=14","4.6")</f>
        <v>4.6</v>
      </c>
      <c r="G4180" s="4" t="str">
        <f>HYPERLINK("http://141.218.60.56/~jnz1568/getInfo.php?workbook=20_05.xlsx&amp;sheet=U0&amp;row=4180&amp;col=7&amp;number=8.39e-05&amp;sourceID=14","8.39e-05")</f>
        <v>8.39e-05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HYPERLINK("http://141.218.60.56/~jnz1568/getInfo.php?workbook=20_05.xlsx&amp;sheet=U0&amp;row=4181&amp;col=6&amp;number=4.7&amp;sourceID=14","4.7")</f>
        <v>4.7</v>
      </c>
      <c r="G4181" s="4" t="str">
        <f>HYPERLINK("http://141.218.60.56/~jnz1568/getInfo.php?workbook=20_05.xlsx&amp;sheet=U0&amp;row=4181&amp;col=7&amp;number=8.4e-05&amp;sourceID=14","8.4e-05")</f>
        <v>8.4e-05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HYPERLINK("http://141.218.60.56/~jnz1568/getInfo.php?workbook=20_05.xlsx&amp;sheet=U0&amp;row=4182&amp;col=6&amp;number=4.8&amp;sourceID=14","4.8")</f>
        <v>4.8</v>
      </c>
      <c r="G4182" s="4" t="str">
        <f>HYPERLINK("http://141.218.60.56/~jnz1568/getInfo.php?workbook=20_05.xlsx&amp;sheet=U0&amp;row=4182&amp;col=7&amp;number=8.41e-05&amp;sourceID=14","8.41e-05")</f>
        <v>8.41e-05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HYPERLINK("http://141.218.60.56/~jnz1568/getInfo.php?workbook=20_05.xlsx&amp;sheet=U0&amp;row=4183&amp;col=6&amp;number=4.9&amp;sourceID=14","4.9")</f>
        <v>4.9</v>
      </c>
      <c r="G4183" s="4" t="str">
        <f>HYPERLINK("http://141.218.60.56/~jnz1568/getInfo.php?workbook=20_05.xlsx&amp;sheet=U0&amp;row=4183&amp;col=7&amp;number=8.42e-05&amp;sourceID=14","8.42e-05")</f>
        <v>8.42e-05</v>
      </c>
    </row>
    <row r="4184" spans="1:7">
      <c r="A4184" s="3">
        <v>20</v>
      </c>
      <c r="B4184" s="3">
        <v>5</v>
      </c>
      <c r="C4184" s="3">
        <v>2</v>
      </c>
      <c r="D4184" s="3">
        <v>56</v>
      </c>
      <c r="E4184" s="3">
        <v>1</v>
      </c>
      <c r="F4184" s="4" t="str">
        <f>HYPERLINK("http://141.218.60.56/~jnz1568/getInfo.php?workbook=20_05.xlsx&amp;sheet=U0&amp;row=4184&amp;col=6&amp;number=3&amp;sourceID=14","3")</f>
        <v>3</v>
      </c>
      <c r="G4184" s="4" t="str">
        <f>HYPERLINK("http://141.218.60.56/~jnz1568/getInfo.php?workbook=20_05.xlsx&amp;sheet=U0&amp;row=4184&amp;col=7&amp;number=0.000486&amp;sourceID=14","0.000486")</f>
        <v>0.000486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HYPERLINK("http://141.218.60.56/~jnz1568/getInfo.php?workbook=20_05.xlsx&amp;sheet=U0&amp;row=4185&amp;col=6&amp;number=3.1&amp;sourceID=14","3.1")</f>
        <v>3.1</v>
      </c>
      <c r="G4185" s="4" t="str">
        <f>HYPERLINK("http://141.218.60.56/~jnz1568/getInfo.php?workbook=20_05.xlsx&amp;sheet=U0&amp;row=4185&amp;col=7&amp;number=0.000486&amp;sourceID=14","0.000486")</f>
        <v>0.000486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HYPERLINK("http://141.218.60.56/~jnz1568/getInfo.php?workbook=20_05.xlsx&amp;sheet=U0&amp;row=4186&amp;col=6&amp;number=3.2&amp;sourceID=14","3.2")</f>
        <v>3.2</v>
      </c>
      <c r="G4186" s="4" t="str">
        <f>HYPERLINK("http://141.218.60.56/~jnz1568/getInfo.php?workbook=20_05.xlsx&amp;sheet=U0&amp;row=4186&amp;col=7&amp;number=0.000487&amp;sourceID=14","0.000487")</f>
        <v>0.000487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HYPERLINK("http://141.218.60.56/~jnz1568/getInfo.php?workbook=20_05.xlsx&amp;sheet=U0&amp;row=4187&amp;col=6&amp;number=3.3&amp;sourceID=14","3.3")</f>
        <v>3.3</v>
      </c>
      <c r="G4187" s="4" t="str">
        <f>HYPERLINK("http://141.218.60.56/~jnz1568/getInfo.php?workbook=20_05.xlsx&amp;sheet=U0&amp;row=4187&amp;col=7&amp;number=0.000487&amp;sourceID=14","0.000487")</f>
        <v>0.000487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HYPERLINK("http://141.218.60.56/~jnz1568/getInfo.php?workbook=20_05.xlsx&amp;sheet=U0&amp;row=4188&amp;col=6&amp;number=3.4&amp;sourceID=14","3.4")</f>
        <v>3.4</v>
      </c>
      <c r="G4188" s="4" t="str">
        <f>HYPERLINK("http://141.218.60.56/~jnz1568/getInfo.php?workbook=20_05.xlsx&amp;sheet=U0&amp;row=4188&amp;col=7&amp;number=0.000487&amp;sourceID=14","0.000487")</f>
        <v>0.000487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HYPERLINK("http://141.218.60.56/~jnz1568/getInfo.php?workbook=20_05.xlsx&amp;sheet=U0&amp;row=4189&amp;col=6&amp;number=3.5&amp;sourceID=14","3.5")</f>
        <v>3.5</v>
      </c>
      <c r="G4189" s="4" t="str">
        <f>HYPERLINK("http://141.218.60.56/~jnz1568/getInfo.php?workbook=20_05.xlsx&amp;sheet=U0&amp;row=4189&amp;col=7&amp;number=0.000487&amp;sourceID=14","0.000487")</f>
        <v>0.000487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HYPERLINK("http://141.218.60.56/~jnz1568/getInfo.php?workbook=20_05.xlsx&amp;sheet=U0&amp;row=4190&amp;col=6&amp;number=3.6&amp;sourceID=14","3.6")</f>
        <v>3.6</v>
      </c>
      <c r="G4190" s="4" t="str">
        <f>HYPERLINK("http://141.218.60.56/~jnz1568/getInfo.php?workbook=20_05.xlsx&amp;sheet=U0&amp;row=4190&amp;col=7&amp;number=0.000487&amp;sourceID=14","0.000487")</f>
        <v>0.000487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HYPERLINK("http://141.218.60.56/~jnz1568/getInfo.php?workbook=20_05.xlsx&amp;sheet=U0&amp;row=4191&amp;col=6&amp;number=3.7&amp;sourceID=14","3.7")</f>
        <v>3.7</v>
      </c>
      <c r="G4191" s="4" t="str">
        <f>HYPERLINK("http://141.218.60.56/~jnz1568/getInfo.php?workbook=20_05.xlsx&amp;sheet=U0&amp;row=4191&amp;col=7&amp;number=0.000487&amp;sourceID=14","0.000487")</f>
        <v>0.000487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HYPERLINK("http://141.218.60.56/~jnz1568/getInfo.php?workbook=20_05.xlsx&amp;sheet=U0&amp;row=4192&amp;col=6&amp;number=3.8&amp;sourceID=14","3.8")</f>
        <v>3.8</v>
      </c>
      <c r="G4192" s="4" t="str">
        <f>HYPERLINK("http://141.218.60.56/~jnz1568/getInfo.php?workbook=20_05.xlsx&amp;sheet=U0&amp;row=4192&amp;col=7&amp;number=0.000487&amp;sourceID=14","0.000487")</f>
        <v>0.000487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HYPERLINK("http://141.218.60.56/~jnz1568/getInfo.php?workbook=20_05.xlsx&amp;sheet=U0&amp;row=4193&amp;col=6&amp;number=3.9&amp;sourceID=14","3.9")</f>
        <v>3.9</v>
      </c>
      <c r="G4193" s="4" t="str">
        <f>HYPERLINK("http://141.218.60.56/~jnz1568/getInfo.php?workbook=20_05.xlsx&amp;sheet=U0&amp;row=4193&amp;col=7&amp;number=0.000488&amp;sourceID=14","0.000488")</f>
        <v>0.000488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HYPERLINK("http://141.218.60.56/~jnz1568/getInfo.php?workbook=20_05.xlsx&amp;sheet=U0&amp;row=4194&amp;col=6&amp;number=4&amp;sourceID=14","4")</f>
        <v>4</v>
      </c>
      <c r="G4194" s="4" t="str">
        <f>HYPERLINK("http://141.218.60.56/~jnz1568/getInfo.php?workbook=20_05.xlsx&amp;sheet=U0&amp;row=4194&amp;col=7&amp;number=0.000488&amp;sourceID=14","0.000488")</f>
        <v>0.000488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HYPERLINK("http://141.218.60.56/~jnz1568/getInfo.php?workbook=20_05.xlsx&amp;sheet=U0&amp;row=4195&amp;col=6&amp;number=4.1&amp;sourceID=14","4.1")</f>
        <v>4.1</v>
      </c>
      <c r="G4195" s="4" t="str">
        <f>HYPERLINK("http://141.218.60.56/~jnz1568/getInfo.php?workbook=20_05.xlsx&amp;sheet=U0&amp;row=4195&amp;col=7&amp;number=0.000488&amp;sourceID=14","0.000488")</f>
        <v>0.000488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HYPERLINK("http://141.218.60.56/~jnz1568/getInfo.php?workbook=20_05.xlsx&amp;sheet=U0&amp;row=4196&amp;col=6&amp;number=4.2&amp;sourceID=14","4.2")</f>
        <v>4.2</v>
      </c>
      <c r="G4196" s="4" t="str">
        <f>HYPERLINK("http://141.218.60.56/~jnz1568/getInfo.php?workbook=20_05.xlsx&amp;sheet=U0&amp;row=4196&amp;col=7&amp;number=0.000489&amp;sourceID=14","0.000489")</f>
        <v>0.000489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HYPERLINK("http://141.218.60.56/~jnz1568/getInfo.php?workbook=20_05.xlsx&amp;sheet=U0&amp;row=4197&amp;col=6&amp;number=4.3&amp;sourceID=14","4.3")</f>
        <v>4.3</v>
      </c>
      <c r="G4197" s="4" t="str">
        <f>HYPERLINK("http://141.218.60.56/~jnz1568/getInfo.php?workbook=20_05.xlsx&amp;sheet=U0&amp;row=4197&amp;col=7&amp;number=0.000489&amp;sourceID=14","0.000489")</f>
        <v>0.000489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HYPERLINK("http://141.218.60.56/~jnz1568/getInfo.php?workbook=20_05.xlsx&amp;sheet=U0&amp;row=4198&amp;col=6&amp;number=4.4&amp;sourceID=14","4.4")</f>
        <v>4.4</v>
      </c>
      <c r="G4198" s="4" t="str">
        <f>HYPERLINK("http://141.218.60.56/~jnz1568/getInfo.php?workbook=20_05.xlsx&amp;sheet=U0&amp;row=4198&amp;col=7&amp;number=0.00049&amp;sourceID=14","0.00049")</f>
        <v>0.00049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HYPERLINK("http://141.218.60.56/~jnz1568/getInfo.php?workbook=20_05.xlsx&amp;sheet=U0&amp;row=4199&amp;col=6&amp;number=4.5&amp;sourceID=14","4.5")</f>
        <v>4.5</v>
      </c>
      <c r="G4199" s="4" t="str">
        <f>HYPERLINK("http://141.218.60.56/~jnz1568/getInfo.php?workbook=20_05.xlsx&amp;sheet=U0&amp;row=4199&amp;col=7&amp;number=0.000491&amp;sourceID=14","0.000491")</f>
        <v>0.000491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HYPERLINK("http://141.218.60.56/~jnz1568/getInfo.php?workbook=20_05.xlsx&amp;sheet=U0&amp;row=4200&amp;col=6&amp;number=4.6&amp;sourceID=14","4.6")</f>
        <v>4.6</v>
      </c>
      <c r="G4200" s="4" t="str">
        <f>HYPERLINK("http://141.218.60.56/~jnz1568/getInfo.php?workbook=20_05.xlsx&amp;sheet=U0&amp;row=4200&amp;col=7&amp;number=0.000492&amp;sourceID=14","0.000492")</f>
        <v>0.000492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HYPERLINK("http://141.218.60.56/~jnz1568/getInfo.php?workbook=20_05.xlsx&amp;sheet=U0&amp;row=4201&amp;col=6&amp;number=4.7&amp;sourceID=14","4.7")</f>
        <v>4.7</v>
      </c>
      <c r="G4201" s="4" t="str">
        <f>HYPERLINK("http://141.218.60.56/~jnz1568/getInfo.php?workbook=20_05.xlsx&amp;sheet=U0&amp;row=4201&amp;col=7&amp;number=0.000494&amp;sourceID=14","0.000494")</f>
        <v>0.000494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HYPERLINK("http://141.218.60.56/~jnz1568/getInfo.php?workbook=20_05.xlsx&amp;sheet=U0&amp;row=4202&amp;col=6&amp;number=4.8&amp;sourceID=14","4.8")</f>
        <v>4.8</v>
      </c>
      <c r="G4202" s="4" t="str">
        <f>HYPERLINK("http://141.218.60.56/~jnz1568/getInfo.php?workbook=20_05.xlsx&amp;sheet=U0&amp;row=4202&amp;col=7&amp;number=0.000496&amp;sourceID=14","0.000496")</f>
        <v>0.000496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HYPERLINK("http://141.218.60.56/~jnz1568/getInfo.php?workbook=20_05.xlsx&amp;sheet=U0&amp;row=4203&amp;col=6&amp;number=4.9&amp;sourceID=14","4.9")</f>
        <v>4.9</v>
      </c>
      <c r="G4203" s="4" t="str">
        <f>HYPERLINK("http://141.218.60.56/~jnz1568/getInfo.php?workbook=20_05.xlsx&amp;sheet=U0&amp;row=4203&amp;col=7&amp;number=0.000498&amp;sourceID=14","0.000498")</f>
        <v>0.000498</v>
      </c>
    </row>
    <row r="4204" spans="1:7">
      <c r="A4204" s="3">
        <v>20</v>
      </c>
      <c r="B4204" s="3">
        <v>5</v>
      </c>
      <c r="C4204" s="3">
        <v>2</v>
      </c>
      <c r="D4204" s="3">
        <v>57</v>
      </c>
      <c r="E4204" s="3">
        <v>1</v>
      </c>
      <c r="F4204" s="4" t="str">
        <f>HYPERLINK("http://141.218.60.56/~jnz1568/getInfo.php?workbook=20_05.xlsx&amp;sheet=U0&amp;row=4204&amp;col=6&amp;number=3&amp;sourceID=14","3")</f>
        <v>3</v>
      </c>
      <c r="G4204" s="4" t="str">
        <f>HYPERLINK("http://141.218.60.56/~jnz1568/getInfo.php?workbook=20_05.xlsx&amp;sheet=U0&amp;row=4204&amp;col=7&amp;number=9.74e-05&amp;sourceID=14","9.74e-05")</f>
        <v>9.74e-05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HYPERLINK("http://141.218.60.56/~jnz1568/getInfo.php?workbook=20_05.xlsx&amp;sheet=U0&amp;row=4205&amp;col=6&amp;number=3.1&amp;sourceID=14","3.1")</f>
        <v>3.1</v>
      </c>
      <c r="G4205" s="4" t="str">
        <f>HYPERLINK("http://141.218.60.56/~jnz1568/getInfo.php?workbook=20_05.xlsx&amp;sheet=U0&amp;row=4205&amp;col=7&amp;number=9.74e-05&amp;sourceID=14","9.74e-05")</f>
        <v>9.74e-05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HYPERLINK("http://141.218.60.56/~jnz1568/getInfo.php?workbook=20_05.xlsx&amp;sheet=U0&amp;row=4206&amp;col=6&amp;number=3.2&amp;sourceID=14","3.2")</f>
        <v>3.2</v>
      </c>
      <c r="G4206" s="4" t="str">
        <f>HYPERLINK("http://141.218.60.56/~jnz1568/getInfo.php?workbook=20_05.xlsx&amp;sheet=U0&amp;row=4206&amp;col=7&amp;number=9.74e-05&amp;sourceID=14","9.74e-05")</f>
        <v>9.74e-05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HYPERLINK("http://141.218.60.56/~jnz1568/getInfo.php?workbook=20_05.xlsx&amp;sheet=U0&amp;row=4207&amp;col=6&amp;number=3.3&amp;sourceID=14","3.3")</f>
        <v>3.3</v>
      </c>
      <c r="G4207" s="4" t="str">
        <f>HYPERLINK("http://141.218.60.56/~jnz1568/getInfo.php?workbook=20_05.xlsx&amp;sheet=U0&amp;row=4207&amp;col=7&amp;number=9.74e-05&amp;sourceID=14","9.74e-05")</f>
        <v>9.74e-05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HYPERLINK("http://141.218.60.56/~jnz1568/getInfo.php?workbook=20_05.xlsx&amp;sheet=U0&amp;row=4208&amp;col=6&amp;number=3.4&amp;sourceID=14","3.4")</f>
        <v>3.4</v>
      </c>
      <c r="G4208" s="4" t="str">
        <f>HYPERLINK("http://141.218.60.56/~jnz1568/getInfo.php?workbook=20_05.xlsx&amp;sheet=U0&amp;row=4208&amp;col=7&amp;number=9.74e-05&amp;sourceID=14","9.74e-05")</f>
        <v>9.74e-05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HYPERLINK("http://141.218.60.56/~jnz1568/getInfo.php?workbook=20_05.xlsx&amp;sheet=U0&amp;row=4209&amp;col=6&amp;number=3.5&amp;sourceID=14","3.5")</f>
        <v>3.5</v>
      </c>
      <c r="G4209" s="4" t="str">
        <f>HYPERLINK("http://141.218.60.56/~jnz1568/getInfo.php?workbook=20_05.xlsx&amp;sheet=U0&amp;row=4209&amp;col=7&amp;number=9.74e-05&amp;sourceID=14","9.74e-05")</f>
        <v>9.74e-05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HYPERLINK("http://141.218.60.56/~jnz1568/getInfo.php?workbook=20_05.xlsx&amp;sheet=U0&amp;row=4210&amp;col=6&amp;number=3.6&amp;sourceID=14","3.6")</f>
        <v>3.6</v>
      </c>
      <c r="G4210" s="4" t="str">
        <f>HYPERLINK("http://141.218.60.56/~jnz1568/getInfo.php?workbook=20_05.xlsx&amp;sheet=U0&amp;row=4210&amp;col=7&amp;number=9.74e-05&amp;sourceID=14","9.74e-05")</f>
        <v>9.74e-05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HYPERLINK("http://141.218.60.56/~jnz1568/getInfo.php?workbook=20_05.xlsx&amp;sheet=U0&amp;row=4211&amp;col=6&amp;number=3.7&amp;sourceID=14","3.7")</f>
        <v>3.7</v>
      </c>
      <c r="G4211" s="4" t="str">
        <f>HYPERLINK("http://141.218.60.56/~jnz1568/getInfo.php?workbook=20_05.xlsx&amp;sheet=U0&amp;row=4211&amp;col=7&amp;number=9.74e-05&amp;sourceID=14","9.74e-05")</f>
        <v>9.74e-05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HYPERLINK("http://141.218.60.56/~jnz1568/getInfo.php?workbook=20_05.xlsx&amp;sheet=U0&amp;row=4212&amp;col=6&amp;number=3.8&amp;sourceID=14","3.8")</f>
        <v>3.8</v>
      </c>
      <c r="G4212" s="4" t="str">
        <f>HYPERLINK("http://141.218.60.56/~jnz1568/getInfo.php?workbook=20_05.xlsx&amp;sheet=U0&amp;row=4212&amp;col=7&amp;number=9.73e-05&amp;sourceID=14","9.73e-05")</f>
        <v>9.73e-05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HYPERLINK("http://141.218.60.56/~jnz1568/getInfo.php?workbook=20_05.xlsx&amp;sheet=U0&amp;row=4213&amp;col=6&amp;number=3.9&amp;sourceID=14","3.9")</f>
        <v>3.9</v>
      </c>
      <c r="G4213" s="4" t="str">
        <f>HYPERLINK("http://141.218.60.56/~jnz1568/getInfo.php?workbook=20_05.xlsx&amp;sheet=U0&amp;row=4213&amp;col=7&amp;number=9.73e-05&amp;sourceID=14","9.73e-05")</f>
        <v>9.73e-05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HYPERLINK("http://141.218.60.56/~jnz1568/getInfo.php?workbook=20_05.xlsx&amp;sheet=U0&amp;row=4214&amp;col=6&amp;number=4&amp;sourceID=14","4")</f>
        <v>4</v>
      </c>
      <c r="G4214" s="4" t="str">
        <f>HYPERLINK("http://141.218.60.56/~jnz1568/getInfo.php?workbook=20_05.xlsx&amp;sheet=U0&amp;row=4214&amp;col=7&amp;number=9.73e-05&amp;sourceID=14","9.73e-05")</f>
        <v>9.73e-05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HYPERLINK("http://141.218.60.56/~jnz1568/getInfo.php?workbook=20_05.xlsx&amp;sheet=U0&amp;row=4215&amp;col=6&amp;number=4.1&amp;sourceID=14","4.1")</f>
        <v>4.1</v>
      </c>
      <c r="G4215" s="4" t="str">
        <f>HYPERLINK("http://141.218.60.56/~jnz1568/getInfo.php?workbook=20_05.xlsx&amp;sheet=U0&amp;row=4215&amp;col=7&amp;number=9.72e-05&amp;sourceID=14","9.72e-05")</f>
        <v>9.72e-05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HYPERLINK("http://141.218.60.56/~jnz1568/getInfo.php?workbook=20_05.xlsx&amp;sheet=U0&amp;row=4216&amp;col=6&amp;number=4.2&amp;sourceID=14","4.2")</f>
        <v>4.2</v>
      </c>
      <c r="G4216" s="4" t="str">
        <f>HYPERLINK("http://141.218.60.56/~jnz1568/getInfo.php?workbook=20_05.xlsx&amp;sheet=U0&amp;row=4216&amp;col=7&amp;number=9.72e-05&amp;sourceID=14","9.72e-05")</f>
        <v>9.72e-05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HYPERLINK("http://141.218.60.56/~jnz1568/getInfo.php?workbook=20_05.xlsx&amp;sheet=U0&amp;row=4217&amp;col=6&amp;number=4.3&amp;sourceID=14","4.3")</f>
        <v>4.3</v>
      </c>
      <c r="G4217" s="4" t="str">
        <f>HYPERLINK("http://141.218.60.56/~jnz1568/getInfo.php?workbook=20_05.xlsx&amp;sheet=U0&amp;row=4217&amp;col=7&amp;number=9.71e-05&amp;sourceID=14","9.71e-05")</f>
        <v>9.71e-05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HYPERLINK("http://141.218.60.56/~jnz1568/getInfo.php?workbook=20_05.xlsx&amp;sheet=U0&amp;row=4218&amp;col=6&amp;number=4.4&amp;sourceID=14","4.4")</f>
        <v>4.4</v>
      </c>
      <c r="G4218" s="4" t="str">
        <f>HYPERLINK("http://141.218.60.56/~jnz1568/getInfo.php?workbook=20_05.xlsx&amp;sheet=U0&amp;row=4218&amp;col=7&amp;number=9.71e-05&amp;sourceID=14","9.71e-05")</f>
        <v>9.71e-05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HYPERLINK("http://141.218.60.56/~jnz1568/getInfo.php?workbook=20_05.xlsx&amp;sheet=U0&amp;row=4219&amp;col=6&amp;number=4.5&amp;sourceID=14","4.5")</f>
        <v>4.5</v>
      </c>
      <c r="G4219" s="4" t="str">
        <f>HYPERLINK("http://141.218.60.56/~jnz1568/getInfo.php?workbook=20_05.xlsx&amp;sheet=U0&amp;row=4219&amp;col=7&amp;number=9.7e-05&amp;sourceID=14","9.7e-05")</f>
        <v>9.7e-05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HYPERLINK("http://141.218.60.56/~jnz1568/getInfo.php?workbook=20_05.xlsx&amp;sheet=U0&amp;row=4220&amp;col=6&amp;number=4.6&amp;sourceID=14","4.6")</f>
        <v>4.6</v>
      </c>
      <c r="G4220" s="4" t="str">
        <f>HYPERLINK("http://141.218.60.56/~jnz1568/getInfo.php?workbook=20_05.xlsx&amp;sheet=U0&amp;row=4220&amp;col=7&amp;number=9.68e-05&amp;sourceID=14","9.68e-05")</f>
        <v>9.68e-05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HYPERLINK("http://141.218.60.56/~jnz1568/getInfo.php?workbook=20_05.xlsx&amp;sheet=U0&amp;row=4221&amp;col=6&amp;number=4.7&amp;sourceID=14","4.7")</f>
        <v>4.7</v>
      </c>
      <c r="G4221" s="4" t="str">
        <f>HYPERLINK("http://141.218.60.56/~jnz1568/getInfo.php?workbook=20_05.xlsx&amp;sheet=U0&amp;row=4221&amp;col=7&amp;number=9.67e-05&amp;sourceID=14","9.67e-05")</f>
        <v>9.67e-05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HYPERLINK("http://141.218.60.56/~jnz1568/getInfo.php?workbook=20_05.xlsx&amp;sheet=U0&amp;row=4222&amp;col=6&amp;number=4.8&amp;sourceID=14","4.8")</f>
        <v>4.8</v>
      </c>
      <c r="G4222" s="4" t="str">
        <f>HYPERLINK("http://141.218.60.56/~jnz1568/getInfo.php?workbook=20_05.xlsx&amp;sheet=U0&amp;row=4222&amp;col=7&amp;number=9.65e-05&amp;sourceID=14","9.65e-05")</f>
        <v>9.65e-05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HYPERLINK("http://141.218.60.56/~jnz1568/getInfo.php?workbook=20_05.xlsx&amp;sheet=U0&amp;row=4223&amp;col=6&amp;number=4.9&amp;sourceID=14","4.9")</f>
        <v>4.9</v>
      </c>
      <c r="G4223" s="4" t="str">
        <f>HYPERLINK("http://141.218.60.56/~jnz1568/getInfo.php?workbook=20_05.xlsx&amp;sheet=U0&amp;row=4223&amp;col=7&amp;number=9.62e-05&amp;sourceID=14","9.62e-05")</f>
        <v>9.62e-05</v>
      </c>
    </row>
    <row r="4224" spans="1:7">
      <c r="A4224" s="3">
        <v>20</v>
      </c>
      <c r="B4224" s="3">
        <v>5</v>
      </c>
      <c r="C4224" s="3">
        <v>2</v>
      </c>
      <c r="D4224" s="3">
        <v>58</v>
      </c>
      <c r="E4224" s="3">
        <v>1</v>
      </c>
      <c r="F4224" s="4" t="str">
        <f>HYPERLINK("http://141.218.60.56/~jnz1568/getInfo.php?workbook=20_05.xlsx&amp;sheet=U0&amp;row=4224&amp;col=6&amp;number=3&amp;sourceID=14","3")</f>
        <v>3</v>
      </c>
      <c r="G4224" s="4" t="str">
        <f>HYPERLINK("http://141.218.60.56/~jnz1568/getInfo.php?workbook=20_05.xlsx&amp;sheet=U0&amp;row=4224&amp;col=7&amp;number=0.000115&amp;sourceID=14","0.000115")</f>
        <v>0.000115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HYPERLINK("http://141.218.60.56/~jnz1568/getInfo.php?workbook=20_05.xlsx&amp;sheet=U0&amp;row=4225&amp;col=6&amp;number=3.1&amp;sourceID=14","3.1")</f>
        <v>3.1</v>
      </c>
      <c r="G4225" s="4" t="str">
        <f>HYPERLINK("http://141.218.60.56/~jnz1568/getInfo.php?workbook=20_05.xlsx&amp;sheet=U0&amp;row=4225&amp;col=7&amp;number=0.000115&amp;sourceID=14","0.000115")</f>
        <v>0.000115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HYPERLINK("http://141.218.60.56/~jnz1568/getInfo.php?workbook=20_05.xlsx&amp;sheet=U0&amp;row=4226&amp;col=6&amp;number=3.2&amp;sourceID=14","3.2")</f>
        <v>3.2</v>
      </c>
      <c r="G4226" s="4" t="str">
        <f>HYPERLINK("http://141.218.60.56/~jnz1568/getInfo.php?workbook=20_05.xlsx&amp;sheet=U0&amp;row=4226&amp;col=7&amp;number=0.000115&amp;sourceID=14","0.000115")</f>
        <v>0.000115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HYPERLINK("http://141.218.60.56/~jnz1568/getInfo.php?workbook=20_05.xlsx&amp;sheet=U0&amp;row=4227&amp;col=6&amp;number=3.3&amp;sourceID=14","3.3")</f>
        <v>3.3</v>
      </c>
      <c r="G4227" s="4" t="str">
        <f>HYPERLINK("http://141.218.60.56/~jnz1568/getInfo.php?workbook=20_05.xlsx&amp;sheet=U0&amp;row=4227&amp;col=7&amp;number=0.000115&amp;sourceID=14","0.000115")</f>
        <v>0.000115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HYPERLINK("http://141.218.60.56/~jnz1568/getInfo.php?workbook=20_05.xlsx&amp;sheet=U0&amp;row=4228&amp;col=6&amp;number=3.4&amp;sourceID=14","3.4")</f>
        <v>3.4</v>
      </c>
      <c r="G4228" s="4" t="str">
        <f>HYPERLINK("http://141.218.60.56/~jnz1568/getInfo.php?workbook=20_05.xlsx&amp;sheet=U0&amp;row=4228&amp;col=7&amp;number=0.000115&amp;sourceID=14","0.000115")</f>
        <v>0.000115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HYPERLINK("http://141.218.60.56/~jnz1568/getInfo.php?workbook=20_05.xlsx&amp;sheet=U0&amp;row=4229&amp;col=6&amp;number=3.5&amp;sourceID=14","3.5")</f>
        <v>3.5</v>
      </c>
      <c r="G4229" s="4" t="str">
        <f>HYPERLINK("http://141.218.60.56/~jnz1568/getInfo.php?workbook=20_05.xlsx&amp;sheet=U0&amp;row=4229&amp;col=7&amp;number=0.000115&amp;sourceID=14","0.000115")</f>
        <v>0.000115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HYPERLINK("http://141.218.60.56/~jnz1568/getInfo.php?workbook=20_05.xlsx&amp;sheet=U0&amp;row=4230&amp;col=6&amp;number=3.6&amp;sourceID=14","3.6")</f>
        <v>3.6</v>
      </c>
      <c r="G4230" s="4" t="str">
        <f>HYPERLINK("http://141.218.60.56/~jnz1568/getInfo.php?workbook=20_05.xlsx&amp;sheet=U0&amp;row=4230&amp;col=7&amp;number=0.000115&amp;sourceID=14","0.000115")</f>
        <v>0.000115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HYPERLINK("http://141.218.60.56/~jnz1568/getInfo.php?workbook=20_05.xlsx&amp;sheet=U0&amp;row=4231&amp;col=6&amp;number=3.7&amp;sourceID=14","3.7")</f>
        <v>3.7</v>
      </c>
      <c r="G4231" s="4" t="str">
        <f>HYPERLINK("http://141.218.60.56/~jnz1568/getInfo.php?workbook=20_05.xlsx&amp;sheet=U0&amp;row=4231&amp;col=7&amp;number=0.000115&amp;sourceID=14","0.000115")</f>
        <v>0.000115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HYPERLINK("http://141.218.60.56/~jnz1568/getInfo.php?workbook=20_05.xlsx&amp;sheet=U0&amp;row=4232&amp;col=6&amp;number=3.8&amp;sourceID=14","3.8")</f>
        <v>3.8</v>
      </c>
      <c r="G4232" s="4" t="str">
        <f>HYPERLINK("http://141.218.60.56/~jnz1568/getInfo.php?workbook=20_05.xlsx&amp;sheet=U0&amp;row=4232&amp;col=7&amp;number=0.000115&amp;sourceID=14","0.000115")</f>
        <v>0.000115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HYPERLINK("http://141.218.60.56/~jnz1568/getInfo.php?workbook=20_05.xlsx&amp;sheet=U0&amp;row=4233&amp;col=6&amp;number=3.9&amp;sourceID=14","3.9")</f>
        <v>3.9</v>
      </c>
      <c r="G4233" s="4" t="str">
        <f>HYPERLINK("http://141.218.60.56/~jnz1568/getInfo.php?workbook=20_05.xlsx&amp;sheet=U0&amp;row=4233&amp;col=7&amp;number=0.000115&amp;sourceID=14","0.000115")</f>
        <v>0.000115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HYPERLINK("http://141.218.60.56/~jnz1568/getInfo.php?workbook=20_05.xlsx&amp;sheet=U0&amp;row=4234&amp;col=6&amp;number=4&amp;sourceID=14","4")</f>
        <v>4</v>
      </c>
      <c r="G4234" s="4" t="str">
        <f>HYPERLINK("http://141.218.60.56/~jnz1568/getInfo.php?workbook=20_05.xlsx&amp;sheet=U0&amp;row=4234&amp;col=7&amp;number=0.000115&amp;sourceID=14","0.000115")</f>
        <v>0.000115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HYPERLINK("http://141.218.60.56/~jnz1568/getInfo.php?workbook=20_05.xlsx&amp;sheet=U0&amp;row=4235&amp;col=6&amp;number=4.1&amp;sourceID=14","4.1")</f>
        <v>4.1</v>
      </c>
      <c r="G4235" s="4" t="str">
        <f>HYPERLINK("http://141.218.60.56/~jnz1568/getInfo.php?workbook=20_05.xlsx&amp;sheet=U0&amp;row=4235&amp;col=7&amp;number=0.000115&amp;sourceID=14","0.000115")</f>
        <v>0.000115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HYPERLINK("http://141.218.60.56/~jnz1568/getInfo.php?workbook=20_05.xlsx&amp;sheet=U0&amp;row=4236&amp;col=6&amp;number=4.2&amp;sourceID=14","4.2")</f>
        <v>4.2</v>
      </c>
      <c r="G4236" s="4" t="str">
        <f>HYPERLINK("http://141.218.60.56/~jnz1568/getInfo.php?workbook=20_05.xlsx&amp;sheet=U0&amp;row=4236&amp;col=7&amp;number=0.000114&amp;sourceID=14","0.000114")</f>
        <v>0.000114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HYPERLINK("http://141.218.60.56/~jnz1568/getInfo.php?workbook=20_05.xlsx&amp;sheet=U0&amp;row=4237&amp;col=6&amp;number=4.3&amp;sourceID=14","4.3")</f>
        <v>4.3</v>
      </c>
      <c r="G4237" s="4" t="str">
        <f>HYPERLINK("http://141.218.60.56/~jnz1568/getInfo.php?workbook=20_05.xlsx&amp;sheet=U0&amp;row=4237&amp;col=7&amp;number=0.000114&amp;sourceID=14","0.000114")</f>
        <v>0.000114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HYPERLINK("http://141.218.60.56/~jnz1568/getInfo.php?workbook=20_05.xlsx&amp;sheet=U0&amp;row=4238&amp;col=6&amp;number=4.4&amp;sourceID=14","4.4")</f>
        <v>4.4</v>
      </c>
      <c r="G4238" s="4" t="str">
        <f>HYPERLINK("http://141.218.60.56/~jnz1568/getInfo.php?workbook=20_05.xlsx&amp;sheet=U0&amp;row=4238&amp;col=7&amp;number=0.000114&amp;sourceID=14","0.000114")</f>
        <v>0.000114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HYPERLINK("http://141.218.60.56/~jnz1568/getInfo.php?workbook=20_05.xlsx&amp;sheet=U0&amp;row=4239&amp;col=6&amp;number=4.5&amp;sourceID=14","4.5")</f>
        <v>4.5</v>
      </c>
      <c r="G4239" s="4" t="str">
        <f>HYPERLINK("http://141.218.60.56/~jnz1568/getInfo.php?workbook=20_05.xlsx&amp;sheet=U0&amp;row=4239&amp;col=7&amp;number=0.000114&amp;sourceID=14","0.000114")</f>
        <v>0.000114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HYPERLINK("http://141.218.60.56/~jnz1568/getInfo.php?workbook=20_05.xlsx&amp;sheet=U0&amp;row=4240&amp;col=6&amp;number=4.6&amp;sourceID=14","4.6")</f>
        <v>4.6</v>
      </c>
      <c r="G4240" s="4" t="str">
        <f>HYPERLINK("http://141.218.60.56/~jnz1568/getInfo.php?workbook=20_05.xlsx&amp;sheet=U0&amp;row=4240&amp;col=7&amp;number=0.000114&amp;sourceID=14","0.000114")</f>
        <v>0.000114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HYPERLINK("http://141.218.60.56/~jnz1568/getInfo.php?workbook=20_05.xlsx&amp;sheet=U0&amp;row=4241&amp;col=6&amp;number=4.7&amp;sourceID=14","4.7")</f>
        <v>4.7</v>
      </c>
      <c r="G4241" s="4" t="str">
        <f>HYPERLINK("http://141.218.60.56/~jnz1568/getInfo.php?workbook=20_05.xlsx&amp;sheet=U0&amp;row=4241&amp;col=7&amp;number=0.000113&amp;sourceID=14","0.000113")</f>
        <v>0.000113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HYPERLINK("http://141.218.60.56/~jnz1568/getInfo.php?workbook=20_05.xlsx&amp;sheet=U0&amp;row=4242&amp;col=6&amp;number=4.8&amp;sourceID=14","4.8")</f>
        <v>4.8</v>
      </c>
      <c r="G4242" s="4" t="str">
        <f>HYPERLINK("http://141.218.60.56/~jnz1568/getInfo.php?workbook=20_05.xlsx&amp;sheet=U0&amp;row=4242&amp;col=7&amp;number=0.000113&amp;sourceID=14","0.000113")</f>
        <v>0.000113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HYPERLINK("http://141.218.60.56/~jnz1568/getInfo.php?workbook=20_05.xlsx&amp;sheet=U0&amp;row=4243&amp;col=6&amp;number=4.9&amp;sourceID=14","4.9")</f>
        <v>4.9</v>
      </c>
      <c r="G4243" s="4" t="str">
        <f>HYPERLINK("http://141.218.60.56/~jnz1568/getInfo.php?workbook=20_05.xlsx&amp;sheet=U0&amp;row=4243&amp;col=7&amp;number=0.000113&amp;sourceID=14","0.000113")</f>
        <v>0.000113</v>
      </c>
    </row>
    <row r="4244" spans="1:7">
      <c r="A4244" s="3">
        <v>20</v>
      </c>
      <c r="B4244" s="3">
        <v>5</v>
      </c>
      <c r="C4244" s="3">
        <v>2</v>
      </c>
      <c r="D4244" s="3">
        <v>59</v>
      </c>
      <c r="E4244" s="3">
        <v>1</v>
      </c>
      <c r="F4244" s="4" t="str">
        <f>HYPERLINK("http://141.218.60.56/~jnz1568/getInfo.php?workbook=20_05.xlsx&amp;sheet=U0&amp;row=4244&amp;col=6&amp;number=3&amp;sourceID=14","3")</f>
        <v>3</v>
      </c>
      <c r="G4244" s="4" t="str">
        <f>HYPERLINK("http://141.218.60.56/~jnz1568/getInfo.php?workbook=20_05.xlsx&amp;sheet=U0&amp;row=4244&amp;col=7&amp;number=0.000117&amp;sourceID=14","0.000117")</f>
        <v>0.000117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HYPERLINK("http://141.218.60.56/~jnz1568/getInfo.php?workbook=20_05.xlsx&amp;sheet=U0&amp;row=4245&amp;col=6&amp;number=3.1&amp;sourceID=14","3.1")</f>
        <v>3.1</v>
      </c>
      <c r="G4245" s="4" t="str">
        <f>HYPERLINK("http://141.218.60.56/~jnz1568/getInfo.php?workbook=20_05.xlsx&amp;sheet=U0&amp;row=4245&amp;col=7&amp;number=0.000117&amp;sourceID=14","0.000117")</f>
        <v>0.000117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HYPERLINK("http://141.218.60.56/~jnz1568/getInfo.php?workbook=20_05.xlsx&amp;sheet=U0&amp;row=4246&amp;col=6&amp;number=3.2&amp;sourceID=14","3.2")</f>
        <v>3.2</v>
      </c>
      <c r="G4246" s="4" t="str">
        <f>HYPERLINK("http://141.218.60.56/~jnz1568/getInfo.php?workbook=20_05.xlsx&amp;sheet=U0&amp;row=4246&amp;col=7&amp;number=0.000117&amp;sourceID=14","0.000117")</f>
        <v>0.000117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HYPERLINK("http://141.218.60.56/~jnz1568/getInfo.php?workbook=20_05.xlsx&amp;sheet=U0&amp;row=4247&amp;col=6&amp;number=3.3&amp;sourceID=14","3.3")</f>
        <v>3.3</v>
      </c>
      <c r="G4247" s="4" t="str">
        <f>HYPERLINK("http://141.218.60.56/~jnz1568/getInfo.php?workbook=20_05.xlsx&amp;sheet=U0&amp;row=4247&amp;col=7&amp;number=0.000117&amp;sourceID=14","0.000117")</f>
        <v>0.000117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HYPERLINK("http://141.218.60.56/~jnz1568/getInfo.php?workbook=20_05.xlsx&amp;sheet=U0&amp;row=4248&amp;col=6&amp;number=3.4&amp;sourceID=14","3.4")</f>
        <v>3.4</v>
      </c>
      <c r="G4248" s="4" t="str">
        <f>HYPERLINK("http://141.218.60.56/~jnz1568/getInfo.php?workbook=20_05.xlsx&amp;sheet=U0&amp;row=4248&amp;col=7&amp;number=0.000117&amp;sourceID=14","0.000117")</f>
        <v>0.000117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HYPERLINK("http://141.218.60.56/~jnz1568/getInfo.php?workbook=20_05.xlsx&amp;sheet=U0&amp;row=4249&amp;col=6&amp;number=3.5&amp;sourceID=14","3.5")</f>
        <v>3.5</v>
      </c>
      <c r="G4249" s="4" t="str">
        <f>HYPERLINK("http://141.218.60.56/~jnz1568/getInfo.php?workbook=20_05.xlsx&amp;sheet=U0&amp;row=4249&amp;col=7&amp;number=0.000117&amp;sourceID=14","0.000117")</f>
        <v>0.000117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HYPERLINK("http://141.218.60.56/~jnz1568/getInfo.php?workbook=20_05.xlsx&amp;sheet=U0&amp;row=4250&amp;col=6&amp;number=3.6&amp;sourceID=14","3.6")</f>
        <v>3.6</v>
      </c>
      <c r="G4250" s="4" t="str">
        <f>HYPERLINK("http://141.218.60.56/~jnz1568/getInfo.php?workbook=20_05.xlsx&amp;sheet=U0&amp;row=4250&amp;col=7&amp;number=0.000117&amp;sourceID=14","0.000117")</f>
        <v>0.000117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HYPERLINK("http://141.218.60.56/~jnz1568/getInfo.php?workbook=20_05.xlsx&amp;sheet=U0&amp;row=4251&amp;col=6&amp;number=3.7&amp;sourceID=14","3.7")</f>
        <v>3.7</v>
      </c>
      <c r="G4251" s="4" t="str">
        <f>HYPERLINK("http://141.218.60.56/~jnz1568/getInfo.php?workbook=20_05.xlsx&amp;sheet=U0&amp;row=4251&amp;col=7&amp;number=0.000117&amp;sourceID=14","0.000117")</f>
        <v>0.000117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HYPERLINK("http://141.218.60.56/~jnz1568/getInfo.php?workbook=20_05.xlsx&amp;sheet=U0&amp;row=4252&amp;col=6&amp;number=3.8&amp;sourceID=14","3.8")</f>
        <v>3.8</v>
      </c>
      <c r="G4252" s="4" t="str">
        <f>HYPERLINK("http://141.218.60.56/~jnz1568/getInfo.php?workbook=20_05.xlsx&amp;sheet=U0&amp;row=4252&amp;col=7&amp;number=0.000117&amp;sourceID=14","0.000117")</f>
        <v>0.000117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HYPERLINK("http://141.218.60.56/~jnz1568/getInfo.php?workbook=20_05.xlsx&amp;sheet=U0&amp;row=4253&amp;col=6&amp;number=3.9&amp;sourceID=14","3.9")</f>
        <v>3.9</v>
      </c>
      <c r="G4253" s="4" t="str">
        <f>HYPERLINK("http://141.218.60.56/~jnz1568/getInfo.php?workbook=20_05.xlsx&amp;sheet=U0&amp;row=4253&amp;col=7&amp;number=0.000117&amp;sourceID=14","0.000117")</f>
        <v>0.000117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HYPERLINK("http://141.218.60.56/~jnz1568/getInfo.php?workbook=20_05.xlsx&amp;sheet=U0&amp;row=4254&amp;col=6&amp;number=4&amp;sourceID=14","4")</f>
        <v>4</v>
      </c>
      <c r="G4254" s="4" t="str">
        <f>HYPERLINK("http://141.218.60.56/~jnz1568/getInfo.php?workbook=20_05.xlsx&amp;sheet=U0&amp;row=4254&amp;col=7&amp;number=0.000117&amp;sourceID=14","0.000117")</f>
        <v>0.000117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HYPERLINK("http://141.218.60.56/~jnz1568/getInfo.php?workbook=20_05.xlsx&amp;sheet=U0&amp;row=4255&amp;col=6&amp;number=4.1&amp;sourceID=14","4.1")</f>
        <v>4.1</v>
      </c>
      <c r="G4255" s="4" t="str">
        <f>HYPERLINK("http://141.218.60.56/~jnz1568/getInfo.php?workbook=20_05.xlsx&amp;sheet=U0&amp;row=4255&amp;col=7&amp;number=0.000117&amp;sourceID=14","0.000117")</f>
        <v>0.000117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HYPERLINK("http://141.218.60.56/~jnz1568/getInfo.php?workbook=20_05.xlsx&amp;sheet=U0&amp;row=4256&amp;col=6&amp;number=4.2&amp;sourceID=14","4.2")</f>
        <v>4.2</v>
      </c>
      <c r="G4256" s="4" t="str">
        <f>HYPERLINK("http://141.218.60.56/~jnz1568/getInfo.php?workbook=20_05.xlsx&amp;sheet=U0&amp;row=4256&amp;col=7&amp;number=0.000117&amp;sourceID=14","0.000117")</f>
        <v>0.000117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HYPERLINK("http://141.218.60.56/~jnz1568/getInfo.php?workbook=20_05.xlsx&amp;sheet=U0&amp;row=4257&amp;col=6&amp;number=4.3&amp;sourceID=14","4.3")</f>
        <v>4.3</v>
      </c>
      <c r="G4257" s="4" t="str">
        <f>HYPERLINK("http://141.218.60.56/~jnz1568/getInfo.php?workbook=20_05.xlsx&amp;sheet=U0&amp;row=4257&amp;col=7&amp;number=0.000117&amp;sourceID=14","0.000117")</f>
        <v>0.000117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HYPERLINK("http://141.218.60.56/~jnz1568/getInfo.php?workbook=20_05.xlsx&amp;sheet=U0&amp;row=4258&amp;col=6&amp;number=4.4&amp;sourceID=14","4.4")</f>
        <v>4.4</v>
      </c>
      <c r="G4258" s="4" t="str">
        <f>HYPERLINK("http://141.218.60.56/~jnz1568/getInfo.php?workbook=20_05.xlsx&amp;sheet=U0&amp;row=4258&amp;col=7&amp;number=0.000117&amp;sourceID=14","0.000117")</f>
        <v>0.000117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HYPERLINK("http://141.218.60.56/~jnz1568/getInfo.php?workbook=20_05.xlsx&amp;sheet=U0&amp;row=4259&amp;col=6&amp;number=4.5&amp;sourceID=14","4.5")</f>
        <v>4.5</v>
      </c>
      <c r="G4259" s="4" t="str">
        <f>HYPERLINK("http://141.218.60.56/~jnz1568/getInfo.php?workbook=20_05.xlsx&amp;sheet=U0&amp;row=4259&amp;col=7&amp;number=0.000116&amp;sourceID=14","0.000116")</f>
        <v>0.000116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HYPERLINK("http://141.218.60.56/~jnz1568/getInfo.php?workbook=20_05.xlsx&amp;sheet=U0&amp;row=4260&amp;col=6&amp;number=4.6&amp;sourceID=14","4.6")</f>
        <v>4.6</v>
      </c>
      <c r="G4260" s="4" t="str">
        <f>HYPERLINK("http://141.218.60.56/~jnz1568/getInfo.php?workbook=20_05.xlsx&amp;sheet=U0&amp;row=4260&amp;col=7&amp;number=0.000116&amp;sourceID=14","0.000116")</f>
        <v>0.000116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HYPERLINK("http://141.218.60.56/~jnz1568/getInfo.php?workbook=20_05.xlsx&amp;sheet=U0&amp;row=4261&amp;col=6&amp;number=4.7&amp;sourceID=14","4.7")</f>
        <v>4.7</v>
      </c>
      <c r="G4261" s="4" t="str">
        <f>HYPERLINK("http://141.218.60.56/~jnz1568/getInfo.php?workbook=20_05.xlsx&amp;sheet=U0&amp;row=4261&amp;col=7&amp;number=0.000116&amp;sourceID=14","0.000116")</f>
        <v>0.000116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HYPERLINK("http://141.218.60.56/~jnz1568/getInfo.php?workbook=20_05.xlsx&amp;sheet=U0&amp;row=4262&amp;col=6&amp;number=4.8&amp;sourceID=14","4.8")</f>
        <v>4.8</v>
      </c>
      <c r="G4262" s="4" t="str">
        <f>HYPERLINK("http://141.218.60.56/~jnz1568/getInfo.php?workbook=20_05.xlsx&amp;sheet=U0&amp;row=4262&amp;col=7&amp;number=0.000116&amp;sourceID=14","0.000116")</f>
        <v>0.000116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HYPERLINK("http://141.218.60.56/~jnz1568/getInfo.php?workbook=20_05.xlsx&amp;sheet=U0&amp;row=4263&amp;col=6&amp;number=4.9&amp;sourceID=14","4.9")</f>
        <v>4.9</v>
      </c>
      <c r="G4263" s="4" t="str">
        <f>HYPERLINK("http://141.218.60.56/~jnz1568/getInfo.php?workbook=20_05.xlsx&amp;sheet=U0&amp;row=4263&amp;col=7&amp;number=0.000115&amp;sourceID=14","0.000115")</f>
        <v>0.000115</v>
      </c>
    </row>
    <row r="4264" spans="1:7">
      <c r="A4264" s="3">
        <v>20</v>
      </c>
      <c r="B4264" s="3">
        <v>5</v>
      </c>
      <c r="C4264" s="3">
        <v>2</v>
      </c>
      <c r="D4264" s="3">
        <v>60</v>
      </c>
      <c r="E4264" s="3">
        <v>1</v>
      </c>
      <c r="F4264" s="4" t="str">
        <f>HYPERLINK("http://141.218.60.56/~jnz1568/getInfo.php?workbook=20_05.xlsx&amp;sheet=U0&amp;row=4264&amp;col=6&amp;number=3&amp;sourceID=14","3")</f>
        <v>3</v>
      </c>
      <c r="G4264" s="4" t="str">
        <f>HYPERLINK("http://141.218.60.56/~jnz1568/getInfo.php?workbook=20_05.xlsx&amp;sheet=U0&amp;row=4264&amp;col=7&amp;number=0.000199&amp;sourceID=14","0.000199")</f>
        <v>0.000199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HYPERLINK("http://141.218.60.56/~jnz1568/getInfo.php?workbook=20_05.xlsx&amp;sheet=U0&amp;row=4265&amp;col=6&amp;number=3.1&amp;sourceID=14","3.1")</f>
        <v>3.1</v>
      </c>
      <c r="G4265" s="4" t="str">
        <f>HYPERLINK("http://141.218.60.56/~jnz1568/getInfo.php?workbook=20_05.xlsx&amp;sheet=U0&amp;row=4265&amp;col=7&amp;number=0.000199&amp;sourceID=14","0.000199")</f>
        <v>0.000199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HYPERLINK("http://141.218.60.56/~jnz1568/getInfo.php?workbook=20_05.xlsx&amp;sheet=U0&amp;row=4266&amp;col=6&amp;number=3.2&amp;sourceID=14","3.2")</f>
        <v>3.2</v>
      </c>
      <c r="G4266" s="4" t="str">
        <f>HYPERLINK("http://141.218.60.56/~jnz1568/getInfo.php?workbook=20_05.xlsx&amp;sheet=U0&amp;row=4266&amp;col=7&amp;number=0.000199&amp;sourceID=14","0.000199")</f>
        <v>0.000199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HYPERLINK("http://141.218.60.56/~jnz1568/getInfo.php?workbook=20_05.xlsx&amp;sheet=U0&amp;row=4267&amp;col=6&amp;number=3.3&amp;sourceID=14","3.3")</f>
        <v>3.3</v>
      </c>
      <c r="G4267" s="4" t="str">
        <f>HYPERLINK("http://141.218.60.56/~jnz1568/getInfo.php?workbook=20_05.xlsx&amp;sheet=U0&amp;row=4267&amp;col=7&amp;number=0.000199&amp;sourceID=14","0.000199")</f>
        <v>0.000199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HYPERLINK("http://141.218.60.56/~jnz1568/getInfo.php?workbook=20_05.xlsx&amp;sheet=U0&amp;row=4268&amp;col=6&amp;number=3.4&amp;sourceID=14","3.4")</f>
        <v>3.4</v>
      </c>
      <c r="G4268" s="4" t="str">
        <f>HYPERLINK("http://141.218.60.56/~jnz1568/getInfo.php?workbook=20_05.xlsx&amp;sheet=U0&amp;row=4268&amp;col=7&amp;number=0.000199&amp;sourceID=14","0.000199")</f>
        <v>0.000199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HYPERLINK("http://141.218.60.56/~jnz1568/getInfo.php?workbook=20_05.xlsx&amp;sheet=U0&amp;row=4269&amp;col=6&amp;number=3.5&amp;sourceID=14","3.5")</f>
        <v>3.5</v>
      </c>
      <c r="G4269" s="4" t="str">
        <f>HYPERLINK("http://141.218.60.56/~jnz1568/getInfo.php?workbook=20_05.xlsx&amp;sheet=U0&amp;row=4269&amp;col=7&amp;number=0.000199&amp;sourceID=14","0.000199")</f>
        <v>0.000199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HYPERLINK("http://141.218.60.56/~jnz1568/getInfo.php?workbook=20_05.xlsx&amp;sheet=U0&amp;row=4270&amp;col=6&amp;number=3.6&amp;sourceID=14","3.6")</f>
        <v>3.6</v>
      </c>
      <c r="G4270" s="4" t="str">
        <f>HYPERLINK("http://141.218.60.56/~jnz1568/getInfo.php?workbook=20_05.xlsx&amp;sheet=U0&amp;row=4270&amp;col=7&amp;number=0.000199&amp;sourceID=14","0.000199")</f>
        <v>0.000199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HYPERLINK("http://141.218.60.56/~jnz1568/getInfo.php?workbook=20_05.xlsx&amp;sheet=U0&amp;row=4271&amp;col=6&amp;number=3.7&amp;sourceID=14","3.7")</f>
        <v>3.7</v>
      </c>
      <c r="G4271" s="4" t="str">
        <f>HYPERLINK("http://141.218.60.56/~jnz1568/getInfo.php?workbook=20_05.xlsx&amp;sheet=U0&amp;row=4271&amp;col=7&amp;number=0.000199&amp;sourceID=14","0.000199")</f>
        <v>0.000199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HYPERLINK("http://141.218.60.56/~jnz1568/getInfo.php?workbook=20_05.xlsx&amp;sheet=U0&amp;row=4272&amp;col=6&amp;number=3.8&amp;sourceID=14","3.8")</f>
        <v>3.8</v>
      </c>
      <c r="G4272" s="4" t="str">
        <f>HYPERLINK("http://141.218.60.56/~jnz1568/getInfo.php?workbook=20_05.xlsx&amp;sheet=U0&amp;row=4272&amp;col=7&amp;number=0.000199&amp;sourceID=14","0.000199")</f>
        <v>0.000199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HYPERLINK("http://141.218.60.56/~jnz1568/getInfo.php?workbook=20_05.xlsx&amp;sheet=U0&amp;row=4273&amp;col=6&amp;number=3.9&amp;sourceID=14","3.9")</f>
        <v>3.9</v>
      </c>
      <c r="G4273" s="4" t="str">
        <f>HYPERLINK("http://141.218.60.56/~jnz1568/getInfo.php?workbook=20_05.xlsx&amp;sheet=U0&amp;row=4273&amp;col=7&amp;number=0.000199&amp;sourceID=14","0.000199")</f>
        <v>0.000199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HYPERLINK("http://141.218.60.56/~jnz1568/getInfo.php?workbook=20_05.xlsx&amp;sheet=U0&amp;row=4274&amp;col=6&amp;number=4&amp;sourceID=14","4")</f>
        <v>4</v>
      </c>
      <c r="G4274" s="4" t="str">
        <f>HYPERLINK("http://141.218.60.56/~jnz1568/getInfo.php?workbook=20_05.xlsx&amp;sheet=U0&amp;row=4274&amp;col=7&amp;number=0.000199&amp;sourceID=14","0.000199")</f>
        <v>0.000199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HYPERLINK("http://141.218.60.56/~jnz1568/getInfo.php?workbook=20_05.xlsx&amp;sheet=U0&amp;row=4275&amp;col=6&amp;number=4.1&amp;sourceID=14","4.1")</f>
        <v>4.1</v>
      </c>
      <c r="G4275" s="4" t="str">
        <f>HYPERLINK("http://141.218.60.56/~jnz1568/getInfo.php?workbook=20_05.xlsx&amp;sheet=U0&amp;row=4275&amp;col=7&amp;number=0.000199&amp;sourceID=14","0.000199")</f>
        <v>0.000199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HYPERLINK("http://141.218.60.56/~jnz1568/getInfo.php?workbook=20_05.xlsx&amp;sheet=U0&amp;row=4276&amp;col=6&amp;number=4.2&amp;sourceID=14","4.2")</f>
        <v>4.2</v>
      </c>
      <c r="G4276" s="4" t="str">
        <f>HYPERLINK("http://141.218.60.56/~jnz1568/getInfo.php?workbook=20_05.xlsx&amp;sheet=U0&amp;row=4276&amp;col=7&amp;number=0.000198&amp;sourceID=14","0.000198")</f>
        <v>0.000198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HYPERLINK("http://141.218.60.56/~jnz1568/getInfo.php?workbook=20_05.xlsx&amp;sheet=U0&amp;row=4277&amp;col=6&amp;number=4.3&amp;sourceID=14","4.3")</f>
        <v>4.3</v>
      </c>
      <c r="G4277" s="4" t="str">
        <f>HYPERLINK("http://141.218.60.56/~jnz1568/getInfo.php?workbook=20_05.xlsx&amp;sheet=U0&amp;row=4277&amp;col=7&amp;number=0.000198&amp;sourceID=14","0.000198")</f>
        <v>0.000198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HYPERLINK("http://141.218.60.56/~jnz1568/getInfo.php?workbook=20_05.xlsx&amp;sheet=U0&amp;row=4278&amp;col=6&amp;number=4.4&amp;sourceID=14","4.4")</f>
        <v>4.4</v>
      </c>
      <c r="G4278" s="4" t="str">
        <f>HYPERLINK("http://141.218.60.56/~jnz1568/getInfo.php?workbook=20_05.xlsx&amp;sheet=U0&amp;row=4278&amp;col=7&amp;number=0.000198&amp;sourceID=14","0.000198")</f>
        <v>0.000198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HYPERLINK("http://141.218.60.56/~jnz1568/getInfo.php?workbook=20_05.xlsx&amp;sheet=U0&amp;row=4279&amp;col=6&amp;number=4.5&amp;sourceID=14","4.5")</f>
        <v>4.5</v>
      </c>
      <c r="G4279" s="4" t="str">
        <f>HYPERLINK("http://141.218.60.56/~jnz1568/getInfo.php?workbook=20_05.xlsx&amp;sheet=U0&amp;row=4279&amp;col=7&amp;number=0.000198&amp;sourceID=14","0.000198")</f>
        <v>0.000198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HYPERLINK("http://141.218.60.56/~jnz1568/getInfo.php?workbook=20_05.xlsx&amp;sheet=U0&amp;row=4280&amp;col=6&amp;number=4.6&amp;sourceID=14","4.6")</f>
        <v>4.6</v>
      </c>
      <c r="G4280" s="4" t="str">
        <f>HYPERLINK("http://141.218.60.56/~jnz1568/getInfo.php?workbook=20_05.xlsx&amp;sheet=U0&amp;row=4280&amp;col=7&amp;number=0.000198&amp;sourceID=14","0.000198")</f>
        <v>0.000198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HYPERLINK("http://141.218.60.56/~jnz1568/getInfo.php?workbook=20_05.xlsx&amp;sheet=U0&amp;row=4281&amp;col=6&amp;number=4.7&amp;sourceID=14","4.7")</f>
        <v>4.7</v>
      </c>
      <c r="G4281" s="4" t="str">
        <f>HYPERLINK("http://141.218.60.56/~jnz1568/getInfo.php?workbook=20_05.xlsx&amp;sheet=U0&amp;row=4281&amp;col=7&amp;number=0.000197&amp;sourceID=14","0.000197")</f>
        <v>0.000197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HYPERLINK("http://141.218.60.56/~jnz1568/getInfo.php?workbook=20_05.xlsx&amp;sheet=U0&amp;row=4282&amp;col=6&amp;number=4.8&amp;sourceID=14","4.8")</f>
        <v>4.8</v>
      </c>
      <c r="G4282" s="4" t="str">
        <f>HYPERLINK("http://141.218.60.56/~jnz1568/getInfo.php?workbook=20_05.xlsx&amp;sheet=U0&amp;row=4282&amp;col=7&amp;number=0.000197&amp;sourceID=14","0.000197")</f>
        <v>0.000197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HYPERLINK("http://141.218.60.56/~jnz1568/getInfo.php?workbook=20_05.xlsx&amp;sheet=U0&amp;row=4283&amp;col=6&amp;number=4.9&amp;sourceID=14","4.9")</f>
        <v>4.9</v>
      </c>
      <c r="G4283" s="4" t="str">
        <f>HYPERLINK("http://141.218.60.56/~jnz1568/getInfo.php?workbook=20_05.xlsx&amp;sheet=U0&amp;row=4283&amp;col=7&amp;number=0.000196&amp;sourceID=14","0.000196")</f>
        <v>0.000196</v>
      </c>
    </row>
    <row r="4284" spans="1:7">
      <c r="A4284" s="3">
        <v>20</v>
      </c>
      <c r="B4284" s="3">
        <v>5</v>
      </c>
      <c r="C4284" s="3">
        <v>2</v>
      </c>
      <c r="D4284" s="3">
        <v>61</v>
      </c>
      <c r="E4284" s="3">
        <v>1</v>
      </c>
      <c r="F4284" s="4" t="str">
        <f>HYPERLINK("http://141.218.60.56/~jnz1568/getInfo.php?workbook=20_05.xlsx&amp;sheet=U0&amp;row=4284&amp;col=6&amp;number=3&amp;sourceID=14","3")</f>
        <v>3</v>
      </c>
      <c r="G4284" s="4" t="str">
        <f>HYPERLINK("http://141.218.60.56/~jnz1568/getInfo.php?workbook=20_05.xlsx&amp;sheet=U0&amp;row=4284&amp;col=7&amp;number=0.00144&amp;sourceID=14","0.00144")</f>
        <v>0.00144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HYPERLINK("http://141.218.60.56/~jnz1568/getInfo.php?workbook=20_05.xlsx&amp;sheet=U0&amp;row=4285&amp;col=6&amp;number=3.1&amp;sourceID=14","3.1")</f>
        <v>3.1</v>
      </c>
      <c r="G4285" s="4" t="str">
        <f>HYPERLINK("http://141.218.60.56/~jnz1568/getInfo.php?workbook=20_05.xlsx&amp;sheet=U0&amp;row=4285&amp;col=7&amp;number=0.00144&amp;sourceID=14","0.00144")</f>
        <v>0.00144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HYPERLINK("http://141.218.60.56/~jnz1568/getInfo.php?workbook=20_05.xlsx&amp;sheet=U0&amp;row=4286&amp;col=6&amp;number=3.2&amp;sourceID=14","3.2")</f>
        <v>3.2</v>
      </c>
      <c r="G4286" s="4" t="str">
        <f>HYPERLINK("http://141.218.60.56/~jnz1568/getInfo.php?workbook=20_05.xlsx&amp;sheet=U0&amp;row=4286&amp;col=7&amp;number=0.00144&amp;sourceID=14","0.00144")</f>
        <v>0.00144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HYPERLINK("http://141.218.60.56/~jnz1568/getInfo.php?workbook=20_05.xlsx&amp;sheet=U0&amp;row=4287&amp;col=6&amp;number=3.3&amp;sourceID=14","3.3")</f>
        <v>3.3</v>
      </c>
      <c r="G4287" s="4" t="str">
        <f>HYPERLINK("http://141.218.60.56/~jnz1568/getInfo.php?workbook=20_05.xlsx&amp;sheet=U0&amp;row=4287&amp;col=7&amp;number=0.00144&amp;sourceID=14","0.00144")</f>
        <v>0.00144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HYPERLINK("http://141.218.60.56/~jnz1568/getInfo.php?workbook=20_05.xlsx&amp;sheet=U0&amp;row=4288&amp;col=6&amp;number=3.4&amp;sourceID=14","3.4")</f>
        <v>3.4</v>
      </c>
      <c r="G4288" s="4" t="str">
        <f>HYPERLINK("http://141.218.60.56/~jnz1568/getInfo.php?workbook=20_05.xlsx&amp;sheet=U0&amp;row=4288&amp;col=7&amp;number=0.00144&amp;sourceID=14","0.00144")</f>
        <v>0.00144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HYPERLINK("http://141.218.60.56/~jnz1568/getInfo.php?workbook=20_05.xlsx&amp;sheet=U0&amp;row=4289&amp;col=6&amp;number=3.5&amp;sourceID=14","3.5")</f>
        <v>3.5</v>
      </c>
      <c r="G4289" s="4" t="str">
        <f>HYPERLINK("http://141.218.60.56/~jnz1568/getInfo.php?workbook=20_05.xlsx&amp;sheet=U0&amp;row=4289&amp;col=7&amp;number=0.00144&amp;sourceID=14","0.00144")</f>
        <v>0.00144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HYPERLINK("http://141.218.60.56/~jnz1568/getInfo.php?workbook=20_05.xlsx&amp;sheet=U0&amp;row=4290&amp;col=6&amp;number=3.6&amp;sourceID=14","3.6")</f>
        <v>3.6</v>
      </c>
      <c r="G4290" s="4" t="str">
        <f>HYPERLINK("http://141.218.60.56/~jnz1568/getInfo.php?workbook=20_05.xlsx&amp;sheet=U0&amp;row=4290&amp;col=7&amp;number=0.00144&amp;sourceID=14","0.00144")</f>
        <v>0.00144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HYPERLINK("http://141.218.60.56/~jnz1568/getInfo.php?workbook=20_05.xlsx&amp;sheet=U0&amp;row=4291&amp;col=6&amp;number=3.7&amp;sourceID=14","3.7")</f>
        <v>3.7</v>
      </c>
      <c r="G4291" s="4" t="str">
        <f>HYPERLINK("http://141.218.60.56/~jnz1568/getInfo.php?workbook=20_05.xlsx&amp;sheet=U0&amp;row=4291&amp;col=7&amp;number=0.00144&amp;sourceID=14","0.00144")</f>
        <v>0.00144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HYPERLINK("http://141.218.60.56/~jnz1568/getInfo.php?workbook=20_05.xlsx&amp;sheet=U0&amp;row=4292&amp;col=6&amp;number=3.8&amp;sourceID=14","3.8")</f>
        <v>3.8</v>
      </c>
      <c r="G4292" s="4" t="str">
        <f>HYPERLINK("http://141.218.60.56/~jnz1568/getInfo.php?workbook=20_05.xlsx&amp;sheet=U0&amp;row=4292&amp;col=7&amp;number=0.00144&amp;sourceID=14","0.00144")</f>
        <v>0.00144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HYPERLINK("http://141.218.60.56/~jnz1568/getInfo.php?workbook=20_05.xlsx&amp;sheet=U0&amp;row=4293&amp;col=6&amp;number=3.9&amp;sourceID=14","3.9")</f>
        <v>3.9</v>
      </c>
      <c r="G4293" s="4" t="str">
        <f>HYPERLINK("http://141.218.60.56/~jnz1568/getInfo.php?workbook=20_05.xlsx&amp;sheet=U0&amp;row=4293&amp;col=7&amp;number=0.00144&amp;sourceID=14","0.00144")</f>
        <v>0.00144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HYPERLINK("http://141.218.60.56/~jnz1568/getInfo.php?workbook=20_05.xlsx&amp;sheet=U0&amp;row=4294&amp;col=6&amp;number=4&amp;sourceID=14","4")</f>
        <v>4</v>
      </c>
      <c r="G4294" s="4" t="str">
        <f>HYPERLINK("http://141.218.60.56/~jnz1568/getInfo.php?workbook=20_05.xlsx&amp;sheet=U0&amp;row=4294&amp;col=7&amp;number=0.00144&amp;sourceID=14","0.00144")</f>
        <v>0.00144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HYPERLINK("http://141.218.60.56/~jnz1568/getInfo.php?workbook=20_05.xlsx&amp;sheet=U0&amp;row=4295&amp;col=6&amp;number=4.1&amp;sourceID=14","4.1")</f>
        <v>4.1</v>
      </c>
      <c r="G4295" s="4" t="str">
        <f>HYPERLINK("http://141.218.60.56/~jnz1568/getInfo.php?workbook=20_05.xlsx&amp;sheet=U0&amp;row=4295&amp;col=7&amp;number=0.00144&amp;sourceID=14","0.00144")</f>
        <v>0.00144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HYPERLINK("http://141.218.60.56/~jnz1568/getInfo.php?workbook=20_05.xlsx&amp;sheet=U0&amp;row=4296&amp;col=6&amp;number=4.2&amp;sourceID=14","4.2")</f>
        <v>4.2</v>
      </c>
      <c r="G4296" s="4" t="str">
        <f>HYPERLINK("http://141.218.60.56/~jnz1568/getInfo.php?workbook=20_05.xlsx&amp;sheet=U0&amp;row=4296&amp;col=7&amp;number=0.00144&amp;sourceID=14","0.00144")</f>
        <v>0.00144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HYPERLINK("http://141.218.60.56/~jnz1568/getInfo.php?workbook=20_05.xlsx&amp;sheet=U0&amp;row=4297&amp;col=6&amp;number=4.3&amp;sourceID=14","4.3")</f>
        <v>4.3</v>
      </c>
      <c r="G4297" s="4" t="str">
        <f>HYPERLINK("http://141.218.60.56/~jnz1568/getInfo.php?workbook=20_05.xlsx&amp;sheet=U0&amp;row=4297&amp;col=7&amp;number=0.00144&amp;sourceID=14","0.00144")</f>
        <v>0.00144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HYPERLINK("http://141.218.60.56/~jnz1568/getInfo.php?workbook=20_05.xlsx&amp;sheet=U0&amp;row=4298&amp;col=6&amp;number=4.4&amp;sourceID=14","4.4")</f>
        <v>4.4</v>
      </c>
      <c r="G4298" s="4" t="str">
        <f>HYPERLINK("http://141.218.60.56/~jnz1568/getInfo.php?workbook=20_05.xlsx&amp;sheet=U0&amp;row=4298&amp;col=7&amp;number=0.00144&amp;sourceID=14","0.00144")</f>
        <v>0.00144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HYPERLINK("http://141.218.60.56/~jnz1568/getInfo.php?workbook=20_05.xlsx&amp;sheet=U0&amp;row=4299&amp;col=6&amp;number=4.5&amp;sourceID=14","4.5")</f>
        <v>4.5</v>
      </c>
      <c r="G4299" s="4" t="str">
        <f>HYPERLINK("http://141.218.60.56/~jnz1568/getInfo.php?workbook=20_05.xlsx&amp;sheet=U0&amp;row=4299&amp;col=7&amp;number=0.00144&amp;sourceID=14","0.00144")</f>
        <v>0.00144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HYPERLINK("http://141.218.60.56/~jnz1568/getInfo.php?workbook=20_05.xlsx&amp;sheet=U0&amp;row=4300&amp;col=6&amp;number=4.6&amp;sourceID=14","4.6")</f>
        <v>4.6</v>
      </c>
      <c r="G4300" s="4" t="str">
        <f>HYPERLINK("http://141.218.60.56/~jnz1568/getInfo.php?workbook=20_05.xlsx&amp;sheet=U0&amp;row=4300&amp;col=7&amp;number=0.00145&amp;sourceID=14","0.00145")</f>
        <v>0.00145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HYPERLINK("http://141.218.60.56/~jnz1568/getInfo.php?workbook=20_05.xlsx&amp;sheet=U0&amp;row=4301&amp;col=6&amp;number=4.7&amp;sourceID=14","4.7")</f>
        <v>4.7</v>
      </c>
      <c r="G4301" s="4" t="str">
        <f>HYPERLINK("http://141.218.60.56/~jnz1568/getInfo.php?workbook=20_05.xlsx&amp;sheet=U0&amp;row=4301&amp;col=7&amp;number=0.00145&amp;sourceID=14","0.00145")</f>
        <v>0.00145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HYPERLINK("http://141.218.60.56/~jnz1568/getInfo.php?workbook=20_05.xlsx&amp;sheet=U0&amp;row=4302&amp;col=6&amp;number=4.8&amp;sourceID=14","4.8")</f>
        <v>4.8</v>
      </c>
      <c r="G4302" s="4" t="str">
        <f>HYPERLINK("http://141.218.60.56/~jnz1568/getInfo.php?workbook=20_05.xlsx&amp;sheet=U0&amp;row=4302&amp;col=7&amp;number=0.00145&amp;sourceID=14","0.00145")</f>
        <v>0.00145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HYPERLINK("http://141.218.60.56/~jnz1568/getInfo.php?workbook=20_05.xlsx&amp;sheet=U0&amp;row=4303&amp;col=6&amp;number=4.9&amp;sourceID=14","4.9")</f>
        <v>4.9</v>
      </c>
      <c r="G4303" s="4" t="str">
        <f>HYPERLINK("http://141.218.60.56/~jnz1568/getInfo.php?workbook=20_05.xlsx&amp;sheet=U0&amp;row=4303&amp;col=7&amp;number=0.00146&amp;sourceID=14","0.00146")</f>
        <v>0.00146</v>
      </c>
    </row>
    <row r="4304" spans="1:7">
      <c r="A4304" s="3">
        <v>20</v>
      </c>
      <c r="B4304" s="3">
        <v>5</v>
      </c>
      <c r="C4304" s="3">
        <v>2</v>
      </c>
      <c r="D4304" s="3">
        <v>62</v>
      </c>
      <c r="E4304" s="3">
        <v>1</v>
      </c>
      <c r="F4304" s="4" t="str">
        <f>HYPERLINK("http://141.218.60.56/~jnz1568/getInfo.php?workbook=20_05.xlsx&amp;sheet=U0&amp;row=4304&amp;col=6&amp;number=3&amp;sourceID=14","3")</f>
        <v>3</v>
      </c>
      <c r="G4304" s="4" t="str">
        <f>HYPERLINK("http://141.218.60.56/~jnz1568/getInfo.php?workbook=20_05.xlsx&amp;sheet=U0&amp;row=4304&amp;col=7&amp;number=0.00108&amp;sourceID=14","0.00108")</f>
        <v>0.00108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HYPERLINK("http://141.218.60.56/~jnz1568/getInfo.php?workbook=20_05.xlsx&amp;sheet=U0&amp;row=4305&amp;col=6&amp;number=3.1&amp;sourceID=14","3.1")</f>
        <v>3.1</v>
      </c>
      <c r="G4305" s="4" t="str">
        <f>HYPERLINK("http://141.218.60.56/~jnz1568/getInfo.php?workbook=20_05.xlsx&amp;sheet=U0&amp;row=4305&amp;col=7&amp;number=0.00108&amp;sourceID=14","0.00108")</f>
        <v>0.00108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HYPERLINK("http://141.218.60.56/~jnz1568/getInfo.php?workbook=20_05.xlsx&amp;sheet=U0&amp;row=4306&amp;col=6&amp;number=3.2&amp;sourceID=14","3.2")</f>
        <v>3.2</v>
      </c>
      <c r="G4306" s="4" t="str">
        <f>HYPERLINK("http://141.218.60.56/~jnz1568/getInfo.php?workbook=20_05.xlsx&amp;sheet=U0&amp;row=4306&amp;col=7&amp;number=0.00108&amp;sourceID=14","0.00108")</f>
        <v>0.00108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HYPERLINK("http://141.218.60.56/~jnz1568/getInfo.php?workbook=20_05.xlsx&amp;sheet=U0&amp;row=4307&amp;col=6&amp;number=3.3&amp;sourceID=14","3.3")</f>
        <v>3.3</v>
      </c>
      <c r="G4307" s="4" t="str">
        <f>HYPERLINK("http://141.218.60.56/~jnz1568/getInfo.php?workbook=20_05.xlsx&amp;sheet=U0&amp;row=4307&amp;col=7&amp;number=0.00108&amp;sourceID=14","0.00108")</f>
        <v>0.00108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HYPERLINK("http://141.218.60.56/~jnz1568/getInfo.php?workbook=20_05.xlsx&amp;sheet=U0&amp;row=4308&amp;col=6&amp;number=3.4&amp;sourceID=14","3.4")</f>
        <v>3.4</v>
      </c>
      <c r="G4308" s="4" t="str">
        <f>HYPERLINK("http://141.218.60.56/~jnz1568/getInfo.php?workbook=20_05.xlsx&amp;sheet=U0&amp;row=4308&amp;col=7&amp;number=0.00108&amp;sourceID=14","0.00108")</f>
        <v>0.00108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HYPERLINK("http://141.218.60.56/~jnz1568/getInfo.php?workbook=20_05.xlsx&amp;sheet=U0&amp;row=4309&amp;col=6&amp;number=3.5&amp;sourceID=14","3.5")</f>
        <v>3.5</v>
      </c>
      <c r="G4309" s="4" t="str">
        <f>HYPERLINK("http://141.218.60.56/~jnz1568/getInfo.php?workbook=20_05.xlsx&amp;sheet=U0&amp;row=4309&amp;col=7&amp;number=0.00108&amp;sourceID=14","0.00108")</f>
        <v>0.00108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HYPERLINK("http://141.218.60.56/~jnz1568/getInfo.php?workbook=20_05.xlsx&amp;sheet=U0&amp;row=4310&amp;col=6&amp;number=3.6&amp;sourceID=14","3.6")</f>
        <v>3.6</v>
      </c>
      <c r="G4310" s="4" t="str">
        <f>HYPERLINK("http://141.218.60.56/~jnz1568/getInfo.php?workbook=20_05.xlsx&amp;sheet=U0&amp;row=4310&amp;col=7&amp;number=0.00108&amp;sourceID=14","0.00108")</f>
        <v>0.00108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HYPERLINK("http://141.218.60.56/~jnz1568/getInfo.php?workbook=20_05.xlsx&amp;sheet=U0&amp;row=4311&amp;col=6&amp;number=3.7&amp;sourceID=14","3.7")</f>
        <v>3.7</v>
      </c>
      <c r="G4311" s="4" t="str">
        <f>HYPERLINK("http://141.218.60.56/~jnz1568/getInfo.php?workbook=20_05.xlsx&amp;sheet=U0&amp;row=4311&amp;col=7&amp;number=0.00108&amp;sourceID=14","0.00108")</f>
        <v>0.00108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HYPERLINK("http://141.218.60.56/~jnz1568/getInfo.php?workbook=20_05.xlsx&amp;sheet=U0&amp;row=4312&amp;col=6&amp;number=3.8&amp;sourceID=14","3.8")</f>
        <v>3.8</v>
      </c>
      <c r="G4312" s="4" t="str">
        <f>HYPERLINK("http://141.218.60.56/~jnz1568/getInfo.php?workbook=20_05.xlsx&amp;sheet=U0&amp;row=4312&amp;col=7&amp;number=0.00108&amp;sourceID=14","0.00108")</f>
        <v>0.00108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HYPERLINK("http://141.218.60.56/~jnz1568/getInfo.php?workbook=20_05.xlsx&amp;sheet=U0&amp;row=4313&amp;col=6&amp;number=3.9&amp;sourceID=14","3.9")</f>
        <v>3.9</v>
      </c>
      <c r="G4313" s="4" t="str">
        <f>HYPERLINK("http://141.218.60.56/~jnz1568/getInfo.php?workbook=20_05.xlsx&amp;sheet=U0&amp;row=4313&amp;col=7&amp;number=0.00108&amp;sourceID=14","0.00108")</f>
        <v>0.00108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HYPERLINK("http://141.218.60.56/~jnz1568/getInfo.php?workbook=20_05.xlsx&amp;sheet=U0&amp;row=4314&amp;col=6&amp;number=4&amp;sourceID=14","4")</f>
        <v>4</v>
      </c>
      <c r="G4314" s="4" t="str">
        <f>HYPERLINK("http://141.218.60.56/~jnz1568/getInfo.php?workbook=20_05.xlsx&amp;sheet=U0&amp;row=4314&amp;col=7&amp;number=0.00108&amp;sourceID=14","0.00108")</f>
        <v>0.00108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HYPERLINK("http://141.218.60.56/~jnz1568/getInfo.php?workbook=20_05.xlsx&amp;sheet=U0&amp;row=4315&amp;col=6&amp;number=4.1&amp;sourceID=14","4.1")</f>
        <v>4.1</v>
      </c>
      <c r="G4315" s="4" t="str">
        <f>HYPERLINK("http://141.218.60.56/~jnz1568/getInfo.php?workbook=20_05.xlsx&amp;sheet=U0&amp;row=4315&amp;col=7&amp;number=0.00108&amp;sourceID=14","0.00108")</f>
        <v>0.00108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HYPERLINK("http://141.218.60.56/~jnz1568/getInfo.php?workbook=20_05.xlsx&amp;sheet=U0&amp;row=4316&amp;col=6&amp;number=4.2&amp;sourceID=14","4.2")</f>
        <v>4.2</v>
      </c>
      <c r="G4316" s="4" t="str">
        <f>HYPERLINK("http://141.218.60.56/~jnz1568/getInfo.php?workbook=20_05.xlsx&amp;sheet=U0&amp;row=4316&amp;col=7&amp;number=0.00108&amp;sourceID=14","0.00108")</f>
        <v>0.00108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HYPERLINK("http://141.218.60.56/~jnz1568/getInfo.php?workbook=20_05.xlsx&amp;sheet=U0&amp;row=4317&amp;col=6&amp;number=4.3&amp;sourceID=14","4.3")</f>
        <v>4.3</v>
      </c>
      <c r="G4317" s="4" t="str">
        <f>HYPERLINK("http://141.218.60.56/~jnz1568/getInfo.php?workbook=20_05.xlsx&amp;sheet=U0&amp;row=4317&amp;col=7&amp;number=0.00108&amp;sourceID=14","0.00108")</f>
        <v>0.00108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HYPERLINK("http://141.218.60.56/~jnz1568/getInfo.php?workbook=20_05.xlsx&amp;sheet=U0&amp;row=4318&amp;col=6&amp;number=4.4&amp;sourceID=14","4.4")</f>
        <v>4.4</v>
      </c>
      <c r="G4318" s="4" t="str">
        <f>HYPERLINK("http://141.218.60.56/~jnz1568/getInfo.php?workbook=20_05.xlsx&amp;sheet=U0&amp;row=4318&amp;col=7&amp;number=0.00108&amp;sourceID=14","0.00108")</f>
        <v>0.00108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HYPERLINK("http://141.218.60.56/~jnz1568/getInfo.php?workbook=20_05.xlsx&amp;sheet=U0&amp;row=4319&amp;col=6&amp;number=4.5&amp;sourceID=14","4.5")</f>
        <v>4.5</v>
      </c>
      <c r="G4319" s="4" t="str">
        <f>HYPERLINK("http://141.218.60.56/~jnz1568/getInfo.php?workbook=20_05.xlsx&amp;sheet=U0&amp;row=4319&amp;col=7&amp;number=0.00109&amp;sourceID=14","0.00109")</f>
        <v>0.00109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HYPERLINK("http://141.218.60.56/~jnz1568/getInfo.php?workbook=20_05.xlsx&amp;sheet=U0&amp;row=4320&amp;col=6&amp;number=4.6&amp;sourceID=14","4.6")</f>
        <v>4.6</v>
      </c>
      <c r="G4320" s="4" t="str">
        <f>HYPERLINK("http://141.218.60.56/~jnz1568/getInfo.php?workbook=20_05.xlsx&amp;sheet=U0&amp;row=4320&amp;col=7&amp;number=0.00109&amp;sourceID=14","0.00109")</f>
        <v>0.00109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HYPERLINK("http://141.218.60.56/~jnz1568/getInfo.php?workbook=20_05.xlsx&amp;sheet=U0&amp;row=4321&amp;col=6&amp;number=4.7&amp;sourceID=14","4.7")</f>
        <v>4.7</v>
      </c>
      <c r="G4321" s="4" t="str">
        <f>HYPERLINK("http://141.218.60.56/~jnz1568/getInfo.php?workbook=20_05.xlsx&amp;sheet=U0&amp;row=4321&amp;col=7&amp;number=0.00109&amp;sourceID=14","0.00109")</f>
        <v>0.00109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HYPERLINK("http://141.218.60.56/~jnz1568/getInfo.php?workbook=20_05.xlsx&amp;sheet=U0&amp;row=4322&amp;col=6&amp;number=4.8&amp;sourceID=14","4.8")</f>
        <v>4.8</v>
      </c>
      <c r="G4322" s="4" t="str">
        <f>HYPERLINK("http://141.218.60.56/~jnz1568/getInfo.php?workbook=20_05.xlsx&amp;sheet=U0&amp;row=4322&amp;col=7&amp;number=0.00109&amp;sourceID=14","0.00109")</f>
        <v>0.00109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HYPERLINK("http://141.218.60.56/~jnz1568/getInfo.php?workbook=20_05.xlsx&amp;sheet=U0&amp;row=4323&amp;col=6&amp;number=4.9&amp;sourceID=14","4.9")</f>
        <v>4.9</v>
      </c>
      <c r="G4323" s="4" t="str">
        <f>HYPERLINK("http://141.218.60.56/~jnz1568/getInfo.php?workbook=20_05.xlsx&amp;sheet=U0&amp;row=4323&amp;col=7&amp;number=0.00109&amp;sourceID=14","0.00109")</f>
        <v>0.00109</v>
      </c>
    </row>
    <row r="4324" spans="1:7">
      <c r="A4324" s="3">
        <v>20</v>
      </c>
      <c r="B4324" s="3">
        <v>5</v>
      </c>
      <c r="C4324" s="3">
        <v>2</v>
      </c>
      <c r="D4324" s="3">
        <v>63</v>
      </c>
      <c r="E4324" s="3">
        <v>1</v>
      </c>
      <c r="F4324" s="4" t="str">
        <f>HYPERLINK("http://141.218.60.56/~jnz1568/getInfo.php?workbook=20_05.xlsx&amp;sheet=U0&amp;row=4324&amp;col=6&amp;number=3&amp;sourceID=14","3")</f>
        <v>3</v>
      </c>
      <c r="G4324" s="4" t="str">
        <f>HYPERLINK("http://141.218.60.56/~jnz1568/getInfo.php?workbook=20_05.xlsx&amp;sheet=U0&amp;row=4324&amp;col=7&amp;number=0.00129&amp;sourceID=14","0.00129")</f>
        <v>0.00129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HYPERLINK("http://141.218.60.56/~jnz1568/getInfo.php?workbook=20_05.xlsx&amp;sheet=U0&amp;row=4325&amp;col=6&amp;number=3.1&amp;sourceID=14","3.1")</f>
        <v>3.1</v>
      </c>
      <c r="G4325" s="4" t="str">
        <f>HYPERLINK("http://141.218.60.56/~jnz1568/getInfo.php?workbook=20_05.xlsx&amp;sheet=U0&amp;row=4325&amp;col=7&amp;number=0.00129&amp;sourceID=14","0.00129")</f>
        <v>0.00129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HYPERLINK("http://141.218.60.56/~jnz1568/getInfo.php?workbook=20_05.xlsx&amp;sheet=U0&amp;row=4326&amp;col=6&amp;number=3.2&amp;sourceID=14","3.2")</f>
        <v>3.2</v>
      </c>
      <c r="G4326" s="4" t="str">
        <f>HYPERLINK("http://141.218.60.56/~jnz1568/getInfo.php?workbook=20_05.xlsx&amp;sheet=U0&amp;row=4326&amp;col=7&amp;number=0.00129&amp;sourceID=14","0.00129")</f>
        <v>0.00129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HYPERLINK("http://141.218.60.56/~jnz1568/getInfo.php?workbook=20_05.xlsx&amp;sheet=U0&amp;row=4327&amp;col=6&amp;number=3.3&amp;sourceID=14","3.3")</f>
        <v>3.3</v>
      </c>
      <c r="G4327" s="4" t="str">
        <f>HYPERLINK("http://141.218.60.56/~jnz1568/getInfo.php?workbook=20_05.xlsx&amp;sheet=U0&amp;row=4327&amp;col=7&amp;number=0.00129&amp;sourceID=14","0.00129")</f>
        <v>0.00129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HYPERLINK("http://141.218.60.56/~jnz1568/getInfo.php?workbook=20_05.xlsx&amp;sheet=U0&amp;row=4328&amp;col=6&amp;number=3.4&amp;sourceID=14","3.4")</f>
        <v>3.4</v>
      </c>
      <c r="G4328" s="4" t="str">
        <f>HYPERLINK("http://141.218.60.56/~jnz1568/getInfo.php?workbook=20_05.xlsx&amp;sheet=U0&amp;row=4328&amp;col=7&amp;number=0.00129&amp;sourceID=14","0.00129")</f>
        <v>0.00129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HYPERLINK("http://141.218.60.56/~jnz1568/getInfo.php?workbook=20_05.xlsx&amp;sheet=U0&amp;row=4329&amp;col=6&amp;number=3.5&amp;sourceID=14","3.5")</f>
        <v>3.5</v>
      </c>
      <c r="G4329" s="4" t="str">
        <f>HYPERLINK("http://141.218.60.56/~jnz1568/getInfo.php?workbook=20_05.xlsx&amp;sheet=U0&amp;row=4329&amp;col=7&amp;number=0.00129&amp;sourceID=14","0.00129")</f>
        <v>0.00129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HYPERLINK("http://141.218.60.56/~jnz1568/getInfo.php?workbook=20_05.xlsx&amp;sheet=U0&amp;row=4330&amp;col=6&amp;number=3.6&amp;sourceID=14","3.6")</f>
        <v>3.6</v>
      </c>
      <c r="G4330" s="4" t="str">
        <f>HYPERLINK("http://141.218.60.56/~jnz1568/getInfo.php?workbook=20_05.xlsx&amp;sheet=U0&amp;row=4330&amp;col=7&amp;number=0.00129&amp;sourceID=14","0.00129")</f>
        <v>0.00129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HYPERLINK("http://141.218.60.56/~jnz1568/getInfo.php?workbook=20_05.xlsx&amp;sheet=U0&amp;row=4331&amp;col=6&amp;number=3.7&amp;sourceID=14","3.7")</f>
        <v>3.7</v>
      </c>
      <c r="G4331" s="4" t="str">
        <f>HYPERLINK("http://141.218.60.56/~jnz1568/getInfo.php?workbook=20_05.xlsx&amp;sheet=U0&amp;row=4331&amp;col=7&amp;number=0.00129&amp;sourceID=14","0.00129")</f>
        <v>0.00129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HYPERLINK("http://141.218.60.56/~jnz1568/getInfo.php?workbook=20_05.xlsx&amp;sheet=U0&amp;row=4332&amp;col=6&amp;number=3.8&amp;sourceID=14","3.8")</f>
        <v>3.8</v>
      </c>
      <c r="G4332" s="4" t="str">
        <f>HYPERLINK("http://141.218.60.56/~jnz1568/getInfo.php?workbook=20_05.xlsx&amp;sheet=U0&amp;row=4332&amp;col=7&amp;number=0.00129&amp;sourceID=14","0.00129")</f>
        <v>0.00129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HYPERLINK("http://141.218.60.56/~jnz1568/getInfo.php?workbook=20_05.xlsx&amp;sheet=U0&amp;row=4333&amp;col=6&amp;number=3.9&amp;sourceID=14","3.9")</f>
        <v>3.9</v>
      </c>
      <c r="G4333" s="4" t="str">
        <f>HYPERLINK("http://141.218.60.56/~jnz1568/getInfo.php?workbook=20_05.xlsx&amp;sheet=U0&amp;row=4333&amp;col=7&amp;number=0.00129&amp;sourceID=14","0.00129")</f>
        <v>0.00129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HYPERLINK("http://141.218.60.56/~jnz1568/getInfo.php?workbook=20_05.xlsx&amp;sheet=U0&amp;row=4334&amp;col=6&amp;number=4&amp;sourceID=14","4")</f>
        <v>4</v>
      </c>
      <c r="G4334" s="4" t="str">
        <f>HYPERLINK("http://141.218.60.56/~jnz1568/getInfo.php?workbook=20_05.xlsx&amp;sheet=U0&amp;row=4334&amp;col=7&amp;number=0.00129&amp;sourceID=14","0.00129")</f>
        <v>0.00129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HYPERLINK("http://141.218.60.56/~jnz1568/getInfo.php?workbook=20_05.xlsx&amp;sheet=U0&amp;row=4335&amp;col=6&amp;number=4.1&amp;sourceID=14","4.1")</f>
        <v>4.1</v>
      </c>
      <c r="G4335" s="4" t="str">
        <f>HYPERLINK("http://141.218.60.56/~jnz1568/getInfo.php?workbook=20_05.xlsx&amp;sheet=U0&amp;row=4335&amp;col=7&amp;number=0.00129&amp;sourceID=14","0.00129")</f>
        <v>0.00129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HYPERLINK("http://141.218.60.56/~jnz1568/getInfo.php?workbook=20_05.xlsx&amp;sheet=U0&amp;row=4336&amp;col=6&amp;number=4.2&amp;sourceID=14","4.2")</f>
        <v>4.2</v>
      </c>
      <c r="G4336" s="4" t="str">
        <f>HYPERLINK("http://141.218.60.56/~jnz1568/getInfo.php?workbook=20_05.xlsx&amp;sheet=U0&amp;row=4336&amp;col=7&amp;number=0.00129&amp;sourceID=14","0.00129")</f>
        <v>0.00129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HYPERLINK("http://141.218.60.56/~jnz1568/getInfo.php?workbook=20_05.xlsx&amp;sheet=U0&amp;row=4337&amp;col=6&amp;number=4.3&amp;sourceID=14","4.3")</f>
        <v>4.3</v>
      </c>
      <c r="G4337" s="4" t="str">
        <f>HYPERLINK("http://141.218.60.56/~jnz1568/getInfo.php?workbook=20_05.xlsx&amp;sheet=U0&amp;row=4337&amp;col=7&amp;number=0.00129&amp;sourceID=14","0.00129")</f>
        <v>0.00129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HYPERLINK("http://141.218.60.56/~jnz1568/getInfo.php?workbook=20_05.xlsx&amp;sheet=U0&amp;row=4338&amp;col=6&amp;number=4.4&amp;sourceID=14","4.4")</f>
        <v>4.4</v>
      </c>
      <c r="G4338" s="4" t="str">
        <f>HYPERLINK("http://141.218.60.56/~jnz1568/getInfo.php?workbook=20_05.xlsx&amp;sheet=U0&amp;row=4338&amp;col=7&amp;number=0.00129&amp;sourceID=14","0.00129")</f>
        <v>0.00129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HYPERLINK("http://141.218.60.56/~jnz1568/getInfo.php?workbook=20_05.xlsx&amp;sheet=U0&amp;row=4339&amp;col=6&amp;number=4.5&amp;sourceID=14","4.5")</f>
        <v>4.5</v>
      </c>
      <c r="G4339" s="4" t="str">
        <f>HYPERLINK("http://141.218.60.56/~jnz1568/getInfo.php?workbook=20_05.xlsx&amp;sheet=U0&amp;row=4339&amp;col=7&amp;number=0.00129&amp;sourceID=14","0.00129")</f>
        <v>0.00129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HYPERLINK("http://141.218.60.56/~jnz1568/getInfo.php?workbook=20_05.xlsx&amp;sheet=U0&amp;row=4340&amp;col=6&amp;number=4.6&amp;sourceID=14","4.6")</f>
        <v>4.6</v>
      </c>
      <c r="G4340" s="4" t="str">
        <f>HYPERLINK("http://141.218.60.56/~jnz1568/getInfo.php?workbook=20_05.xlsx&amp;sheet=U0&amp;row=4340&amp;col=7&amp;number=0.0013&amp;sourceID=14","0.0013")</f>
        <v>0.0013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HYPERLINK("http://141.218.60.56/~jnz1568/getInfo.php?workbook=20_05.xlsx&amp;sheet=U0&amp;row=4341&amp;col=6&amp;number=4.7&amp;sourceID=14","4.7")</f>
        <v>4.7</v>
      </c>
      <c r="G4341" s="4" t="str">
        <f>HYPERLINK("http://141.218.60.56/~jnz1568/getInfo.php?workbook=20_05.xlsx&amp;sheet=U0&amp;row=4341&amp;col=7&amp;number=0.0013&amp;sourceID=14","0.0013")</f>
        <v>0.0013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HYPERLINK("http://141.218.60.56/~jnz1568/getInfo.php?workbook=20_05.xlsx&amp;sheet=U0&amp;row=4342&amp;col=6&amp;number=4.8&amp;sourceID=14","4.8")</f>
        <v>4.8</v>
      </c>
      <c r="G4342" s="4" t="str">
        <f>HYPERLINK("http://141.218.60.56/~jnz1568/getInfo.php?workbook=20_05.xlsx&amp;sheet=U0&amp;row=4342&amp;col=7&amp;number=0.0013&amp;sourceID=14","0.0013")</f>
        <v>0.0013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HYPERLINK("http://141.218.60.56/~jnz1568/getInfo.php?workbook=20_05.xlsx&amp;sheet=U0&amp;row=4343&amp;col=6&amp;number=4.9&amp;sourceID=14","4.9")</f>
        <v>4.9</v>
      </c>
      <c r="G4343" s="4" t="str">
        <f>HYPERLINK("http://141.218.60.56/~jnz1568/getInfo.php?workbook=20_05.xlsx&amp;sheet=U0&amp;row=4343&amp;col=7&amp;number=0.0013&amp;sourceID=14","0.0013")</f>
        <v>0.0013</v>
      </c>
    </row>
    <row r="4344" spans="1:7">
      <c r="A4344" s="3">
        <v>20</v>
      </c>
      <c r="B4344" s="3">
        <v>5</v>
      </c>
      <c r="C4344" s="3">
        <v>2</v>
      </c>
      <c r="D4344" s="3">
        <v>64</v>
      </c>
      <c r="E4344" s="3">
        <v>1</v>
      </c>
      <c r="F4344" s="4" t="str">
        <f>HYPERLINK("http://141.218.60.56/~jnz1568/getInfo.php?workbook=20_05.xlsx&amp;sheet=U0&amp;row=4344&amp;col=6&amp;number=3&amp;sourceID=14","3")</f>
        <v>3</v>
      </c>
      <c r="G4344" s="4" t="str">
        <f>HYPERLINK("http://141.218.60.56/~jnz1568/getInfo.php?workbook=20_05.xlsx&amp;sheet=U0&amp;row=4344&amp;col=7&amp;number=0.000551&amp;sourceID=14","0.000551")</f>
        <v>0.000551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HYPERLINK("http://141.218.60.56/~jnz1568/getInfo.php?workbook=20_05.xlsx&amp;sheet=U0&amp;row=4345&amp;col=6&amp;number=3.1&amp;sourceID=14","3.1")</f>
        <v>3.1</v>
      </c>
      <c r="G4345" s="4" t="str">
        <f>HYPERLINK("http://141.218.60.56/~jnz1568/getInfo.php?workbook=20_05.xlsx&amp;sheet=U0&amp;row=4345&amp;col=7&amp;number=0.000551&amp;sourceID=14","0.000551")</f>
        <v>0.000551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HYPERLINK("http://141.218.60.56/~jnz1568/getInfo.php?workbook=20_05.xlsx&amp;sheet=U0&amp;row=4346&amp;col=6&amp;number=3.2&amp;sourceID=14","3.2")</f>
        <v>3.2</v>
      </c>
      <c r="G4346" s="4" t="str">
        <f>HYPERLINK("http://141.218.60.56/~jnz1568/getInfo.php?workbook=20_05.xlsx&amp;sheet=U0&amp;row=4346&amp;col=7&amp;number=0.000551&amp;sourceID=14","0.000551")</f>
        <v>0.000551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HYPERLINK("http://141.218.60.56/~jnz1568/getInfo.php?workbook=20_05.xlsx&amp;sheet=U0&amp;row=4347&amp;col=6&amp;number=3.3&amp;sourceID=14","3.3")</f>
        <v>3.3</v>
      </c>
      <c r="G4347" s="4" t="str">
        <f>HYPERLINK("http://141.218.60.56/~jnz1568/getInfo.php?workbook=20_05.xlsx&amp;sheet=U0&amp;row=4347&amp;col=7&amp;number=0.000551&amp;sourceID=14","0.000551")</f>
        <v>0.000551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HYPERLINK("http://141.218.60.56/~jnz1568/getInfo.php?workbook=20_05.xlsx&amp;sheet=U0&amp;row=4348&amp;col=6&amp;number=3.4&amp;sourceID=14","3.4")</f>
        <v>3.4</v>
      </c>
      <c r="G4348" s="4" t="str">
        <f>HYPERLINK("http://141.218.60.56/~jnz1568/getInfo.php?workbook=20_05.xlsx&amp;sheet=U0&amp;row=4348&amp;col=7&amp;number=0.000551&amp;sourceID=14","0.000551")</f>
        <v>0.000551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HYPERLINK("http://141.218.60.56/~jnz1568/getInfo.php?workbook=20_05.xlsx&amp;sheet=U0&amp;row=4349&amp;col=6&amp;number=3.5&amp;sourceID=14","3.5")</f>
        <v>3.5</v>
      </c>
      <c r="G4349" s="4" t="str">
        <f>HYPERLINK("http://141.218.60.56/~jnz1568/getInfo.php?workbook=20_05.xlsx&amp;sheet=U0&amp;row=4349&amp;col=7&amp;number=0.000551&amp;sourceID=14","0.000551")</f>
        <v>0.000551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HYPERLINK("http://141.218.60.56/~jnz1568/getInfo.php?workbook=20_05.xlsx&amp;sheet=U0&amp;row=4350&amp;col=6&amp;number=3.6&amp;sourceID=14","3.6")</f>
        <v>3.6</v>
      </c>
      <c r="G4350" s="4" t="str">
        <f>HYPERLINK("http://141.218.60.56/~jnz1568/getInfo.php?workbook=20_05.xlsx&amp;sheet=U0&amp;row=4350&amp;col=7&amp;number=0.000551&amp;sourceID=14","0.000551")</f>
        <v>0.000551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HYPERLINK("http://141.218.60.56/~jnz1568/getInfo.php?workbook=20_05.xlsx&amp;sheet=U0&amp;row=4351&amp;col=6&amp;number=3.7&amp;sourceID=14","3.7")</f>
        <v>3.7</v>
      </c>
      <c r="G4351" s="4" t="str">
        <f>HYPERLINK("http://141.218.60.56/~jnz1568/getInfo.php?workbook=20_05.xlsx&amp;sheet=U0&amp;row=4351&amp;col=7&amp;number=0.000551&amp;sourceID=14","0.000551")</f>
        <v>0.000551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HYPERLINK("http://141.218.60.56/~jnz1568/getInfo.php?workbook=20_05.xlsx&amp;sheet=U0&amp;row=4352&amp;col=6&amp;number=3.8&amp;sourceID=14","3.8")</f>
        <v>3.8</v>
      </c>
      <c r="G4352" s="4" t="str">
        <f>HYPERLINK("http://141.218.60.56/~jnz1568/getInfo.php?workbook=20_05.xlsx&amp;sheet=U0&amp;row=4352&amp;col=7&amp;number=0.000551&amp;sourceID=14","0.000551")</f>
        <v>0.000551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HYPERLINK("http://141.218.60.56/~jnz1568/getInfo.php?workbook=20_05.xlsx&amp;sheet=U0&amp;row=4353&amp;col=6&amp;number=3.9&amp;sourceID=14","3.9")</f>
        <v>3.9</v>
      </c>
      <c r="G4353" s="4" t="str">
        <f>HYPERLINK("http://141.218.60.56/~jnz1568/getInfo.php?workbook=20_05.xlsx&amp;sheet=U0&amp;row=4353&amp;col=7&amp;number=0.000551&amp;sourceID=14","0.000551")</f>
        <v>0.000551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HYPERLINK("http://141.218.60.56/~jnz1568/getInfo.php?workbook=20_05.xlsx&amp;sheet=U0&amp;row=4354&amp;col=6&amp;number=4&amp;sourceID=14","4")</f>
        <v>4</v>
      </c>
      <c r="G4354" s="4" t="str">
        <f>HYPERLINK("http://141.218.60.56/~jnz1568/getInfo.php?workbook=20_05.xlsx&amp;sheet=U0&amp;row=4354&amp;col=7&amp;number=0.000551&amp;sourceID=14","0.000551")</f>
        <v>0.000551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HYPERLINK("http://141.218.60.56/~jnz1568/getInfo.php?workbook=20_05.xlsx&amp;sheet=U0&amp;row=4355&amp;col=6&amp;number=4.1&amp;sourceID=14","4.1")</f>
        <v>4.1</v>
      </c>
      <c r="G4355" s="4" t="str">
        <f>HYPERLINK("http://141.218.60.56/~jnz1568/getInfo.php?workbook=20_05.xlsx&amp;sheet=U0&amp;row=4355&amp;col=7&amp;number=0.000551&amp;sourceID=14","0.000551")</f>
        <v>0.000551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HYPERLINK("http://141.218.60.56/~jnz1568/getInfo.php?workbook=20_05.xlsx&amp;sheet=U0&amp;row=4356&amp;col=6&amp;number=4.2&amp;sourceID=14","4.2")</f>
        <v>4.2</v>
      </c>
      <c r="G4356" s="4" t="str">
        <f>HYPERLINK("http://141.218.60.56/~jnz1568/getInfo.php?workbook=20_05.xlsx&amp;sheet=U0&amp;row=4356&amp;col=7&amp;number=0.000552&amp;sourceID=14","0.000552")</f>
        <v>0.000552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HYPERLINK("http://141.218.60.56/~jnz1568/getInfo.php?workbook=20_05.xlsx&amp;sheet=U0&amp;row=4357&amp;col=6&amp;number=4.3&amp;sourceID=14","4.3")</f>
        <v>4.3</v>
      </c>
      <c r="G4357" s="4" t="str">
        <f>HYPERLINK("http://141.218.60.56/~jnz1568/getInfo.php?workbook=20_05.xlsx&amp;sheet=U0&amp;row=4357&amp;col=7&amp;number=0.000552&amp;sourceID=14","0.000552")</f>
        <v>0.000552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HYPERLINK("http://141.218.60.56/~jnz1568/getInfo.php?workbook=20_05.xlsx&amp;sheet=U0&amp;row=4358&amp;col=6&amp;number=4.4&amp;sourceID=14","4.4")</f>
        <v>4.4</v>
      </c>
      <c r="G4358" s="4" t="str">
        <f>HYPERLINK("http://141.218.60.56/~jnz1568/getInfo.php?workbook=20_05.xlsx&amp;sheet=U0&amp;row=4358&amp;col=7&amp;number=0.000552&amp;sourceID=14","0.000552")</f>
        <v>0.000552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HYPERLINK("http://141.218.60.56/~jnz1568/getInfo.php?workbook=20_05.xlsx&amp;sheet=U0&amp;row=4359&amp;col=6&amp;number=4.5&amp;sourceID=14","4.5")</f>
        <v>4.5</v>
      </c>
      <c r="G4359" s="4" t="str">
        <f>HYPERLINK("http://141.218.60.56/~jnz1568/getInfo.php?workbook=20_05.xlsx&amp;sheet=U0&amp;row=4359&amp;col=7&amp;number=0.000552&amp;sourceID=14","0.000552")</f>
        <v>0.000552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HYPERLINK("http://141.218.60.56/~jnz1568/getInfo.php?workbook=20_05.xlsx&amp;sheet=U0&amp;row=4360&amp;col=6&amp;number=4.6&amp;sourceID=14","4.6")</f>
        <v>4.6</v>
      </c>
      <c r="G4360" s="4" t="str">
        <f>HYPERLINK("http://141.218.60.56/~jnz1568/getInfo.php?workbook=20_05.xlsx&amp;sheet=U0&amp;row=4360&amp;col=7&amp;number=0.000552&amp;sourceID=14","0.000552")</f>
        <v>0.000552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HYPERLINK("http://141.218.60.56/~jnz1568/getInfo.php?workbook=20_05.xlsx&amp;sheet=U0&amp;row=4361&amp;col=6&amp;number=4.7&amp;sourceID=14","4.7")</f>
        <v>4.7</v>
      </c>
      <c r="G4361" s="4" t="str">
        <f>HYPERLINK("http://141.218.60.56/~jnz1568/getInfo.php?workbook=20_05.xlsx&amp;sheet=U0&amp;row=4361&amp;col=7&amp;number=0.000552&amp;sourceID=14","0.000552")</f>
        <v>0.000552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HYPERLINK("http://141.218.60.56/~jnz1568/getInfo.php?workbook=20_05.xlsx&amp;sheet=U0&amp;row=4362&amp;col=6&amp;number=4.8&amp;sourceID=14","4.8")</f>
        <v>4.8</v>
      </c>
      <c r="G4362" s="4" t="str">
        <f>HYPERLINK("http://141.218.60.56/~jnz1568/getInfo.php?workbook=20_05.xlsx&amp;sheet=U0&amp;row=4362&amp;col=7&amp;number=0.000552&amp;sourceID=14","0.000552")</f>
        <v>0.000552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HYPERLINK("http://141.218.60.56/~jnz1568/getInfo.php?workbook=20_05.xlsx&amp;sheet=U0&amp;row=4363&amp;col=6&amp;number=4.9&amp;sourceID=14","4.9")</f>
        <v>4.9</v>
      </c>
      <c r="G4363" s="4" t="str">
        <f>HYPERLINK("http://141.218.60.56/~jnz1568/getInfo.php?workbook=20_05.xlsx&amp;sheet=U0&amp;row=4363&amp;col=7&amp;number=0.000553&amp;sourceID=14","0.000553")</f>
        <v>0.000553</v>
      </c>
    </row>
    <row r="4364" spans="1:7">
      <c r="A4364" s="3">
        <v>20</v>
      </c>
      <c r="B4364" s="3">
        <v>5</v>
      </c>
      <c r="C4364" s="3">
        <v>2</v>
      </c>
      <c r="D4364" s="3">
        <v>65</v>
      </c>
      <c r="E4364" s="3">
        <v>1</v>
      </c>
      <c r="F4364" s="4" t="str">
        <f>HYPERLINK("http://141.218.60.56/~jnz1568/getInfo.php?workbook=20_05.xlsx&amp;sheet=U0&amp;row=4364&amp;col=6&amp;number=3&amp;sourceID=14","3")</f>
        <v>3</v>
      </c>
      <c r="G4364" s="4" t="str">
        <f>HYPERLINK("http://141.218.60.56/~jnz1568/getInfo.php?workbook=20_05.xlsx&amp;sheet=U0&amp;row=4364&amp;col=7&amp;number=0.00417&amp;sourceID=14","0.00417")</f>
        <v>0.00417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HYPERLINK("http://141.218.60.56/~jnz1568/getInfo.php?workbook=20_05.xlsx&amp;sheet=U0&amp;row=4365&amp;col=6&amp;number=3.1&amp;sourceID=14","3.1")</f>
        <v>3.1</v>
      </c>
      <c r="G4365" s="4" t="str">
        <f>HYPERLINK("http://141.218.60.56/~jnz1568/getInfo.php?workbook=20_05.xlsx&amp;sheet=U0&amp;row=4365&amp;col=7&amp;number=0.00417&amp;sourceID=14","0.00417")</f>
        <v>0.00417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HYPERLINK("http://141.218.60.56/~jnz1568/getInfo.php?workbook=20_05.xlsx&amp;sheet=U0&amp;row=4366&amp;col=6&amp;number=3.2&amp;sourceID=14","3.2")</f>
        <v>3.2</v>
      </c>
      <c r="G4366" s="4" t="str">
        <f>HYPERLINK("http://141.218.60.56/~jnz1568/getInfo.php?workbook=20_05.xlsx&amp;sheet=U0&amp;row=4366&amp;col=7&amp;number=0.00417&amp;sourceID=14","0.00417")</f>
        <v>0.00417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HYPERLINK("http://141.218.60.56/~jnz1568/getInfo.php?workbook=20_05.xlsx&amp;sheet=U0&amp;row=4367&amp;col=6&amp;number=3.3&amp;sourceID=14","3.3")</f>
        <v>3.3</v>
      </c>
      <c r="G4367" s="4" t="str">
        <f>HYPERLINK("http://141.218.60.56/~jnz1568/getInfo.php?workbook=20_05.xlsx&amp;sheet=U0&amp;row=4367&amp;col=7&amp;number=0.00417&amp;sourceID=14","0.00417")</f>
        <v>0.00417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HYPERLINK("http://141.218.60.56/~jnz1568/getInfo.php?workbook=20_05.xlsx&amp;sheet=U0&amp;row=4368&amp;col=6&amp;number=3.4&amp;sourceID=14","3.4")</f>
        <v>3.4</v>
      </c>
      <c r="G4368" s="4" t="str">
        <f>HYPERLINK("http://141.218.60.56/~jnz1568/getInfo.php?workbook=20_05.xlsx&amp;sheet=U0&amp;row=4368&amp;col=7&amp;number=0.00417&amp;sourceID=14","0.00417")</f>
        <v>0.00417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HYPERLINK("http://141.218.60.56/~jnz1568/getInfo.php?workbook=20_05.xlsx&amp;sheet=U0&amp;row=4369&amp;col=6&amp;number=3.5&amp;sourceID=14","3.5")</f>
        <v>3.5</v>
      </c>
      <c r="G4369" s="4" t="str">
        <f>HYPERLINK("http://141.218.60.56/~jnz1568/getInfo.php?workbook=20_05.xlsx&amp;sheet=U0&amp;row=4369&amp;col=7&amp;number=0.00417&amp;sourceID=14","0.00417")</f>
        <v>0.00417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HYPERLINK("http://141.218.60.56/~jnz1568/getInfo.php?workbook=20_05.xlsx&amp;sheet=U0&amp;row=4370&amp;col=6&amp;number=3.6&amp;sourceID=14","3.6")</f>
        <v>3.6</v>
      </c>
      <c r="G4370" s="4" t="str">
        <f>HYPERLINK("http://141.218.60.56/~jnz1568/getInfo.php?workbook=20_05.xlsx&amp;sheet=U0&amp;row=4370&amp;col=7&amp;number=0.00417&amp;sourceID=14","0.00417")</f>
        <v>0.00417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HYPERLINK("http://141.218.60.56/~jnz1568/getInfo.php?workbook=20_05.xlsx&amp;sheet=U0&amp;row=4371&amp;col=6&amp;number=3.7&amp;sourceID=14","3.7")</f>
        <v>3.7</v>
      </c>
      <c r="G4371" s="4" t="str">
        <f>HYPERLINK("http://141.218.60.56/~jnz1568/getInfo.php?workbook=20_05.xlsx&amp;sheet=U0&amp;row=4371&amp;col=7&amp;number=0.00416&amp;sourceID=14","0.00416")</f>
        <v>0.00416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HYPERLINK("http://141.218.60.56/~jnz1568/getInfo.php?workbook=20_05.xlsx&amp;sheet=U0&amp;row=4372&amp;col=6&amp;number=3.8&amp;sourceID=14","3.8")</f>
        <v>3.8</v>
      </c>
      <c r="G4372" s="4" t="str">
        <f>HYPERLINK("http://141.218.60.56/~jnz1568/getInfo.php?workbook=20_05.xlsx&amp;sheet=U0&amp;row=4372&amp;col=7&amp;number=0.00416&amp;sourceID=14","0.00416")</f>
        <v>0.00416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HYPERLINK("http://141.218.60.56/~jnz1568/getInfo.php?workbook=20_05.xlsx&amp;sheet=U0&amp;row=4373&amp;col=6&amp;number=3.9&amp;sourceID=14","3.9")</f>
        <v>3.9</v>
      </c>
      <c r="G4373" s="4" t="str">
        <f>HYPERLINK("http://141.218.60.56/~jnz1568/getInfo.php?workbook=20_05.xlsx&amp;sheet=U0&amp;row=4373&amp;col=7&amp;number=0.00416&amp;sourceID=14","0.00416")</f>
        <v>0.00416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HYPERLINK("http://141.218.60.56/~jnz1568/getInfo.php?workbook=20_05.xlsx&amp;sheet=U0&amp;row=4374&amp;col=6&amp;number=4&amp;sourceID=14","4")</f>
        <v>4</v>
      </c>
      <c r="G4374" s="4" t="str">
        <f>HYPERLINK("http://141.218.60.56/~jnz1568/getInfo.php?workbook=20_05.xlsx&amp;sheet=U0&amp;row=4374&amp;col=7&amp;number=0.00416&amp;sourceID=14","0.00416")</f>
        <v>0.00416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HYPERLINK("http://141.218.60.56/~jnz1568/getInfo.php?workbook=20_05.xlsx&amp;sheet=U0&amp;row=4375&amp;col=6&amp;number=4.1&amp;sourceID=14","4.1")</f>
        <v>4.1</v>
      </c>
      <c r="G4375" s="4" t="str">
        <f>HYPERLINK("http://141.218.60.56/~jnz1568/getInfo.php?workbook=20_05.xlsx&amp;sheet=U0&amp;row=4375&amp;col=7&amp;number=0.00416&amp;sourceID=14","0.00416")</f>
        <v>0.00416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HYPERLINK("http://141.218.60.56/~jnz1568/getInfo.php?workbook=20_05.xlsx&amp;sheet=U0&amp;row=4376&amp;col=6&amp;number=4.2&amp;sourceID=14","4.2")</f>
        <v>4.2</v>
      </c>
      <c r="G4376" s="4" t="str">
        <f>HYPERLINK("http://141.218.60.56/~jnz1568/getInfo.php?workbook=20_05.xlsx&amp;sheet=U0&amp;row=4376&amp;col=7&amp;number=0.00415&amp;sourceID=14","0.00415")</f>
        <v>0.00415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HYPERLINK("http://141.218.60.56/~jnz1568/getInfo.php?workbook=20_05.xlsx&amp;sheet=U0&amp;row=4377&amp;col=6&amp;number=4.3&amp;sourceID=14","4.3")</f>
        <v>4.3</v>
      </c>
      <c r="G4377" s="4" t="str">
        <f>HYPERLINK("http://141.218.60.56/~jnz1568/getInfo.php?workbook=20_05.xlsx&amp;sheet=U0&amp;row=4377&amp;col=7&amp;number=0.00415&amp;sourceID=14","0.00415")</f>
        <v>0.00415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HYPERLINK("http://141.218.60.56/~jnz1568/getInfo.php?workbook=20_05.xlsx&amp;sheet=U0&amp;row=4378&amp;col=6&amp;number=4.4&amp;sourceID=14","4.4")</f>
        <v>4.4</v>
      </c>
      <c r="G4378" s="4" t="str">
        <f>HYPERLINK("http://141.218.60.56/~jnz1568/getInfo.php?workbook=20_05.xlsx&amp;sheet=U0&amp;row=4378&amp;col=7&amp;number=0.00414&amp;sourceID=14","0.00414")</f>
        <v>0.00414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HYPERLINK("http://141.218.60.56/~jnz1568/getInfo.php?workbook=20_05.xlsx&amp;sheet=U0&amp;row=4379&amp;col=6&amp;number=4.5&amp;sourceID=14","4.5")</f>
        <v>4.5</v>
      </c>
      <c r="G4379" s="4" t="str">
        <f>HYPERLINK("http://141.218.60.56/~jnz1568/getInfo.php?workbook=20_05.xlsx&amp;sheet=U0&amp;row=4379&amp;col=7&amp;number=0.00414&amp;sourceID=14","0.00414")</f>
        <v>0.00414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HYPERLINK("http://141.218.60.56/~jnz1568/getInfo.php?workbook=20_05.xlsx&amp;sheet=U0&amp;row=4380&amp;col=6&amp;number=4.6&amp;sourceID=14","4.6")</f>
        <v>4.6</v>
      </c>
      <c r="G4380" s="4" t="str">
        <f>HYPERLINK("http://141.218.60.56/~jnz1568/getInfo.php?workbook=20_05.xlsx&amp;sheet=U0&amp;row=4380&amp;col=7&amp;number=0.00413&amp;sourceID=14","0.00413")</f>
        <v>0.00413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HYPERLINK("http://141.218.60.56/~jnz1568/getInfo.php?workbook=20_05.xlsx&amp;sheet=U0&amp;row=4381&amp;col=6&amp;number=4.7&amp;sourceID=14","4.7")</f>
        <v>4.7</v>
      </c>
      <c r="G4381" s="4" t="str">
        <f>HYPERLINK("http://141.218.60.56/~jnz1568/getInfo.php?workbook=20_05.xlsx&amp;sheet=U0&amp;row=4381&amp;col=7&amp;number=0.00412&amp;sourceID=14","0.00412")</f>
        <v>0.00412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HYPERLINK("http://141.218.60.56/~jnz1568/getInfo.php?workbook=20_05.xlsx&amp;sheet=U0&amp;row=4382&amp;col=6&amp;number=4.8&amp;sourceID=14","4.8")</f>
        <v>4.8</v>
      </c>
      <c r="G4382" s="4" t="str">
        <f>HYPERLINK("http://141.218.60.56/~jnz1568/getInfo.php?workbook=20_05.xlsx&amp;sheet=U0&amp;row=4382&amp;col=7&amp;number=0.00411&amp;sourceID=14","0.00411")</f>
        <v>0.00411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HYPERLINK("http://141.218.60.56/~jnz1568/getInfo.php?workbook=20_05.xlsx&amp;sheet=U0&amp;row=4383&amp;col=6&amp;number=4.9&amp;sourceID=14","4.9")</f>
        <v>4.9</v>
      </c>
      <c r="G4383" s="4" t="str">
        <f>HYPERLINK("http://141.218.60.56/~jnz1568/getInfo.php?workbook=20_05.xlsx&amp;sheet=U0&amp;row=4383&amp;col=7&amp;number=0.00409&amp;sourceID=14","0.00409")</f>
        <v>0.00409</v>
      </c>
    </row>
    <row r="4384" spans="1:7">
      <c r="A4384" s="3">
        <v>20</v>
      </c>
      <c r="B4384" s="3">
        <v>5</v>
      </c>
      <c r="C4384" s="3">
        <v>2</v>
      </c>
      <c r="D4384" s="3">
        <v>66</v>
      </c>
      <c r="E4384" s="3">
        <v>1</v>
      </c>
      <c r="F4384" s="4" t="str">
        <f>HYPERLINK("http://141.218.60.56/~jnz1568/getInfo.php?workbook=20_05.xlsx&amp;sheet=U0&amp;row=4384&amp;col=6&amp;number=3&amp;sourceID=14","3")</f>
        <v>3</v>
      </c>
      <c r="G4384" s="4" t="str">
        <f>HYPERLINK("http://141.218.60.56/~jnz1568/getInfo.php?workbook=20_05.xlsx&amp;sheet=U0&amp;row=4384&amp;col=7&amp;number=0.00015&amp;sourceID=14","0.00015")</f>
        <v>0.00015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HYPERLINK("http://141.218.60.56/~jnz1568/getInfo.php?workbook=20_05.xlsx&amp;sheet=U0&amp;row=4385&amp;col=6&amp;number=3.1&amp;sourceID=14","3.1")</f>
        <v>3.1</v>
      </c>
      <c r="G4385" s="4" t="str">
        <f>HYPERLINK("http://141.218.60.56/~jnz1568/getInfo.php?workbook=20_05.xlsx&amp;sheet=U0&amp;row=4385&amp;col=7&amp;number=0.00015&amp;sourceID=14","0.00015")</f>
        <v>0.00015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HYPERLINK("http://141.218.60.56/~jnz1568/getInfo.php?workbook=20_05.xlsx&amp;sheet=U0&amp;row=4386&amp;col=6&amp;number=3.2&amp;sourceID=14","3.2")</f>
        <v>3.2</v>
      </c>
      <c r="G4386" s="4" t="str">
        <f>HYPERLINK("http://141.218.60.56/~jnz1568/getInfo.php?workbook=20_05.xlsx&amp;sheet=U0&amp;row=4386&amp;col=7&amp;number=0.00015&amp;sourceID=14","0.00015")</f>
        <v>0.00015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HYPERLINK("http://141.218.60.56/~jnz1568/getInfo.php?workbook=20_05.xlsx&amp;sheet=U0&amp;row=4387&amp;col=6&amp;number=3.3&amp;sourceID=14","3.3")</f>
        <v>3.3</v>
      </c>
      <c r="G4387" s="4" t="str">
        <f>HYPERLINK("http://141.218.60.56/~jnz1568/getInfo.php?workbook=20_05.xlsx&amp;sheet=U0&amp;row=4387&amp;col=7&amp;number=0.00015&amp;sourceID=14","0.00015")</f>
        <v>0.00015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HYPERLINK("http://141.218.60.56/~jnz1568/getInfo.php?workbook=20_05.xlsx&amp;sheet=U0&amp;row=4388&amp;col=6&amp;number=3.4&amp;sourceID=14","3.4")</f>
        <v>3.4</v>
      </c>
      <c r="G4388" s="4" t="str">
        <f>HYPERLINK("http://141.218.60.56/~jnz1568/getInfo.php?workbook=20_05.xlsx&amp;sheet=U0&amp;row=4388&amp;col=7&amp;number=0.00015&amp;sourceID=14","0.00015")</f>
        <v>0.00015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HYPERLINK("http://141.218.60.56/~jnz1568/getInfo.php?workbook=20_05.xlsx&amp;sheet=U0&amp;row=4389&amp;col=6&amp;number=3.5&amp;sourceID=14","3.5")</f>
        <v>3.5</v>
      </c>
      <c r="G4389" s="4" t="str">
        <f>HYPERLINK("http://141.218.60.56/~jnz1568/getInfo.php?workbook=20_05.xlsx&amp;sheet=U0&amp;row=4389&amp;col=7&amp;number=0.00015&amp;sourceID=14","0.00015")</f>
        <v>0.00015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HYPERLINK("http://141.218.60.56/~jnz1568/getInfo.php?workbook=20_05.xlsx&amp;sheet=U0&amp;row=4390&amp;col=6&amp;number=3.6&amp;sourceID=14","3.6")</f>
        <v>3.6</v>
      </c>
      <c r="G4390" s="4" t="str">
        <f>HYPERLINK("http://141.218.60.56/~jnz1568/getInfo.php?workbook=20_05.xlsx&amp;sheet=U0&amp;row=4390&amp;col=7&amp;number=0.00015&amp;sourceID=14","0.00015")</f>
        <v>0.00015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HYPERLINK("http://141.218.60.56/~jnz1568/getInfo.php?workbook=20_05.xlsx&amp;sheet=U0&amp;row=4391&amp;col=6&amp;number=3.7&amp;sourceID=14","3.7")</f>
        <v>3.7</v>
      </c>
      <c r="G4391" s="4" t="str">
        <f>HYPERLINK("http://141.218.60.56/~jnz1568/getInfo.php?workbook=20_05.xlsx&amp;sheet=U0&amp;row=4391&amp;col=7&amp;number=0.00015&amp;sourceID=14","0.00015")</f>
        <v>0.00015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HYPERLINK("http://141.218.60.56/~jnz1568/getInfo.php?workbook=20_05.xlsx&amp;sheet=U0&amp;row=4392&amp;col=6&amp;number=3.8&amp;sourceID=14","3.8")</f>
        <v>3.8</v>
      </c>
      <c r="G4392" s="4" t="str">
        <f>HYPERLINK("http://141.218.60.56/~jnz1568/getInfo.php?workbook=20_05.xlsx&amp;sheet=U0&amp;row=4392&amp;col=7&amp;number=0.00015&amp;sourceID=14","0.00015")</f>
        <v>0.00015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HYPERLINK("http://141.218.60.56/~jnz1568/getInfo.php?workbook=20_05.xlsx&amp;sheet=U0&amp;row=4393&amp;col=6&amp;number=3.9&amp;sourceID=14","3.9")</f>
        <v>3.9</v>
      </c>
      <c r="G4393" s="4" t="str">
        <f>HYPERLINK("http://141.218.60.56/~jnz1568/getInfo.php?workbook=20_05.xlsx&amp;sheet=U0&amp;row=4393&amp;col=7&amp;number=0.00015&amp;sourceID=14","0.00015")</f>
        <v>0.00015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HYPERLINK("http://141.218.60.56/~jnz1568/getInfo.php?workbook=20_05.xlsx&amp;sheet=U0&amp;row=4394&amp;col=6&amp;number=4&amp;sourceID=14","4")</f>
        <v>4</v>
      </c>
      <c r="G4394" s="4" t="str">
        <f>HYPERLINK("http://141.218.60.56/~jnz1568/getInfo.php?workbook=20_05.xlsx&amp;sheet=U0&amp;row=4394&amp;col=7&amp;number=0.00015&amp;sourceID=14","0.00015")</f>
        <v>0.00015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HYPERLINK("http://141.218.60.56/~jnz1568/getInfo.php?workbook=20_05.xlsx&amp;sheet=U0&amp;row=4395&amp;col=6&amp;number=4.1&amp;sourceID=14","4.1")</f>
        <v>4.1</v>
      </c>
      <c r="G4395" s="4" t="str">
        <f>HYPERLINK("http://141.218.60.56/~jnz1568/getInfo.php?workbook=20_05.xlsx&amp;sheet=U0&amp;row=4395&amp;col=7&amp;number=0.00015&amp;sourceID=14","0.00015")</f>
        <v>0.00015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HYPERLINK("http://141.218.60.56/~jnz1568/getInfo.php?workbook=20_05.xlsx&amp;sheet=U0&amp;row=4396&amp;col=6&amp;number=4.2&amp;sourceID=14","4.2")</f>
        <v>4.2</v>
      </c>
      <c r="G4396" s="4" t="str">
        <f>HYPERLINK("http://141.218.60.56/~jnz1568/getInfo.php?workbook=20_05.xlsx&amp;sheet=U0&amp;row=4396&amp;col=7&amp;number=0.000149&amp;sourceID=14","0.000149")</f>
        <v>0.000149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HYPERLINK("http://141.218.60.56/~jnz1568/getInfo.php?workbook=20_05.xlsx&amp;sheet=U0&amp;row=4397&amp;col=6&amp;number=4.3&amp;sourceID=14","4.3")</f>
        <v>4.3</v>
      </c>
      <c r="G4397" s="4" t="str">
        <f>HYPERLINK("http://141.218.60.56/~jnz1568/getInfo.php?workbook=20_05.xlsx&amp;sheet=U0&amp;row=4397&amp;col=7&amp;number=0.000149&amp;sourceID=14","0.000149")</f>
        <v>0.000149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HYPERLINK("http://141.218.60.56/~jnz1568/getInfo.php?workbook=20_05.xlsx&amp;sheet=U0&amp;row=4398&amp;col=6&amp;number=4.4&amp;sourceID=14","4.4")</f>
        <v>4.4</v>
      </c>
      <c r="G4398" s="4" t="str">
        <f>HYPERLINK("http://141.218.60.56/~jnz1568/getInfo.php?workbook=20_05.xlsx&amp;sheet=U0&amp;row=4398&amp;col=7&amp;number=0.000149&amp;sourceID=14","0.000149")</f>
        <v>0.000149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HYPERLINK("http://141.218.60.56/~jnz1568/getInfo.php?workbook=20_05.xlsx&amp;sheet=U0&amp;row=4399&amp;col=6&amp;number=4.5&amp;sourceID=14","4.5")</f>
        <v>4.5</v>
      </c>
      <c r="G4399" s="4" t="str">
        <f>HYPERLINK("http://141.218.60.56/~jnz1568/getInfo.php?workbook=20_05.xlsx&amp;sheet=U0&amp;row=4399&amp;col=7&amp;number=0.000149&amp;sourceID=14","0.000149")</f>
        <v>0.000149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HYPERLINK("http://141.218.60.56/~jnz1568/getInfo.php?workbook=20_05.xlsx&amp;sheet=U0&amp;row=4400&amp;col=6&amp;number=4.6&amp;sourceID=14","4.6")</f>
        <v>4.6</v>
      </c>
      <c r="G4400" s="4" t="str">
        <f>HYPERLINK("http://141.218.60.56/~jnz1568/getInfo.php?workbook=20_05.xlsx&amp;sheet=U0&amp;row=4400&amp;col=7&amp;number=0.000148&amp;sourceID=14","0.000148")</f>
        <v>0.000148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HYPERLINK("http://141.218.60.56/~jnz1568/getInfo.php?workbook=20_05.xlsx&amp;sheet=U0&amp;row=4401&amp;col=6&amp;number=4.7&amp;sourceID=14","4.7")</f>
        <v>4.7</v>
      </c>
      <c r="G4401" s="4" t="str">
        <f>HYPERLINK("http://141.218.60.56/~jnz1568/getInfo.php?workbook=20_05.xlsx&amp;sheet=U0&amp;row=4401&amp;col=7&amp;number=0.000148&amp;sourceID=14","0.000148")</f>
        <v>0.000148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HYPERLINK("http://141.218.60.56/~jnz1568/getInfo.php?workbook=20_05.xlsx&amp;sheet=U0&amp;row=4402&amp;col=6&amp;number=4.8&amp;sourceID=14","4.8")</f>
        <v>4.8</v>
      </c>
      <c r="G4402" s="4" t="str">
        <f>HYPERLINK("http://141.218.60.56/~jnz1568/getInfo.php?workbook=20_05.xlsx&amp;sheet=U0&amp;row=4402&amp;col=7&amp;number=0.000147&amp;sourceID=14","0.000147")</f>
        <v>0.000147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HYPERLINK("http://141.218.60.56/~jnz1568/getInfo.php?workbook=20_05.xlsx&amp;sheet=U0&amp;row=4403&amp;col=6&amp;number=4.9&amp;sourceID=14","4.9")</f>
        <v>4.9</v>
      </c>
      <c r="G4403" s="4" t="str">
        <f>HYPERLINK("http://141.218.60.56/~jnz1568/getInfo.php?workbook=20_05.xlsx&amp;sheet=U0&amp;row=4403&amp;col=7&amp;number=0.000146&amp;sourceID=14","0.000146")</f>
        <v>0.000146</v>
      </c>
    </row>
    <row r="4404" spans="1:7">
      <c r="A4404" s="3">
        <v>20</v>
      </c>
      <c r="B4404" s="3">
        <v>5</v>
      </c>
      <c r="C4404" s="3">
        <v>2</v>
      </c>
      <c r="D4404" s="3">
        <v>67</v>
      </c>
      <c r="E4404" s="3">
        <v>1</v>
      </c>
      <c r="F4404" s="4" t="str">
        <f>HYPERLINK("http://141.218.60.56/~jnz1568/getInfo.php?workbook=20_05.xlsx&amp;sheet=U0&amp;row=4404&amp;col=6&amp;number=3&amp;sourceID=14","3")</f>
        <v>3</v>
      </c>
      <c r="G4404" s="4" t="str">
        <f>HYPERLINK("http://141.218.60.56/~jnz1568/getInfo.php?workbook=20_05.xlsx&amp;sheet=U0&amp;row=4404&amp;col=7&amp;number=0.000258&amp;sourceID=14","0.000258")</f>
        <v>0.000258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HYPERLINK("http://141.218.60.56/~jnz1568/getInfo.php?workbook=20_05.xlsx&amp;sheet=U0&amp;row=4405&amp;col=6&amp;number=3.1&amp;sourceID=14","3.1")</f>
        <v>3.1</v>
      </c>
      <c r="G4405" s="4" t="str">
        <f>HYPERLINK("http://141.218.60.56/~jnz1568/getInfo.php?workbook=20_05.xlsx&amp;sheet=U0&amp;row=4405&amp;col=7&amp;number=0.000258&amp;sourceID=14","0.000258")</f>
        <v>0.000258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HYPERLINK("http://141.218.60.56/~jnz1568/getInfo.php?workbook=20_05.xlsx&amp;sheet=U0&amp;row=4406&amp;col=6&amp;number=3.2&amp;sourceID=14","3.2")</f>
        <v>3.2</v>
      </c>
      <c r="G4406" s="4" t="str">
        <f>HYPERLINK("http://141.218.60.56/~jnz1568/getInfo.php?workbook=20_05.xlsx&amp;sheet=U0&amp;row=4406&amp;col=7&amp;number=0.000258&amp;sourceID=14","0.000258")</f>
        <v>0.000258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HYPERLINK("http://141.218.60.56/~jnz1568/getInfo.php?workbook=20_05.xlsx&amp;sheet=U0&amp;row=4407&amp;col=6&amp;number=3.3&amp;sourceID=14","3.3")</f>
        <v>3.3</v>
      </c>
      <c r="G4407" s="4" t="str">
        <f>HYPERLINK("http://141.218.60.56/~jnz1568/getInfo.php?workbook=20_05.xlsx&amp;sheet=U0&amp;row=4407&amp;col=7&amp;number=0.000258&amp;sourceID=14","0.000258")</f>
        <v>0.000258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HYPERLINK("http://141.218.60.56/~jnz1568/getInfo.php?workbook=20_05.xlsx&amp;sheet=U0&amp;row=4408&amp;col=6&amp;number=3.4&amp;sourceID=14","3.4")</f>
        <v>3.4</v>
      </c>
      <c r="G4408" s="4" t="str">
        <f>HYPERLINK("http://141.218.60.56/~jnz1568/getInfo.php?workbook=20_05.xlsx&amp;sheet=U0&amp;row=4408&amp;col=7&amp;number=0.000258&amp;sourceID=14","0.000258")</f>
        <v>0.000258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HYPERLINK("http://141.218.60.56/~jnz1568/getInfo.php?workbook=20_05.xlsx&amp;sheet=U0&amp;row=4409&amp;col=6&amp;number=3.5&amp;sourceID=14","3.5")</f>
        <v>3.5</v>
      </c>
      <c r="G4409" s="4" t="str">
        <f>HYPERLINK("http://141.218.60.56/~jnz1568/getInfo.php?workbook=20_05.xlsx&amp;sheet=U0&amp;row=4409&amp;col=7&amp;number=0.000257&amp;sourceID=14","0.000257")</f>
        <v>0.000257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HYPERLINK("http://141.218.60.56/~jnz1568/getInfo.php?workbook=20_05.xlsx&amp;sheet=U0&amp;row=4410&amp;col=6&amp;number=3.6&amp;sourceID=14","3.6")</f>
        <v>3.6</v>
      </c>
      <c r="G4410" s="4" t="str">
        <f>HYPERLINK("http://141.218.60.56/~jnz1568/getInfo.php?workbook=20_05.xlsx&amp;sheet=U0&amp;row=4410&amp;col=7&amp;number=0.000257&amp;sourceID=14","0.000257")</f>
        <v>0.000257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HYPERLINK("http://141.218.60.56/~jnz1568/getInfo.php?workbook=20_05.xlsx&amp;sheet=U0&amp;row=4411&amp;col=6&amp;number=3.7&amp;sourceID=14","3.7")</f>
        <v>3.7</v>
      </c>
      <c r="G4411" s="4" t="str">
        <f>HYPERLINK("http://141.218.60.56/~jnz1568/getInfo.php?workbook=20_05.xlsx&amp;sheet=U0&amp;row=4411&amp;col=7&amp;number=0.000257&amp;sourceID=14","0.000257")</f>
        <v>0.000257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HYPERLINK("http://141.218.60.56/~jnz1568/getInfo.php?workbook=20_05.xlsx&amp;sheet=U0&amp;row=4412&amp;col=6&amp;number=3.8&amp;sourceID=14","3.8")</f>
        <v>3.8</v>
      </c>
      <c r="G4412" s="4" t="str">
        <f>HYPERLINK("http://141.218.60.56/~jnz1568/getInfo.php?workbook=20_05.xlsx&amp;sheet=U0&amp;row=4412&amp;col=7&amp;number=0.000257&amp;sourceID=14","0.000257")</f>
        <v>0.000257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HYPERLINK("http://141.218.60.56/~jnz1568/getInfo.php?workbook=20_05.xlsx&amp;sheet=U0&amp;row=4413&amp;col=6&amp;number=3.9&amp;sourceID=14","3.9")</f>
        <v>3.9</v>
      </c>
      <c r="G4413" s="4" t="str">
        <f>HYPERLINK("http://141.218.60.56/~jnz1568/getInfo.php?workbook=20_05.xlsx&amp;sheet=U0&amp;row=4413&amp;col=7&amp;number=0.000257&amp;sourceID=14","0.000257")</f>
        <v>0.000257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HYPERLINK("http://141.218.60.56/~jnz1568/getInfo.php?workbook=20_05.xlsx&amp;sheet=U0&amp;row=4414&amp;col=6&amp;number=4&amp;sourceID=14","4")</f>
        <v>4</v>
      </c>
      <c r="G4414" s="4" t="str">
        <f>HYPERLINK("http://141.218.60.56/~jnz1568/getInfo.php?workbook=20_05.xlsx&amp;sheet=U0&amp;row=4414&amp;col=7&amp;number=0.000257&amp;sourceID=14","0.000257")</f>
        <v>0.000257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HYPERLINK("http://141.218.60.56/~jnz1568/getInfo.php?workbook=20_05.xlsx&amp;sheet=U0&amp;row=4415&amp;col=6&amp;number=4.1&amp;sourceID=14","4.1")</f>
        <v>4.1</v>
      </c>
      <c r="G4415" s="4" t="str">
        <f>HYPERLINK("http://141.218.60.56/~jnz1568/getInfo.php?workbook=20_05.xlsx&amp;sheet=U0&amp;row=4415&amp;col=7&amp;number=0.000257&amp;sourceID=14","0.000257")</f>
        <v>0.000257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HYPERLINK("http://141.218.60.56/~jnz1568/getInfo.php?workbook=20_05.xlsx&amp;sheet=U0&amp;row=4416&amp;col=6&amp;number=4.2&amp;sourceID=14","4.2")</f>
        <v>4.2</v>
      </c>
      <c r="G4416" s="4" t="str">
        <f>HYPERLINK("http://141.218.60.56/~jnz1568/getInfo.php?workbook=20_05.xlsx&amp;sheet=U0&amp;row=4416&amp;col=7&amp;number=0.000257&amp;sourceID=14","0.000257")</f>
        <v>0.000257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HYPERLINK("http://141.218.60.56/~jnz1568/getInfo.php?workbook=20_05.xlsx&amp;sheet=U0&amp;row=4417&amp;col=6&amp;number=4.3&amp;sourceID=14","4.3")</f>
        <v>4.3</v>
      </c>
      <c r="G4417" s="4" t="str">
        <f>HYPERLINK("http://141.218.60.56/~jnz1568/getInfo.php?workbook=20_05.xlsx&amp;sheet=U0&amp;row=4417&amp;col=7&amp;number=0.000256&amp;sourceID=14","0.000256")</f>
        <v>0.000256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HYPERLINK("http://141.218.60.56/~jnz1568/getInfo.php?workbook=20_05.xlsx&amp;sheet=U0&amp;row=4418&amp;col=6&amp;number=4.4&amp;sourceID=14","4.4")</f>
        <v>4.4</v>
      </c>
      <c r="G4418" s="4" t="str">
        <f>HYPERLINK("http://141.218.60.56/~jnz1568/getInfo.php?workbook=20_05.xlsx&amp;sheet=U0&amp;row=4418&amp;col=7&amp;number=0.000256&amp;sourceID=14","0.000256")</f>
        <v>0.000256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HYPERLINK("http://141.218.60.56/~jnz1568/getInfo.php?workbook=20_05.xlsx&amp;sheet=U0&amp;row=4419&amp;col=6&amp;number=4.5&amp;sourceID=14","4.5")</f>
        <v>4.5</v>
      </c>
      <c r="G4419" s="4" t="str">
        <f>HYPERLINK("http://141.218.60.56/~jnz1568/getInfo.php?workbook=20_05.xlsx&amp;sheet=U0&amp;row=4419&amp;col=7&amp;number=0.000255&amp;sourceID=14","0.000255")</f>
        <v>0.000255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HYPERLINK("http://141.218.60.56/~jnz1568/getInfo.php?workbook=20_05.xlsx&amp;sheet=U0&amp;row=4420&amp;col=6&amp;number=4.6&amp;sourceID=14","4.6")</f>
        <v>4.6</v>
      </c>
      <c r="G4420" s="4" t="str">
        <f>HYPERLINK("http://141.218.60.56/~jnz1568/getInfo.php?workbook=20_05.xlsx&amp;sheet=U0&amp;row=4420&amp;col=7&amp;number=0.000255&amp;sourceID=14","0.000255")</f>
        <v>0.000255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HYPERLINK("http://141.218.60.56/~jnz1568/getInfo.php?workbook=20_05.xlsx&amp;sheet=U0&amp;row=4421&amp;col=6&amp;number=4.7&amp;sourceID=14","4.7")</f>
        <v>4.7</v>
      </c>
      <c r="G4421" s="4" t="str">
        <f>HYPERLINK("http://141.218.60.56/~jnz1568/getInfo.php?workbook=20_05.xlsx&amp;sheet=U0&amp;row=4421&amp;col=7&amp;number=0.000254&amp;sourceID=14","0.000254")</f>
        <v>0.000254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HYPERLINK("http://141.218.60.56/~jnz1568/getInfo.php?workbook=20_05.xlsx&amp;sheet=U0&amp;row=4422&amp;col=6&amp;number=4.8&amp;sourceID=14","4.8")</f>
        <v>4.8</v>
      </c>
      <c r="G4422" s="4" t="str">
        <f>HYPERLINK("http://141.218.60.56/~jnz1568/getInfo.php?workbook=20_05.xlsx&amp;sheet=U0&amp;row=4422&amp;col=7&amp;number=0.000253&amp;sourceID=14","0.000253")</f>
        <v>0.000253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HYPERLINK("http://141.218.60.56/~jnz1568/getInfo.php?workbook=20_05.xlsx&amp;sheet=U0&amp;row=4423&amp;col=6&amp;number=4.9&amp;sourceID=14","4.9")</f>
        <v>4.9</v>
      </c>
      <c r="G4423" s="4" t="str">
        <f>HYPERLINK("http://141.218.60.56/~jnz1568/getInfo.php?workbook=20_05.xlsx&amp;sheet=U0&amp;row=4423&amp;col=7&amp;number=0.000252&amp;sourceID=14","0.000252")</f>
        <v>0.000252</v>
      </c>
    </row>
    <row r="4424" spans="1:7">
      <c r="A4424" s="3">
        <v>20</v>
      </c>
      <c r="B4424" s="3">
        <v>5</v>
      </c>
      <c r="C4424" s="3">
        <v>2</v>
      </c>
      <c r="D4424" s="3">
        <v>68</v>
      </c>
      <c r="E4424" s="3">
        <v>1</v>
      </c>
      <c r="F4424" s="4" t="str">
        <f>HYPERLINK("http://141.218.60.56/~jnz1568/getInfo.php?workbook=20_05.xlsx&amp;sheet=U0&amp;row=4424&amp;col=6&amp;number=3&amp;sourceID=14","3")</f>
        <v>3</v>
      </c>
      <c r="G4424" s="4" t="str">
        <f>HYPERLINK("http://141.218.60.56/~jnz1568/getInfo.php?workbook=20_05.xlsx&amp;sheet=U0&amp;row=4424&amp;col=7&amp;number=0.000216&amp;sourceID=14","0.000216")</f>
        <v>0.000216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HYPERLINK("http://141.218.60.56/~jnz1568/getInfo.php?workbook=20_05.xlsx&amp;sheet=U0&amp;row=4425&amp;col=6&amp;number=3.1&amp;sourceID=14","3.1")</f>
        <v>3.1</v>
      </c>
      <c r="G4425" s="4" t="str">
        <f>HYPERLINK("http://141.218.60.56/~jnz1568/getInfo.php?workbook=20_05.xlsx&amp;sheet=U0&amp;row=4425&amp;col=7&amp;number=0.000216&amp;sourceID=14","0.000216")</f>
        <v>0.000216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HYPERLINK("http://141.218.60.56/~jnz1568/getInfo.php?workbook=20_05.xlsx&amp;sheet=U0&amp;row=4426&amp;col=6&amp;number=3.2&amp;sourceID=14","3.2")</f>
        <v>3.2</v>
      </c>
      <c r="G4426" s="4" t="str">
        <f>HYPERLINK("http://141.218.60.56/~jnz1568/getInfo.php?workbook=20_05.xlsx&amp;sheet=U0&amp;row=4426&amp;col=7&amp;number=0.000216&amp;sourceID=14","0.000216")</f>
        <v>0.000216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HYPERLINK("http://141.218.60.56/~jnz1568/getInfo.php?workbook=20_05.xlsx&amp;sheet=U0&amp;row=4427&amp;col=6&amp;number=3.3&amp;sourceID=14","3.3")</f>
        <v>3.3</v>
      </c>
      <c r="G4427" s="4" t="str">
        <f>HYPERLINK("http://141.218.60.56/~jnz1568/getInfo.php?workbook=20_05.xlsx&amp;sheet=U0&amp;row=4427&amp;col=7&amp;number=0.000216&amp;sourceID=14","0.000216")</f>
        <v>0.000216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HYPERLINK("http://141.218.60.56/~jnz1568/getInfo.php?workbook=20_05.xlsx&amp;sheet=U0&amp;row=4428&amp;col=6&amp;number=3.4&amp;sourceID=14","3.4")</f>
        <v>3.4</v>
      </c>
      <c r="G4428" s="4" t="str">
        <f>HYPERLINK("http://141.218.60.56/~jnz1568/getInfo.php?workbook=20_05.xlsx&amp;sheet=U0&amp;row=4428&amp;col=7&amp;number=0.000216&amp;sourceID=14","0.000216")</f>
        <v>0.000216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HYPERLINK("http://141.218.60.56/~jnz1568/getInfo.php?workbook=20_05.xlsx&amp;sheet=U0&amp;row=4429&amp;col=6&amp;number=3.5&amp;sourceID=14","3.5")</f>
        <v>3.5</v>
      </c>
      <c r="G4429" s="4" t="str">
        <f>HYPERLINK("http://141.218.60.56/~jnz1568/getInfo.php?workbook=20_05.xlsx&amp;sheet=U0&amp;row=4429&amp;col=7&amp;number=0.000216&amp;sourceID=14","0.000216")</f>
        <v>0.000216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HYPERLINK("http://141.218.60.56/~jnz1568/getInfo.php?workbook=20_05.xlsx&amp;sheet=U0&amp;row=4430&amp;col=6&amp;number=3.6&amp;sourceID=14","3.6")</f>
        <v>3.6</v>
      </c>
      <c r="G4430" s="4" t="str">
        <f>HYPERLINK("http://141.218.60.56/~jnz1568/getInfo.php?workbook=20_05.xlsx&amp;sheet=U0&amp;row=4430&amp;col=7&amp;number=0.000216&amp;sourceID=14","0.000216")</f>
        <v>0.000216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HYPERLINK("http://141.218.60.56/~jnz1568/getInfo.php?workbook=20_05.xlsx&amp;sheet=U0&amp;row=4431&amp;col=6&amp;number=3.7&amp;sourceID=14","3.7")</f>
        <v>3.7</v>
      </c>
      <c r="G4431" s="4" t="str">
        <f>HYPERLINK("http://141.218.60.56/~jnz1568/getInfo.php?workbook=20_05.xlsx&amp;sheet=U0&amp;row=4431&amp;col=7&amp;number=0.000216&amp;sourceID=14","0.000216")</f>
        <v>0.000216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HYPERLINK("http://141.218.60.56/~jnz1568/getInfo.php?workbook=20_05.xlsx&amp;sheet=U0&amp;row=4432&amp;col=6&amp;number=3.8&amp;sourceID=14","3.8")</f>
        <v>3.8</v>
      </c>
      <c r="G4432" s="4" t="str">
        <f>HYPERLINK("http://141.218.60.56/~jnz1568/getInfo.php?workbook=20_05.xlsx&amp;sheet=U0&amp;row=4432&amp;col=7&amp;number=0.000216&amp;sourceID=14","0.000216")</f>
        <v>0.000216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HYPERLINK("http://141.218.60.56/~jnz1568/getInfo.php?workbook=20_05.xlsx&amp;sheet=U0&amp;row=4433&amp;col=6&amp;number=3.9&amp;sourceID=14","3.9")</f>
        <v>3.9</v>
      </c>
      <c r="G4433" s="4" t="str">
        <f>HYPERLINK("http://141.218.60.56/~jnz1568/getInfo.php?workbook=20_05.xlsx&amp;sheet=U0&amp;row=4433&amp;col=7&amp;number=0.000216&amp;sourceID=14","0.000216")</f>
        <v>0.000216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HYPERLINK("http://141.218.60.56/~jnz1568/getInfo.php?workbook=20_05.xlsx&amp;sheet=U0&amp;row=4434&amp;col=6&amp;number=4&amp;sourceID=14","4")</f>
        <v>4</v>
      </c>
      <c r="G4434" s="4" t="str">
        <f>HYPERLINK("http://141.218.60.56/~jnz1568/getInfo.php?workbook=20_05.xlsx&amp;sheet=U0&amp;row=4434&amp;col=7&amp;number=0.000216&amp;sourceID=14","0.000216")</f>
        <v>0.000216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HYPERLINK("http://141.218.60.56/~jnz1568/getInfo.php?workbook=20_05.xlsx&amp;sheet=U0&amp;row=4435&amp;col=6&amp;number=4.1&amp;sourceID=14","4.1")</f>
        <v>4.1</v>
      </c>
      <c r="G4435" s="4" t="str">
        <f>HYPERLINK("http://141.218.60.56/~jnz1568/getInfo.php?workbook=20_05.xlsx&amp;sheet=U0&amp;row=4435&amp;col=7&amp;number=0.000215&amp;sourceID=14","0.000215")</f>
        <v>0.000215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HYPERLINK("http://141.218.60.56/~jnz1568/getInfo.php?workbook=20_05.xlsx&amp;sheet=U0&amp;row=4436&amp;col=6&amp;number=4.2&amp;sourceID=14","4.2")</f>
        <v>4.2</v>
      </c>
      <c r="G4436" s="4" t="str">
        <f>HYPERLINK("http://141.218.60.56/~jnz1568/getInfo.php?workbook=20_05.xlsx&amp;sheet=U0&amp;row=4436&amp;col=7&amp;number=0.000215&amp;sourceID=14","0.000215")</f>
        <v>0.000215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HYPERLINK("http://141.218.60.56/~jnz1568/getInfo.php?workbook=20_05.xlsx&amp;sheet=U0&amp;row=4437&amp;col=6&amp;number=4.3&amp;sourceID=14","4.3")</f>
        <v>4.3</v>
      </c>
      <c r="G4437" s="4" t="str">
        <f>HYPERLINK("http://141.218.60.56/~jnz1568/getInfo.php?workbook=20_05.xlsx&amp;sheet=U0&amp;row=4437&amp;col=7&amp;number=0.000215&amp;sourceID=14","0.000215")</f>
        <v>0.000215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HYPERLINK("http://141.218.60.56/~jnz1568/getInfo.php?workbook=20_05.xlsx&amp;sheet=U0&amp;row=4438&amp;col=6&amp;number=4.4&amp;sourceID=14","4.4")</f>
        <v>4.4</v>
      </c>
      <c r="G4438" s="4" t="str">
        <f>HYPERLINK("http://141.218.60.56/~jnz1568/getInfo.php?workbook=20_05.xlsx&amp;sheet=U0&amp;row=4438&amp;col=7&amp;number=0.000215&amp;sourceID=14","0.000215")</f>
        <v>0.000215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HYPERLINK("http://141.218.60.56/~jnz1568/getInfo.php?workbook=20_05.xlsx&amp;sheet=U0&amp;row=4439&amp;col=6&amp;number=4.5&amp;sourceID=14","4.5")</f>
        <v>4.5</v>
      </c>
      <c r="G4439" s="4" t="str">
        <f>HYPERLINK("http://141.218.60.56/~jnz1568/getInfo.php?workbook=20_05.xlsx&amp;sheet=U0&amp;row=4439&amp;col=7&amp;number=0.000214&amp;sourceID=14","0.000214")</f>
        <v>0.000214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HYPERLINK("http://141.218.60.56/~jnz1568/getInfo.php?workbook=20_05.xlsx&amp;sheet=U0&amp;row=4440&amp;col=6&amp;number=4.6&amp;sourceID=14","4.6")</f>
        <v>4.6</v>
      </c>
      <c r="G4440" s="4" t="str">
        <f>HYPERLINK("http://141.218.60.56/~jnz1568/getInfo.php?workbook=20_05.xlsx&amp;sheet=U0&amp;row=4440&amp;col=7&amp;number=0.000214&amp;sourceID=14","0.000214")</f>
        <v>0.000214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HYPERLINK("http://141.218.60.56/~jnz1568/getInfo.php?workbook=20_05.xlsx&amp;sheet=U0&amp;row=4441&amp;col=6&amp;number=4.7&amp;sourceID=14","4.7")</f>
        <v>4.7</v>
      </c>
      <c r="G4441" s="4" t="str">
        <f>HYPERLINK("http://141.218.60.56/~jnz1568/getInfo.php?workbook=20_05.xlsx&amp;sheet=U0&amp;row=4441&amp;col=7&amp;number=0.000213&amp;sourceID=14","0.000213")</f>
        <v>0.000213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HYPERLINK("http://141.218.60.56/~jnz1568/getInfo.php?workbook=20_05.xlsx&amp;sheet=U0&amp;row=4442&amp;col=6&amp;number=4.8&amp;sourceID=14","4.8")</f>
        <v>4.8</v>
      </c>
      <c r="G4442" s="4" t="str">
        <f>HYPERLINK("http://141.218.60.56/~jnz1568/getInfo.php?workbook=20_05.xlsx&amp;sheet=U0&amp;row=4442&amp;col=7&amp;number=0.000212&amp;sourceID=14","0.000212")</f>
        <v>0.000212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HYPERLINK("http://141.218.60.56/~jnz1568/getInfo.php?workbook=20_05.xlsx&amp;sheet=U0&amp;row=4443&amp;col=6&amp;number=4.9&amp;sourceID=14","4.9")</f>
        <v>4.9</v>
      </c>
      <c r="G4443" s="4" t="str">
        <f>HYPERLINK("http://141.218.60.56/~jnz1568/getInfo.php?workbook=20_05.xlsx&amp;sheet=U0&amp;row=4443&amp;col=7&amp;number=0.000212&amp;sourceID=14","0.000212")</f>
        <v>0.000212</v>
      </c>
    </row>
    <row r="4444" spans="1:7">
      <c r="A4444" s="3">
        <v>20</v>
      </c>
      <c r="B4444" s="3">
        <v>5</v>
      </c>
      <c r="C4444" s="3">
        <v>2</v>
      </c>
      <c r="D4444" s="3">
        <v>69</v>
      </c>
      <c r="E4444" s="3">
        <v>1</v>
      </c>
      <c r="F4444" s="4" t="str">
        <f>HYPERLINK("http://141.218.60.56/~jnz1568/getInfo.php?workbook=20_05.xlsx&amp;sheet=U0&amp;row=4444&amp;col=6&amp;number=3&amp;sourceID=14","3")</f>
        <v>3</v>
      </c>
      <c r="G4444" s="4" t="str">
        <f>HYPERLINK("http://141.218.60.56/~jnz1568/getInfo.php?workbook=20_05.xlsx&amp;sheet=U0&amp;row=4444&amp;col=7&amp;number=0.000185&amp;sourceID=14","0.000185")</f>
        <v>0.000185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HYPERLINK("http://141.218.60.56/~jnz1568/getInfo.php?workbook=20_05.xlsx&amp;sheet=U0&amp;row=4445&amp;col=6&amp;number=3.1&amp;sourceID=14","3.1")</f>
        <v>3.1</v>
      </c>
      <c r="G4445" s="4" t="str">
        <f>HYPERLINK("http://141.218.60.56/~jnz1568/getInfo.php?workbook=20_05.xlsx&amp;sheet=U0&amp;row=4445&amp;col=7&amp;number=0.000185&amp;sourceID=14","0.000185")</f>
        <v>0.000185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HYPERLINK("http://141.218.60.56/~jnz1568/getInfo.php?workbook=20_05.xlsx&amp;sheet=U0&amp;row=4446&amp;col=6&amp;number=3.2&amp;sourceID=14","3.2")</f>
        <v>3.2</v>
      </c>
      <c r="G4446" s="4" t="str">
        <f>HYPERLINK("http://141.218.60.56/~jnz1568/getInfo.php?workbook=20_05.xlsx&amp;sheet=U0&amp;row=4446&amp;col=7&amp;number=0.000185&amp;sourceID=14","0.000185")</f>
        <v>0.000185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HYPERLINK("http://141.218.60.56/~jnz1568/getInfo.php?workbook=20_05.xlsx&amp;sheet=U0&amp;row=4447&amp;col=6&amp;number=3.3&amp;sourceID=14","3.3")</f>
        <v>3.3</v>
      </c>
      <c r="G4447" s="4" t="str">
        <f>HYPERLINK("http://141.218.60.56/~jnz1568/getInfo.php?workbook=20_05.xlsx&amp;sheet=U0&amp;row=4447&amp;col=7&amp;number=0.000185&amp;sourceID=14","0.000185")</f>
        <v>0.000185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HYPERLINK("http://141.218.60.56/~jnz1568/getInfo.php?workbook=20_05.xlsx&amp;sheet=U0&amp;row=4448&amp;col=6&amp;number=3.4&amp;sourceID=14","3.4")</f>
        <v>3.4</v>
      </c>
      <c r="G4448" s="4" t="str">
        <f>HYPERLINK("http://141.218.60.56/~jnz1568/getInfo.php?workbook=20_05.xlsx&amp;sheet=U0&amp;row=4448&amp;col=7&amp;number=0.000185&amp;sourceID=14","0.000185")</f>
        <v>0.000185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HYPERLINK("http://141.218.60.56/~jnz1568/getInfo.php?workbook=20_05.xlsx&amp;sheet=U0&amp;row=4449&amp;col=6&amp;number=3.5&amp;sourceID=14","3.5")</f>
        <v>3.5</v>
      </c>
      <c r="G4449" s="4" t="str">
        <f>HYPERLINK("http://141.218.60.56/~jnz1568/getInfo.php?workbook=20_05.xlsx&amp;sheet=U0&amp;row=4449&amp;col=7&amp;number=0.000185&amp;sourceID=14","0.000185")</f>
        <v>0.000185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HYPERLINK("http://141.218.60.56/~jnz1568/getInfo.php?workbook=20_05.xlsx&amp;sheet=U0&amp;row=4450&amp;col=6&amp;number=3.6&amp;sourceID=14","3.6")</f>
        <v>3.6</v>
      </c>
      <c r="G4450" s="4" t="str">
        <f>HYPERLINK("http://141.218.60.56/~jnz1568/getInfo.php?workbook=20_05.xlsx&amp;sheet=U0&amp;row=4450&amp;col=7&amp;number=0.000185&amp;sourceID=14","0.000185")</f>
        <v>0.000185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HYPERLINK("http://141.218.60.56/~jnz1568/getInfo.php?workbook=20_05.xlsx&amp;sheet=U0&amp;row=4451&amp;col=6&amp;number=3.7&amp;sourceID=14","3.7")</f>
        <v>3.7</v>
      </c>
      <c r="G4451" s="4" t="str">
        <f>HYPERLINK("http://141.218.60.56/~jnz1568/getInfo.php?workbook=20_05.xlsx&amp;sheet=U0&amp;row=4451&amp;col=7&amp;number=0.000185&amp;sourceID=14","0.000185")</f>
        <v>0.000185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HYPERLINK("http://141.218.60.56/~jnz1568/getInfo.php?workbook=20_05.xlsx&amp;sheet=U0&amp;row=4452&amp;col=6&amp;number=3.8&amp;sourceID=14","3.8")</f>
        <v>3.8</v>
      </c>
      <c r="G4452" s="4" t="str">
        <f>HYPERLINK("http://141.218.60.56/~jnz1568/getInfo.php?workbook=20_05.xlsx&amp;sheet=U0&amp;row=4452&amp;col=7&amp;number=0.000185&amp;sourceID=14","0.000185")</f>
        <v>0.000185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HYPERLINK("http://141.218.60.56/~jnz1568/getInfo.php?workbook=20_05.xlsx&amp;sheet=U0&amp;row=4453&amp;col=6&amp;number=3.9&amp;sourceID=14","3.9")</f>
        <v>3.9</v>
      </c>
      <c r="G4453" s="4" t="str">
        <f>HYPERLINK("http://141.218.60.56/~jnz1568/getInfo.php?workbook=20_05.xlsx&amp;sheet=U0&amp;row=4453&amp;col=7&amp;number=0.000185&amp;sourceID=14","0.000185")</f>
        <v>0.000185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HYPERLINK("http://141.218.60.56/~jnz1568/getInfo.php?workbook=20_05.xlsx&amp;sheet=U0&amp;row=4454&amp;col=6&amp;number=4&amp;sourceID=14","4")</f>
        <v>4</v>
      </c>
      <c r="G4454" s="4" t="str">
        <f>HYPERLINK("http://141.218.60.56/~jnz1568/getInfo.php?workbook=20_05.xlsx&amp;sheet=U0&amp;row=4454&amp;col=7&amp;number=0.000185&amp;sourceID=14","0.000185")</f>
        <v>0.000185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HYPERLINK("http://141.218.60.56/~jnz1568/getInfo.php?workbook=20_05.xlsx&amp;sheet=U0&amp;row=4455&amp;col=6&amp;number=4.1&amp;sourceID=14","4.1")</f>
        <v>4.1</v>
      </c>
      <c r="G4455" s="4" t="str">
        <f>HYPERLINK("http://141.218.60.56/~jnz1568/getInfo.php?workbook=20_05.xlsx&amp;sheet=U0&amp;row=4455&amp;col=7&amp;number=0.000185&amp;sourceID=14","0.000185")</f>
        <v>0.000185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HYPERLINK("http://141.218.60.56/~jnz1568/getInfo.php?workbook=20_05.xlsx&amp;sheet=U0&amp;row=4456&amp;col=6&amp;number=4.2&amp;sourceID=14","4.2")</f>
        <v>4.2</v>
      </c>
      <c r="G4456" s="4" t="str">
        <f>HYPERLINK("http://141.218.60.56/~jnz1568/getInfo.php?workbook=20_05.xlsx&amp;sheet=U0&amp;row=4456&amp;col=7&amp;number=0.000185&amp;sourceID=14","0.000185")</f>
        <v>0.000185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HYPERLINK("http://141.218.60.56/~jnz1568/getInfo.php?workbook=20_05.xlsx&amp;sheet=U0&amp;row=4457&amp;col=6&amp;number=4.3&amp;sourceID=14","4.3")</f>
        <v>4.3</v>
      </c>
      <c r="G4457" s="4" t="str">
        <f>HYPERLINK("http://141.218.60.56/~jnz1568/getInfo.php?workbook=20_05.xlsx&amp;sheet=U0&amp;row=4457&amp;col=7&amp;number=0.000184&amp;sourceID=14","0.000184")</f>
        <v>0.000184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HYPERLINK("http://141.218.60.56/~jnz1568/getInfo.php?workbook=20_05.xlsx&amp;sheet=U0&amp;row=4458&amp;col=6&amp;number=4.4&amp;sourceID=14","4.4")</f>
        <v>4.4</v>
      </c>
      <c r="G4458" s="4" t="str">
        <f>HYPERLINK("http://141.218.60.56/~jnz1568/getInfo.php?workbook=20_05.xlsx&amp;sheet=U0&amp;row=4458&amp;col=7&amp;number=0.000184&amp;sourceID=14","0.000184")</f>
        <v>0.000184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HYPERLINK("http://141.218.60.56/~jnz1568/getInfo.php?workbook=20_05.xlsx&amp;sheet=U0&amp;row=4459&amp;col=6&amp;number=4.5&amp;sourceID=14","4.5")</f>
        <v>4.5</v>
      </c>
      <c r="G4459" s="4" t="str">
        <f>HYPERLINK("http://141.218.60.56/~jnz1568/getInfo.php?workbook=20_05.xlsx&amp;sheet=U0&amp;row=4459&amp;col=7&amp;number=0.000184&amp;sourceID=14","0.000184")</f>
        <v>0.000184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HYPERLINK("http://141.218.60.56/~jnz1568/getInfo.php?workbook=20_05.xlsx&amp;sheet=U0&amp;row=4460&amp;col=6&amp;number=4.6&amp;sourceID=14","4.6")</f>
        <v>4.6</v>
      </c>
      <c r="G4460" s="4" t="str">
        <f>HYPERLINK("http://141.218.60.56/~jnz1568/getInfo.php?workbook=20_05.xlsx&amp;sheet=U0&amp;row=4460&amp;col=7&amp;number=0.000183&amp;sourceID=14","0.000183")</f>
        <v>0.000183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HYPERLINK("http://141.218.60.56/~jnz1568/getInfo.php?workbook=20_05.xlsx&amp;sheet=U0&amp;row=4461&amp;col=6&amp;number=4.7&amp;sourceID=14","4.7")</f>
        <v>4.7</v>
      </c>
      <c r="G4461" s="4" t="str">
        <f>HYPERLINK("http://141.218.60.56/~jnz1568/getInfo.php?workbook=20_05.xlsx&amp;sheet=U0&amp;row=4461&amp;col=7&amp;number=0.000183&amp;sourceID=14","0.000183")</f>
        <v>0.000183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HYPERLINK("http://141.218.60.56/~jnz1568/getInfo.php?workbook=20_05.xlsx&amp;sheet=U0&amp;row=4462&amp;col=6&amp;number=4.8&amp;sourceID=14","4.8")</f>
        <v>4.8</v>
      </c>
      <c r="G4462" s="4" t="str">
        <f>HYPERLINK("http://141.218.60.56/~jnz1568/getInfo.php?workbook=20_05.xlsx&amp;sheet=U0&amp;row=4462&amp;col=7&amp;number=0.000182&amp;sourceID=14","0.000182")</f>
        <v>0.000182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HYPERLINK("http://141.218.60.56/~jnz1568/getInfo.php?workbook=20_05.xlsx&amp;sheet=U0&amp;row=4463&amp;col=6&amp;number=4.9&amp;sourceID=14","4.9")</f>
        <v>4.9</v>
      </c>
      <c r="G4463" s="4" t="str">
        <f>HYPERLINK("http://141.218.60.56/~jnz1568/getInfo.php?workbook=20_05.xlsx&amp;sheet=U0&amp;row=4463&amp;col=7&amp;number=0.000181&amp;sourceID=14","0.000181")</f>
        <v>0.000181</v>
      </c>
    </row>
    <row r="4464" spans="1:7">
      <c r="A4464" s="3">
        <v>20</v>
      </c>
      <c r="B4464" s="3">
        <v>5</v>
      </c>
      <c r="C4464" s="3">
        <v>2</v>
      </c>
      <c r="D4464" s="3">
        <v>70</v>
      </c>
      <c r="E4464" s="3">
        <v>1</v>
      </c>
      <c r="F4464" s="4" t="str">
        <f>HYPERLINK("http://141.218.60.56/~jnz1568/getInfo.php?workbook=20_05.xlsx&amp;sheet=U0&amp;row=4464&amp;col=6&amp;number=3&amp;sourceID=14","3")</f>
        <v>3</v>
      </c>
      <c r="G4464" s="4" t="str">
        <f>HYPERLINK("http://141.218.60.56/~jnz1568/getInfo.php?workbook=20_05.xlsx&amp;sheet=U0&amp;row=4464&amp;col=7&amp;number=0.000131&amp;sourceID=14","0.000131")</f>
        <v>0.000131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HYPERLINK("http://141.218.60.56/~jnz1568/getInfo.php?workbook=20_05.xlsx&amp;sheet=U0&amp;row=4465&amp;col=6&amp;number=3.1&amp;sourceID=14","3.1")</f>
        <v>3.1</v>
      </c>
      <c r="G4465" s="4" t="str">
        <f>HYPERLINK("http://141.218.60.56/~jnz1568/getInfo.php?workbook=20_05.xlsx&amp;sheet=U0&amp;row=4465&amp;col=7&amp;number=0.000131&amp;sourceID=14","0.000131")</f>
        <v>0.000131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HYPERLINK("http://141.218.60.56/~jnz1568/getInfo.php?workbook=20_05.xlsx&amp;sheet=U0&amp;row=4466&amp;col=6&amp;number=3.2&amp;sourceID=14","3.2")</f>
        <v>3.2</v>
      </c>
      <c r="G4466" s="4" t="str">
        <f>HYPERLINK("http://141.218.60.56/~jnz1568/getInfo.php?workbook=20_05.xlsx&amp;sheet=U0&amp;row=4466&amp;col=7&amp;number=0.000131&amp;sourceID=14","0.000131")</f>
        <v>0.000131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HYPERLINK("http://141.218.60.56/~jnz1568/getInfo.php?workbook=20_05.xlsx&amp;sheet=U0&amp;row=4467&amp;col=6&amp;number=3.3&amp;sourceID=14","3.3")</f>
        <v>3.3</v>
      </c>
      <c r="G4467" s="4" t="str">
        <f>HYPERLINK("http://141.218.60.56/~jnz1568/getInfo.php?workbook=20_05.xlsx&amp;sheet=U0&amp;row=4467&amp;col=7&amp;number=0.000131&amp;sourceID=14","0.000131")</f>
        <v>0.000131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HYPERLINK("http://141.218.60.56/~jnz1568/getInfo.php?workbook=20_05.xlsx&amp;sheet=U0&amp;row=4468&amp;col=6&amp;number=3.4&amp;sourceID=14","3.4")</f>
        <v>3.4</v>
      </c>
      <c r="G4468" s="4" t="str">
        <f>HYPERLINK("http://141.218.60.56/~jnz1568/getInfo.php?workbook=20_05.xlsx&amp;sheet=U0&amp;row=4468&amp;col=7&amp;number=0.000131&amp;sourceID=14","0.000131")</f>
        <v>0.000131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HYPERLINK("http://141.218.60.56/~jnz1568/getInfo.php?workbook=20_05.xlsx&amp;sheet=U0&amp;row=4469&amp;col=6&amp;number=3.5&amp;sourceID=14","3.5")</f>
        <v>3.5</v>
      </c>
      <c r="G4469" s="4" t="str">
        <f>HYPERLINK("http://141.218.60.56/~jnz1568/getInfo.php?workbook=20_05.xlsx&amp;sheet=U0&amp;row=4469&amp;col=7&amp;number=0.000131&amp;sourceID=14","0.000131")</f>
        <v>0.000131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HYPERLINK("http://141.218.60.56/~jnz1568/getInfo.php?workbook=20_05.xlsx&amp;sheet=U0&amp;row=4470&amp;col=6&amp;number=3.6&amp;sourceID=14","3.6")</f>
        <v>3.6</v>
      </c>
      <c r="G4470" s="4" t="str">
        <f>HYPERLINK("http://141.218.60.56/~jnz1568/getInfo.php?workbook=20_05.xlsx&amp;sheet=U0&amp;row=4470&amp;col=7&amp;number=0.000131&amp;sourceID=14","0.000131")</f>
        <v>0.000131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HYPERLINK("http://141.218.60.56/~jnz1568/getInfo.php?workbook=20_05.xlsx&amp;sheet=U0&amp;row=4471&amp;col=6&amp;number=3.7&amp;sourceID=14","3.7")</f>
        <v>3.7</v>
      </c>
      <c r="G4471" s="4" t="str">
        <f>HYPERLINK("http://141.218.60.56/~jnz1568/getInfo.php?workbook=20_05.xlsx&amp;sheet=U0&amp;row=4471&amp;col=7&amp;number=0.000131&amp;sourceID=14","0.000131")</f>
        <v>0.000131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HYPERLINK("http://141.218.60.56/~jnz1568/getInfo.php?workbook=20_05.xlsx&amp;sheet=U0&amp;row=4472&amp;col=6&amp;number=3.8&amp;sourceID=14","3.8")</f>
        <v>3.8</v>
      </c>
      <c r="G4472" s="4" t="str">
        <f>HYPERLINK("http://141.218.60.56/~jnz1568/getInfo.php?workbook=20_05.xlsx&amp;sheet=U0&amp;row=4472&amp;col=7&amp;number=0.000131&amp;sourceID=14","0.000131")</f>
        <v>0.000131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HYPERLINK("http://141.218.60.56/~jnz1568/getInfo.php?workbook=20_05.xlsx&amp;sheet=U0&amp;row=4473&amp;col=6&amp;number=3.9&amp;sourceID=14","3.9")</f>
        <v>3.9</v>
      </c>
      <c r="G4473" s="4" t="str">
        <f>HYPERLINK("http://141.218.60.56/~jnz1568/getInfo.php?workbook=20_05.xlsx&amp;sheet=U0&amp;row=4473&amp;col=7&amp;number=0.000131&amp;sourceID=14","0.000131")</f>
        <v>0.000131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HYPERLINK("http://141.218.60.56/~jnz1568/getInfo.php?workbook=20_05.xlsx&amp;sheet=U0&amp;row=4474&amp;col=6&amp;number=4&amp;sourceID=14","4")</f>
        <v>4</v>
      </c>
      <c r="G4474" s="4" t="str">
        <f>HYPERLINK("http://141.218.60.56/~jnz1568/getInfo.php?workbook=20_05.xlsx&amp;sheet=U0&amp;row=4474&amp;col=7&amp;number=0.000131&amp;sourceID=14","0.000131")</f>
        <v>0.000131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HYPERLINK("http://141.218.60.56/~jnz1568/getInfo.php?workbook=20_05.xlsx&amp;sheet=U0&amp;row=4475&amp;col=6&amp;number=4.1&amp;sourceID=14","4.1")</f>
        <v>4.1</v>
      </c>
      <c r="G4475" s="4" t="str">
        <f>HYPERLINK("http://141.218.60.56/~jnz1568/getInfo.php?workbook=20_05.xlsx&amp;sheet=U0&amp;row=4475&amp;col=7&amp;number=0.000131&amp;sourceID=14","0.000131")</f>
        <v>0.000131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HYPERLINK("http://141.218.60.56/~jnz1568/getInfo.php?workbook=20_05.xlsx&amp;sheet=U0&amp;row=4476&amp;col=6&amp;number=4.2&amp;sourceID=14","4.2")</f>
        <v>4.2</v>
      </c>
      <c r="G4476" s="4" t="str">
        <f>HYPERLINK("http://141.218.60.56/~jnz1568/getInfo.php?workbook=20_05.xlsx&amp;sheet=U0&amp;row=4476&amp;col=7&amp;number=0.000131&amp;sourceID=14","0.000131")</f>
        <v>0.000131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HYPERLINK("http://141.218.60.56/~jnz1568/getInfo.php?workbook=20_05.xlsx&amp;sheet=U0&amp;row=4477&amp;col=6&amp;number=4.3&amp;sourceID=14","4.3")</f>
        <v>4.3</v>
      </c>
      <c r="G4477" s="4" t="str">
        <f>HYPERLINK("http://141.218.60.56/~jnz1568/getInfo.php?workbook=20_05.xlsx&amp;sheet=U0&amp;row=4477&amp;col=7&amp;number=0.000131&amp;sourceID=14","0.000131")</f>
        <v>0.000131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HYPERLINK("http://141.218.60.56/~jnz1568/getInfo.php?workbook=20_05.xlsx&amp;sheet=U0&amp;row=4478&amp;col=6&amp;number=4.4&amp;sourceID=14","4.4")</f>
        <v>4.4</v>
      </c>
      <c r="G4478" s="4" t="str">
        <f>HYPERLINK("http://141.218.60.56/~jnz1568/getInfo.php?workbook=20_05.xlsx&amp;sheet=U0&amp;row=4478&amp;col=7&amp;number=0.000131&amp;sourceID=14","0.000131")</f>
        <v>0.000131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HYPERLINK("http://141.218.60.56/~jnz1568/getInfo.php?workbook=20_05.xlsx&amp;sheet=U0&amp;row=4479&amp;col=6&amp;number=4.5&amp;sourceID=14","4.5")</f>
        <v>4.5</v>
      </c>
      <c r="G4479" s="4" t="str">
        <f>HYPERLINK("http://141.218.60.56/~jnz1568/getInfo.php?workbook=20_05.xlsx&amp;sheet=U0&amp;row=4479&amp;col=7&amp;number=0.000131&amp;sourceID=14","0.000131")</f>
        <v>0.000131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HYPERLINK("http://141.218.60.56/~jnz1568/getInfo.php?workbook=20_05.xlsx&amp;sheet=U0&amp;row=4480&amp;col=6&amp;number=4.6&amp;sourceID=14","4.6")</f>
        <v>4.6</v>
      </c>
      <c r="G4480" s="4" t="str">
        <f>HYPERLINK("http://141.218.60.56/~jnz1568/getInfo.php?workbook=20_05.xlsx&amp;sheet=U0&amp;row=4480&amp;col=7&amp;number=0.000131&amp;sourceID=14","0.000131")</f>
        <v>0.000131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HYPERLINK("http://141.218.60.56/~jnz1568/getInfo.php?workbook=20_05.xlsx&amp;sheet=U0&amp;row=4481&amp;col=6&amp;number=4.7&amp;sourceID=14","4.7")</f>
        <v>4.7</v>
      </c>
      <c r="G4481" s="4" t="str">
        <f>HYPERLINK("http://141.218.60.56/~jnz1568/getInfo.php?workbook=20_05.xlsx&amp;sheet=U0&amp;row=4481&amp;col=7&amp;number=0.000131&amp;sourceID=14","0.000131")</f>
        <v>0.000131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HYPERLINK("http://141.218.60.56/~jnz1568/getInfo.php?workbook=20_05.xlsx&amp;sheet=U0&amp;row=4482&amp;col=6&amp;number=4.8&amp;sourceID=14","4.8")</f>
        <v>4.8</v>
      </c>
      <c r="G4482" s="4" t="str">
        <f>HYPERLINK("http://141.218.60.56/~jnz1568/getInfo.php?workbook=20_05.xlsx&amp;sheet=U0&amp;row=4482&amp;col=7&amp;number=0.000131&amp;sourceID=14","0.000131")</f>
        <v>0.000131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HYPERLINK("http://141.218.60.56/~jnz1568/getInfo.php?workbook=20_05.xlsx&amp;sheet=U0&amp;row=4483&amp;col=6&amp;number=4.9&amp;sourceID=14","4.9")</f>
        <v>4.9</v>
      </c>
      <c r="G4483" s="4" t="str">
        <f>HYPERLINK("http://141.218.60.56/~jnz1568/getInfo.php?workbook=20_05.xlsx&amp;sheet=U0&amp;row=4483&amp;col=7&amp;number=0.000131&amp;sourceID=14","0.000131")</f>
        <v>0.000131</v>
      </c>
    </row>
    <row r="4484" spans="1:7">
      <c r="A4484" s="3">
        <v>20</v>
      </c>
      <c r="B4484" s="3">
        <v>5</v>
      </c>
      <c r="C4484" s="3">
        <v>2</v>
      </c>
      <c r="D4484" s="3">
        <v>71</v>
      </c>
      <c r="E4484" s="3">
        <v>1</v>
      </c>
      <c r="F4484" s="4" t="str">
        <f>HYPERLINK("http://141.218.60.56/~jnz1568/getInfo.php?workbook=20_05.xlsx&amp;sheet=U0&amp;row=4484&amp;col=6&amp;number=3&amp;sourceID=14","3")</f>
        <v>3</v>
      </c>
      <c r="G4484" s="4" t="str">
        <f>HYPERLINK("http://141.218.60.56/~jnz1568/getInfo.php?workbook=20_05.xlsx&amp;sheet=U0&amp;row=4484&amp;col=7&amp;number=0.000201&amp;sourceID=14","0.000201")</f>
        <v>0.000201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HYPERLINK("http://141.218.60.56/~jnz1568/getInfo.php?workbook=20_05.xlsx&amp;sheet=U0&amp;row=4485&amp;col=6&amp;number=3.1&amp;sourceID=14","3.1")</f>
        <v>3.1</v>
      </c>
      <c r="G4485" s="4" t="str">
        <f>HYPERLINK("http://141.218.60.56/~jnz1568/getInfo.php?workbook=20_05.xlsx&amp;sheet=U0&amp;row=4485&amp;col=7&amp;number=0.000201&amp;sourceID=14","0.000201")</f>
        <v>0.000201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HYPERLINK("http://141.218.60.56/~jnz1568/getInfo.php?workbook=20_05.xlsx&amp;sheet=U0&amp;row=4486&amp;col=6&amp;number=3.2&amp;sourceID=14","3.2")</f>
        <v>3.2</v>
      </c>
      <c r="G4486" s="4" t="str">
        <f>HYPERLINK("http://141.218.60.56/~jnz1568/getInfo.php?workbook=20_05.xlsx&amp;sheet=U0&amp;row=4486&amp;col=7&amp;number=0.000201&amp;sourceID=14","0.000201")</f>
        <v>0.000201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HYPERLINK("http://141.218.60.56/~jnz1568/getInfo.php?workbook=20_05.xlsx&amp;sheet=U0&amp;row=4487&amp;col=6&amp;number=3.3&amp;sourceID=14","3.3")</f>
        <v>3.3</v>
      </c>
      <c r="G4487" s="4" t="str">
        <f>HYPERLINK("http://141.218.60.56/~jnz1568/getInfo.php?workbook=20_05.xlsx&amp;sheet=U0&amp;row=4487&amp;col=7&amp;number=0.000201&amp;sourceID=14","0.000201")</f>
        <v>0.000201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HYPERLINK("http://141.218.60.56/~jnz1568/getInfo.php?workbook=20_05.xlsx&amp;sheet=U0&amp;row=4488&amp;col=6&amp;number=3.4&amp;sourceID=14","3.4")</f>
        <v>3.4</v>
      </c>
      <c r="G4488" s="4" t="str">
        <f>HYPERLINK("http://141.218.60.56/~jnz1568/getInfo.php?workbook=20_05.xlsx&amp;sheet=U0&amp;row=4488&amp;col=7&amp;number=0.000201&amp;sourceID=14","0.000201")</f>
        <v>0.000201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HYPERLINK("http://141.218.60.56/~jnz1568/getInfo.php?workbook=20_05.xlsx&amp;sheet=U0&amp;row=4489&amp;col=6&amp;number=3.5&amp;sourceID=14","3.5")</f>
        <v>3.5</v>
      </c>
      <c r="G4489" s="4" t="str">
        <f>HYPERLINK("http://141.218.60.56/~jnz1568/getInfo.php?workbook=20_05.xlsx&amp;sheet=U0&amp;row=4489&amp;col=7&amp;number=0.000201&amp;sourceID=14","0.000201")</f>
        <v>0.000201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HYPERLINK("http://141.218.60.56/~jnz1568/getInfo.php?workbook=20_05.xlsx&amp;sheet=U0&amp;row=4490&amp;col=6&amp;number=3.6&amp;sourceID=14","3.6")</f>
        <v>3.6</v>
      </c>
      <c r="G4490" s="4" t="str">
        <f>HYPERLINK("http://141.218.60.56/~jnz1568/getInfo.php?workbook=20_05.xlsx&amp;sheet=U0&amp;row=4490&amp;col=7&amp;number=0.000201&amp;sourceID=14","0.000201")</f>
        <v>0.000201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HYPERLINK("http://141.218.60.56/~jnz1568/getInfo.php?workbook=20_05.xlsx&amp;sheet=U0&amp;row=4491&amp;col=6&amp;number=3.7&amp;sourceID=14","3.7")</f>
        <v>3.7</v>
      </c>
      <c r="G4491" s="4" t="str">
        <f>HYPERLINK("http://141.218.60.56/~jnz1568/getInfo.php?workbook=20_05.xlsx&amp;sheet=U0&amp;row=4491&amp;col=7&amp;number=0.000201&amp;sourceID=14","0.000201")</f>
        <v>0.000201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HYPERLINK("http://141.218.60.56/~jnz1568/getInfo.php?workbook=20_05.xlsx&amp;sheet=U0&amp;row=4492&amp;col=6&amp;number=3.8&amp;sourceID=14","3.8")</f>
        <v>3.8</v>
      </c>
      <c r="G4492" s="4" t="str">
        <f>HYPERLINK("http://141.218.60.56/~jnz1568/getInfo.php?workbook=20_05.xlsx&amp;sheet=U0&amp;row=4492&amp;col=7&amp;number=0.000201&amp;sourceID=14","0.000201")</f>
        <v>0.000201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HYPERLINK("http://141.218.60.56/~jnz1568/getInfo.php?workbook=20_05.xlsx&amp;sheet=U0&amp;row=4493&amp;col=6&amp;number=3.9&amp;sourceID=14","3.9")</f>
        <v>3.9</v>
      </c>
      <c r="G4493" s="4" t="str">
        <f>HYPERLINK("http://141.218.60.56/~jnz1568/getInfo.php?workbook=20_05.xlsx&amp;sheet=U0&amp;row=4493&amp;col=7&amp;number=0.000201&amp;sourceID=14","0.000201")</f>
        <v>0.000201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HYPERLINK("http://141.218.60.56/~jnz1568/getInfo.php?workbook=20_05.xlsx&amp;sheet=U0&amp;row=4494&amp;col=6&amp;number=4&amp;sourceID=14","4")</f>
        <v>4</v>
      </c>
      <c r="G4494" s="4" t="str">
        <f>HYPERLINK("http://141.218.60.56/~jnz1568/getInfo.php?workbook=20_05.xlsx&amp;sheet=U0&amp;row=4494&amp;col=7&amp;number=0.000201&amp;sourceID=14","0.000201")</f>
        <v>0.000201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HYPERLINK("http://141.218.60.56/~jnz1568/getInfo.php?workbook=20_05.xlsx&amp;sheet=U0&amp;row=4495&amp;col=6&amp;number=4.1&amp;sourceID=14","4.1")</f>
        <v>4.1</v>
      </c>
      <c r="G4495" s="4" t="str">
        <f>HYPERLINK("http://141.218.60.56/~jnz1568/getInfo.php?workbook=20_05.xlsx&amp;sheet=U0&amp;row=4495&amp;col=7&amp;number=0.000201&amp;sourceID=14","0.000201")</f>
        <v>0.000201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HYPERLINK("http://141.218.60.56/~jnz1568/getInfo.php?workbook=20_05.xlsx&amp;sheet=U0&amp;row=4496&amp;col=6&amp;number=4.2&amp;sourceID=14","4.2")</f>
        <v>4.2</v>
      </c>
      <c r="G4496" s="4" t="str">
        <f>HYPERLINK("http://141.218.60.56/~jnz1568/getInfo.php?workbook=20_05.xlsx&amp;sheet=U0&amp;row=4496&amp;col=7&amp;number=0.0002&amp;sourceID=14","0.0002")</f>
        <v>0.0002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HYPERLINK("http://141.218.60.56/~jnz1568/getInfo.php?workbook=20_05.xlsx&amp;sheet=U0&amp;row=4497&amp;col=6&amp;number=4.3&amp;sourceID=14","4.3")</f>
        <v>4.3</v>
      </c>
      <c r="G4497" s="4" t="str">
        <f>HYPERLINK("http://141.218.60.56/~jnz1568/getInfo.php?workbook=20_05.xlsx&amp;sheet=U0&amp;row=4497&amp;col=7&amp;number=0.0002&amp;sourceID=14","0.0002")</f>
        <v>0.0002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HYPERLINK("http://141.218.60.56/~jnz1568/getInfo.php?workbook=20_05.xlsx&amp;sheet=U0&amp;row=4498&amp;col=6&amp;number=4.4&amp;sourceID=14","4.4")</f>
        <v>4.4</v>
      </c>
      <c r="G4498" s="4" t="str">
        <f>HYPERLINK("http://141.218.60.56/~jnz1568/getInfo.php?workbook=20_05.xlsx&amp;sheet=U0&amp;row=4498&amp;col=7&amp;number=0.0002&amp;sourceID=14","0.0002")</f>
        <v>0.0002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HYPERLINK("http://141.218.60.56/~jnz1568/getInfo.php?workbook=20_05.xlsx&amp;sheet=U0&amp;row=4499&amp;col=6&amp;number=4.5&amp;sourceID=14","4.5")</f>
        <v>4.5</v>
      </c>
      <c r="G4499" s="4" t="str">
        <f>HYPERLINK("http://141.218.60.56/~jnz1568/getInfo.php?workbook=20_05.xlsx&amp;sheet=U0&amp;row=4499&amp;col=7&amp;number=0.0002&amp;sourceID=14","0.0002")</f>
        <v>0.0002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HYPERLINK("http://141.218.60.56/~jnz1568/getInfo.php?workbook=20_05.xlsx&amp;sheet=U0&amp;row=4500&amp;col=6&amp;number=4.6&amp;sourceID=14","4.6")</f>
        <v>4.6</v>
      </c>
      <c r="G4500" s="4" t="str">
        <f>HYPERLINK("http://141.218.60.56/~jnz1568/getInfo.php?workbook=20_05.xlsx&amp;sheet=U0&amp;row=4500&amp;col=7&amp;number=0.000199&amp;sourceID=14","0.000199")</f>
        <v>0.000199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HYPERLINK("http://141.218.60.56/~jnz1568/getInfo.php?workbook=20_05.xlsx&amp;sheet=U0&amp;row=4501&amp;col=6&amp;number=4.7&amp;sourceID=14","4.7")</f>
        <v>4.7</v>
      </c>
      <c r="G4501" s="4" t="str">
        <f>HYPERLINK("http://141.218.60.56/~jnz1568/getInfo.php?workbook=20_05.xlsx&amp;sheet=U0&amp;row=4501&amp;col=7&amp;number=0.000198&amp;sourceID=14","0.000198")</f>
        <v>0.000198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HYPERLINK("http://141.218.60.56/~jnz1568/getInfo.php?workbook=20_05.xlsx&amp;sheet=U0&amp;row=4502&amp;col=6&amp;number=4.8&amp;sourceID=14","4.8")</f>
        <v>4.8</v>
      </c>
      <c r="G4502" s="4" t="str">
        <f>HYPERLINK("http://141.218.60.56/~jnz1568/getInfo.php?workbook=20_05.xlsx&amp;sheet=U0&amp;row=4502&amp;col=7&amp;number=0.000198&amp;sourceID=14","0.000198")</f>
        <v>0.000198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HYPERLINK("http://141.218.60.56/~jnz1568/getInfo.php?workbook=20_05.xlsx&amp;sheet=U0&amp;row=4503&amp;col=6&amp;number=4.9&amp;sourceID=14","4.9")</f>
        <v>4.9</v>
      </c>
      <c r="G4503" s="4" t="str">
        <f>HYPERLINK("http://141.218.60.56/~jnz1568/getInfo.php?workbook=20_05.xlsx&amp;sheet=U0&amp;row=4503&amp;col=7&amp;number=0.000197&amp;sourceID=14","0.000197")</f>
        <v>0.000197</v>
      </c>
    </row>
    <row r="4504" spans="1:7">
      <c r="A4504" s="3">
        <v>20</v>
      </c>
      <c r="B4504" s="3">
        <v>5</v>
      </c>
      <c r="C4504" s="3">
        <v>2</v>
      </c>
      <c r="D4504" s="3">
        <v>72</v>
      </c>
      <c r="E4504" s="3">
        <v>1</v>
      </c>
      <c r="F4504" s="4" t="str">
        <f>HYPERLINK("http://141.218.60.56/~jnz1568/getInfo.php?workbook=20_05.xlsx&amp;sheet=U0&amp;row=4504&amp;col=6&amp;number=3&amp;sourceID=14","3")</f>
        <v>3</v>
      </c>
      <c r="G4504" s="4" t="str">
        <f>HYPERLINK("http://141.218.60.56/~jnz1568/getInfo.php?workbook=20_05.xlsx&amp;sheet=U0&amp;row=4504&amp;col=7&amp;number=0.00023&amp;sourceID=14","0.00023")</f>
        <v>0.00023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HYPERLINK("http://141.218.60.56/~jnz1568/getInfo.php?workbook=20_05.xlsx&amp;sheet=U0&amp;row=4505&amp;col=6&amp;number=3.1&amp;sourceID=14","3.1")</f>
        <v>3.1</v>
      </c>
      <c r="G4505" s="4" t="str">
        <f>HYPERLINK("http://141.218.60.56/~jnz1568/getInfo.php?workbook=20_05.xlsx&amp;sheet=U0&amp;row=4505&amp;col=7&amp;number=0.00023&amp;sourceID=14","0.00023")</f>
        <v>0.00023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HYPERLINK("http://141.218.60.56/~jnz1568/getInfo.php?workbook=20_05.xlsx&amp;sheet=U0&amp;row=4506&amp;col=6&amp;number=3.2&amp;sourceID=14","3.2")</f>
        <v>3.2</v>
      </c>
      <c r="G4506" s="4" t="str">
        <f>HYPERLINK("http://141.218.60.56/~jnz1568/getInfo.php?workbook=20_05.xlsx&amp;sheet=U0&amp;row=4506&amp;col=7&amp;number=0.00023&amp;sourceID=14","0.00023")</f>
        <v>0.00023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HYPERLINK("http://141.218.60.56/~jnz1568/getInfo.php?workbook=20_05.xlsx&amp;sheet=U0&amp;row=4507&amp;col=6&amp;number=3.3&amp;sourceID=14","3.3")</f>
        <v>3.3</v>
      </c>
      <c r="G4507" s="4" t="str">
        <f>HYPERLINK("http://141.218.60.56/~jnz1568/getInfo.php?workbook=20_05.xlsx&amp;sheet=U0&amp;row=4507&amp;col=7&amp;number=0.00023&amp;sourceID=14","0.00023")</f>
        <v>0.00023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HYPERLINK("http://141.218.60.56/~jnz1568/getInfo.php?workbook=20_05.xlsx&amp;sheet=U0&amp;row=4508&amp;col=6&amp;number=3.4&amp;sourceID=14","3.4")</f>
        <v>3.4</v>
      </c>
      <c r="G4508" s="4" t="str">
        <f>HYPERLINK("http://141.218.60.56/~jnz1568/getInfo.php?workbook=20_05.xlsx&amp;sheet=U0&amp;row=4508&amp;col=7&amp;number=0.00023&amp;sourceID=14","0.00023")</f>
        <v>0.00023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HYPERLINK("http://141.218.60.56/~jnz1568/getInfo.php?workbook=20_05.xlsx&amp;sheet=U0&amp;row=4509&amp;col=6&amp;number=3.5&amp;sourceID=14","3.5")</f>
        <v>3.5</v>
      </c>
      <c r="G4509" s="4" t="str">
        <f>HYPERLINK("http://141.218.60.56/~jnz1568/getInfo.php?workbook=20_05.xlsx&amp;sheet=U0&amp;row=4509&amp;col=7&amp;number=0.00023&amp;sourceID=14","0.00023")</f>
        <v>0.00023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HYPERLINK("http://141.218.60.56/~jnz1568/getInfo.php?workbook=20_05.xlsx&amp;sheet=U0&amp;row=4510&amp;col=6&amp;number=3.6&amp;sourceID=14","3.6")</f>
        <v>3.6</v>
      </c>
      <c r="G4510" s="4" t="str">
        <f>HYPERLINK("http://141.218.60.56/~jnz1568/getInfo.php?workbook=20_05.xlsx&amp;sheet=U0&amp;row=4510&amp;col=7&amp;number=0.00023&amp;sourceID=14","0.00023")</f>
        <v>0.00023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HYPERLINK("http://141.218.60.56/~jnz1568/getInfo.php?workbook=20_05.xlsx&amp;sheet=U0&amp;row=4511&amp;col=6&amp;number=3.7&amp;sourceID=14","3.7")</f>
        <v>3.7</v>
      </c>
      <c r="G4511" s="4" t="str">
        <f>HYPERLINK("http://141.218.60.56/~jnz1568/getInfo.php?workbook=20_05.xlsx&amp;sheet=U0&amp;row=4511&amp;col=7&amp;number=0.00023&amp;sourceID=14","0.00023")</f>
        <v>0.00023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HYPERLINK("http://141.218.60.56/~jnz1568/getInfo.php?workbook=20_05.xlsx&amp;sheet=U0&amp;row=4512&amp;col=6&amp;number=3.8&amp;sourceID=14","3.8")</f>
        <v>3.8</v>
      </c>
      <c r="G4512" s="4" t="str">
        <f>HYPERLINK("http://141.218.60.56/~jnz1568/getInfo.php?workbook=20_05.xlsx&amp;sheet=U0&amp;row=4512&amp;col=7&amp;number=0.00023&amp;sourceID=14","0.00023")</f>
        <v>0.00023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HYPERLINK("http://141.218.60.56/~jnz1568/getInfo.php?workbook=20_05.xlsx&amp;sheet=U0&amp;row=4513&amp;col=6&amp;number=3.9&amp;sourceID=14","3.9")</f>
        <v>3.9</v>
      </c>
      <c r="G4513" s="4" t="str">
        <f>HYPERLINK("http://141.218.60.56/~jnz1568/getInfo.php?workbook=20_05.xlsx&amp;sheet=U0&amp;row=4513&amp;col=7&amp;number=0.00023&amp;sourceID=14","0.00023")</f>
        <v>0.00023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HYPERLINK("http://141.218.60.56/~jnz1568/getInfo.php?workbook=20_05.xlsx&amp;sheet=U0&amp;row=4514&amp;col=6&amp;number=4&amp;sourceID=14","4")</f>
        <v>4</v>
      </c>
      <c r="G4514" s="4" t="str">
        <f>HYPERLINK("http://141.218.60.56/~jnz1568/getInfo.php?workbook=20_05.xlsx&amp;sheet=U0&amp;row=4514&amp;col=7&amp;number=0.000229&amp;sourceID=14","0.000229")</f>
        <v>0.000229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HYPERLINK("http://141.218.60.56/~jnz1568/getInfo.php?workbook=20_05.xlsx&amp;sheet=U0&amp;row=4515&amp;col=6&amp;number=4.1&amp;sourceID=14","4.1")</f>
        <v>4.1</v>
      </c>
      <c r="G4515" s="4" t="str">
        <f>HYPERLINK("http://141.218.60.56/~jnz1568/getInfo.php?workbook=20_05.xlsx&amp;sheet=U0&amp;row=4515&amp;col=7&amp;number=0.000229&amp;sourceID=14","0.000229")</f>
        <v>0.000229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HYPERLINK("http://141.218.60.56/~jnz1568/getInfo.php?workbook=20_05.xlsx&amp;sheet=U0&amp;row=4516&amp;col=6&amp;number=4.2&amp;sourceID=14","4.2")</f>
        <v>4.2</v>
      </c>
      <c r="G4516" s="4" t="str">
        <f>HYPERLINK("http://141.218.60.56/~jnz1568/getInfo.php?workbook=20_05.xlsx&amp;sheet=U0&amp;row=4516&amp;col=7&amp;number=0.000229&amp;sourceID=14","0.000229")</f>
        <v>0.000229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HYPERLINK("http://141.218.60.56/~jnz1568/getInfo.php?workbook=20_05.xlsx&amp;sheet=U0&amp;row=4517&amp;col=6&amp;number=4.3&amp;sourceID=14","4.3")</f>
        <v>4.3</v>
      </c>
      <c r="G4517" s="4" t="str">
        <f>HYPERLINK("http://141.218.60.56/~jnz1568/getInfo.php?workbook=20_05.xlsx&amp;sheet=U0&amp;row=4517&amp;col=7&amp;number=0.000229&amp;sourceID=14","0.000229")</f>
        <v>0.000229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HYPERLINK("http://141.218.60.56/~jnz1568/getInfo.php?workbook=20_05.xlsx&amp;sheet=U0&amp;row=4518&amp;col=6&amp;number=4.4&amp;sourceID=14","4.4")</f>
        <v>4.4</v>
      </c>
      <c r="G4518" s="4" t="str">
        <f>HYPERLINK("http://141.218.60.56/~jnz1568/getInfo.php?workbook=20_05.xlsx&amp;sheet=U0&amp;row=4518&amp;col=7&amp;number=0.000229&amp;sourceID=14","0.000229")</f>
        <v>0.000229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HYPERLINK("http://141.218.60.56/~jnz1568/getInfo.php?workbook=20_05.xlsx&amp;sheet=U0&amp;row=4519&amp;col=6&amp;number=4.5&amp;sourceID=14","4.5")</f>
        <v>4.5</v>
      </c>
      <c r="G4519" s="4" t="str">
        <f>HYPERLINK("http://141.218.60.56/~jnz1568/getInfo.php?workbook=20_05.xlsx&amp;sheet=U0&amp;row=4519&amp;col=7&amp;number=0.000229&amp;sourceID=14","0.000229")</f>
        <v>0.000229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HYPERLINK("http://141.218.60.56/~jnz1568/getInfo.php?workbook=20_05.xlsx&amp;sheet=U0&amp;row=4520&amp;col=6&amp;number=4.6&amp;sourceID=14","4.6")</f>
        <v>4.6</v>
      </c>
      <c r="G4520" s="4" t="str">
        <f>HYPERLINK("http://141.218.60.56/~jnz1568/getInfo.php?workbook=20_05.xlsx&amp;sheet=U0&amp;row=4520&amp;col=7&amp;number=0.000229&amp;sourceID=14","0.000229")</f>
        <v>0.000229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HYPERLINK("http://141.218.60.56/~jnz1568/getInfo.php?workbook=20_05.xlsx&amp;sheet=U0&amp;row=4521&amp;col=6&amp;number=4.7&amp;sourceID=14","4.7")</f>
        <v>4.7</v>
      </c>
      <c r="G4521" s="4" t="str">
        <f>HYPERLINK("http://141.218.60.56/~jnz1568/getInfo.php?workbook=20_05.xlsx&amp;sheet=U0&amp;row=4521&amp;col=7&amp;number=0.000228&amp;sourceID=14","0.000228")</f>
        <v>0.000228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HYPERLINK("http://141.218.60.56/~jnz1568/getInfo.php?workbook=20_05.xlsx&amp;sheet=U0&amp;row=4522&amp;col=6&amp;number=4.8&amp;sourceID=14","4.8")</f>
        <v>4.8</v>
      </c>
      <c r="G4522" s="4" t="str">
        <f>HYPERLINK("http://141.218.60.56/~jnz1568/getInfo.php?workbook=20_05.xlsx&amp;sheet=U0&amp;row=4522&amp;col=7&amp;number=0.000228&amp;sourceID=14","0.000228")</f>
        <v>0.000228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HYPERLINK("http://141.218.60.56/~jnz1568/getInfo.php?workbook=20_05.xlsx&amp;sheet=U0&amp;row=4523&amp;col=6&amp;number=4.9&amp;sourceID=14","4.9")</f>
        <v>4.9</v>
      </c>
      <c r="G4523" s="4" t="str">
        <f>HYPERLINK("http://141.218.60.56/~jnz1568/getInfo.php?workbook=20_05.xlsx&amp;sheet=U0&amp;row=4523&amp;col=7&amp;number=0.000227&amp;sourceID=14","0.000227")</f>
        <v>0.000227</v>
      </c>
    </row>
    <row r="4524" spans="1:7">
      <c r="A4524" s="3">
        <v>20</v>
      </c>
      <c r="B4524" s="3">
        <v>5</v>
      </c>
      <c r="C4524" s="3">
        <v>2</v>
      </c>
      <c r="D4524" s="3">
        <v>73</v>
      </c>
      <c r="E4524" s="3">
        <v>1</v>
      </c>
      <c r="F4524" s="4" t="str">
        <f>HYPERLINK("http://141.218.60.56/~jnz1568/getInfo.php?workbook=20_05.xlsx&amp;sheet=U0&amp;row=4524&amp;col=6&amp;number=3&amp;sourceID=14","3")</f>
        <v>3</v>
      </c>
      <c r="G4524" s="4" t="str">
        <f>HYPERLINK("http://141.218.60.56/~jnz1568/getInfo.php?workbook=20_05.xlsx&amp;sheet=U0&amp;row=4524&amp;col=7&amp;number=0.00909&amp;sourceID=14","0.00909")</f>
        <v>0.00909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HYPERLINK("http://141.218.60.56/~jnz1568/getInfo.php?workbook=20_05.xlsx&amp;sheet=U0&amp;row=4525&amp;col=6&amp;number=3.1&amp;sourceID=14","3.1")</f>
        <v>3.1</v>
      </c>
      <c r="G4525" s="4" t="str">
        <f>HYPERLINK("http://141.218.60.56/~jnz1568/getInfo.php?workbook=20_05.xlsx&amp;sheet=U0&amp;row=4525&amp;col=7&amp;number=0.00909&amp;sourceID=14","0.00909")</f>
        <v>0.00909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HYPERLINK("http://141.218.60.56/~jnz1568/getInfo.php?workbook=20_05.xlsx&amp;sheet=U0&amp;row=4526&amp;col=6&amp;number=3.2&amp;sourceID=14","3.2")</f>
        <v>3.2</v>
      </c>
      <c r="G4526" s="4" t="str">
        <f>HYPERLINK("http://141.218.60.56/~jnz1568/getInfo.php?workbook=20_05.xlsx&amp;sheet=U0&amp;row=4526&amp;col=7&amp;number=0.00909&amp;sourceID=14","0.00909")</f>
        <v>0.00909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HYPERLINK("http://141.218.60.56/~jnz1568/getInfo.php?workbook=20_05.xlsx&amp;sheet=U0&amp;row=4527&amp;col=6&amp;number=3.3&amp;sourceID=14","3.3")</f>
        <v>3.3</v>
      </c>
      <c r="G4527" s="4" t="str">
        <f>HYPERLINK("http://141.218.60.56/~jnz1568/getInfo.php?workbook=20_05.xlsx&amp;sheet=U0&amp;row=4527&amp;col=7&amp;number=0.00909&amp;sourceID=14","0.00909")</f>
        <v>0.00909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HYPERLINK("http://141.218.60.56/~jnz1568/getInfo.php?workbook=20_05.xlsx&amp;sheet=U0&amp;row=4528&amp;col=6&amp;number=3.4&amp;sourceID=14","3.4")</f>
        <v>3.4</v>
      </c>
      <c r="G4528" s="4" t="str">
        <f>HYPERLINK("http://141.218.60.56/~jnz1568/getInfo.php?workbook=20_05.xlsx&amp;sheet=U0&amp;row=4528&amp;col=7&amp;number=0.00909&amp;sourceID=14","0.00909")</f>
        <v>0.00909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HYPERLINK("http://141.218.60.56/~jnz1568/getInfo.php?workbook=20_05.xlsx&amp;sheet=U0&amp;row=4529&amp;col=6&amp;number=3.5&amp;sourceID=14","3.5")</f>
        <v>3.5</v>
      </c>
      <c r="G4529" s="4" t="str">
        <f>HYPERLINK("http://141.218.60.56/~jnz1568/getInfo.php?workbook=20_05.xlsx&amp;sheet=U0&amp;row=4529&amp;col=7&amp;number=0.00909&amp;sourceID=14","0.00909")</f>
        <v>0.00909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HYPERLINK("http://141.218.60.56/~jnz1568/getInfo.php?workbook=20_05.xlsx&amp;sheet=U0&amp;row=4530&amp;col=6&amp;number=3.6&amp;sourceID=14","3.6")</f>
        <v>3.6</v>
      </c>
      <c r="G4530" s="4" t="str">
        <f>HYPERLINK("http://141.218.60.56/~jnz1568/getInfo.php?workbook=20_05.xlsx&amp;sheet=U0&amp;row=4530&amp;col=7&amp;number=0.00909&amp;sourceID=14","0.00909")</f>
        <v>0.00909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HYPERLINK("http://141.218.60.56/~jnz1568/getInfo.php?workbook=20_05.xlsx&amp;sheet=U0&amp;row=4531&amp;col=6&amp;number=3.7&amp;sourceID=14","3.7")</f>
        <v>3.7</v>
      </c>
      <c r="G4531" s="4" t="str">
        <f>HYPERLINK("http://141.218.60.56/~jnz1568/getInfo.php?workbook=20_05.xlsx&amp;sheet=U0&amp;row=4531&amp;col=7&amp;number=0.00909&amp;sourceID=14","0.00909")</f>
        <v>0.00909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HYPERLINK("http://141.218.60.56/~jnz1568/getInfo.php?workbook=20_05.xlsx&amp;sheet=U0&amp;row=4532&amp;col=6&amp;number=3.8&amp;sourceID=14","3.8")</f>
        <v>3.8</v>
      </c>
      <c r="G4532" s="4" t="str">
        <f>HYPERLINK("http://141.218.60.56/~jnz1568/getInfo.php?workbook=20_05.xlsx&amp;sheet=U0&amp;row=4532&amp;col=7&amp;number=0.00908&amp;sourceID=14","0.00908")</f>
        <v>0.00908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HYPERLINK("http://141.218.60.56/~jnz1568/getInfo.php?workbook=20_05.xlsx&amp;sheet=U0&amp;row=4533&amp;col=6&amp;number=3.9&amp;sourceID=14","3.9")</f>
        <v>3.9</v>
      </c>
      <c r="G4533" s="4" t="str">
        <f>HYPERLINK("http://141.218.60.56/~jnz1568/getInfo.php?workbook=20_05.xlsx&amp;sheet=U0&amp;row=4533&amp;col=7&amp;number=0.00908&amp;sourceID=14","0.00908")</f>
        <v>0.00908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HYPERLINK("http://141.218.60.56/~jnz1568/getInfo.php?workbook=20_05.xlsx&amp;sheet=U0&amp;row=4534&amp;col=6&amp;number=4&amp;sourceID=14","4")</f>
        <v>4</v>
      </c>
      <c r="G4534" s="4" t="str">
        <f>HYPERLINK("http://141.218.60.56/~jnz1568/getInfo.php?workbook=20_05.xlsx&amp;sheet=U0&amp;row=4534&amp;col=7&amp;number=0.00908&amp;sourceID=14","0.00908")</f>
        <v>0.00908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HYPERLINK("http://141.218.60.56/~jnz1568/getInfo.php?workbook=20_05.xlsx&amp;sheet=U0&amp;row=4535&amp;col=6&amp;number=4.1&amp;sourceID=14","4.1")</f>
        <v>4.1</v>
      </c>
      <c r="G4535" s="4" t="str">
        <f>HYPERLINK("http://141.218.60.56/~jnz1568/getInfo.php?workbook=20_05.xlsx&amp;sheet=U0&amp;row=4535&amp;col=7&amp;number=0.00908&amp;sourceID=14","0.00908")</f>
        <v>0.00908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HYPERLINK("http://141.218.60.56/~jnz1568/getInfo.php?workbook=20_05.xlsx&amp;sheet=U0&amp;row=4536&amp;col=6&amp;number=4.2&amp;sourceID=14","4.2")</f>
        <v>4.2</v>
      </c>
      <c r="G4536" s="4" t="str">
        <f>HYPERLINK("http://141.218.60.56/~jnz1568/getInfo.php?workbook=20_05.xlsx&amp;sheet=U0&amp;row=4536&amp;col=7&amp;number=0.00907&amp;sourceID=14","0.00907")</f>
        <v>0.00907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HYPERLINK("http://141.218.60.56/~jnz1568/getInfo.php?workbook=20_05.xlsx&amp;sheet=U0&amp;row=4537&amp;col=6&amp;number=4.3&amp;sourceID=14","4.3")</f>
        <v>4.3</v>
      </c>
      <c r="G4537" s="4" t="str">
        <f>HYPERLINK("http://141.218.60.56/~jnz1568/getInfo.php?workbook=20_05.xlsx&amp;sheet=U0&amp;row=4537&amp;col=7&amp;number=0.00907&amp;sourceID=14","0.00907")</f>
        <v>0.00907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HYPERLINK("http://141.218.60.56/~jnz1568/getInfo.php?workbook=20_05.xlsx&amp;sheet=U0&amp;row=4538&amp;col=6&amp;number=4.4&amp;sourceID=14","4.4")</f>
        <v>4.4</v>
      </c>
      <c r="G4538" s="4" t="str">
        <f>HYPERLINK("http://141.218.60.56/~jnz1568/getInfo.php?workbook=20_05.xlsx&amp;sheet=U0&amp;row=4538&amp;col=7&amp;number=0.00906&amp;sourceID=14","0.00906")</f>
        <v>0.00906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HYPERLINK("http://141.218.60.56/~jnz1568/getInfo.php?workbook=20_05.xlsx&amp;sheet=U0&amp;row=4539&amp;col=6&amp;number=4.5&amp;sourceID=14","4.5")</f>
        <v>4.5</v>
      </c>
      <c r="G4539" s="4" t="str">
        <f>HYPERLINK("http://141.218.60.56/~jnz1568/getInfo.php?workbook=20_05.xlsx&amp;sheet=U0&amp;row=4539&amp;col=7&amp;number=0.00905&amp;sourceID=14","0.00905")</f>
        <v>0.00905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HYPERLINK("http://141.218.60.56/~jnz1568/getInfo.php?workbook=20_05.xlsx&amp;sheet=U0&amp;row=4540&amp;col=6&amp;number=4.6&amp;sourceID=14","4.6")</f>
        <v>4.6</v>
      </c>
      <c r="G4540" s="4" t="str">
        <f>HYPERLINK("http://141.218.60.56/~jnz1568/getInfo.php?workbook=20_05.xlsx&amp;sheet=U0&amp;row=4540&amp;col=7&amp;number=0.00904&amp;sourceID=14","0.00904")</f>
        <v>0.00904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HYPERLINK("http://141.218.60.56/~jnz1568/getInfo.php?workbook=20_05.xlsx&amp;sheet=U0&amp;row=4541&amp;col=6&amp;number=4.7&amp;sourceID=14","4.7")</f>
        <v>4.7</v>
      </c>
      <c r="G4541" s="4" t="str">
        <f>HYPERLINK("http://141.218.60.56/~jnz1568/getInfo.php?workbook=20_05.xlsx&amp;sheet=U0&amp;row=4541&amp;col=7&amp;number=0.00903&amp;sourceID=14","0.00903")</f>
        <v>0.00903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HYPERLINK("http://141.218.60.56/~jnz1568/getInfo.php?workbook=20_05.xlsx&amp;sheet=U0&amp;row=4542&amp;col=6&amp;number=4.8&amp;sourceID=14","4.8")</f>
        <v>4.8</v>
      </c>
      <c r="G4542" s="4" t="str">
        <f>HYPERLINK("http://141.218.60.56/~jnz1568/getInfo.php?workbook=20_05.xlsx&amp;sheet=U0&amp;row=4542&amp;col=7&amp;number=0.00901&amp;sourceID=14","0.00901")</f>
        <v>0.00901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HYPERLINK("http://141.218.60.56/~jnz1568/getInfo.php?workbook=20_05.xlsx&amp;sheet=U0&amp;row=4543&amp;col=6&amp;number=4.9&amp;sourceID=14","4.9")</f>
        <v>4.9</v>
      </c>
      <c r="G4543" s="4" t="str">
        <f>HYPERLINK("http://141.218.60.56/~jnz1568/getInfo.php?workbook=20_05.xlsx&amp;sheet=U0&amp;row=4543&amp;col=7&amp;number=0.00899&amp;sourceID=14","0.00899")</f>
        <v>0.00899</v>
      </c>
    </row>
    <row r="4544" spans="1:7">
      <c r="A4544" s="3">
        <v>20</v>
      </c>
      <c r="B4544" s="3">
        <v>5</v>
      </c>
      <c r="C4544" s="3">
        <v>2</v>
      </c>
      <c r="D4544" s="3">
        <v>74</v>
      </c>
      <c r="E4544" s="3">
        <v>1</v>
      </c>
      <c r="F4544" s="4" t="str">
        <f>HYPERLINK("http://141.218.60.56/~jnz1568/getInfo.php?workbook=20_05.xlsx&amp;sheet=U0&amp;row=4544&amp;col=6&amp;number=3&amp;sourceID=14","3")</f>
        <v>3</v>
      </c>
      <c r="G4544" s="4" t="str">
        <f>HYPERLINK("http://141.218.60.56/~jnz1568/getInfo.php?workbook=20_05.xlsx&amp;sheet=U0&amp;row=4544&amp;col=7&amp;number=0.000152&amp;sourceID=14","0.000152")</f>
        <v>0.000152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HYPERLINK("http://141.218.60.56/~jnz1568/getInfo.php?workbook=20_05.xlsx&amp;sheet=U0&amp;row=4545&amp;col=6&amp;number=3.1&amp;sourceID=14","3.1")</f>
        <v>3.1</v>
      </c>
      <c r="G4545" s="4" t="str">
        <f>HYPERLINK("http://141.218.60.56/~jnz1568/getInfo.php?workbook=20_05.xlsx&amp;sheet=U0&amp;row=4545&amp;col=7&amp;number=0.000152&amp;sourceID=14","0.000152")</f>
        <v>0.000152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HYPERLINK("http://141.218.60.56/~jnz1568/getInfo.php?workbook=20_05.xlsx&amp;sheet=U0&amp;row=4546&amp;col=6&amp;number=3.2&amp;sourceID=14","3.2")</f>
        <v>3.2</v>
      </c>
      <c r="G4546" s="4" t="str">
        <f>HYPERLINK("http://141.218.60.56/~jnz1568/getInfo.php?workbook=20_05.xlsx&amp;sheet=U0&amp;row=4546&amp;col=7&amp;number=0.000152&amp;sourceID=14","0.000152")</f>
        <v>0.000152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HYPERLINK("http://141.218.60.56/~jnz1568/getInfo.php?workbook=20_05.xlsx&amp;sheet=U0&amp;row=4547&amp;col=6&amp;number=3.3&amp;sourceID=14","3.3")</f>
        <v>3.3</v>
      </c>
      <c r="G4547" s="4" t="str">
        <f>HYPERLINK("http://141.218.60.56/~jnz1568/getInfo.php?workbook=20_05.xlsx&amp;sheet=U0&amp;row=4547&amp;col=7&amp;number=0.000152&amp;sourceID=14","0.000152")</f>
        <v>0.000152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HYPERLINK("http://141.218.60.56/~jnz1568/getInfo.php?workbook=20_05.xlsx&amp;sheet=U0&amp;row=4548&amp;col=6&amp;number=3.4&amp;sourceID=14","3.4")</f>
        <v>3.4</v>
      </c>
      <c r="G4548" s="4" t="str">
        <f>HYPERLINK("http://141.218.60.56/~jnz1568/getInfo.php?workbook=20_05.xlsx&amp;sheet=U0&amp;row=4548&amp;col=7&amp;number=0.000152&amp;sourceID=14","0.000152")</f>
        <v>0.000152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HYPERLINK("http://141.218.60.56/~jnz1568/getInfo.php?workbook=20_05.xlsx&amp;sheet=U0&amp;row=4549&amp;col=6&amp;number=3.5&amp;sourceID=14","3.5")</f>
        <v>3.5</v>
      </c>
      <c r="G4549" s="4" t="str">
        <f>HYPERLINK("http://141.218.60.56/~jnz1568/getInfo.php?workbook=20_05.xlsx&amp;sheet=U0&amp;row=4549&amp;col=7&amp;number=0.000152&amp;sourceID=14","0.000152")</f>
        <v>0.000152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HYPERLINK("http://141.218.60.56/~jnz1568/getInfo.php?workbook=20_05.xlsx&amp;sheet=U0&amp;row=4550&amp;col=6&amp;number=3.6&amp;sourceID=14","3.6")</f>
        <v>3.6</v>
      </c>
      <c r="G4550" s="4" t="str">
        <f>HYPERLINK("http://141.218.60.56/~jnz1568/getInfo.php?workbook=20_05.xlsx&amp;sheet=U0&amp;row=4550&amp;col=7&amp;number=0.000152&amp;sourceID=14","0.000152")</f>
        <v>0.000152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HYPERLINK("http://141.218.60.56/~jnz1568/getInfo.php?workbook=20_05.xlsx&amp;sheet=U0&amp;row=4551&amp;col=6&amp;number=3.7&amp;sourceID=14","3.7")</f>
        <v>3.7</v>
      </c>
      <c r="G4551" s="4" t="str">
        <f>HYPERLINK("http://141.218.60.56/~jnz1568/getInfo.php?workbook=20_05.xlsx&amp;sheet=U0&amp;row=4551&amp;col=7&amp;number=0.000152&amp;sourceID=14","0.000152")</f>
        <v>0.000152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HYPERLINK("http://141.218.60.56/~jnz1568/getInfo.php?workbook=20_05.xlsx&amp;sheet=U0&amp;row=4552&amp;col=6&amp;number=3.8&amp;sourceID=14","3.8")</f>
        <v>3.8</v>
      </c>
      <c r="G4552" s="4" t="str">
        <f>HYPERLINK("http://141.218.60.56/~jnz1568/getInfo.php?workbook=20_05.xlsx&amp;sheet=U0&amp;row=4552&amp;col=7&amp;number=0.000152&amp;sourceID=14","0.000152")</f>
        <v>0.000152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HYPERLINK("http://141.218.60.56/~jnz1568/getInfo.php?workbook=20_05.xlsx&amp;sheet=U0&amp;row=4553&amp;col=6&amp;number=3.9&amp;sourceID=14","3.9")</f>
        <v>3.9</v>
      </c>
      <c r="G4553" s="4" t="str">
        <f>HYPERLINK("http://141.218.60.56/~jnz1568/getInfo.php?workbook=20_05.xlsx&amp;sheet=U0&amp;row=4553&amp;col=7&amp;number=0.000152&amp;sourceID=14","0.000152")</f>
        <v>0.000152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HYPERLINK("http://141.218.60.56/~jnz1568/getInfo.php?workbook=20_05.xlsx&amp;sheet=U0&amp;row=4554&amp;col=6&amp;number=4&amp;sourceID=14","4")</f>
        <v>4</v>
      </c>
      <c r="G4554" s="4" t="str">
        <f>HYPERLINK("http://141.218.60.56/~jnz1568/getInfo.php?workbook=20_05.xlsx&amp;sheet=U0&amp;row=4554&amp;col=7&amp;number=0.000152&amp;sourceID=14","0.000152")</f>
        <v>0.000152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HYPERLINK("http://141.218.60.56/~jnz1568/getInfo.php?workbook=20_05.xlsx&amp;sheet=U0&amp;row=4555&amp;col=6&amp;number=4.1&amp;sourceID=14","4.1")</f>
        <v>4.1</v>
      </c>
      <c r="G4555" s="4" t="str">
        <f>HYPERLINK("http://141.218.60.56/~jnz1568/getInfo.php?workbook=20_05.xlsx&amp;sheet=U0&amp;row=4555&amp;col=7&amp;number=0.000152&amp;sourceID=14","0.000152")</f>
        <v>0.000152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HYPERLINK("http://141.218.60.56/~jnz1568/getInfo.php?workbook=20_05.xlsx&amp;sheet=U0&amp;row=4556&amp;col=6&amp;number=4.2&amp;sourceID=14","4.2")</f>
        <v>4.2</v>
      </c>
      <c r="G4556" s="4" t="str">
        <f>HYPERLINK("http://141.218.60.56/~jnz1568/getInfo.php?workbook=20_05.xlsx&amp;sheet=U0&amp;row=4556&amp;col=7&amp;number=0.000152&amp;sourceID=14","0.000152")</f>
        <v>0.000152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HYPERLINK("http://141.218.60.56/~jnz1568/getInfo.php?workbook=20_05.xlsx&amp;sheet=U0&amp;row=4557&amp;col=6&amp;number=4.3&amp;sourceID=14","4.3")</f>
        <v>4.3</v>
      </c>
      <c r="G4557" s="4" t="str">
        <f>HYPERLINK("http://141.218.60.56/~jnz1568/getInfo.php?workbook=20_05.xlsx&amp;sheet=U0&amp;row=4557&amp;col=7&amp;number=0.000151&amp;sourceID=14","0.000151")</f>
        <v>0.000151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HYPERLINK("http://141.218.60.56/~jnz1568/getInfo.php?workbook=20_05.xlsx&amp;sheet=U0&amp;row=4558&amp;col=6&amp;number=4.4&amp;sourceID=14","4.4")</f>
        <v>4.4</v>
      </c>
      <c r="G4558" s="4" t="str">
        <f>HYPERLINK("http://141.218.60.56/~jnz1568/getInfo.php?workbook=20_05.xlsx&amp;sheet=U0&amp;row=4558&amp;col=7&amp;number=0.000151&amp;sourceID=14","0.000151")</f>
        <v>0.000151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HYPERLINK("http://141.218.60.56/~jnz1568/getInfo.php?workbook=20_05.xlsx&amp;sheet=U0&amp;row=4559&amp;col=6&amp;number=4.5&amp;sourceID=14","4.5")</f>
        <v>4.5</v>
      </c>
      <c r="G4559" s="4" t="str">
        <f>HYPERLINK("http://141.218.60.56/~jnz1568/getInfo.php?workbook=20_05.xlsx&amp;sheet=U0&amp;row=4559&amp;col=7&amp;number=0.000151&amp;sourceID=14","0.000151")</f>
        <v>0.000151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HYPERLINK("http://141.218.60.56/~jnz1568/getInfo.php?workbook=20_05.xlsx&amp;sheet=U0&amp;row=4560&amp;col=6&amp;number=4.6&amp;sourceID=14","4.6")</f>
        <v>4.6</v>
      </c>
      <c r="G4560" s="4" t="str">
        <f>HYPERLINK("http://141.218.60.56/~jnz1568/getInfo.php?workbook=20_05.xlsx&amp;sheet=U0&amp;row=4560&amp;col=7&amp;number=0.000151&amp;sourceID=14","0.000151")</f>
        <v>0.000151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HYPERLINK("http://141.218.60.56/~jnz1568/getInfo.php?workbook=20_05.xlsx&amp;sheet=U0&amp;row=4561&amp;col=6&amp;number=4.7&amp;sourceID=14","4.7")</f>
        <v>4.7</v>
      </c>
      <c r="G4561" s="4" t="str">
        <f>HYPERLINK("http://141.218.60.56/~jnz1568/getInfo.php?workbook=20_05.xlsx&amp;sheet=U0&amp;row=4561&amp;col=7&amp;number=0.00015&amp;sourceID=14","0.00015")</f>
        <v>0.00015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HYPERLINK("http://141.218.60.56/~jnz1568/getInfo.php?workbook=20_05.xlsx&amp;sheet=U0&amp;row=4562&amp;col=6&amp;number=4.8&amp;sourceID=14","4.8")</f>
        <v>4.8</v>
      </c>
      <c r="G4562" s="4" t="str">
        <f>HYPERLINK("http://141.218.60.56/~jnz1568/getInfo.php?workbook=20_05.xlsx&amp;sheet=U0&amp;row=4562&amp;col=7&amp;number=0.00015&amp;sourceID=14","0.00015")</f>
        <v>0.00015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HYPERLINK("http://141.218.60.56/~jnz1568/getInfo.php?workbook=20_05.xlsx&amp;sheet=U0&amp;row=4563&amp;col=6&amp;number=4.9&amp;sourceID=14","4.9")</f>
        <v>4.9</v>
      </c>
      <c r="G4563" s="4" t="str">
        <f>HYPERLINK("http://141.218.60.56/~jnz1568/getInfo.php?workbook=20_05.xlsx&amp;sheet=U0&amp;row=4563&amp;col=7&amp;number=0.000149&amp;sourceID=14","0.000149")</f>
        <v>0.000149</v>
      </c>
    </row>
    <row r="4564" spans="1:7">
      <c r="A4564" s="3">
        <v>20</v>
      </c>
      <c r="B4564" s="3">
        <v>5</v>
      </c>
      <c r="C4564" s="3">
        <v>2</v>
      </c>
      <c r="D4564" s="3">
        <v>75</v>
      </c>
      <c r="E4564" s="3">
        <v>1</v>
      </c>
      <c r="F4564" s="4" t="str">
        <f>HYPERLINK("http://141.218.60.56/~jnz1568/getInfo.php?workbook=20_05.xlsx&amp;sheet=U0&amp;row=4564&amp;col=6&amp;number=3&amp;sourceID=14","3")</f>
        <v>3</v>
      </c>
      <c r="G4564" s="4" t="str">
        <f>HYPERLINK("http://141.218.60.56/~jnz1568/getInfo.php?workbook=20_05.xlsx&amp;sheet=U0&amp;row=4564&amp;col=7&amp;number=0.00031&amp;sourceID=14","0.00031")</f>
        <v>0.00031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HYPERLINK("http://141.218.60.56/~jnz1568/getInfo.php?workbook=20_05.xlsx&amp;sheet=U0&amp;row=4565&amp;col=6&amp;number=3.1&amp;sourceID=14","3.1")</f>
        <v>3.1</v>
      </c>
      <c r="G4565" s="4" t="str">
        <f>HYPERLINK("http://141.218.60.56/~jnz1568/getInfo.php?workbook=20_05.xlsx&amp;sheet=U0&amp;row=4565&amp;col=7&amp;number=0.00031&amp;sourceID=14","0.00031")</f>
        <v>0.00031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HYPERLINK("http://141.218.60.56/~jnz1568/getInfo.php?workbook=20_05.xlsx&amp;sheet=U0&amp;row=4566&amp;col=6&amp;number=3.2&amp;sourceID=14","3.2")</f>
        <v>3.2</v>
      </c>
      <c r="G4566" s="4" t="str">
        <f>HYPERLINK("http://141.218.60.56/~jnz1568/getInfo.php?workbook=20_05.xlsx&amp;sheet=U0&amp;row=4566&amp;col=7&amp;number=0.00031&amp;sourceID=14","0.00031")</f>
        <v>0.00031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HYPERLINK("http://141.218.60.56/~jnz1568/getInfo.php?workbook=20_05.xlsx&amp;sheet=U0&amp;row=4567&amp;col=6&amp;number=3.3&amp;sourceID=14","3.3")</f>
        <v>3.3</v>
      </c>
      <c r="G4567" s="4" t="str">
        <f>HYPERLINK("http://141.218.60.56/~jnz1568/getInfo.php?workbook=20_05.xlsx&amp;sheet=U0&amp;row=4567&amp;col=7&amp;number=0.00031&amp;sourceID=14","0.00031")</f>
        <v>0.00031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HYPERLINK("http://141.218.60.56/~jnz1568/getInfo.php?workbook=20_05.xlsx&amp;sheet=U0&amp;row=4568&amp;col=6&amp;number=3.4&amp;sourceID=14","3.4")</f>
        <v>3.4</v>
      </c>
      <c r="G4568" s="4" t="str">
        <f>HYPERLINK("http://141.218.60.56/~jnz1568/getInfo.php?workbook=20_05.xlsx&amp;sheet=U0&amp;row=4568&amp;col=7&amp;number=0.00031&amp;sourceID=14","0.00031")</f>
        <v>0.00031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HYPERLINK("http://141.218.60.56/~jnz1568/getInfo.php?workbook=20_05.xlsx&amp;sheet=U0&amp;row=4569&amp;col=6&amp;number=3.5&amp;sourceID=14","3.5")</f>
        <v>3.5</v>
      </c>
      <c r="G4569" s="4" t="str">
        <f>HYPERLINK("http://141.218.60.56/~jnz1568/getInfo.php?workbook=20_05.xlsx&amp;sheet=U0&amp;row=4569&amp;col=7&amp;number=0.00031&amp;sourceID=14","0.00031")</f>
        <v>0.00031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HYPERLINK("http://141.218.60.56/~jnz1568/getInfo.php?workbook=20_05.xlsx&amp;sheet=U0&amp;row=4570&amp;col=6&amp;number=3.6&amp;sourceID=14","3.6")</f>
        <v>3.6</v>
      </c>
      <c r="G4570" s="4" t="str">
        <f>HYPERLINK("http://141.218.60.56/~jnz1568/getInfo.php?workbook=20_05.xlsx&amp;sheet=U0&amp;row=4570&amp;col=7&amp;number=0.00031&amp;sourceID=14","0.00031")</f>
        <v>0.00031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HYPERLINK("http://141.218.60.56/~jnz1568/getInfo.php?workbook=20_05.xlsx&amp;sheet=U0&amp;row=4571&amp;col=6&amp;number=3.7&amp;sourceID=14","3.7")</f>
        <v>3.7</v>
      </c>
      <c r="G4571" s="4" t="str">
        <f>HYPERLINK("http://141.218.60.56/~jnz1568/getInfo.php?workbook=20_05.xlsx&amp;sheet=U0&amp;row=4571&amp;col=7&amp;number=0.00031&amp;sourceID=14","0.00031")</f>
        <v>0.00031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HYPERLINK("http://141.218.60.56/~jnz1568/getInfo.php?workbook=20_05.xlsx&amp;sheet=U0&amp;row=4572&amp;col=6&amp;number=3.8&amp;sourceID=14","3.8")</f>
        <v>3.8</v>
      </c>
      <c r="G4572" s="4" t="str">
        <f>HYPERLINK("http://141.218.60.56/~jnz1568/getInfo.php?workbook=20_05.xlsx&amp;sheet=U0&amp;row=4572&amp;col=7&amp;number=0.00031&amp;sourceID=14","0.00031")</f>
        <v>0.00031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HYPERLINK("http://141.218.60.56/~jnz1568/getInfo.php?workbook=20_05.xlsx&amp;sheet=U0&amp;row=4573&amp;col=6&amp;number=3.9&amp;sourceID=14","3.9")</f>
        <v>3.9</v>
      </c>
      <c r="G4573" s="4" t="str">
        <f>HYPERLINK("http://141.218.60.56/~jnz1568/getInfo.php?workbook=20_05.xlsx&amp;sheet=U0&amp;row=4573&amp;col=7&amp;number=0.00031&amp;sourceID=14","0.00031")</f>
        <v>0.00031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HYPERLINK("http://141.218.60.56/~jnz1568/getInfo.php?workbook=20_05.xlsx&amp;sheet=U0&amp;row=4574&amp;col=6&amp;number=4&amp;sourceID=14","4")</f>
        <v>4</v>
      </c>
      <c r="G4574" s="4" t="str">
        <f>HYPERLINK("http://141.218.60.56/~jnz1568/getInfo.php?workbook=20_05.xlsx&amp;sheet=U0&amp;row=4574&amp;col=7&amp;number=0.00031&amp;sourceID=14","0.00031")</f>
        <v>0.00031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HYPERLINK("http://141.218.60.56/~jnz1568/getInfo.php?workbook=20_05.xlsx&amp;sheet=U0&amp;row=4575&amp;col=6&amp;number=4.1&amp;sourceID=14","4.1")</f>
        <v>4.1</v>
      </c>
      <c r="G4575" s="4" t="str">
        <f>HYPERLINK("http://141.218.60.56/~jnz1568/getInfo.php?workbook=20_05.xlsx&amp;sheet=U0&amp;row=4575&amp;col=7&amp;number=0.00031&amp;sourceID=14","0.00031")</f>
        <v>0.00031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HYPERLINK("http://141.218.60.56/~jnz1568/getInfo.php?workbook=20_05.xlsx&amp;sheet=U0&amp;row=4576&amp;col=6&amp;number=4.2&amp;sourceID=14","4.2")</f>
        <v>4.2</v>
      </c>
      <c r="G4576" s="4" t="str">
        <f>HYPERLINK("http://141.218.60.56/~jnz1568/getInfo.php?workbook=20_05.xlsx&amp;sheet=U0&amp;row=4576&amp;col=7&amp;number=0.000309&amp;sourceID=14","0.000309")</f>
        <v>0.000309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HYPERLINK("http://141.218.60.56/~jnz1568/getInfo.php?workbook=20_05.xlsx&amp;sheet=U0&amp;row=4577&amp;col=6&amp;number=4.3&amp;sourceID=14","4.3")</f>
        <v>4.3</v>
      </c>
      <c r="G4577" s="4" t="str">
        <f>HYPERLINK("http://141.218.60.56/~jnz1568/getInfo.php?workbook=20_05.xlsx&amp;sheet=U0&amp;row=4577&amp;col=7&amp;number=0.000309&amp;sourceID=14","0.000309")</f>
        <v>0.000309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HYPERLINK("http://141.218.60.56/~jnz1568/getInfo.php?workbook=20_05.xlsx&amp;sheet=U0&amp;row=4578&amp;col=6&amp;number=4.4&amp;sourceID=14","4.4")</f>
        <v>4.4</v>
      </c>
      <c r="G4578" s="4" t="str">
        <f>HYPERLINK("http://141.218.60.56/~jnz1568/getInfo.php?workbook=20_05.xlsx&amp;sheet=U0&amp;row=4578&amp;col=7&amp;number=0.000309&amp;sourceID=14","0.000309")</f>
        <v>0.000309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HYPERLINK("http://141.218.60.56/~jnz1568/getInfo.php?workbook=20_05.xlsx&amp;sheet=U0&amp;row=4579&amp;col=6&amp;number=4.5&amp;sourceID=14","4.5")</f>
        <v>4.5</v>
      </c>
      <c r="G4579" s="4" t="str">
        <f>HYPERLINK("http://141.218.60.56/~jnz1568/getInfo.php?workbook=20_05.xlsx&amp;sheet=U0&amp;row=4579&amp;col=7&amp;number=0.000308&amp;sourceID=14","0.000308")</f>
        <v>0.000308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HYPERLINK("http://141.218.60.56/~jnz1568/getInfo.php?workbook=20_05.xlsx&amp;sheet=U0&amp;row=4580&amp;col=6&amp;number=4.6&amp;sourceID=14","4.6")</f>
        <v>4.6</v>
      </c>
      <c r="G4580" s="4" t="str">
        <f>HYPERLINK("http://141.218.60.56/~jnz1568/getInfo.php?workbook=20_05.xlsx&amp;sheet=U0&amp;row=4580&amp;col=7&amp;number=0.000308&amp;sourceID=14","0.000308")</f>
        <v>0.000308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HYPERLINK("http://141.218.60.56/~jnz1568/getInfo.php?workbook=20_05.xlsx&amp;sheet=U0&amp;row=4581&amp;col=6&amp;number=4.7&amp;sourceID=14","4.7")</f>
        <v>4.7</v>
      </c>
      <c r="G4581" s="4" t="str">
        <f>HYPERLINK("http://141.218.60.56/~jnz1568/getInfo.php?workbook=20_05.xlsx&amp;sheet=U0&amp;row=4581&amp;col=7&amp;number=0.000307&amp;sourceID=14","0.000307")</f>
        <v>0.000307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HYPERLINK("http://141.218.60.56/~jnz1568/getInfo.php?workbook=20_05.xlsx&amp;sheet=U0&amp;row=4582&amp;col=6&amp;number=4.8&amp;sourceID=14","4.8")</f>
        <v>4.8</v>
      </c>
      <c r="G4582" s="4" t="str">
        <f>HYPERLINK("http://141.218.60.56/~jnz1568/getInfo.php?workbook=20_05.xlsx&amp;sheet=U0&amp;row=4582&amp;col=7&amp;number=0.000307&amp;sourceID=14","0.000307")</f>
        <v>0.000307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HYPERLINK("http://141.218.60.56/~jnz1568/getInfo.php?workbook=20_05.xlsx&amp;sheet=U0&amp;row=4583&amp;col=6&amp;number=4.9&amp;sourceID=14","4.9")</f>
        <v>4.9</v>
      </c>
      <c r="G4583" s="4" t="str">
        <f>HYPERLINK("http://141.218.60.56/~jnz1568/getInfo.php?workbook=20_05.xlsx&amp;sheet=U0&amp;row=4583&amp;col=7&amp;number=0.000306&amp;sourceID=14","0.000306")</f>
        <v>0.000306</v>
      </c>
    </row>
    <row r="4584" spans="1:7">
      <c r="A4584" s="3">
        <v>20</v>
      </c>
      <c r="B4584" s="3">
        <v>5</v>
      </c>
      <c r="C4584" s="3">
        <v>2</v>
      </c>
      <c r="D4584" s="3">
        <v>76</v>
      </c>
      <c r="E4584" s="3">
        <v>1</v>
      </c>
      <c r="F4584" s="4" t="str">
        <f>HYPERLINK("http://141.218.60.56/~jnz1568/getInfo.php?workbook=20_05.xlsx&amp;sheet=U0&amp;row=4584&amp;col=6&amp;number=3&amp;sourceID=14","3")</f>
        <v>3</v>
      </c>
      <c r="G4584" s="4" t="str">
        <f>HYPERLINK("http://141.218.60.56/~jnz1568/getInfo.php?workbook=20_05.xlsx&amp;sheet=U0&amp;row=4584&amp;col=7&amp;number=0.000794&amp;sourceID=14","0.000794")</f>
        <v>0.000794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HYPERLINK("http://141.218.60.56/~jnz1568/getInfo.php?workbook=20_05.xlsx&amp;sheet=U0&amp;row=4585&amp;col=6&amp;number=3.1&amp;sourceID=14","3.1")</f>
        <v>3.1</v>
      </c>
      <c r="G4585" s="4" t="str">
        <f>HYPERLINK("http://141.218.60.56/~jnz1568/getInfo.php?workbook=20_05.xlsx&amp;sheet=U0&amp;row=4585&amp;col=7&amp;number=0.000794&amp;sourceID=14","0.000794")</f>
        <v>0.000794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HYPERLINK("http://141.218.60.56/~jnz1568/getInfo.php?workbook=20_05.xlsx&amp;sheet=U0&amp;row=4586&amp;col=6&amp;number=3.2&amp;sourceID=14","3.2")</f>
        <v>3.2</v>
      </c>
      <c r="G4586" s="4" t="str">
        <f>HYPERLINK("http://141.218.60.56/~jnz1568/getInfo.php?workbook=20_05.xlsx&amp;sheet=U0&amp;row=4586&amp;col=7&amp;number=0.000794&amp;sourceID=14","0.000794")</f>
        <v>0.000794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HYPERLINK("http://141.218.60.56/~jnz1568/getInfo.php?workbook=20_05.xlsx&amp;sheet=U0&amp;row=4587&amp;col=6&amp;number=3.3&amp;sourceID=14","3.3")</f>
        <v>3.3</v>
      </c>
      <c r="G4587" s="4" t="str">
        <f>HYPERLINK("http://141.218.60.56/~jnz1568/getInfo.php?workbook=20_05.xlsx&amp;sheet=U0&amp;row=4587&amp;col=7&amp;number=0.000794&amp;sourceID=14","0.000794")</f>
        <v>0.000794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HYPERLINK("http://141.218.60.56/~jnz1568/getInfo.php?workbook=20_05.xlsx&amp;sheet=U0&amp;row=4588&amp;col=6&amp;number=3.4&amp;sourceID=14","3.4")</f>
        <v>3.4</v>
      </c>
      <c r="G4588" s="4" t="str">
        <f>HYPERLINK("http://141.218.60.56/~jnz1568/getInfo.php?workbook=20_05.xlsx&amp;sheet=U0&amp;row=4588&amp;col=7&amp;number=0.000794&amp;sourceID=14","0.000794")</f>
        <v>0.000794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HYPERLINK("http://141.218.60.56/~jnz1568/getInfo.php?workbook=20_05.xlsx&amp;sheet=U0&amp;row=4589&amp;col=6&amp;number=3.5&amp;sourceID=14","3.5")</f>
        <v>3.5</v>
      </c>
      <c r="G4589" s="4" t="str">
        <f>HYPERLINK("http://141.218.60.56/~jnz1568/getInfo.php?workbook=20_05.xlsx&amp;sheet=U0&amp;row=4589&amp;col=7&amp;number=0.000794&amp;sourceID=14","0.000794")</f>
        <v>0.000794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HYPERLINK("http://141.218.60.56/~jnz1568/getInfo.php?workbook=20_05.xlsx&amp;sheet=U0&amp;row=4590&amp;col=6&amp;number=3.6&amp;sourceID=14","3.6")</f>
        <v>3.6</v>
      </c>
      <c r="G4590" s="4" t="str">
        <f>HYPERLINK("http://141.218.60.56/~jnz1568/getInfo.php?workbook=20_05.xlsx&amp;sheet=U0&amp;row=4590&amp;col=7&amp;number=0.000794&amp;sourceID=14","0.000794")</f>
        <v>0.000794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HYPERLINK("http://141.218.60.56/~jnz1568/getInfo.php?workbook=20_05.xlsx&amp;sheet=U0&amp;row=4591&amp;col=6&amp;number=3.7&amp;sourceID=14","3.7")</f>
        <v>3.7</v>
      </c>
      <c r="G4591" s="4" t="str">
        <f>HYPERLINK("http://141.218.60.56/~jnz1568/getInfo.php?workbook=20_05.xlsx&amp;sheet=U0&amp;row=4591&amp;col=7&amp;number=0.000794&amp;sourceID=14","0.000794")</f>
        <v>0.000794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HYPERLINK("http://141.218.60.56/~jnz1568/getInfo.php?workbook=20_05.xlsx&amp;sheet=U0&amp;row=4592&amp;col=6&amp;number=3.8&amp;sourceID=14","3.8")</f>
        <v>3.8</v>
      </c>
      <c r="G4592" s="4" t="str">
        <f>HYPERLINK("http://141.218.60.56/~jnz1568/getInfo.php?workbook=20_05.xlsx&amp;sheet=U0&amp;row=4592&amp;col=7&amp;number=0.000793&amp;sourceID=14","0.000793")</f>
        <v>0.000793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HYPERLINK("http://141.218.60.56/~jnz1568/getInfo.php?workbook=20_05.xlsx&amp;sheet=U0&amp;row=4593&amp;col=6&amp;number=3.9&amp;sourceID=14","3.9")</f>
        <v>3.9</v>
      </c>
      <c r="G4593" s="4" t="str">
        <f>HYPERLINK("http://141.218.60.56/~jnz1568/getInfo.php?workbook=20_05.xlsx&amp;sheet=U0&amp;row=4593&amp;col=7&amp;number=0.000793&amp;sourceID=14","0.000793")</f>
        <v>0.000793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HYPERLINK("http://141.218.60.56/~jnz1568/getInfo.php?workbook=20_05.xlsx&amp;sheet=U0&amp;row=4594&amp;col=6&amp;number=4&amp;sourceID=14","4")</f>
        <v>4</v>
      </c>
      <c r="G4594" s="4" t="str">
        <f>HYPERLINK("http://141.218.60.56/~jnz1568/getInfo.php?workbook=20_05.xlsx&amp;sheet=U0&amp;row=4594&amp;col=7&amp;number=0.000793&amp;sourceID=14","0.000793")</f>
        <v>0.000793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HYPERLINK("http://141.218.60.56/~jnz1568/getInfo.php?workbook=20_05.xlsx&amp;sheet=U0&amp;row=4595&amp;col=6&amp;number=4.1&amp;sourceID=14","4.1")</f>
        <v>4.1</v>
      </c>
      <c r="G4595" s="4" t="str">
        <f>HYPERLINK("http://141.218.60.56/~jnz1568/getInfo.php?workbook=20_05.xlsx&amp;sheet=U0&amp;row=4595&amp;col=7&amp;number=0.000792&amp;sourceID=14","0.000792")</f>
        <v>0.000792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HYPERLINK("http://141.218.60.56/~jnz1568/getInfo.php?workbook=20_05.xlsx&amp;sheet=U0&amp;row=4596&amp;col=6&amp;number=4.2&amp;sourceID=14","4.2")</f>
        <v>4.2</v>
      </c>
      <c r="G4596" s="4" t="str">
        <f>HYPERLINK("http://141.218.60.56/~jnz1568/getInfo.php?workbook=20_05.xlsx&amp;sheet=U0&amp;row=4596&amp;col=7&amp;number=0.000792&amp;sourceID=14","0.000792")</f>
        <v>0.000792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HYPERLINK("http://141.218.60.56/~jnz1568/getInfo.php?workbook=20_05.xlsx&amp;sheet=U0&amp;row=4597&amp;col=6&amp;number=4.3&amp;sourceID=14","4.3")</f>
        <v>4.3</v>
      </c>
      <c r="G4597" s="4" t="str">
        <f>HYPERLINK("http://141.218.60.56/~jnz1568/getInfo.php?workbook=20_05.xlsx&amp;sheet=U0&amp;row=4597&amp;col=7&amp;number=0.000791&amp;sourceID=14","0.000791")</f>
        <v>0.000791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HYPERLINK("http://141.218.60.56/~jnz1568/getInfo.php?workbook=20_05.xlsx&amp;sheet=U0&amp;row=4598&amp;col=6&amp;number=4.4&amp;sourceID=14","4.4")</f>
        <v>4.4</v>
      </c>
      <c r="G4598" s="4" t="str">
        <f>HYPERLINK("http://141.218.60.56/~jnz1568/getInfo.php?workbook=20_05.xlsx&amp;sheet=U0&amp;row=4598&amp;col=7&amp;number=0.00079&amp;sourceID=14","0.00079")</f>
        <v>0.00079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HYPERLINK("http://141.218.60.56/~jnz1568/getInfo.php?workbook=20_05.xlsx&amp;sheet=U0&amp;row=4599&amp;col=6&amp;number=4.5&amp;sourceID=14","4.5")</f>
        <v>4.5</v>
      </c>
      <c r="G4599" s="4" t="str">
        <f>HYPERLINK("http://141.218.60.56/~jnz1568/getInfo.php?workbook=20_05.xlsx&amp;sheet=U0&amp;row=4599&amp;col=7&amp;number=0.000789&amp;sourceID=14","0.000789")</f>
        <v>0.000789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HYPERLINK("http://141.218.60.56/~jnz1568/getInfo.php?workbook=20_05.xlsx&amp;sheet=U0&amp;row=4600&amp;col=6&amp;number=4.6&amp;sourceID=14","4.6")</f>
        <v>4.6</v>
      </c>
      <c r="G4600" s="4" t="str">
        <f>HYPERLINK("http://141.218.60.56/~jnz1568/getInfo.php?workbook=20_05.xlsx&amp;sheet=U0&amp;row=4600&amp;col=7&amp;number=0.000787&amp;sourceID=14","0.000787")</f>
        <v>0.000787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HYPERLINK("http://141.218.60.56/~jnz1568/getInfo.php?workbook=20_05.xlsx&amp;sheet=U0&amp;row=4601&amp;col=6&amp;number=4.7&amp;sourceID=14","4.7")</f>
        <v>4.7</v>
      </c>
      <c r="G4601" s="4" t="str">
        <f>HYPERLINK("http://141.218.60.56/~jnz1568/getInfo.php?workbook=20_05.xlsx&amp;sheet=U0&amp;row=4601&amp;col=7&amp;number=0.000785&amp;sourceID=14","0.000785")</f>
        <v>0.000785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HYPERLINK("http://141.218.60.56/~jnz1568/getInfo.php?workbook=20_05.xlsx&amp;sheet=U0&amp;row=4602&amp;col=6&amp;number=4.8&amp;sourceID=14","4.8")</f>
        <v>4.8</v>
      </c>
      <c r="G4602" s="4" t="str">
        <f>HYPERLINK("http://141.218.60.56/~jnz1568/getInfo.php?workbook=20_05.xlsx&amp;sheet=U0&amp;row=4602&amp;col=7&amp;number=0.000783&amp;sourceID=14","0.000783")</f>
        <v>0.000783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HYPERLINK("http://141.218.60.56/~jnz1568/getInfo.php?workbook=20_05.xlsx&amp;sheet=U0&amp;row=4603&amp;col=6&amp;number=4.9&amp;sourceID=14","4.9")</f>
        <v>4.9</v>
      </c>
      <c r="G4603" s="4" t="str">
        <f>HYPERLINK("http://141.218.60.56/~jnz1568/getInfo.php?workbook=20_05.xlsx&amp;sheet=U0&amp;row=4603&amp;col=7&amp;number=0.00078&amp;sourceID=14","0.00078")</f>
        <v>0.00078</v>
      </c>
    </row>
    <row r="4604" spans="1:7">
      <c r="A4604" s="3">
        <v>20</v>
      </c>
      <c r="B4604" s="3">
        <v>5</v>
      </c>
      <c r="C4604" s="3">
        <v>2</v>
      </c>
      <c r="D4604" s="3">
        <v>77</v>
      </c>
      <c r="E4604" s="3">
        <v>1</v>
      </c>
      <c r="F4604" s="4" t="str">
        <f>HYPERLINK("http://141.218.60.56/~jnz1568/getInfo.php?workbook=20_05.xlsx&amp;sheet=U0&amp;row=4604&amp;col=6&amp;number=3&amp;sourceID=14","3")</f>
        <v>3</v>
      </c>
      <c r="G4604" s="4" t="str">
        <f>HYPERLINK("http://141.218.60.56/~jnz1568/getInfo.php?workbook=20_05.xlsx&amp;sheet=U0&amp;row=4604&amp;col=7&amp;number=0.00114&amp;sourceID=14","0.00114")</f>
        <v>0.00114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HYPERLINK("http://141.218.60.56/~jnz1568/getInfo.php?workbook=20_05.xlsx&amp;sheet=U0&amp;row=4605&amp;col=6&amp;number=3.1&amp;sourceID=14","3.1")</f>
        <v>3.1</v>
      </c>
      <c r="G4605" s="4" t="str">
        <f>HYPERLINK("http://141.218.60.56/~jnz1568/getInfo.php?workbook=20_05.xlsx&amp;sheet=U0&amp;row=4605&amp;col=7&amp;number=0.00114&amp;sourceID=14","0.00114")</f>
        <v>0.00114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HYPERLINK("http://141.218.60.56/~jnz1568/getInfo.php?workbook=20_05.xlsx&amp;sheet=U0&amp;row=4606&amp;col=6&amp;number=3.2&amp;sourceID=14","3.2")</f>
        <v>3.2</v>
      </c>
      <c r="G4606" s="4" t="str">
        <f>HYPERLINK("http://141.218.60.56/~jnz1568/getInfo.php?workbook=20_05.xlsx&amp;sheet=U0&amp;row=4606&amp;col=7&amp;number=0.00114&amp;sourceID=14","0.00114")</f>
        <v>0.00114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HYPERLINK("http://141.218.60.56/~jnz1568/getInfo.php?workbook=20_05.xlsx&amp;sheet=U0&amp;row=4607&amp;col=6&amp;number=3.3&amp;sourceID=14","3.3")</f>
        <v>3.3</v>
      </c>
      <c r="G4607" s="4" t="str">
        <f>HYPERLINK("http://141.218.60.56/~jnz1568/getInfo.php?workbook=20_05.xlsx&amp;sheet=U0&amp;row=4607&amp;col=7&amp;number=0.00114&amp;sourceID=14","0.00114")</f>
        <v>0.00114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HYPERLINK("http://141.218.60.56/~jnz1568/getInfo.php?workbook=20_05.xlsx&amp;sheet=U0&amp;row=4608&amp;col=6&amp;number=3.4&amp;sourceID=14","3.4")</f>
        <v>3.4</v>
      </c>
      <c r="G4608" s="4" t="str">
        <f>HYPERLINK("http://141.218.60.56/~jnz1568/getInfo.php?workbook=20_05.xlsx&amp;sheet=U0&amp;row=4608&amp;col=7&amp;number=0.00114&amp;sourceID=14","0.00114")</f>
        <v>0.00114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HYPERLINK("http://141.218.60.56/~jnz1568/getInfo.php?workbook=20_05.xlsx&amp;sheet=U0&amp;row=4609&amp;col=6&amp;number=3.5&amp;sourceID=14","3.5")</f>
        <v>3.5</v>
      </c>
      <c r="G4609" s="4" t="str">
        <f>HYPERLINK("http://141.218.60.56/~jnz1568/getInfo.php?workbook=20_05.xlsx&amp;sheet=U0&amp;row=4609&amp;col=7&amp;number=0.00114&amp;sourceID=14","0.00114")</f>
        <v>0.00114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HYPERLINK("http://141.218.60.56/~jnz1568/getInfo.php?workbook=20_05.xlsx&amp;sheet=U0&amp;row=4610&amp;col=6&amp;number=3.6&amp;sourceID=14","3.6")</f>
        <v>3.6</v>
      </c>
      <c r="G4610" s="4" t="str">
        <f>HYPERLINK("http://141.218.60.56/~jnz1568/getInfo.php?workbook=20_05.xlsx&amp;sheet=U0&amp;row=4610&amp;col=7&amp;number=0.00114&amp;sourceID=14","0.00114")</f>
        <v>0.00114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HYPERLINK("http://141.218.60.56/~jnz1568/getInfo.php?workbook=20_05.xlsx&amp;sheet=U0&amp;row=4611&amp;col=6&amp;number=3.7&amp;sourceID=14","3.7")</f>
        <v>3.7</v>
      </c>
      <c r="G4611" s="4" t="str">
        <f>HYPERLINK("http://141.218.60.56/~jnz1568/getInfo.php?workbook=20_05.xlsx&amp;sheet=U0&amp;row=4611&amp;col=7&amp;number=0.00114&amp;sourceID=14","0.00114")</f>
        <v>0.00114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HYPERLINK("http://141.218.60.56/~jnz1568/getInfo.php?workbook=20_05.xlsx&amp;sheet=U0&amp;row=4612&amp;col=6&amp;number=3.8&amp;sourceID=14","3.8")</f>
        <v>3.8</v>
      </c>
      <c r="G4612" s="4" t="str">
        <f>HYPERLINK("http://141.218.60.56/~jnz1568/getInfo.php?workbook=20_05.xlsx&amp;sheet=U0&amp;row=4612&amp;col=7&amp;number=0.00114&amp;sourceID=14","0.00114")</f>
        <v>0.00114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HYPERLINK("http://141.218.60.56/~jnz1568/getInfo.php?workbook=20_05.xlsx&amp;sheet=U0&amp;row=4613&amp;col=6&amp;number=3.9&amp;sourceID=14","3.9")</f>
        <v>3.9</v>
      </c>
      <c r="G4613" s="4" t="str">
        <f>HYPERLINK("http://141.218.60.56/~jnz1568/getInfo.php?workbook=20_05.xlsx&amp;sheet=U0&amp;row=4613&amp;col=7&amp;number=0.00114&amp;sourceID=14","0.00114")</f>
        <v>0.00114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HYPERLINK("http://141.218.60.56/~jnz1568/getInfo.php?workbook=20_05.xlsx&amp;sheet=U0&amp;row=4614&amp;col=6&amp;number=4&amp;sourceID=14","4")</f>
        <v>4</v>
      </c>
      <c r="G4614" s="4" t="str">
        <f>HYPERLINK("http://141.218.60.56/~jnz1568/getInfo.php?workbook=20_05.xlsx&amp;sheet=U0&amp;row=4614&amp;col=7&amp;number=0.00114&amp;sourceID=14","0.00114")</f>
        <v>0.00114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HYPERLINK("http://141.218.60.56/~jnz1568/getInfo.php?workbook=20_05.xlsx&amp;sheet=U0&amp;row=4615&amp;col=6&amp;number=4.1&amp;sourceID=14","4.1")</f>
        <v>4.1</v>
      </c>
      <c r="G4615" s="4" t="str">
        <f>HYPERLINK("http://141.218.60.56/~jnz1568/getInfo.php?workbook=20_05.xlsx&amp;sheet=U0&amp;row=4615&amp;col=7&amp;number=0.00114&amp;sourceID=14","0.00114")</f>
        <v>0.00114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HYPERLINK("http://141.218.60.56/~jnz1568/getInfo.php?workbook=20_05.xlsx&amp;sheet=U0&amp;row=4616&amp;col=6&amp;number=4.2&amp;sourceID=14","4.2")</f>
        <v>4.2</v>
      </c>
      <c r="G4616" s="4" t="str">
        <f>HYPERLINK("http://141.218.60.56/~jnz1568/getInfo.php?workbook=20_05.xlsx&amp;sheet=U0&amp;row=4616&amp;col=7&amp;number=0.00114&amp;sourceID=14","0.00114")</f>
        <v>0.00114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HYPERLINK("http://141.218.60.56/~jnz1568/getInfo.php?workbook=20_05.xlsx&amp;sheet=U0&amp;row=4617&amp;col=6&amp;number=4.3&amp;sourceID=14","4.3")</f>
        <v>4.3</v>
      </c>
      <c r="G4617" s="4" t="str">
        <f>HYPERLINK("http://141.218.60.56/~jnz1568/getInfo.php?workbook=20_05.xlsx&amp;sheet=U0&amp;row=4617&amp;col=7&amp;number=0.00114&amp;sourceID=14","0.00114")</f>
        <v>0.00114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HYPERLINK("http://141.218.60.56/~jnz1568/getInfo.php?workbook=20_05.xlsx&amp;sheet=U0&amp;row=4618&amp;col=6&amp;number=4.4&amp;sourceID=14","4.4")</f>
        <v>4.4</v>
      </c>
      <c r="G4618" s="4" t="str">
        <f>HYPERLINK("http://141.218.60.56/~jnz1568/getInfo.php?workbook=20_05.xlsx&amp;sheet=U0&amp;row=4618&amp;col=7&amp;number=0.00114&amp;sourceID=14","0.00114")</f>
        <v>0.00114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HYPERLINK("http://141.218.60.56/~jnz1568/getInfo.php?workbook=20_05.xlsx&amp;sheet=U0&amp;row=4619&amp;col=6&amp;number=4.5&amp;sourceID=14","4.5")</f>
        <v>4.5</v>
      </c>
      <c r="G4619" s="4" t="str">
        <f>HYPERLINK("http://141.218.60.56/~jnz1568/getInfo.php?workbook=20_05.xlsx&amp;sheet=U0&amp;row=4619&amp;col=7&amp;number=0.00114&amp;sourceID=14","0.00114")</f>
        <v>0.00114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HYPERLINK("http://141.218.60.56/~jnz1568/getInfo.php?workbook=20_05.xlsx&amp;sheet=U0&amp;row=4620&amp;col=6&amp;number=4.6&amp;sourceID=14","4.6")</f>
        <v>4.6</v>
      </c>
      <c r="G4620" s="4" t="str">
        <f>HYPERLINK("http://141.218.60.56/~jnz1568/getInfo.php?workbook=20_05.xlsx&amp;sheet=U0&amp;row=4620&amp;col=7&amp;number=0.00114&amp;sourceID=14","0.00114")</f>
        <v>0.00114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HYPERLINK("http://141.218.60.56/~jnz1568/getInfo.php?workbook=20_05.xlsx&amp;sheet=U0&amp;row=4621&amp;col=6&amp;number=4.7&amp;sourceID=14","4.7")</f>
        <v>4.7</v>
      </c>
      <c r="G4621" s="4" t="str">
        <f>HYPERLINK("http://141.218.60.56/~jnz1568/getInfo.php?workbook=20_05.xlsx&amp;sheet=U0&amp;row=4621&amp;col=7&amp;number=0.00113&amp;sourceID=14","0.00113")</f>
        <v>0.00113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HYPERLINK("http://141.218.60.56/~jnz1568/getInfo.php?workbook=20_05.xlsx&amp;sheet=U0&amp;row=4622&amp;col=6&amp;number=4.8&amp;sourceID=14","4.8")</f>
        <v>4.8</v>
      </c>
      <c r="G4622" s="4" t="str">
        <f>HYPERLINK("http://141.218.60.56/~jnz1568/getInfo.php?workbook=20_05.xlsx&amp;sheet=U0&amp;row=4622&amp;col=7&amp;number=0.00113&amp;sourceID=14","0.00113")</f>
        <v>0.00113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HYPERLINK("http://141.218.60.56/~jnz1568/getInfo.php?workbook=20_05.xlsx&amp;sheet=U0&amp;row=4623&amp;col=6&amp;number=4.9&amp;sourceID=14","4.9")</f>
        <v>4.9</v>
      </c>
      <c r="G4623" s="4" t="str">
        <f>HYPERLINK("http://141.218.60.56/~jnz1568/getInfo.php?workbook=20_05.xlsx&amp;sheet=U0&amp;row=4623&amp;col=7&amp;number=0.00113&amp;sourceID=14","0.00113")</f>
        <v>0.00113</v>
      </c>
    </row>
    <row r="4624" spans="1:7">
      <c r="A4624" s="3">
        <v>20</v>
      </c>
      <c r="B4624" s="3">
        <v>5</v>
      </c>
      <c r="C4624" s="3">
        <v>2</v>
      </c>
      <c r="D4624" s="3">
        <v>78</v>
      </c>
      <c r="E4624" s="3">
        <v>1</v>
      </c>
      <c r="F4624" s="4" t="str">
        <f>HYPERLINK("http://141.218.60.56/~jnz1568/getInfo.php?workbook=20_05.xlsx&amp;sheet=U0&amp;row=4624&amp;col=6&amp;number=3&amp;sourceID=14","3")</f>
        <v>3</v>
      </c>
      <c r="G4624" s="4" t="str">
        <f>HYPERLINK("http://141.218.60.56/~jnz1568/getInfo.php?workbook=20_05.xlsx&amp;sheet=U0&amp;row=4624&amp;col=7&amp;number=0.0021&amp;sourceID=14","0.0021")</f>
        <v>0.0021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HYPERLINK("http://141.218.60.56/~jnz1568/getInfo.php?workbook=20_05.xlsx&amp;sheet=U0&amp;row=4625&amp;col=6&amp;number=3.1&amp;sourceID=14","3.1")</f>
        <v>3.1</v>
      </c>
      <c r="G4625" s="4" t="str">
        <f>HYPERLINK("http://141.218.60.56/~jnz1568/getInfo.php?workbook=20_05.xlsx&amp;sheet=U0&amp;row=4625&amp;col=7&amp;number=0.0021&amp;sourceID=14","0.0021")</f>
        <v>0.0021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HYPERLINK("http://141.218.60.56/~jnz1568/getInfo.php?workbook=20_05.xlsx&amp;sheet=U0&amp;row=4626&amp;col=6&amp;number=3.2&amp;sourceID=14","3.2")</f>
        <v>3.2</v>
      </c>
      <c r="G4626" s="4" t="str">
        <f>HYPERLINK("http://141.218.60.56/~jnz1568/getInfo.php?workbook=20_05.xlsx&amp;sheet=U0&amp;row=4626&amp;col=7&amp;number=0.0021&amp;sourceID=14","0.0021")</f>
        <v>0.0021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HYPERLINK("http://141.218.60.56/~jnz1568/getInfo.php?workbook=20_05.xlsx&amp;sheet=U0&amp;row=4627&amp;col=6&amp;number=3.3&amp;sourceID=14","3.3")</f>
        <v>3.3</v>
      </c>
      <c r="G4627" s="4" t="str">
        <f>HYPERLINK("http://141.218.60.56/~jnz1568/getInfo.php?workbook=20_05.xlsx&amp;sheet=U0&amp;row=4627&amp;col=7&amp;number=0.0021&amp;sourceID=14","0.0021")</f>
        <v>0.0021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HYPERLINK("http://141.218.60.56/~jnz1568/getInfo.php?workbook=20_05.xlsx&amp;sheet=U0&amp;row=4628&amp;col=6&amp;number=3.4&amp;sourceID=14","3.4")</f>
        <v>3.4</v>
      </c>
      <c r="G4628" s="4" t="str">
        <f>HYPERLINK("http://141.218.60.56/~jnz1568/getInfo.php?workbook=20_05.xlsx&amp;sheet=U0&amp;row=4628&amp;col=7&amp;number=0.0021&amp;sourceID=14","0.0021")</f>
        <v>0.0021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HYPERLINK("http://141.218.60.56/~jnz1568/getInfo.php?workbook=20_05.xlsx&amp;sheet=U0&amp;row=4629&amp;col=6&amp;number=3.5&amp;sourceID=14","3.5")</f>
        <v>3.5</v>
      </c>
      <c r="G4629" s="4" t="str">
        <f>HYPERLINK("http://141.218.60.56/~jnz1568/getInfo.php?workbook=20_05.xlsx&amp;sheet=U0&amp;row=4629&amp;col=7&amp;number=0.0021&amp;sourceID=14","0.0021")</f>
        <v>0.0021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HYPERLINK("http://141.218.60.56/~jnz1568/getInfo.php?workbook=20_05.xlsx&amp;sheet=U0&amp;row=4630&amp;col=6&amp;number=3.6&amp;sourceID=14","3.6")</f>
        <v>3.6</v>
      </c>
      <c r="G4630" s="4" t="str">
        <f>HYPERLINK("http://141.218.60.56/~jnz1568/getInfo.php?workbook=20_05.xlsx&amp;sheet=U0&amp;row=4630&amp;col=7&amp;number=0.0021&amp;sourceID=14","0.0021")</f>
        <v>0.0021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HYPERLINK("http://141.218.60.56/~jnz1568/getInfo.php?workbook=20_05.xlsx&amp;sheet=U0&amp;row=4631&amp;col=6&amp;number=3.7&amp;sourceID=14","3.7")</f>
        <v>3.7</v>
      </c>
      <c r="G4631" s="4" t="str">
        <f>HYPERLINK("http://141.218.60.56/~jnz1568/getInfo.php?workbook=20_05.xlsx&amp;sheet=U0&amp;row=4631&amp;col=7&amp;number=0.0021&amp;sourceID=14","0.0021")</f>
        <v>0.0021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HYPERLINK("http://141.218.60.56/~jnz1568/getInfo.php?workbook=20_05.xlsx&amp;sheet=U0&amp;row=4632&amp;col=6&amp;number=3.8&amp;sourceID=14","3.8")</f>
        <v>3.8</v>
      </c>
      <c r="G4632" s="4" t="str">
        <f>HYPERLINK("http://141.218.60.56/~jnz1568/getInfo.php?workbook=20_05.xlsx&amp;sheet=U0&amp;row=4632&amp;col=7&amp;number=0.0021&amp;sourceID=14","0.0021")</f>
        <v>0.0021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HYPERLINK("http://141.218.60.56/~jnz1568/getInfo.php?workbook=20_05.xlsx&amp;sheet=U0&amp;row=4633&amp;col=6&amp;number=3.9&amp;sourceID=14","3.9")</f>
        <v>3.9</v>
      </c>
      <c r="G4633" s="4" t="str">
        <f>HYPERLINK("http://141.218.60.56/~jnz1568/getInfo.php?workbook=20_05.xlsx&amp;sheet=U0&amp;row=4633&amp;col=7&amp;number=0.0021&amp;sourceID=14","0.0021")</f>
        <v>0.0021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HYPERLINK("http://141.218.60.56/~jnz1568/getInfo.php?workbook=20_05.xlsx&amp;sheet=U0&amp;row=4634&amp;col=6&amp;number=4&amp;sourceID=14","4")</f>
        <v>4</v>
      </c>
      <c r="G4634" s="4" t="str">
        <f>HYPERLINK("http://141.218.60.56/~jnz1568/getInfo.php?workbook=20_05.xlsx&amp;sheet=U0&amp;row=4634&amp;col=7&amp;number=0.0021&amp;sourceID=14","0.0021")</f>
        <v>0.0021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HYPERLINK("http://141.218.60.56/~jnz1568/getInfo.php?workbook=20_05.xlsx&amp;sheet=U0&amp;row=4635&amp;col=6&amp;number=4.1&amp;sourceID=14","4.1")</f>
        <v>4.1</v>
      </c>
      <c r="G4635" s="4" t="str">
        <f>HYPERLINK("http://141.218.60.56/~jnz1568/getInfo.php?workbook=20_05.xlsx&amp;sheet=U0&amp;row=4635&amp;col=7&amp;number=0.0021&amp;sourceID=14","0.0021")</f>
        <v>0.0021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HYPERLINK("http://141.218.60.56/~jnz1568/getInfo.php?workbook=20_05.xlsx&amp;sheet=U0&amp;row=4636&amp;col=6&amp;number=4.2&amp;sourceID=14","4.2")</f>
        <v>4.2</v>
      </c>
      <c r="G4636" s="4" t="str">
        <f>HYPERLINK("http://141.218.60.56/~jnz1568/getInfo.php?workbook=20_05.xlsx&amp;sheet=U0&amp;row=4636&amp;col=7&amp;number=0.00209&amp;sourceID=14","0.00209")</f>
        <v>0.00209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HYPERLINK("http://141.218.60.56/~jnz1568/getInfo.php?workbook=20_05.xlsx&amp;sheet=U0&amp;row=4637&amp;col=6&amp;number=4.3&amp;sourceID=14","4.3")</f>
        <v>4.3</v>
      </c>
      <c r="G4637" s="4" t="str">
        <f>HYPERLINK("http://141.218.60.56/~jnz1568/getInfo.php?workbook=20_05.xlsx&amp;sheet=U0&amp;row=4637&amp;col=7&amp;number=0.00209&amp;sourceID=14","0.00209")</f>
        <v>0.00209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HYPERLINK("http://141.218.60.56/~jnz1568/getInfo.php?workbook=20_05.xlsx&amp;sheet=U0&amp;row=4638&amp;col=6&amp;number=4.4&amp;sourceID=14","4.4")</f>
        <v>4.4</v>
      </c>
      <c r="G4638" s="4" t="str">
        <f>HYPERLINK("http://141.218.60.56/~jnz1568/getInfo.php?workbook=20_05.xlsx&amp;sheet=U0&amp;row=4638&amp;col=7&amp;number=0.00209&amp;sourceID=14","0.00209")</f>
        <v>0.00209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HYPERLINK("http://141.218.60.56/~jnz1568/getInfo.php?workbook=20_05.xlsx&amp;sheet=U0&amp;row=4639&amp;col=6&amp;number=4.5&amp;sourceID=14","4.5")</f>
        <v>4.5</v>
      </c>
      <c r="G4639" s="4" t="str">
        <f>HYPERLINK("http://141.218.60.56/~jnz1568/getInfo.php?workbook=20_05.xlsx&amp;sheet=U0&amp;row=4639&amp;col=7&amp;number=0.00209&amp;sourceID=14","0.00209")</f>
        <v>0.00209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HYPERLINK("http://141.218.60.56/~jnz1568/getInfo.php?workbook=20_05.xlsx&amp;sheet=U0&amp;row=4640&amp;col=6&amp;number=4.6&amp;sourceID=14","4.6")</f>
        <v>4.6</v>
      </c>
      <c r="G4640" s="4" t="str">
        <f>HYPERLINK("http://141.218.60.56/~jnz1568/getInfo.php?workbook=20_05.xlsx&amp;sheet=U0&amp;row=4640&amp;col=7&amp;number=0.00208&amp;sourceID=14","0.00208")</f>
        <v>0.00208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HYPERLINK("http://141.218.60.56/~jnz1568/getInfo.php?workbook=20_05.xlsx&amp;sheet=U0&amp;row=4641&amp;col=6&amp;number=4.7&amp;sourceID=14","4.7")</f>
        <v>4.7</v>
      </c>
      <c r="G4641" s="4" t="str">
        <f>HYPERLINK("http://141.218.60.56/~jnz1568/getInfo.php?workbook=20_05.xlsx&amp;sheet=U0&amp;row=4641&amp;col=7&amp;number=0.00207&amp;sourceID=14","0.00207")</f>
        <v>0.00207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HYPERLINK("http://141.218.60.56/~jnz1568/getInfo.php?workbook=20_05.xlsx&amp;sheet=U0&amp;row=4642&amp;col=6&amp;number=4.8&amp;sourceID=14","4.8")</f>
        <v>4.8</v>
      </c>
      <c r="G4642" s="4" t="str">
        <f>HYPERLINK("http://141.218.60.56/~jnz1568/getInfo.php?workbook=20_05.xlsx&amp;sheet=U0&amp;row=4642&amp;col=7&amp;number=0.00207&amp;sourceID=14","0.00207")</f>
        <v>0.00207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HYPERLINK("http://141.218.60.56/~jnz1568/getInfo.php?workbook=20_05.xlsx&amp;sheet=U0&amp;row=4643&amp;col=6&amp;number=4.9&amp;sourceID=14","4.9")</f>
        <v>4.9</v>
      </c>
      <c r="G4643" s="4" t="str">
        <f>HYPERLINK("http://141.218.60.56/~jnz1568/getInfo.php?workbook=20_05.xlsx&amp;sheet=U0&amp;row=4643&amp;col=7&amp;number=0.00206&amp;sourceID=14","0.00206")</f>
        <v>0.00206</v>
      </c>
    </row>
    <row r="4644" spans="1:7">
      <c r="A4644" s="3">
        <v>20</v>
      </c>
      <c r="B4644" s="3">
        <v>5</v>
      </c>
      <c r="C4644" s="3">
        <v>2</v>
      </c>
      <c r="D4644" s="3">
        <v>79</v>
      </c>
      <c r="E4644" s="3">
        <v>1</v>
      </c>
      <c r="F4644" s="4" t="str">
        <f>HYPERLINK("http://141.218.60.56/~jnz1568/getInfo.php?workbook=20_05.xlsx&amp;sheet=U0&amp;row=4644&amp;col=6&amp;number=3&amp;sourceID=14","3")</f>
        <v>3</v>
      </c>
      <c r="G4644" s="4" t="str">
        <f>HYPERLINK("http://141.218.60.56/~jnz1568/getInfo.php?workbook=20_05.xlsx&amp;sheet=U0&amp;row=4644&amp;col=7&amp;number=0.00824&amp;sourceID=14","0.00824")</f>
        <v>0.00824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HYPERLINK("http://141.218.60.56/~jnz1568/getInfo.php?workbook=20_05.xlsx&amp;sheet=U0&amp;row=4645&amp;col=6&amp;number=3.1&amp;sourceID=14","3.1")</f>
        <v>3.1</v>
      </c>
      <c r="G4645" s="4" t="str">
        <f>HYPERLINK("http://141.218.60.56/~jnz1568/getInfo.php?workbook=20_05.xlsx&amp;sheet=U0&amp;row=4645&amp;col=7&amp;number=0.00824&amp;sourceID=14","0.00824")</f>
        <v>0.00824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HYPERLINK("http://141.218.60.56/~jnz1568/getInfo.php?workbook=20_05.xlsx&amp;sheet=U0&amp;row=4646&amp;col=6&amp;number=3.2&amp;sourceID=14","3.2")</f>
        <v>3.2</v>
      </c>
      <c r="G4646" s="4" t="str">
        <f>HYPERLINK("http://141.218.60.56/~jnz1568/getInfo.php?workbook=20_05.xlsx&amp;sheet=U0&amp;row=4646&amp;col=7&amp;number=0.00824&amp;sourceID=14","0.00824")</f>
        <v>0.00824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HYPERLINK("http://141.218.60.56/~jnz1568/getInfo.php?workbook=20_05.xlsx&amp;sheet=U0&amp;row=4647&amp;col=6&amp;number=3.3&amp;sourceID=14","3.3")</f>
        <v>3.3</v>
      </c>
      <c r="G4647" s="4" t="str">
        <f>HYPERLINK("http://141.218.60.56/~jnz1568/getInfo.php?workbook=20_05.xlsx&amp;sheet=U0&amp;row=4647&amp;col=7&amp;number=0.00824&amp;sourceID=14","0.00824")</f>
        <v>0.00824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HYPERLINK("http://141.218.60.56/~jnz1568/getInfo.php?workbook=20_05.xlsx&amp;sheet=U0&amp;row=4648&amp;col=6&amp;number=3.4&amp;sourceID=14","3.4")</f>
        <v>3.4</v>
      </c>
      <c r="G4648" s="4" t="str">
        <f>HYPERLINK("http://141.218.60.56/~jnz1568/getInfo.php?workbook=20_05.xlsx&amp;sheet=U0&amp;row=4648&amp;col=7&amp;number=0.00824&amp;sourceID=14","0.00824")</f>
        <v>0.00824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HYPERLINK("http://141.218.60.56/~jnz1568/getInfo.php?workbook=20_05.xlsx&amp;sheet=U0&amp;row=4649&amp;col=6&amp;number=3.5&amp;sourceID=14","3.5")</f>
        <v>3.5</v>
      </c>
      <c r="G4649" s="4" t="str">
        <f>HYPERLINK("http://141.218.60.56/~jnz1568/getInfo.php?workbook=20_05.xlsx&amp;sheet=U0&amp;row=4649&amp;col=7&amp;number=0.00824&amp;sourceID=14","0.00824")</f>
        <v>0.00824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HYPERLINK("http://141.218.60.56/~jnz1568/getInfo.php?workbook=20_05.xlsx&amp;sheet=U0&amp;row=4650&amp;col=6&amp;number=3.6&amp;sourceID=14","3.6")</f>
        <v>3.6</v>
      </c>
      <c r="G4650" s="4" t="str">
        <f>HYPERLINK("http://141.218.60.56/~jnz1568/getInfo.php?workbook=20_05.xlsx&amp;sheet=U0&amp;row=4650&amp;col=7&amp;number=0.00824&amp;sourceID=14","0.00824")</f>
        <v>0.00824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HYPERLINK("http://141.218.60.56/~jnz1568/getInfo.php?workbook=20_05.xlsx&amp;sheet=U0&amp;row=4651&amp;col=6&amp;number=3.7&amp;sourceID=14","3.7")</f>
        <v>3.7</v>
      </c>
      <c r="G4651" s="4" t="str">
        <f>HYPERLINK("http://141.218.60.56/~jnz1568/getInfo.php?workbook=20_05.xlsx&amp;sheet=U0&amp;row=4651&amp;col=7&amp;number=0.00824&amp;sourceID=14","0.00824")</f>
        <v>0.00824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HYPERLINK("http://141.218.60.56/~jnz1568/getInfo.php?workbook=20_05.xlsx&amp;sheet=U0&amp;row=4652&amp;col=6&amp;number=3.8&amp;sourceID=14","3.8")</f>
        <v>3.8</v>
      </c>
      <c r="G4652" s="4" t="str">
        <f>HYPERLINK("http://141.218.60.56/~jnz1568/getInfo.php?workbook=20_05.xlsx&amp;sheet=U0&amp;row=4652&amp;col=7&amp;number=0.00824&amp;sourceID=14","0.00824")</f>
        <v>0.00824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HYPERLINK("http://141.218.60.56/~jnz1568/getInfo.php?workbook=20_05.xlsx&amp;sheet=U0&amp;row=4653&amp;col=6&amp;number=3.9&amp;sourceID=14","3.9")</f>
        <v>3.9</v>
      </c>
      <c r="G4653" s="4" t="str">
        <f>HYPERLINK("http://141.218.60.56/~jnz1568/getInfo.php?workbook=20_05.xlsx&amp;sheet=U0&amp;row=4653&amp;col=7&amp;number=0.00825&amp;sourceID=14","0.00825")</f>
        <v>0.00825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HYPERLINK("http://141.218.60.56/~jnz1568/getInfo.php?workbook=20_05.xlsx&amp;sheet=U0&amp;row=4654&amp;col=6&amp;number=4&amp;sourceID=14","4")</f>
        <v>4</v>
      </c>
      <c r="G4654" s="4" t="str">
        <f>HYPERLINK("http://141.218.60.56/~jnz1568/getInfo.php?workbook=20_05.xlsx&amp;sheet=U0&amp;row=4654&amp;col=7&amp;number=0.00825&amp;sourceID=14","0.00825")</f>
        <v>0.00825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HYPERLINK("http://141.218.60.56/~jnz1568/getInfo.php?workbook=20_05.xlsx&amp;sheet=U0&amp;row=4655&amp;col=6&amp;number=4.1&amp;sourceID=14","4.1")</f>
        <v>4.1</v>
      </c>
      <c r="G4655" s="4" t="str">
        <f>HYPERLINK("http://141.218.60.56/~jnz1568/getInfo.php?workbook=20_05.xlsx&amp;sheet=U0&amp;row=4655&amp;col=7&amp;number=0.00825&amp;sourceID=14","0.00825")</f>
        <v>0.00825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HYPERLINK("http://141.218.60.56/~jnz1568/getInfo.php?workbook=20_05.xlsx&amp;sheet=U0&amp;row=4656&amp;col=6&amp;number=4.2&amp;sourceID=14","4.2")</f>
        <v>4.2</v>
      </c>
      <c r="G4656" s="4" t="str">
        <f>HYPERLINK("http://141.218.60.56/~jnz1568/getInfo.php?workbook=20_05.xlsx&amp;sheet=U0&amp;row=4656&amp;col=7&amp;number=0.00826&amp;sourceID=14","0.00826")</f>
        <v>0.00826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HYPERLINK("http://141.218.60.56/~jnz1568/getInfo.php?workbook=20_05.xlsx&amp;sheet=U0&amp;row=4657&amp;col=6&amp;number=4.3&amp;sourceID=14","4.3")</f>
        <v>4.3</v>
      </c>
      <c r="G4657" s="4" t="str">
        <f>HYPERLINK("http://141.218.60.56/~jnz1568/getInfo.php?workbook=20_05.xlsx&amp;sheet=U0&amp;row=4657&amp;col=7&amp;number=0.00826&amp;sourceID=14","0.00826")</f>
        <v>0.00826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HYPERLINK("http://141.218.60.56/~jnz1568/getInfo.php?workbook=20_05.xlsx&amp;sheet=U0&amp;row=4658&amp;col=6&amp;number=4.4&amp;sourceID=14","4.4")</f>
        <v>4.4</v>
      </c>
      <c r="G4658" s="4" t="str">
        <f>HYPERLINK("http://141.218.60.56/~jnz1568/getInfo.php?workbook=20_05.xlsx&amp;sheet=U0&amp;row=4658&amp;col=7&amp;number=0.00827&amp;sourceID=14","0.00827")</f>
        <v>0.00827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HYPERLINK("http://141.218.60.56/~jnz1568/getInfo.php?workbook=20_05.xlsx&amp;sheet=U0&amp;row=4659&amp;col=6&amp;number=4.5&amp;sourceID=14","4.5")</f>
        <v>4.5</v>
      </c>
      <c r="G4659" s="4" t="str">
        <f>HYPERLINK("http://141.218.60.56/~jnz1568/getInfo.php?workbook=20_05.xlsx&amp;sheet=U0&amp;row=4659&amp;col=7&amp;number=0.00828&amp;sourceID=14","0.00828")</f>
        <v>0.00828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HYPERLINK("http://141.218.60.56/~jnz1568/getInfo.php?workbook=20_05.xlsx&amp;sheet=U0&amp;row=4660&amp;col=6&amp;number=4.6&amp;sourceID=14","4.6")</f>
        <v>4.6</v>
      </c>
      <c r="G4660" s="4" t="str">
        <f>HYPERLINK("http://141.218.60.56/~jnz1568/getInfo.php?workbook=20_05.xlsx&amp;sheet=U0&amp;row=4660&amp;col=7&amp;number=0.00829&amp;sourceID=14","0.00829")</f>
        <v>0.00829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HYPERLINK("http://141.218.60.56/~jnz1568/getInfo.php?workbook=20_05.xlsx&amp;sheet=U0&amp;row=4661&amp;col=6&amp;number=4.7&amp;sourceID=14","4.7")</f>
        <v>4.7</v>
      </c>
      <c r="G4661" s="4" t="str">
        <f>HYPERLINK("http://141.218.60.56/~jnz1568/getInfo.php?workbook=20_05.xlsx&amp;sheet=U0&amp;row=4661&amp;col=7&amp;number=0.00831&amp;sourceID=14","0.00831")</f>
        <v>0.00831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HYPERLINK("http://141.218.60.56/~jnz1568/getInfo.php?workbook=20_05.xlsx&amp;sheet=U0&amp;row=4662&amp;col=6&amp;number=4.8&amp;sourceID=14","4.8")</f>
        <v>4.8</v>
      </c>
      <c r="G4662" s="4" t="str">
        <f>HYPERLINK("http://141.218.60.56/~jnz1568/getInfo.php?workbook=20_05.xlsx&amp;sheet=U0&amp;row=4662&amp;col=7&amp;number=0.00833&amp;sourceID=14","0.00833")</f>
        <v>0.00833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HYPERLINK("http://141.218.60.56/~jnz1568/getInfo.php?workbook=20_05.xlsx&amp;sheet=U0&amp;row=4663&amp;col=6&amp;number=4.9&amp;sourceID=14","4.9")</f>
        <v>4.9</v>
      </c>
      <c r="G4663" s="4" t="str">
        <f>HYPERLINK("http://141.218.60.56/~jnz1568/getInfo.php?workbook=20_05.xlsx&amp;sheet=U0&amp;row=4663&amp;col=7&amp;number=0.00835&amp;sourceID=14","0.00835")</f>
        <v>0.00835</v>
      </c>
    </row>
    <row r="4664" spans="1:7">
      <c r="A4664" s="3">
        <v>20</v>
      </c>
      <c r="B4664" s="3">
        <v>5</v>
      </c>
      <c r="C4664" s="3">
        <v>2</v>
      </c>
      <c r="D4664" s="3">
        <v>80</v>
      </c>
      <c r="E4664" s="3">
        <v>1</v>
      </c>
      <c r="F4664" s="4" t="str">
        <f>HYPERLINK("http://141.218.60.56/~jnz1568/getInfo.php?workbook=20_05.xlsx&amp;sheet=U0&amp;row=4664&amp;col=6&amp;number=3&amp;sourceID=14","3")</f>
        <v>3</v>
      </c>
      <c r="G4664" s="4" t="str">
        <f>HYPERLINK("http://141.218.60.56/~jnz1568/getInfo.php?workbook=20_05.xlsx&amp;sheet=U0&amp;row=4664&amp;col=7&amp;number=0.00305&amp;sourceID=14","0.00305")</f>
        <v>0.00305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HYPERLINK("http://141.218.60.56/~jnz1568/getInfo.php?workbook=20_05.xlsx&amp;sheet=U0&amp;row=4665&amp;col=6&amp;number=3.1&amp;sourceID=14","3.1")</f>
        <v>3.1</v>
      </c>
      <c r="G4665" s="4" t="str">
        <f>HYPERLINK("http://141.218.60.56/~jnz1568/getInfo.php?workbook=20_05.xlsx&amp;sheet=U0&amp;row=4665&amp;col=7&amp;number=0.00305&amp;sourceID=14","0.00305")</f>
        <v>0.00305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HYPERLINK("http://141.218.60.56/~jnz1568/getInfo.php?workbook=20_05.xlsx&amp;sheet=U0&amp;row=4666&amp;col=6&amp;number=3.2&amp;sourceID=14","3.2")</f>
        <v>3.2</v>
      </c>
      <c r="G4666" s="4" t="str">
        <f>HYPERLINK("http://141.218.60.56/~jnz1568/getInfo.php?workbook=20_05.xlsx&amp;sheet=U0&amp;row=4666&amp;col=7&amp;number=0.00305&amp;sourceID=14","0.00305")</f>
        <v>0.00305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HYPERLINK("http://141.218.60.56/~jnz1568/getInfo.php?workbook=20_05.xlsx&amp;sheet=U0&amp;row=4667&amp;col=6&amp;number=3.3&amp;sourceID=14","3.3")</f>
        <v>3.3</v>
      </c>
      <c r="G4667" s="4" t="str">
        <f>HYPERLINK("http://141.218.60.56/~jnz1568/getInfo.php?workbook=20_05.xlsx&amp;sheet=U0&amp;row=4667&amp;col=7&amp;number=0.00305&amp;sourceID=14","0.00305")</f>
        <v>0.00305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HYPERLINK("http://141.218.60.56/~jnz1568/getInfo.php?workbook=20_05.xlsx&amp;sheet=U0&amp;row=4668&amp;col=6&amp;number=3.4&amp;sourceID=14","3.4")</f>
        <v>3.4</v>
      </c>
      <c r="G4668" s="4" t="str">
        <f>HYPERLINK("http://141.218.60.56/~jnz1568/getInfo.php?workbook=20_05.xlsx&amp;sheet=U0&amp;row=4668&amp;col=7&amp;number=0.00305&amp;sourceID=14","0.00305")</f>
        <v>0.00305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HYPERLINK("http://141.218.60.56/~jnz1568/getInfo.php?workbook=20_05.xlsx&amp;sheet=U0&amp;row=4669&amp;col=6&amp;number=3.5&amp;sourceID=14","3.5")</f>
        <v>3.5</v>
      </c>
      <c r="G4669" s="4" t="str">
        <f>HYPERLINK("http://141.218.60.56/~jnz1568/getInfo.php?workbook=20_05.xlsx&amp;sheet=U0&amp;row=4669&amp;col=7&amp;number=0.00305&amp;sourceID=14","0.00305")</f>
        <v>0.00305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HYPERLINK("http://141.218.60.56/~jnz1568/getInfo.php?workbook=20_05.xlsx&amp;sheet=U0&amp;row=4670&amp;col=6&amp;number=3.6&amp;sourceID=14","3.6")</f>
        <v>3.6</v>
      </c>
      <c r="G4670" s="4" t="str">
        <f>HYPERLINK("http://141.218.60.56/~jnz1568/getInfo.php?workbook=20_05.xlsx&amp;sheet=U0&amp;row=4670&amp;col=7&amp;number=0.00305&amp;sourceID=14","0.00305")</f>
        <v>0.00305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HYPERLINK("http://141.218.60.56/~jnz1568/getInfo.php?workbook=20_05.xlsx&amp;sheet=U0&amp;row=4671&amp;col=6&amp;number=3.7&amp;sourceID=14","3.7")</f>
        <v>3.7</v>
      </c>
      <c r="G4671" s="4" t="str">
        <f>HYPERLINK("http://141.218.60.56/~jnz1568/getInfo.php?workbook=20_05.xlsx&amp;sheet=U0&amp;row=4671&amp;col=7&amp;number=0.00305&amp;sourceID=14","0.00305")</f>
        <v>0.00305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HYPERLINK("http://141.218.60.56/~jnz1568/getInfo.php?workbook=20_05.xlsx&amp;sheet=U0&amp;row=4672&amp;col=6&amp;number=3.8&amp;sourceID=14","3.8")</f>
        <v>3.8</v>
      </c>
      <c r="G4672" s="4" t="str">
        <f>HYPERLINK("http://141.218.60.56/~jnz1568/getInfo.php?workbook=20_05.xlsx&amp;sheet=U0&amp;row=4672&amp;col=7&amp;number=0.00305&amp;sourceID=14","0.00305")</f>
        <v>0.00305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HYPERLINK("http://141.218.60.56/~jnz1568/getInfo.php?workbook=20_05.xlsx&amp;sheet=U0&amp;row=4673&amp;col=6&amp;number=3.9&amp;sourceID=14","3.9")</f>
        <v>3.9</v>
      </c>
      <c r="G4673" s="4" t="str">
        <f>HYPERLINK("http://141.218.60.56/~jnz1568/getInfo.php?workbook=20_05.xlsx&amp;sheet=U0&amp;row=4673&amp;col=7&amp;number=0.00305&amp;sourceID=14","0.00305")</f>
        <v>0.00305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HYPERLINK("http://141.218.60.56/~jnz1568/getInfo.php?workbook=20_05.xlsx&amp;sheet=U0&amp;row=4674&amp;col=6&amp;number=4&amp;sourceID=14","4")</f>
        <v>4</v>
      </c>
      <c r="G4674" s="4" t="str">
        <f>HYPERLINK("http://141.218.60.56/~jnz1568/getInfo.php?workbook=20_05.xlsx&amp;sheet=U0&amp;row=4674&amp;col=7&amp;number=0.00305&amp;sourceID=14","0.00305")</f>
        <v>0.00305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HYPERLINK("http://141.218.60.56/~jnz1568/getInfo.php?workbook=20_05.xlsx&amp;sheet=U0&amp;row=4675&amp;col=6&amp;number=4.1&amp;sourceID=14","4.1")</f>
        <v>4.1</v>
      </c>
      <c r="G4675" s="4" t="str">
        <f>HYPERLINK("http://141.218.60.56/~jnz1568/getInfo.php?workbook=20_05.xlsx&amp;sheet=U0&amp;row=4675&amp;col=7&amp;number=0.00305&amp;sourceID=14","0.00305")</f>
        <v>0.00305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HYPERLINK("http://141.218.60.56/~jnz1568/getInfo.php?workbook=20_05.xlsx&amp;sheet=U0&amp;row=4676&amp;col=6&amp;number=4.2&amp;sourceID=14","4.2")</f>
        <v>4.2</v>
      </c>
      <c r="G4676" s="4" t="str">
        <f>HYPERLINK("http://141.218.60.56/~jnz1568/getInfo.php?workbook=20_05.xlsx&amp;sheet=U0&amp;row=4676&amp;col=7&amp;number=0.00305&amp;sourceID=14","0.00305")</f>
        <v>0.00305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HYPERLINK("http://141.218.60.56/~jnz1568/getInfo.php?workbook=20_05.xlsx&amp;sheet=U0&amp;row=4677&amp;col=6&amp;number=4.3&amp;sourceID=14","4.3")</f>
        <v>4.3</v>
      </c>
      <c r="G4677" s="4" t="str">
        <f>HYPERLINK("http://141.218.60.56/~jnz1568/getInfo.php?workbook=20_05.xlsx&amp;sheet=U0&amp;row=4677&amp;col=7&amp;number=0.00306&amp;sourceID=14","0.00306")</f>
        <v>0.00306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HYPERLINK("http://141.218.60.56/~jnz1568/getInfo.php?workbook=20_05.xlsx&amp;sheet=U0&amp;row=4678&amp;col=6&amp;number=4.4&amp;sourceID=14","4.4")</f>
        <v>4.4</v>
      </c>
      <c r="G4678" s="4" t="str">
        <f>HYPERLINK("http://141.218.60.56/~jnz1568/getInfo.php?workbook=20_05.xlsx&amp;sheet=U0&amp;row=4678&amp;col=7&amp;number=0.00306&amp;sourceID=14","0.00306")</f>
        <v>0.00306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HYPERLINK("http://141.218.60.56/~jnz1568/getInfo.php?workbook=20_05.xlsx&amp;sheet=U0&amp;row=4679&amp;col=6&amp;number=4.5&amp;sourceID=14","4.5")</f>
        <v>4.5</v>
      </c>
      <c r="G4679" s="4" t="str">
        <f>HYPERLINK("http://141.218.60.56/~jnz1568/getInfo.php?workbook=20_05.xlsx&amp;sheet=U0&amp;row=4679&amp;col=7&amp;number=0.00306&amp;sourceID=14","0.00306")</f>
        <v>0.00306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HYPERLINK("http://141.218.60.56/~jnz1568/getInfo.php?workbook=20_05.xlsx&amp;sheet=U0&amp;row=4680&amp;col=6&amp;number=4.6&amp;sourceID=14","4.6")</f>
        <v>4.6</v>
      </c>
      <c r="G4680" s="4" t="str">
        <f>HYPERLINK("http://141.218.60.56/~jnz1568/getInfo.php?workbook=20_05.xlsx&amp;sheet=U0&amp;row=4680&amp;col=7&amp;number=0.00306&amp;sourceID=14","0.00306")</f>
        <v>0.00306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HYPERLINK("http://141.218.60.56/~jnz1568/getInfo.php?workbook=20_05.xlsx&amp;sheet=U0&amp;row=4681&amp;col=6&amp;number=4.7&amp;sourceID=14","4.7")</f>
        <v>4.7</v>
      </c>
      <c r="G4681" s="4" t="str">
        <f>HYPERLINK("http://141.218.60.56/~jnz1568/getInfo.php?workbook=20_05.xlsx&amp;sheet=U0&amp;row=4681&amp;col=7&amp;number=0.00307&amp;sourceID=14","0.00307")</f>
        <v>0.00307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HYPERLINK("http://141.218.60.56/~jnz1568/getInfo.php?workbook=20_05.xlsx&amp;sheet=U0&amp;row=4682&amp;col=6&amp;number=4.8&amp;sourceID=14","4.8")</f>
        <v>4.8</v>
      </c>
      <c r="G4682" s="4" t="str">
        <f>HYPERLINK("http://141.218.60.56/~jnz1568/getInfo.php?workbook=20_05.xlsx&amp;sheet=U0&amp;row=4682&amp;col=7&amp;number=0.00307&amp;sourceID=14","0.00307")</f>
        <v>0.00307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HYPERLINK("http://141.218.60.56/~jnz1568/getInfo.php?workbook=20_05.xlsx&amp;sheet=U0&amp;row=4683&amp;col=6&amp;number=4.9&amp;sourceID=14","4.9")</f>
        <v>4.9</v>
      </c>
      <c r="G4683" s="4" t="str">
        <f>HYPERLINK("http://141.218.60.56/~jnz1568/getInfo.php?workbook=20_05.xlsx&amp;sheet=U0&amp;row=4683&amp;col=7&amp;number=0.00307&amp;sourceID=14","0.00307")</f>
        <v>0.00307</v>
      </c>
    </row>
    <row r="4684" spans="1:7">
      <c r="A4684" s="3">
        <v>20</v>
      </c>
      <c r="B4684" s="3">
        <v>5</v>
      </c>
      <c r="C4684" s="3">
        <v>2</v>
      </c>
      <c r="D4684" s="3">
        <v>81</v>
      </c>
      <c r="E4684" s="3">
        <v>1</v>
      </c>
      <c r="F4684" s="4" t="str">
        <f>HYPERLINK("http://141.218.60.56/~jnz1568/getInfo.php?workbook=20_05.xlsx&amp;sheet=U0&amp;row=4684&amp;col=6&amp;number=3&amp;sourceID=14","3")</f>
        <v>3</v>
      </c>
      <c r="G4684" s="4" t="str">
        <f>HYPERLINK("http://141.218.60.56/~jnz1568/getInfo.php?workbook=20_05.xlsx&amp;sheet=U0&amp;row=4684&amp;col=7&amp;number=0.00041&amp;sourceID=14","0.00041")</f>
        <v>0.00041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HYPERLINK("http://141.218.60.56/~jnz1568/getInfo.php?workbook=20_05.xlsx&amp;sheet=U0&amp;row=4685&amp;col=6&amp;number=3.1&amp;sourceID=14","3.1")</f>
        <v>3.1</v>
      </c>
      <c r="G4685" s="4" t="str">
        <f>HYPERLINK("http://141.218.60.56/~jnz1568/getInfo.php?workbook=20_05.xlsx&amp;sheet=U0&amp;row=4685&amp;col=7&amp;number=0.00041&amp;sourceID=14","0.00041")</f>
        <v>0.00041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HYPERLINK("http://141.218.60.56/~jnz1568/getInfo.php?workbook=20_05.xlsx&amp;sheet=U0&amp;row=4686&amp;col=6&amp;number=3.2&amp;sourceID=14","3.2")</f>
        <v>3.2</v>
      </c>
      <c r="G4686" s="4" t="str">
        <f>HYPERLINK("http://141.218.60.56/~jnz1568/getInfo.php?workbook=20_05.xlsx&amp;sheet=U0&amp;row=4686&amp;col=7&amp;number=0.00041&amp;sourceID=14","0.00041")</f>
        <v>0.00041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HYPERLINK("http://141.218.60.56/~jnz1568/getInfo.php?workbook=20_05.xlsx&amp;sheet=U0&amp;row=4687&amp;col=6&amp;number=3.3&amp;sourceID=14","3.3")</f>
        <v>3.3</v>
      </c>
      <c r="G4687" s="4" t="str">
        <f>HYPERLINK("http://141.218.60.56/~jnz1568/getInfo.php?workbook=20_05.xlsx&amp;sheet=U0&amp;row=4687&amp;col=7&amp;number=0.00041&amp;sourceID=14","0.00041")</f>
        <v>0.00041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HYPERLINK("http://141.218.60.56/~jnz1568/getInfo.php?workbook=20_05.xlsx&amp;sheet=U0&amp;row=4688&amp;col=6&amp;number=3.4&amp;sourceID=14","3.4")</f>
        <v>3.4</v>
      </c>
      <c r="G4688" s="4" t="str">
        <f>HYPERLINK("http://141.218.60.56/~jnz1568/getInfo.php?workbook=20_05.xlsx&amp;sheet=U0&amp;row=4688&amp;col=7&amp;number=0.00041&amp;sourceID=14","0.00041")</f>
        <v>0.00041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HYPERLINK("http://141.218.60.56/~jnz1568/getInfo.php?workbook=20_05.xlsx&amp;sheet=U0&amp;row=4689&amp;col=6&amp;number=3.5&amp;sourceID=14","3.5")</f>
        <v>3.5</v>
      </c>
      <c r="G4689" s="4" t="str">
        <f>HYPERLINK("http://141.218.60.56/~jnz1568/getInfo.php?workbook=20_05.xlsx&amp;sheet=U0&amp;row=4689&amp;col=7&amp;number=0.00041&amp;sourceID=14","0.00041")</f>
        <v>0.00041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HYPERLINK("http://141.218.60.56/~jnz1568/getInfo.php?workbook=20_05.xlsx&amp;sheet=U0&amp;row=4690&amp;col=6&amp;number=3.6&amp;sourceID=14","3.6")</f>
        <v>3.6</v>
      </c>
      <c r="G4690" s="4" t="str">
        <f>HYPERLINK("http://141.218.60.56/~jnz1568/getInfo.php?workbook=20_05.xlsx&amp;sheet=U0&amp;row=4690&amp;col=7&amp;number=0.00041&amp;sourceID=14","0.00041")</f>
        <v>0.00041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HYPERLINK("http://141.218.60.56/~jnz1568/getInfo.php?workbook=20_05.xlsx&amp;sheet=U0&amp;row=4691&amp;col=6&amp;number=3.7&amp;sourceID=14","3.7")</f>
        <v>3.7</v>
      </c>
      <c r="G4691" s="4" t="str">
        <f>HYPERLINK("http://141.218.60.56/~jnz1568/getInfo.php?workbook=20_05.xlsx&amp;sheet=U0&amp;row=4691&amp;col=7&amp;number=0.00041&amp;sourceID=14","0.00041")</f>
        <v>0.00041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HYPERLINK("http://141.218.60.56/~jnz1568/getInfo.php?workbook=20_05.xlsx&amp;sheet=U0&amp;row=4692&amp;col=6&amp;number=3.8&amp;sourceID=14","3.8")</f>
        <v>3.8</v>
      </c>
      <c r="G4692" s="4" t="str">
        <f>HYPERLINK("http://141.218.60.56/~jnz1568/getInfo.php?workbook=20_05.xlsx&amp;sheet=U0&amp;row=4692&amp;col=7&amp;number=0.00041&amp;sourceID=14","0.00041")</f>
        <v>0.00041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HYPERLINK("http://141.218.60.56/~jnz1568/getInfo.php?workbook=20_05.xlsx&amp;sheet=U0&amp;row=4693&amp;col=6&amp;number=3.9&amp;sourceID=14","3.9")</f>
        <v>3.9</v>
      </c>
      <c r="G4693" s="4" t="str">
        <f>HYPERLINK("http://141.218.60.56/~jnz1568/getInfo.php?workbook=20_05.xlsx&amp;sheet=U0&amp;row=4693&amp;col=7&amp;number=0.00041&amp;sourceID=14","0.00041")</f>
        <v>0.00041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HYPERLINK("http://141.218.60.56/~jnz1568/getInfo.php?workbook=20_05.xlsx&amp;sheet=U0&amp;row=4694&amp;col=6&amp;number=4&amp;sourceID=14","4")</f>
        <v>4</v>
      </c>
      <c r="G4694" s="4" t="str">
        <f>HYPERLINK("http://141.218.60.56/~jnz1568/getInfo.php?workbook=20_05.xlsx&amp;sheet=U0&amp;row=4694&amp;col=7&amp;number=0.00041&amp;sourceID=14","0.00041")</f>
        <v>0.00041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HYPERLINK("http://141.218.60.56/~jnz1568/getInfo.php?workbook=20_05.xlsx&amp;sheet=U0&amp;row=4695&amp;col=6&amp;number=4.1&amp;sourceID=14","4.1")</f>
        <v>4.1</v>
      </c>
      <c r="G4695" s="4" t="str">
        <f>HYPERLINK("http://141.218.60.56/~jnz1568/getInfo.php?workbook=20_05.xlsx&amp;sheet=U0&amp;row=4695&amp;col=7&amp;number=0.00041&amp;sourceID=14","0.00041")</f>
        <v>0.00041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HYPERLINK("http://141.218.60.56/~jnz1568/getInfo.php?workbook=20_05.xlsx&amp;sheet=U0&amp;row=4696&amp;col=6&amp;number=4.2&amp;sourceID=14","4.2")</f>
        <v>4.2</v>
      </c>
      <c r="G4696" s="4" t="str">
        <f>HYPERLINK("http://141.218.60.56/~jnz1568/getInfo.php?workbook=20_05.xlsx&amp;sheet=U0&amp;row=4696&amp;col=7&amp;number=0.000411&amp;sourceID=14","0.000411")</f>
        <v>0.000411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HYPERLINK("http://141.218.60.56/~jnz1568/getInfo.php?workbook=20_05.xlsx&amp;sheet=U0&amp;row=4697&amp;col=6&amp;number=4.3&amp;sourceID=14","4.3")</f>
        <v>4.3</v>
      </c>
      <c r="G4697" s="4" t="str">
        <f>HYPERLINK("http://141.218.60.56/~jnz1568/getInfo.php?workbook=20_05.xlsx&amp;sheet=U0&amp;row=4697&amp;col=7&amp;number=0.000411&amp;sourceID=14","0.000411")</f>
        <v>0.000411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HYPERLINK("http://141.218.60.56/~jnz1568/getInfo.php?workbook=20_05.xlsx&amp;sheet=U0&amp;row=4698&amp;col=6&amp;number=4.4&amp;sourceID=14","4.4")</f>
        <v>4.4</v>
      </c>
      <c r="G4698" s="4" t="str">
        <f>HYPERLINK("http://141.218.60.56/~jnz1568/getInfo.php?workbook=20_05.xlsx&amp;sheet=U0&amp;row=4698&amp;col=7&amp;number=0.000411&amp;sourceID=14","0.000411")</f>
        <v>0.000411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HYPERLINK("http://141.218.60.56/~jnz1568/getInfo.php?workbook=20_05.xlsx&amp;sheet=U0&amp;row=4699&amp;col=6&amp;number=4.5&amp;sourceID=14","4.5")</f>
        <v>4.5</v>
      </c>
      <c r="G4699" s="4" t="str">
        <f>HYPERLINK("http://141.218.60.56/~jnz1568/getInfo.php?workbook=20_05.xlsx&amp;sheet=U0&amp;row=4699&amp;col=7&amp;number=0.000411&amp;sourceID=14","0.000411")</f>
        <v>0.000411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HYPERLINK("http://141.218.60.56/~jnz1568/getInfo.php?workbook=20_05.xlsx&amp;sheet=U0&amp;row=4700&amp;col=6&amp;number=4.6&amp;sourceID=14","4.6")</f>
        <v>4.6</v>
      </c>
      <c r="G4700" s="4" t="str">
        <f>HYPERLINK("http://141.218.60.56/~jnz1568/getInfo.php?workbook=20_05.xlsx&amp;sheet=U0&amp;row=4700&amp;col=7&amp;number=0.000412&amp;sourceID=14","0.000412")</f>
        <v>0.000412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HYPERLINK("http://141.218.60.56/~jnz1568/getInfo.php?workbook=20_05.xlsx&amp;sheet=U0&amp;row=4701&amp;col=6&amp;number=4.7&amp;sourceID=14","4.7")</f>
        <v>4.7</v>
      </c>
      <c r="G4701" s="4" t="str">
        <f>HYPERLINK("http://141.218.60.56/~jnz1568/getInfo.php?workbook=20_05.xlsx&amp;sheet=U0&amp;row=4701&amp;col=7&amp;number=0.000412&amp;sourceID=14","0.000412")</f>
        <v>0.000412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HYPERLINK("http://141.218.60.56/~jnz1568/getInfo.php?workbook=20_05.xlsx&amp;sheet=U0&amp;row=4702&amp;col=6&amp;number=4.8&amp;sourceID=14","4.8")</f>
        <v>4.8</v>
      </c>
      <c r="G4702" s="4" t="str">
        <f>HYPERLINK("http://141.218.60.56/~jnz1568/getInfo.php?workbook=20_05.xlsx&amp;sheet=U0&amp;row=4702&amp;col=7&amp;number=0.000413&amp;sourceID=14","0.000413")</f>
        <v>0.000413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HYPERLINK("http://141.218.60.56/~jnz1568/getInfo.php?workbook=20_05.xlsx&amp;sheet=U0&amp;row=4703&amp;col=6&amp;number=4.9&amp;sourceID=14","4.9")</f>
        <v>4.9</v>
      </c>
      <c r="G4703" s="4" t="str">
        <f>HYPERLINK("http://141.218.60.56/~jnz1568/getInfo.php?workbook=20_05.xlsx&amp;sheet=U0&amp;row=4703&amp;col=7&amp;number=0.000413&amp;sourceID=14","0.000413")</f>
        <v>0.000413</v>
      </c>
    </row>
    <row r="4704" spans="1:7">
      <c r="A4704" s="3">
        <v>20</v>
      </c>
      <c r="B4704" s="3">
        <v>5</v>
      </c>
      <c r="C4704" s="3">
        <v>2</v>
      </c>
      <c r="D4704" s="3">
        <v>82</v>
      </c>
      <c r="E4704" s="3">
        <v>1</v>
      </c>
      <c r="F4704" s="4" t="str">
        <f>HYPERLINK("http://141.218.60.56/~jnz1568/getInfo.php?workbook=20_05.xlsx&amp;sheet=U0&amp;row=4704&amp;col=6&amp;number=3&amp;sourceID=14","3")</f>
        <v>3</v>
      </c>
      <c r="G4704" s="4" t="str">
        <f>HYPERLINK("http://141.218.60.56/~jnz1568/getInfo.php?workbook=20_05.xlsx&amp;sheet=U0&amp;row=4704&amp;col=7&amp;number=3.56e-05&amp;sourceID=14","3.56e-05")</f>
        <v>3.56e-05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HYPERLINK("http://141.218.60.56/~jnz1568/getInfo.php?workbook=20_05.xlsx&amp;sheet=U0&amp;row=4705&amp;col=6&amp;number=3.1&amp;sourceID=14","3.1")</f>
        <v>3.1</v>
      </c>
      <c r="G4705" s="4" t="str">
        <f>HYPERLINK("http://141.218.60.56/~jnz1568/getInfo.php?workbook=20_05.xlsx&amp;sheet=U0&amp;row=4705&amp;col=7&amp;number=3.56e-05&amp;sourceID=14","3.56e-05")</f>
        <v>3.56e-05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HYPERLINK("http://141.218.60.56/~jnz1568/getInfo.php?workbook=20_05.xlsx&amp;sheet=U0&amp;row=4706&amp;col=6&amp;number=3.2&amp;sourceID=14","3.2")</f>
        <v>3.2</v>
      </c>
      <c r="G4706" s="4" t="str">
        <f>HYPERLINK("http://141.218.60.56/~jnz1568/getInfo.php?workbook=20_05.xlsx&amp;sheet=U0&amp;row=4706&amp;col=7&amp;number=3.56e-05&amp;sourceID=14","3.56e-05")</f>
        <v>3.56e-05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HYPERLINK("http://141.218.60.56/~jnz1568/getInfo.php?workbook=20_05.xlsx&amp;sheet=U0&amp;row=4707&amp;col=6&amp;number=3.3&amp;sourceID=14","3.3")</f>
        <v>3.3</v>
      </c>
      <c r="G4707" s="4" t="str">
        <f>HYPERLINK("http://141.218.60.56/~jnz1568/getInfo.php?workbook=20_05.xlsx&amp;sheet=U0&amp;row=4707&amp;col=7&amp;number=3.56e-05&amp;sourceID=14","3.56e-05")</f>
        <v>3.56e-05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HYPERLINK("http://141.218.60.56/~jnz1568/getInfo.php?workbook=20_05.xlsx&amp;sheet=U0&amp;row=4708&amp;col=6&amp;number=3.4&amp;sourceID=14","3.4")</f>
        <v>3.4</v>
      </c>
      <c r="G4708" s="4" t="str">
        <f>HYPERLINK("http://141.218.60.56/~jnz1568/getInfo.php?workbook=20_05.xlsx&amp;sheet=U0&amp;row=4708&amp;col=7&amp;number=3.56e-05&amp;sourceID=14","3.56e-05")</f>
        <v>3.56e-05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HYPERLINK("http://141.218.60.56/~jnz1568/getInfo.php?workbook=20_05.xlsx&amp;sheet=U0&amp;row=4709&amp;col=6&amp;number=3.5&amp;sourceID=14","3.5")</f>
        <v>3.5</v>
      </c>
      <c r="G4709" s="4" t="str">
        <f>HYPERLINK("http://141.218.60.56/~jnz1568/getInfo.php?workbook=20_05.xlsx&amp;sheet=U0&amp;row=4709&amp;col=7&amp;number=3.55e-05&amp;sourceID=14","3.55e-05")</f>
        <v>3.55e-05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HYPERLINK("http://141.218.60.56/~jnz1568/getInfo.php?workbook=20_05.xlsx&amp;sheet=U0&amp;row=4710&amp;col=6&amp;number=3.6&amp;sourceID=14","3.6")</f>
        <v>3.6</v>
      </c>
      <c r="G4710" s="4" t="str">
        <f>HYPERLINK("http://141.218.60.56/~jnz1568/getInfo.php?workbook=20_05.xlsx&amp;sheet=U0&amp;row=4710&amp;col=7&amp;number=3.55e-05&amp;sourceID=14","3.55e-05")</f>
        <v>3.55e-05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HYPERLINK("http://141.218.60.56/~jnz1568/getInfo.php?workbook=20_05.xlsx&amp;sheet=U0&amp;row=4711&amp;col=6&amp;number=3.7&amp;sourceID=14","3.7")</f>
        <v>3.7</v>
      </c>
      <c r="G4711" s="4" t="str">
        <f>HYPERLINK("http://141.218.60.56/~jnz1568/getInfo.php?workbook=20_05.xlsx&amp;sheet=U0&amp;row=4711&amp;col=7&amp;number=3.55e-05&amp;sourceID=14","3.55e-05")</f>
        <v>3.55e-05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HYPERLINK("http://141.218.60.56/~jnz1568/getInfo.php?workbook=20_05.xlsx&amp;sheet=U0&amp;row=4712&amp;col=6&amp;number=3.8&amp;sourceID=14","3.8")</f>
        <v>3.8</v>
      </c>
      <c r="G4712" s="4" t="str">
        <f>HYPERLINK("http://141.218.60.56/~jnz1568/getInfo.php?workbook=20_05.xlsx&amp;sheet=U0&amp;row=4712&amp;col=7&amp;number=3.55e-05&amp;sourceID=14","3.55e-05")</f>
        <v>3.55e-05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HYPERLINK("http://141.218.60.56/~jnz1568/getInfo.php?workbook=20_05.xlsx&amp;sheet=U0&amp;row=4713&amp;col=6&amp;number=3.9&amp;sourceID=14","3.9")</f>
        <v>3.9</v>
      </c>
      <c r="G4713" s="4" t="str">
        <f>HYPERLINK("http://141.218.60.56/~jnz1568/getInfo.php?workbook=20_05.xlsx&amp;sheet=U0&amp;row=4713&amp;col=7&amp;number=3.55e-05&amp;sourceID=14","3.55e-05")</f>
        <v>3.55e-05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HYPERLINK("http://141.218.60.56/~jnz1568/getInfo.php?workbook=20_05.xlsx&amp;sheet=U0&amp;row=4714&amp;col=6&amp;number=4&amp;sourceID=14","4")</f>
        <v>4</v>
      </c>
      <c r="G4714" s="4" t="str">
        <f>HYPERLINK("http://141.218.60.56/~jnz1568/getInfo.php?workbook=20_05.xlsx&amp;sheet=U0&amp;row=4714&amp;col=7&amp;number=3.55e-05&amp;sourceID=14","3.55e-05")</f>
        <v>3.55e-05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HYPERLINK("http://141.218.60.56/~jnz1568/getInfo.php?workbook=20_05.xlsx&amp;sheet=U0&amp;row=4715&amp;col=6&amp;number=4.1&amp;sourceID=14","4.1")</f>
        <v>4.1</v>
      </c>
      <c r="G4715" s="4" t="str">
        <f>HYPERLINK("http://141.218.60.56/~jnz1568/getInfo.php?workbook=20_05.xlsx&amp;sheet=U0&amp;row=4715&amp;col=7&amp;number=3.55e-05&amp;sourceID=14","3.55e-05")</f>
        <v>3.55e-05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HYPERLINK("http://141.218.60.56/~jnz1568/getInfo.php?workbook=20_05.xlsx&amp;sheet=U0&amp;row=4716&amp;col=6&amp;number=4.2&amp;sourceID=14","4.2")</f>
        <v>4.2</v>
      </c>
      <c r="G4716" s="4" t="str">
        <f>HYPERLINK("http://141.218.60.56/~jnz1568/getInfo.php?workbook=20_05.xlsx&amp;sheet=U0&amp;row=4716&amp;col=7&amp;number=3.55e-05&amp;sourceID=14","3.55e-05")</f>
        <v>3.55e-05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HYPERLINK("http://141.218.60.56/~jnz1568/getInfo.php?workbook=20_05.xlsx&amp;sheet=U0&amp;row=4717&amp;col=6&amp;number=4.3&amp;sourceID=14","4.3")</f>
        <v>4.3</v>
      </c>
      <c r="G4717" s="4" t="str">
        <f>HYPERLINK("http://141.218.60.56/~jnz1568/getInfo.php?workbook=20_05.xlsx&amp;sheet=U0&amp;row=4717&amp;col=7&amp;number=3.55e-05&amp;sourceID=14","3.55e-05")</f>
        <v>3.55e-05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HYPERLINK("http://141.218.60.56/~jnz1568/getInfo.php?workbook=20_05.xlsx&amp;sheet=U0&amp;row=4718&amp;col=6&amp;number=4.4&amp;sourceID=14","4.4")</f>
        <v>4.4</v>
      </c>
      <c r="G4718" s="4" t="str">
        <f>HYPERLINK("http://141.218.60.56/~jnz1568/getInfo.php?workbook=20_05.xlsx&amp;sheet=U0&amp;row=4718&amp;col=7&amp;number=3.55e-05&amp;sourceID=14","3.55e-05")</f>
        <v>3.55e-05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HYPERLINK("http://141.218.60.56/~jnz1568/getInfo.php?workbook=20_05.xlsx&amp;sheet=U0&amp;row=4719&amp;col=6&amp;number=4.5&amp;sourceID=14","4.5")</f>
        <v>4.5</v>
      </c>
      <c r="G4719" s="4" t="str">
        <f>HYPERLINK("http://141.218.60.56/~jnz1568/getInfo.php?workbook=20_05.xlsx&amp;sheet=U0&amp;row=4719&amp;col=7&amp;number=3.54e-05&amp;sourceID=14","3.54e-05")</f>
        <v>3.54e-05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HYPERLINK("http://141.218.60.56/~jnz1568/getInfo.php?workbook=20_05.xlsx&amp;sheet=U0&amp;row=4720&amp;col=6&amp;number=4.6&amp;sourceID=14","4.6")</f>
        <v>4.6</v>
      </c>
      <c r="G4720" s="4" t="str">
        <f>HYPERLINK("http://141.218.60.56/~jnz1568/getInfo.php?workbook=20_05.xlsx&amp;sheet=U0&amp;row=4720&amp;col=7&amp;number=3.54e-05&amp;sourceID=14","3.54e-05")</f>
        <v>3.54e-05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HYPERLINK("http://141.218.60.56/~jnz1568/getInfo.php?workbook=20_05.xlsx&amp;sheet=U0&amp;row=4721&amp;col=6&amp;number=4.7&amp;sourceID=14","4.7")</f>
        <v>4.7</v>
      </c>
      <c r="G4721" s="4" t="str">
        <f>HYPERLINK("http://141.218.60.56/~jnz1568/getInfo.php?workbook=20_05.xlsx&amp;sheet=U0&amp;row=4721&amp;col=7&amp;number=3.54e-05&amp;sourceID=14","3.54e-05")</f>
        <v>3.54e-05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HYPERLINK("http://141.218.60.56/~jnz1568/getInfo.php?workbook=20_05.xlsx&amp;sheet=U0&amp;row=4722&amp;col=6&amp;number=4.8&amp;sourceID=14","4.8")</f>
        <v>4.8</v>
      </c>
      <c r="G4722" s="4" t="str">
        <f>HYPERLINK("http://141.218.60.56/~jnz1568/getInfo.php?workbook=20_05.xlsx&amp;sheet=U0&amp;row=4722&amp;col=7&amp;number=3.53e-05&amp;sourceID=14","3.53e-05")</f>
        <v>3.53e-05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HYPERLINK("http://141.218.60.56/~jnz1568/getInfo.php?workbook=20_05.xlsx&amp;sheet=U0&amp;row=4723&amp;col=6&amp;number=4.9&amp;sourceID=14","4.9")</f>
        <v>4.9</v>
      </c>
      <c r="G4723" s="4" t="str">
        <f>HYPERLINK("http://141.218.60.56/~jnz1568/getInfo.php?workbook=20_05.xlsx&amp;sheet=U0&amp;row=4723&amp;col=7&amp;number=3.53e-05&amp;sourceID=14","3.53e-05")</f>
        <v>3.53e-05</v>
      </c>
    </row>
    <row r="4724" spans="1:7">
      <c r="A4724" s="3">
        <v>20</v>
      </c>
      <c r="B4724" s="3">
        <v>5</v>
      </c>
      <c r="C4724" s="3">
        <v>2</v>
      </c>
      <c r="D4724" s="3">
        <v>83</v>
      </c>
      <c r="E4724" s="3">
        <v>1</v>
      </c>
      <c r="F4724" s="4" t="str">
        <f>HYPERLINK("http://141.218.60.56/~jnz1568/getInfo.php?workbook=20_05.xlsx&amp;sheet=U0&amp;row=4724&amp;col=6&amp;number=3&amp;sourceID=14","3")</f>
        <v>3</v>
      </c>
      <c r="G4724" s="4" t="str">
        <f>HYPERLINK("http://141.218.60.56/~jnz1568/getInfo.php?workbook=20_05.xlsx&amp;sheet=U0&amp;row=4724&amp;col=7&amp;number=4.23e-05&amp;sourceID=14","4.23e-05")</f>
        <v>4.23e-05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HYPERLINK("http://141.218.60.56/~jnz1568/getInfo.php?workbook=20_05.xlsx&amp;sheet=U0&amp;row=4725&amp;col=6&amp;number=3.1&amp;sourceID=14","3.1")</f>
        <v>3.1</v>
      </c>
      <c r="G4725" s="4" t="str">
        <f>HYPERLINK("http://141.218.60.56/~jnz1568/getInfo.php?workbook=20_05.xlsx&amp;sheet=U0&amp;row=4725&amp;col=7&amp;number=4.23e-05&amp;sourceID=14","4.23e-05")</f>
        <v>4.23e-05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HYPERLINK("http://141.218.60.56/~jnz1568/getInfo.php?workbook=20_05.xlsx&amp;sheet=U0&amp;row=4726&amp;col=6&amp;number=3.2&amp;sourceID=14","3.2")</f>
        <v>3.2</v>
      </c>
      <c r="G4726" s="4" t="str">
        <f>HYPERLINK("http://141.218.60.56/~jnz1568/getInfo.php?workbook=20_05.xlsx&amp;sheet=U0&amp;row=4726&amp;col=7&amp;number=4.23e-05&amp;sourceID=14","4.23e-05")</f>
        <v>4.23e-05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HYPERLINK("http://141.218.60.56/~jnz1568/getInfo.php?workbook=20_05.xlsx&amp;sheet=U0&amp;row=4727&amp;col=6&amp;number=3.3&amp;sourceID=14","3.3")</f>
        <v>3.3</v>
      </c>
      <c r="G4727" s="4" t="str">
        <f>HYPERLINK("http://141.218.60.56/~jnz1568/getInfo.php?workbook=20_05.xlsx&amp;sheet=U0&amp;row=4727&amp;col=7&amp;number=4.23e-05&amp;sourceID=14","4.23e-05")</f>
        <v>4.23e-05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HYPERLINK("http://141.218.60.56/~jnz1568/getInfo.php?workbook=20_05.xlsx&amp;sheet=U0&amp;row=4728&amp;col=6&amp;number=3.4&amp;sourceID=14","3.4")</f>
        <v>3.4</v>
      </c>
      <c r="G4728" s="4" t="str">
        <f>HYPERLINK("http://141.218.60.56/~jnz1568/getInfo.php?workbook=20_05.xlsx&amp;sheet=U0&amp;row=4728&amp;col=7&amp;number=4.23e-05&amp;sourceID=14","4.23e-05")</f>
        <v>4.23e-05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HYPERLINK("http://141.218.60.56/~jnz1568/getInfo.php?workbook=20_05.xlsx&amp;sheet=U0&amp;row=4729&amp;col=6&amp;number=3.5&amp;sourceID=14","3.5")</f>
        <v>3.5</v>
      </c>
      <c r="G4729" s="4" t="str">
        <f>HYPERLINK("http://141.218.60.56/~jnz1568/getInfo.php?workbook=20_05.xlsx&amp;sheet=U0&amp;row=4729&amp;col=7&amp;number=4.23e-05&amp;sourceID=14","4.23e-05")</f>
        <v>4.23e-05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HYPERLINK("http://141.218.60.56/~jnz1568/getInfo.php?workbook=20_05.xlsx&amp;sheet=U0&amp;row=4730&amp;col=6&amp;number=3.6&amp;sourceID=14","3.6")</f>
        <v>3.6</v>
      </c>
      <c r="G4730" s="4" t="str">
        <f>HYPERLINK("http://141.218.60.56/~jnz1568/getInfo.php?workbook=20_05.xlsx&amp;sheet=U0&amp;row=4730&amp;col=7&amp;number=4.23e-05&amp;sourceID=14","4.23e-05")</f>
        <v>4.23e-05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HYPERLINK("http://141.218.60.56/~jnz1568/getInfo.php?workbook=20_05.xlsx&amp;sheet=U0&amp;row=4731&amp;col=6&amp;number=3.7&amp;sourceID=14","3.7")</f>
        <v>3.7</v>
      </c>
      <c r="G4731" s="4" t="str">
        <f>HYPERLINK("http://141.218.60.56/~jnz1568/getInfo.php?workbook=20_05.xlsx&amp;sheet=U0&amp;row=4731&amp;col=7&amp;number=4.23e-05&amp;sourceID=14","4.23e-05")</f>
        <v>4.23e-05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HYPERLINK("http://141.218.60.56/~jnz1568/getInfo.php?workbook=20_05.xlsx&amp;sheet=U0&amp;row=4732&amp;col=6&amp;number=3.8&amp;sourceID=14","3.8")</f>
        <v>3.8</v>
      </c>
      <c r="G4732" s="4" t="str">
        <f>HYPERLINK("http://141.218.60.56/~jnz1568/getInfo.php?workbook=20_05.xlsx&amp;sheet=U0&amp;row=4732&amp;col=7&amp;number=4.23e-05&amp;sourceID=14","4.23e-05")</f>
        <v>4.23e-05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HYPERLINK("http://141.218.60.56/~jnz1568/getInfo.php?workbook=20_05.xlsx&amp;sheet=U0&amp;row=4733&amp;col=6&amp;number=3.9&amp;sourceID=14","3.9")</f>
        <v>3.9</v>
      </c>
      <c r="G4733" s="4" t="str">
        <f>HYPERLINK("http://141.218.60.56/~jnz1568/getInfo.php?workbook=20_05.xlsx&amp;sheet=U0&amp;row=4733&amp;col=7&amp;number=4.23e-05&amp;sourceID=14","4.23e-05")</f>
        <v>4.23e-05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HYPERLINK("http://141.218.60.56/~jnz1568/getInfo.php?workbook=20_05.xlsx&amp;sheet=U0&amp;row=4734&amp;col=6&amp;number=4&amp;sourceID=14","4")</f>
        <v>4</v>
      </c>
      <c r="G4734" s="4" t="str">
        <f>HYPERLINK("http://141.218.60.56/~jnz1568/getInfo.php?workbook=20_05.xlsx&amp;sheet=U0&amp;row=4734&amp;col=7&amp;number=4.23e-05&amp;sourceID=14","4.23e-05")</f>
        <v>4.23e-05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HYPERLINK("http://141.218.60.56/~jnz1568/getInfo.php?workbook=20_05.xlsx&amp;sheet=U0&amp;row=4735&amp;col=6&amp;number=4.1&amp;sourceID=14","4.1")</f>
        <v>4.1</v>
      </c>
      <c r="G4735" s="4" t="str">
        <f>HYPERLINK("http://141.218.60.56/~jnz1568/getInfo.php?workbook=20_05.xlsx&amp;sheet=U0&amp;row=4735&amp;col=7&amp;number=4.22e-05&amp;sourceID=14","4.22e-05")</f>
        <v>4.22e-05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HYPERLINK("http://141.218.60.56/~jnz1568/getInfo.php?workbook=20_05.xlsx&amp;sheet=U0&amp;row=4736&amp;col=6&amp;number=4.2&amp;sourceID=14","4.2")</f>
        <v>4.2</v>
      </c>
      <c r="G4736" s="4" t="str">
        <f>HYPERLINK("http://141.218.60.56/~jnz1568/getInfo.php?workbook=20_05.xlsx&amp;sheet=U0&amp;row=4736&amp;col=7&amp;number=4.22e-05&amp;sourceID=14","4.22e-05")</f>
        <v>4.22e-05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HYPERLINK("http://141.218.60.56/~jnz1568/getInfo.php?workbook=20_05.xlsx&amp;sheet=U0&amp;row=4737&amp;col=6&amp;number=4.3&amp;sourceID=14","4.3")</f>
        <v>4.3</v>
      </c>
      <c r="G4737" s="4" t="str">
        <f>HYPERLINK("http://141.218.60.56/~jnz1568/getInfo.php?workbook=20_05.xlsx&amp;sheet=U0&amp;row=4737&amp;col=7&amp;number=4.22e-05&amp;sourceID=14","4.22e-05")</f>
        <v>4.22e-05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HYPERLINK("http://141.218.60.56/~jnz1568/getInfo.php?workbook=20_05.xlsx&amp;sheet=U0&amp;row=4738&amp;col=6&amp;number=4.4&amp;sourceID=14","4.4")</f>
        <v>4.4</v>
      </c>
      <c r="G4738" s="4" t="str">
        <f>HYPERLINK("http://141.218.60.56/~jnz1568/getInfo.php?workbook=20_05.xlsx&amp;sheet=U0&amp;row=4738&amp;col=7&amp;number=4.21e-05&amp;sourceID=14","4.21e-05")</f>
        <v>4.21e-05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HYPERLINK("http://141.218.60.56/~jnz1568/getInfo.php?workbook=20_05.xlsx&amp;sheet=U0&amp;row=4739&amp;col=6&amp;number=4.5&amp;sourceID=14","4.5")</f>
        <v>4.5</v>
      </c>
      <c r="G4739" s="4" t="str">
        <f>HYPERLINK("http://141.218.60.56/~jnz1568/getInfo.php?workbook=20_05.xlsx&amp;sheet=U0&amp;row=4739&amp;col=7&amp;number=4.21e-05&amp;sourceID=14","4.21e-05")</f>
        <v>4.21e-05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HYPERLINK("http://141.218.60.56/~jnz1568/getInfo.php?workbook=20_05.xlsx&amp;sheet=U0&amp;row=4740&amp;col=6&amp;number=4.6&amp;sourceID=14","4.6")</f>
        <v>4.6</v>
      </c>
      <c r="G4740" s="4" t="str">
        <f>HYPERLINK("http://141.218.60.56/~jnz1568/getInfo.php?workbook=20_05.xlsx&amp;sheet=U0&amp;row=4740&amp;col=7&amp;number=4.2e-05&amp;sourceID=14","4.2e-05")</f>
        <v>4.2e-05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HYPERLINK("http://141.218.60.56/~jnz1568/getInfo.php?workbook=20_05.xlsx&amp;sheet=U0&amp;row=4741&amp;col=6&amp;number=4.7&amp;sourceID=14","4.7")</f>
        <v>4.7</v>
      </c>
      <c r="G4741" s="4" t="str">
        <f>HYPERLINK("http://141.218.60.56/~jnz1568/getInfo.php?workbook=20_05.xlsx&amp;sheet=U0&amp;row=4741&amp;col=7&amp;number=4.19e-05&amp;sourceID=14","4.19e-05")</f>
        <v>4.19e-05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HYPERLINK("http://141.218.60.56/~jnz1568/getInfo.php?workbook=20_05.xlsx&amp;sheet=U0&amp;row=4742&amp;col=6&amp;number=4.8&amp;sourceID=14","4.8")</f>
        <v>4.8</v>
      </c>
      <c r="G4742" s="4" t="str">
        <f>HYPERLINK("http://141.218.60.56/~jnz1568/getInfo.php?workbook=20_05.xlsx&amp;sheet=U0&amp;row=4742&amp;col=7&amp;number=4.18e-05&amp;sourceID=14","4.18e-05")</f>
        <v>4.18e-05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HYPERLINK("http://141.218.60.56/~jnz1568/getInfo.php?workbook=20_05.xlsx&amp;sheet=U0&amp;row=4743&amp;col=6&amp;number=4.9&amp;sourceID=14","4.9")</f>
        <v>4.9</v>
      </c>
      <c r="G4743" s="4" t="str">
        <f>HYPERLINK("http://141.218.60.56/~jnz1568/getInfo.php?workbook=20_05.xlsx&amp;sheet=U0&amp;row=4743&amp;col=7&amp;number=4.17e-05&amp;sourceID=14","4.17e-05")</f>
        <v>4.17e-05</v>
      </c>
    </row>
    <row r="4744" spans="1:7">
      <c r="A4744" s="3">
        <v>20</v>
      </c>
      <c r="B4744" s="3">
        <v>5</v>
      </c>
      <c r="C4744" s="3">
        <v>2</v>
      </c>
      <c r="D4744" s="3">
        <v>84</v>
      </c>
      <c r="E4744" s="3">
        <v>1</v>
      </c>
      <c r="F4744" s="4" t="str">
        <f>HYPERLINK("http://141.218.60.56/~jnz1568/getInfo.php?workbook=20_05.xlsx&amp;sheet=U0&amp;row=4744&amp;col=6&amp;number=3&amp;sourceID=14","3")</f>
        <v>3</v>
      </c>
      <c r="G4744" s="4" t="str">
        <f>HYPERLINK("http://141.218.60.56/~jnz1568/getInfo.php?workbook=20_05.xlsx&amp;sheet=U0&amp;row=4744&amp;col=7&amp;number=4.55e-05&amp;sourceID=14","4.55e-05")</f>
        <v>4.55e-05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HYPERLINK("http://141.218.60.56/~jnz1568/getInfo.php?workbook=20_05.xlsx&amp;sheet=U0&amp;row=4745&amp;col=6&amp;number=3.1&amp;sourceID=14","3.1")</f>
        <v>3.1</v>
      </c>
      <c r="G4745" s="4" t="str">
        <f>HYPERLINK("http://141.218.60.56/~jnz1568/getInfo.php?workbook=20_05.xlsx&amp;sheet=U0&amp;row=4745&amp;col=7&amp;number=4.55e-05&amp;sourceID=14","4.55e-05")</f>
        <v>4.55e-05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HYPERLINK("http://141.218.60.56/~jnz1568/getInfo.php?workbook=20_05.xlsx&amp;sheet=U0&amp;row=4746&amp;col=6&amp;number=3.2&amp;sourceID=14","3.2")</f>
        <v>3.2</v>
      </c>
      <c r="G4746" s="4" t="str">
        <f>HYPERLINK("http://141.218.60.56/~jnz1568/getInfo.php?workbook=20_05.xlsx&amp;sheet=U0&amp;row=4746&amp;col=7&amp;number=4.55e-05&amp;sourceID=14","4.55e-05")</f>
        <v>4.55e-05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HYPERLINK("http://141.218.60.56/~jnz1568/getInfo.php?workbook=20_05.xlsx&amp;sheet=U0&amp;row=4747&amp;col=6&amp;number=3.3&amp;sourceID=14","3.3")</f>
        <v>3.3</v>
      </c>
      <c r="G4747" s="4" t="str">
        <f>HYPERLINK("http://141.218.60.56/~jnz1568/getInfo.php?workbook=20_05.xlsx&amp;sheet=U0&amp;row=4747&amp;col=7&amp;number=4.55e-05&amp;sourceID=14","4.55e-05")</f>
        <v>4.55e-05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HYPERLINK("http://141.218.60.56/~jnz1568/getInfo.php?workbook=20_05.xlsx&amp;sheet=U0&amp;row=4748&amp;col=6&amp;number=3.4&amp;sourceID=14","3.4")</f>
        <v>3.4</v>
      </c>
      <c r="G4748" s="4" t="str">
        <f>HYPERLINK("http://141.218.60.56/~jnz1568/getInfo.php?workbook=20_05.xlsx&amp;sheet=U0&amp;row=4748&amp;col=7&amp;number=4.55e-05&amp;sourceID=14","4.55e-05")</f>
        <v>4.55e-05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HYPERLINK("http://141.218.60.56/~jnz1568/getInfo.php?workbook=20_05.xlsx&amp;sheet=U0&amp;row=4749&amp;col=6&amp;number=3.5&amp;sourceID=14","3.5")</f>
        <v>3.5</v>
      </c>
      <c r="G4749" s="4" t="str">
        <f>HYPERLINK("http://141.218.60.56/~jnz1568/getInfo.php?workbook=20_05.xlsx&amp;sheet=U0&amp;row=4749&amp;col=7&amp;number=4.55e-05&amp;sourceID=14","4.55e-05")</f>
        <v>4.55e-05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HYPERLINK("http://141.218.60.56/~jnz1568/getInfo.php?workbook=20_05.xlsx&amp;sheet=U0&amp;row=4750&amp;col=6&amp;number=3.6&amp;sourceID=14","3.6")</f>
        <v>3.6</v>
      </c>
      <c r="G4750" s="4" t="str">
        <f>HYPERLINK("http://141.218.60.56/~jnz1568/getInfo.php?workbook=20_05.xlsx&amp;sheet=U0&amp;row=4750&amp;col=7&amp;number=4.55e-05&amp;sourceID=14","4.55e-05")</f>
        <v>4.55e-05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HYPERLINK("http://141.218.60.56/~jnz1568/getInfo.php?workbook=20_05.xlsx&amp;sheet=U0&amp;row=4751&amp;col=6&amp;number=3.7&amp;sourceID=14","3.7")</f>
        <v>3.7</v>
      </c>
      <c r="G4751" s="4" t="str">
        <f>HYPERLINK("http://141.218.60.56/~jnz1568/getInfo.php?workbook=20_05.xlsx&amp;sheet=U0&amp;row=4751&amp;col=7&amp;number=4.55e-05&amp;sourceID=14","4.55e-05")</f>
        <v>4.55e-05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HYPERLINK("http://141.218.60.56/~jnz1568/getInfo.php?workbook=20_05.xlsx&amp;sheet=U0&amp;row=4752&amp;col=6&amp;number=3.8&amp;sourceID=14","3.8")</f>
        <v>3.8</v>
      </c>
      <c r="G4752" s="4" t="str">
        <f>HYPERLINK("http://141.218.60.56/~jnz1568/getInfo.php?workbook=20_05.xlsx&amp;sheet=U0&amp;row=4752&amp;col=7&amp;number=4.55e-05&amp;sourceID=14","4.55e-05")</f>
        <v>4.55e-05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HYPERLINK("http://141.218.60.56/~jnz1568/getInfo.php?workbook=20_05.xlsx&amp;sheet=U0&amp;row=4753&amp;col=6&amp;number=3.9&amp;sourceID=14","3.9")</f>
        <v>3.9</v>
      </c>
      <c r="G4753" s="4" t="str">
        <f>HYPERLINK("http://141.218.60.56/~jnz1568/getInfo.php?workbook=20_05.xlsx&amp;sheet=U0&amp;row=4753&amp;col=7&amp;number=4.55e-05&amp;sourceID=14","4.55e-05")</f>
        <v>4.55e-05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HYPERLINK("http://141.218.60.56/~jnz1568/getInfo.php?workbook=20_05.xlsx&amp;sheet=U0&amp;row=4754&amp;col=6&amp;number=4&amp;sourceID=14","4")</f>
        <v>4</v>
      </c>
      <c r="G4754" s="4" t="str">
        <f>HYPERLINK("http://141.218.60.56/~jnz1568/getInfo.php?workbook=20_05.xlsx&amp;sheet=U0&amp;row=4754&amp;col=7&amp;number=4.55e-05&amp;sourceID=14","4.55e-05")</f>
        <v>4.55e-05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HYPERLINK("http://141.218.60.56/~jnz1568/getInfo.php?workbook=20_05.xlsx&amp;sheet=U0&amp;row=4755&amp;col=6&amp;number=4.1&amp;sourceID=14","4.1")</f>
        <v>4.1</v>
      </c>
      <c r="G4755" s="4" t="str">
        <f>HYPERLINK("http://141.218.60.56/~jnz1568/getInfo.php?workbook=20_05.xlsx&amp;sheet=U0&amp;row=4755&amp;col=7&amp;number=4.55e-05&amp;sourceID=14","4.55e-05")</f>
        <v>4.55e-05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HYPERLINK("http://141.218.60.56/~jnz1568/getInfo.php?workbook=20_05.xlsx&amp;sheet=U0&amp;row=4756&amp;col=6&amp;number=4.2&amp;sourceID=14","4.2")</f>
        <v>4.2</v>
      </c>
      <c r="G4756" s="4" t="str">
        <f>HYPERLINK("http://141.218.60.56/~jnz1568/getInfo.php?workbook=20_05.xlsx&amp;sheet=U0&amp;row=4756&amp;col=7&amp;number=4.55e-05&amp;sourceID=14","4.55e-05")</f>
        <v>4.55e-05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HYPERLINK("http://141.218.60.56/~jnz1568/getInfo.php?workbook=20_05.xlsx&amp;sheet=U0&amp;row=4757&amp;col=6&amp;number=4.3&amp;sourceID=14","4.3")</f>
        <v>4.3</v>
      </c>
      <c r="G4757" s="4" t="str">
        <f>HYPERLINK("http://141.218.60.56/~jnz1568/getInfo.php?workbook=20_05.xlsx&amp;sheet=U0&amp;row=4757&amp;col=7&amp;number=4.54e-05&amp;sourceID=14","4.54e-05")</f>
        <v>4.54e-05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HYPERLINK("http://141.218.60.56/~jnz1568/getInfo.php?workbook=20_05.xlsx&amp;sheet=U0&amp;row=4758&amp;col=6&amp;number=4.4&amp;sourceID=14","4.4")</f>
        <v>4.4</v>
      </c>
      <c r="G4758" s="4" t="str">
        <f>HYPERLINK("http://141.218.60.56/~jnz1568/getInfo.php?workbook=20_05.xlsx&amp;sheet=U0&amp;row=4758&amp;col=7&amp;number=4.54e-05&amp;sourceID=14","4.54e-05")</f>
        <v>4.54e-05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HYPERLINK("http://141.218.60.56/~jnz1568/getInfo.php?workbook=20_05.xlsx&amp;sheet=U0&amp;row=4759&amp;col=6&amp;number=4.5&amp;sourceID=14","4.5")</f>
        <v>4.5</v>
      </c>
      <c r="G4759" s="4" t="str">
        <f>HYPERLINK("http://141.218.60.56/~jnz1568/getInfo.php?workbook=20_05.xlsx&amp;sheet=U0&amp;row=4759&amp;col=7&amp;number=4.54e-05&amp;sourceID=14","4.54e-05")</f>
        <v>4.54e-05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HYPERLINK("http://141.218.60.56/~jnz1568/getInfo.php?workbook=20_05.xlsx&amp;sheet=U0&amp;row=4760&amp;col=6&amp;number=4.6&amp;sourceID=14","4.6")</f>
        <v>4.6</v>
      </c>
      <c r="G4760" s="4" t="str">
        <f>HYPERLINK("http://141.218.60.56/~jnz1568/getInfo.php?workbook=20_05.xlsx&amp;sheet=U0&amp;row=4760&amp;col=7&amp;number=4.54e-05&amp;sourceID=14","4.54e-05")</f>
        <v>4.54e-05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HYPERLINK("http://141.218.60.56/~jnz1568/getInfo.php?workbook=20_05.xlsx&amp;sheet=U0&amp;row=4761&amp;col=6&amp;number=4.7&amp;sourceID=14","4.7")</f>
        <v>4.7</v>
      </c>
      <c r="G4761" s="4" t="str">
        <f>HYPERLINK("http://141.218.60.56/~jnz1568/getInfo.php?workbook=20_05.xlsx&amp;sheet=U0&amp;row=4761&amp;col=7&amp;number=4.53e-05&amp;sourceID=14","4.53e-05")</f>
        <v>4.53e-05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HYPERLINK("http://141.218.60.56/~jnz1568/getInfo.php?workbook=20_05.xlsx&amp;sheet=U0&amp;row=4762&amp;col=6&amp;number=4.8&amp;sourceID=14","4.8")</f>
        <v>4.8</v>
      </c>
      <c r="G4762" s="4" t="str">
        <f>HYPERLINK("http://141.218.60.56/~jnz1568/getInfo.php?workbook=20_05.xlsx&amp;sheet=U0&amp;row=4762&amp;col=7&amp;number=4.53e-05&amp;sourceID=14","4.53e-05")</f>
        <v>4.53e-05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HYPERLINK("http://141.218.60.56/~jnz1568/getInfo.php?workbook=20_05.xlsx&amp;sheet=U0&amp;row=4763&amp;col=6&amp;number=4.9&amp;sourceID=14","4.9")</f>
        <v>4.9</v>
      </c>
      <c r="G4763" s="4" t="str">
        <f>HYPERLINK("http://141.218.60.56/~jnz1568/getInfo.php?workbook=20_05.xlsx&amp;sheet=U0&amp;row=4763&amp;col=7&amp;number=4.53e-05&amp;sourceID=14","4.53e-05")</f>
        <v>4.53e-05</v>
      </c>
    </row>
    <row r="4764" spans="1:7">
      <c r="A4764" s="3">
        <v>20</v>
      </c>
      <c r="B4764" s="3">
        <v>5</v>
      </c>
      <c r="C4764" s="3">
        <v>2</v>
      </c>
      <c r="D4764" s="3">
        <v>85</v>
      </c>
      <c r="E4764" s="3">
        <v>1</v>
      </c>
      <c r="F4764" s="4" t="str">
        <f>HYPERLINK("http://141.218.60.56/~jnz1568/getInfo.php?workbook=20_05.xlsx&amp;sheet=U0&amp;row=4764&amp;col=6&amp;number=3&amp;sourceID=14","3")</f>
        <v>3</v>
      </c>
      <c r="G4764" s="4" t="str">
        <f>HYPERLINK("http://141.218.60.56/~jnz1568/getInfo.php?workbook=20_05.xlsx&amp;sheet=U0&amp;row=4764&amp;col=7&amp;number=2.4e-05&amp;sourceID=14","2.4e-05")</f>
        <v>2.4e-05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HYPERLINK("http://141.218.60.56/~jnz1568/getInfo.php?workbook=20_05.xlsx&amp;sheet=U0&amp;row=4765&amp;col=6&amp;number=3.1&amp;sourceID=14","3.1")</f>
        <v>3.1</v>
      </c>
      <c r="G4765" s="4" t="str">
        <f>HYPERLINK("http://141.218.60.56/~jnz1568/getInfo.php?workbook=20_05.xlsx&amp;sheet=U0&amp;row=4765&amp;col=7&amp;number=2.4e-05&amp;sourceID=14","2.4e-05")</f>
        <v>2.4e-05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HYPERLINK("http://141.218.60.56/~jnz1568/getInfo.php?workbook=20_05.xlsx&amp;sheet=U0&amp;row=4766&amp;col=6&amp;number=3.2&amp;sourceID=14","3.2")</f>
        <v>3.2</v>
      </c>
      <c r="G4766" s="4" t="str">
        <f>HYPERLINK("http://141.218.60.56/~jnz1568/getInfo.php?workbook=20_05.xlsx&amp;sheet=U0&amp;row=4766&amp;col=7&amp;number=2.4e-05&amp;sourceID=14","2.4e-05")</f>
        <v>2.4e-05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HYPERLINK("http://141.218.60.56/~jnz1568/getInfo.php?workbook=20_05.xlsx&amp;sheet=U0&amp;row=4767&amp;col=6&amp;number=3.3&amp;sourceID=14","3.3")</f>
        <v>3.3</v>
      </c>
      <c r="G4767" s="4" t="str">
        <f>HYPERLINK("http://141.218.60.56/~jnz1568/getInfo.php?workbook=20_05.xlsx&amp;sheet=U0&amp;row=4767&amp;col=7&amp;number=2.4e-05&amp;sourceID=14","2.4e-05")</f>
        <v>2.4e-05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HYPERLINK("http://141.218.60.56/~jnz1568/getInfo.php?workbook=20_05.xlsx&amp;sheet=U0&amp;row=4768&amp;col=6&amp;number=3.4&amp;sourceID=14","3.4")</f>
        <v>3.4</v>
      </c>
      <c r="G4768" s="4" t="str">
        <f>HYPERLINK("http://141.218.60.56/~jnz1568/getInfo.php?workbook=20_05.xlsx&amp;sheet=U0&amp;row=4768&amp;col=7&amp;number=2.4e-05&amp;sourceID=14","2.4e-05")</f>
        <v>2.4e-05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HYPERLINK("http://141.218.60.56/~jnz1568/getInfo.php?workbook=20_05.xlsx&amp;sheet=U0&amp;row=4769&amp;col=6&amp;number=3.5&amp;sourceID=14","3.5")</f>
        <v>3.5</v>
      </c>
      <c r="G4769" s="4" t="str">
        <f>HYPERLINK("http://141.218.60.56/~jnz1568/getInfo.php?workbook=20_05.xlsx&amp;sheet=U0&amp;row=4769&amp;col=7&amp;number=2.4e-05&amp;sourceID=14","2.4e-05")</f>
        <v>2.4e-05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HYPERLINK("http://141.218.60.56/~jnz1568/getInfo.php?workbook=20_05.xlsx&amp;sheet=U0&amp;row=4770&amp;col=6&amp;number=3.6&amp;sourceID=14","3.6")</f>
        <v>3.6</v>
      </c>
      <c r="G4770" s="4" t="str">
        <f>HYPERLINK("http://141.218.60.56/~jnz1568/getInfo.php?workbook=20_05.xlsx&amp;sheet=U0&amp;row=4770&amp;col=7&amp;number=2.4e-05&amp;sourceID=14","2.4e-05")</f>
        <v>2.4e-05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HYPERLINK("http://141.218.60.56/~jnz1568/getInfo.php?workbook=20_05.xlsx&amp;sheet=U0&amp;row=4771&amp;col=6&amp;number=3.7&amp;sourceID=14","3.7")</f>
        <v>3.7</v>
      </c>
      <c r="G4771" s="4" t="str">
        <f>HYPERLINK("http://141.218.60.56/~jnz1568/getInfo.php?workbook=20_05.xlsx&amp;sheet=U0&amp;row=4771&amp;col=7&amp;number=2.4e-05&amp;sourceID=14","2.4e-05")</f>
        <v>2.4e-05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HYPERLINK("http://141.218.60.56/~jnz1568/getInfo.php?workbook=20_05.xlsx&amp;sheet=U0&amp;row=4772&amp;col=6&amp;number=3.8&amp;sourceID=14","3.8")</f>
        <v>3.8</v>
      </c>
      <c r="G4772" s="4" t="str">
        <f>HYPERLINK("http://141.218.60.56/~jnz1568/getInfo.php?workbook=20_05.xlsx&amp;sheet=U0&amp;row=4772&amp;col=7&amp;number=2.4e-05&amp;sourceID=14","2.4e-05")</f>
        <v>2.4e-05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HYPERLINK("http://141.218.60.56/~jnz1568/getInfo.php?workbook=20_05.xlsx&amp;sheet=U0&amp;row=4773&amp;col=6&amp;number=3.9&amp;sourceID=14","3.9")</f>
        <v>3.9</v>
      </c>
      <c r="G4773" s="4" t="str">
        <f>HYPERLINK("http://141.218.60.56/~jnz1568/getInfo.php?workbook=20_05.xlsx&amp;sheet=U0&amp;row=4773&amp;col=7&amp;number=2.4e-05&amp;sourceID=14","2.4e-05")</f>
        <v>2.4e-05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HYPERLINK("http://141.218.60.56/~jnz1568/getInfo.php?workbook=20_05.xlsx&amp;sheet=U0&amp;row=4774&amp;col=6&amp;number=4&amp;sourceID=14","4")</f>
        <v>4</v>
      </c>
      <c r="G4774" s="4" t="str">
        <f>HYPERLINK("http://141.218.60.56/~jnz1568/getInfo.php?workbook=20_05.xlsx&amp;sheet=U0&amp;row=4774&amp;col=7&amp;number=2.4e-05&amp;sourceID=14","2.4e-05")</f>
        <v>2.4e-05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HYPERLINK("http://141.218.60.56/~jnz1568/getInfo.php?workbook=20_05.xlsx&amp;sheet=U0&amp;row=4775&amp;col=6&amp;number=4.1&amp;sourceID=14","4.1")</f>
        <v>4.1</v>
      </c>
      <c r="G4775" s="4" t="str">
        <f>HYPERLINK("http://141.218.60.56/~jnz1568/getInfo.php?workbook=20_05.xlsx&amp;sheet=U0&amp;row=4775&amp;col=7&amp;number=2.4e-05&amp;sourceID=14","2.4e-05")</f>
        <v>2.4e-05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HYPERLINK("http://141.218.60.56/~jnz1568/getInfo.php?workbook=20_05.xlsx&amp;sheet=U0&amp;row=4776&amp;col=6&amp;number=4.2&amp;sourceID=14","4.2")</f>
        <v>4.2</v>
      </c>
      <c r="G4776" s="4" t="str">
        <f>HYPERLINK("http://141.218.60.56/~jnz1568/getInfo.php?workbook=20_05.xlsx&amp;sheet=U0&amp;row=4776&amp;col=7&amp;number=2.4e-05&amp;sourceID=14","2.4e-05")</f>
        <v>2.4e-05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HYPERLINK("http://141.218.60.56/~jnz1568/getInfo.php?workbook=20_05.xlsx&amp;sheet=U0&amp;row=4777&amp;col=6&amp;number=4.3&amp;sourceID=14","4.3")</f>
        <v>4.3</v>
      </c>
      <c r="G4777" s="4" t="str">
        <f>HYPERLINK("http://141.218.60.56/~jnz1568/getInfo.php?workbook=20_05.xlsx&amp;sheet=U0&amp;row=4777&amp;col=7&amp;number=2.39e-05&amp;sourceID=14","2.39e-05")</f>
        <v>2.39e-05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HYPERLINK("http://141.218.60.56/~jnz1568/getInfo.php?workbook=20_05.xlsx&amp;sheet=U0&amp;row=4778&amp;col=6&amp;number=4.4&amp;sourceID=14","4.4")</f>
        <v>4.4</v>
      </c>
      <c r="G4778" s="4" t="str">
        <f>HYPERLINK("http://141.218.60.56/~jnz1568/getInfo.php?workbook=20_05.xlsx&amp;sheet=U0&amp;row=4778&amp;col=7&amp;number=2.39e-05&amp;sourceID=14","2.39e-05")</f>
        <v>2.39e-05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HYPERLINK("http://141.218.60.56/~jnz1568/getInfo.php?workbook=20_05.xlsx&amp;sheet=U0&amp;row=4779&amp;col=6&amp;number=4.5&amp;sourceID=14","4.5")</f>
        <v>4.5</v>
      </c>
      <c r="G4779" s="4" t="str">
        <f>HYPERLINK("http://141.218.60.56/~jnz1568/getInfo.php?workbook=20_05.xlsx&amp;sheet=U0&amp;row=4779&amp;col=7&amp;number=2.39e-05&amp;sourceID=14","2.39e-05")</f>
        <v>2.39e-05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HYPERLINK("http://141.218.60.56/~jnz1568/getInfo.php?workbook=20_05.xlsx&amp;sheet=U0&amp;row=4780&amp;col=6&amp;number=4.6&amp;sourceID=14","4.6")</f>
        <v>4.6</v>
      </c>
      <c r="G4780" s="4" t="str">
        <f>HYPERLINK("http://141.218.60.56/~jnz1568/getInfo.php?workbook=20_05.xlsx&amp;sheet=U0&amp;row=4780&amp;col=7&amp;number=2.38e-05&amp;sourceID=14","2.38e-05")</f>
        <v>2.38e-05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HYPERLINK("http://141.218.60.56/~jnz1568/getInfo.php?workbook=20_05.xlsx&amp;sheet=U0&amp;row=4781&amp;col=6&amp;number=4.7&amp;sourceID=14","4.7")</f>
        <v>4.7</v>
      </c>
      <c r="G4781" s="4" t="str">
        <f>HYPERLINK("http://141.218.60.56/~jnz1568/getInfo.php?workbook=20_05.xlsx&amp;sheet=U0&amp;row=4781&amp;col=7&amp;number=2.38e-05&amp;sourceID=14","2.38e-05")</f>
        <v>2.38e-05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HYPERLINK("http://141.218.60.56/~jnz1568/getInfo.php?workbook=20_05.xlsx&amp;sheet=U0&amp;row=4782&amp;col=6&amp;number=4.8&amp;sourceID=14","4.8")</f>
        <v>4.8</v>
      </c>
      <c r="G4782" s="4" t="str">
        <f>HYPERLINK("http://141.218.60.56/~jnz1568/getInfo.php?workbook=20_05.xlsx&amp;sheet=U0&amp;row=4782&amp;col=7&amp;number=2.37e-05&amp;sourceID=14","2.37e-05")</f>
        <v>2.37e-05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HYPERLINK("http://141.218.60.56/~jnz1568/getInfo.php?workbook=20_05.xlsx&amp;sheet=U0&amp;row=4783&amp;col=6&amp;number=4.9&amp;sourceID=14","4.9")</f>
        <v>4.9</v>
      </c>
      <c r="G4783" s="4" t="str">
        <f>HYPERLINK("http://141.218.60.56/~jnz1568/getInfo.php?workbook=20_05.xlsx&amp;sheet=U0&amp;row=4783&amp;col=7&amp;number=2.37e-05&amp;sourceID=14","2.37e-05")</f>
        <v>2.37e-05</v>
      </c>
    </row>
    <row r="4784" spans="1:7">
      <c r="A4784" s="3">
        <v>20</v>
      </c>
      <c r="B4784" s="3">
        <v>5</v>
      </c>
      <c r="C4784" s="3">
        <v>2</v>
      </c>
      <c r="D4784" s="3">
        <v>86</v>
      </c>
      <c r="E4784" s="3">
        <v>1</v>
      </c>
      <c r="F4784" s="4" t="str">
        <f>HYPERLINK("http://141.218.60.56/~jnz1568/getInfo.php?workbook=20_05.xlsx&amp;sheet=U0&amp;row=4784&amp;col=6&amp;number=3&amp;sourceID=14","3")</f>
        <v>3</v>
      </c>
      <c r="G4784" s="4" t="str">
        <f>HYPERLINK("http://141.218.60.56/~jnz1568/getInfo.php?workbook=20_05.xlsx&amp;sheet=U0&amp;row=4784&amp;col=7&amp;number=8.1e-05&amp;sourceID=14","8.1e-05")</f>
        <v>8.1e-05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HYPERLINK("http://141.218.60.56/~jnz1568/getInfo.php?workbook=20_05.xlsx&amp;sheet=U0&amp;row=4785&amp;col=6&amp;number=3.1&amp;sourceID=14","3.1")</f>
        <v>3.1</v>
      </c>
      <c r="G4785" s="4" t="str">
        <f>HYPERLINK("http://141.218.60.56/~jnz1568/getInfo.php?workbook=20_05.xlsx&amp;sheet=U0&amp;row=4785&amp;col=7&amp;number=8.1e-05&amp;sourceID=14","8.1e-05")</f>
        <v>8.1e-05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HYPERLINK("http://141.218.60.56/~jnz1568/getInfo.php?workbook=20_05.xlsx&amp;sheet=U0&amp;row=4786&amp;col=6&amp;number=3.2&amp;sourceID=14","3.2")</f>
        <v>3.2</v>
      </c>
      <c r="G4786" s="4" t="str">
        <f>HYPERLINK("http://141.218.60.56/~jnz1568/getInfo.php?workbook=20_05.xlsx&amp;sheet=U0&amp;row=4786&amp;col=7&amp;number=8.1e-05&amp;sourceID=14","8.1e-05")</f>
        <v>8.1e-05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HYPERLINK("http://141.218.60.56/~jnz1568/getInfo.php?workbook=20_05.xlsx&amp;sheet=U0&amp;row=4787&amp;col=6&amp;number=3.3&amp;sourceID=14","3.3")</f>
        <v>3.3</v>
      </c>
      <c r="G4787" s="4" t="str">
        <f>HYPERLINK("http://141.218.60.56/~jnz1568/getInfo.php?workbook=20_05.xlsx&amp;sheet=U0&amp;row=4787&amp;col=7&amp;number=8.1e-05&amp;sourceID=14","8.1e-05")</f>
        <v>8.1e-05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HYPERLINK("http://141.218.60.56/~jnz1568/getInfo.php?workbook=20_05.xlsx&amp;sheet=U0&amp;row=4788&amp;col=6&amp;number=3.4&amp;sourceID=14","3.4")</f>
        <v>3.4</v>
      </c>
      <c r="G4788" s="4" t="str">
        <f>HYPERLINK("http://141.218.60.56/~jnz1568/getInfo.php?workbook=20_05.xlsx&amp;sheet=U0&amp;row=4788&amp;col=7&amp;number=8.1e-05&amp;sourceID=14","8.1e-05")</f>
        <v>8.1e-05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HYPERLINK("http://141.218.60.56/~jnz1568/getInfo.php?workbook=20_05.xlsx&amp;sheet=U0&amp;row=4789&amp;col=6&amp;number=3.5&amp;sourceID=14","3.5")</f>
        <v>3.5</v>
      </c>
      <c r="G4789" s="4" t="str">
        <f>HYPERLINK("http://141.218.60.56/~jnz1568/getInfo.php?workbook=20_05.xlsx&amp;sheet=U0&amp;row=4789&amp;col=7&amp;number=8.1e-05&amp;sourceID=14","8.1e-05")</f>
        <v>8.1e-05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HYPERLINK("http://141.218.60.56/~jnz1568/getInfo.php?workbook=20_05.xlsx&amp;sheet=U0&amp;row=4790&amp;col=6&amp;number=3.6&amp;sourceID=14","3.6")</f>
        <v>3.6</v>
      </c>
      <c r="G4790" s="4" t="str">
        <f>HYPERLINK("http://141.218.60.56/~jnz1568/getInfo.php?workbook=20_05.xlsx&amp;sheet=U0&amp;row=4790&amp;col=7&amp;number=8.1e-05&amp;sourceID=14","8.1e-05")</f>
        <v>8.1e-05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HYPERLINK("http://141.218.60.56/~jnz1568/getInfo.php?workbook=20_05.xlsx&amp;sheet=U0&amp;row=4791&amp;col=6&amp;number=3.7&amp;sourceID=14","3.7")</f>
        <v>3.7</v>
      </c>
      <c r="G4791" s="4" t="str">
        <f>HYPERLINK("http://141.218.60.56/~jnz1568/getInfo.php?workbook=20_05.xlsx&amp;sheet=U0&amp;row=4791&amp;col=7&amp;number=8.1e-05&amp;sourceID=14","8.1e-05")</f>
        <v>8.1e-05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HYPERLINK("http://141.218.60.56/~jnz1568/getInfo.php?workbook=20_05.xlsx&amp;sheet=U0&amp;row=4792&amp;col=6&amp;number=3.8&amp;sourceID=14","3.8")</f>
        <v>3.8</v>
      </c>
      <c r="G4792" s="4" t="str">
        <f>HYPERLINK("http://141.218.60.56/~jnz1568/getInfo.php?workbook=20_05.xlsx&amp;sheet=U0&amp;row=4792&amp;col=7&amp;number=8.1e-05&amp;sourceID=14","8.1e-05")</f>
        <v>8.1e-05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HYPERLINK("http://141.218.60.56/~jnz1568/getInfo.php?workbook=20_05.xlsx&amp;sheet=U0&amp;row=4793&amp;col=6&amp;number=3.9&amp;sourceID=14","3.9")</f>
        <v>3.9</v>
      </c>
      <c r="G4793" s="4" t="str">
        <f>HYPERLINK("http://141.218.60.56/~jnz1568/getInfo.php?workbook=20_05.xlsx&amp;sheet=U0&amp;row=4793&amp;col=7&amp;number=8.1e-05&amp;sourceID=14","8.1e-05")</f>
        <v>8.1e-05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HYPERLINK("http://141.218.60.56/~jnz1568/getInfo.php?workbook=20_05.xlsx&amp;sheet=U0&amp;row=4794&amp;col=6&amp;number=4&amp;sourceID=14","4")</f>
        <v>4</v>
      </c>
      <c r="G4794" s="4" t="str">
        <f>HYPERLINK("http://141.218.60.56/~jnz1568/getInfo.php?workbook=20_05.xlsx&amp;sheet=U0&amp;row=4794&amp;col=7&amp;number=8.1e-05&amp;sourceID=14","8.1e-05")</f>
        <v>8.1e-05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HYPERLINK("http://141.218.60.56/~jnz1568/getInfo.php?workbook=20_05.xlsx&amp;sheet=U0&amp;row=4795&amp;col=6&amp;number=4.1&amp;sourceID=14","4.1")</f>
        <v>4.1</v>
      </c>
      <c r="G4795" s="4" t="str">
        <f>HYPERLINK("http://141.218.60.56/~jnz1568/getInfo.php?workbook=20_05.xlsx&amp;sheet=U0&amp;row=4795&amp;col=7&amp;number=8.1e-05&amp;sourceID=14","8.1e-05")</f>
        <v>8.1e-05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HYPERLINK("http://141.218.60.56/~jnz1568/getInfo.php?workbook=20_05.xlsx&amp;sheet=U0&amp;row=4796&amp;col=6&amp;number=4.2&amp;sourceID=14","4.2")</f>
        <v>4.2</v>
      </c>
      <c r="G4796" s="4" t="str">
        <f>HYPERLINK("http://141.218.60.56/~jnz1568/getInfo.php?workbook=20_05.xlsx&amp;sheet=U0&amp;row=4796&amp;col=7&amp;number=8.09e-05&amp;sourceID=14","8.09e-05")</f>
        <v>8.09e-05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HYPERLINK("http://141.218.60.56/~jnz1568/getInfo.php?workbook=20_05.xlsx&amp;sheet=U0&amp;row=4797&amp;col=6&amp;number=4.3&amp;sourceID=14","4.3")</f>
        <v>4.3</v>
      </c>
      <c r="G4797" s="4" t="str">
        <f>HYPERLINK("http://141.218.60.56/~jnz1568/getInfo.php?workbook=20_05.xlsx&amp;sheet=U0&amp;row=4797&amp;col=7&amp;number=8.09e-05&amp;sourceID=14","8.09e-05")</f>
        <v>8.09e-05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HYPERLINK("http://141.218.60.56/~jnz1568/getInfo.php?workbook=20_05.xlsx&amp;sheet=U0&amp;row=4798&amp;col=6&amp;number=4.4&amp;sourceID=14","4.4")</f>
        <v>4.4</v>
      </c>
      <c r="G4798" s="4" t="str">
        <f>HYPERLINK("http://141.218.60.56/~jnz1568/getInfo.php?workbook=20_05.xlsx&amp;sheet=U0&amp;row=4798&amp;col=7&amp;number=8.09e-05&amp;sourceID=14","8.09e-05")</f>
        <v>8.09e-05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HYPERLINK("http://141.218.60.56/~jnz1568/getInfo.php?workbook=20_05.xlsx&amp;sheet=U0&amp;row=4799&amp;col=6&amp;number=4.5&amp;sourceID=14","4.5")</f>
        <v>4.5</v>
      </c>
      <c r="G4799" s="4" t="str">
        <f>HYPERLINK("http://141.218.60.56/~jnz1568/getInfo.php?workbook=20_05.xlsx&amp;sheet=U0&amp;row=4799&amp;col=7&amp;number=8.09e-05&amp;sourceID=14","8.09e-05")</f>
        <v>8.09e-05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HYPERLINK("http://141.218.60.56/~jnz1568/getInfo.php?workbook=20_05.xlsx&amp;sheet=U0&amp;row=4800&amp;col=6&amp;number=4.6&amp;sourceID=14","4.6")</f>
        <v>4.6</v>
      </c>
      <c r="G4800" s="4" t="str">
        <f>HYPERLINK("http://141.218.60.56/~jnz1568/getInfo.php?workbook=20_05.xlsx&amp;sheet=U0&amp;row=4800&amp;col=7&amp;number=8.08e-05&amp;sourceID=14","8.08e-05")</f>
        <v>8.08e-05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HYPERLINK("http://141.218.60.56/~jnz1568/getInfo.php?workbook=20_05.xlsx&amp;sheet=U0&amp;row=4801&amp;col=6&amp;number=4.7&amp;sourceID=14","4.7")</f>
        <v>4.7</v>
      </c>
      <c r="G4801" s="4" t="str">
        <f>HYPERLINK("http://141.218.60.56/~jnz1568/getInfo.php?workbook=20_05.xlsx&amp;sheet=U0&amp;row=4801&amp;col=7&amp;number=8.08e-05&amp;sourceID=14","8.08e-05")</f>
        <v>8.08e-05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HYPERLINK("http://141.218.60.56/~jnz1568/getInfo.php?workbook=20_05.xlsx&amp;sheet=U0&amp;row=4802&amp;col=6&amp;number=4.8&amp;sourceID=14","4.8")</f>
        <v>4.8</v>
      </c>
      <c r="G4802" s="4" t="str">
        <f>HYPERLINK("http://141.218.60.56/~jnz1568/getInfo.php?workbook=20_05.xlsx&amp;sheet=U0&amp;row=4802&amp;col=7&amp;number=8.07e-05&amp;sourceID=14","8.07e-05")</f>
        <v>8.07e-05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HYPERLINK("http://141.218.60.56/~jnz1568/getInfo.php?workbook=20_05.xlsx&amp;sheet=U0&amp;row=4803&amp;col=6&amp;number=4.9&amp;sourceID=14","4.9")</f>
        <v>4.9</v>
      </c>
      <c r="G4803" s="4" t="str">
        <f>HYPERLINK("http://141.218.60.56/~jnz1568/getInfo.php?workbook=20_05.xlsx&amp;sheet=U0&amp;row=4803&amp;col=7&amp;number=8.06e-05&amp;sourceID=14","8.06e-05")</f>
        <v>8.06e-05</v>
      </c>
    </row>
    <row r="4804" spans="1:7">
      <c r="A4804" s="3">
        <v>20</v>
      </c>
      <c r="B4804" s="3">
        <v>5</v>
      </c>
      <c r="C4804" s="3">
        <v>2</v>
      </c>
      <c r="D4804" s="3">
        <v>87</v>
      </c>
      <c r="E4804" s="3">
        <v>1</v>
      </c>
      <c r="F4804" s="4" t="str">
        <f>HYPERLINK("http://141.218.60.56/~jnz1568/getInfo.php?workbook=20_05.xlsx&amp;sheet=U0&amp;row=4804&amp;col=6&amp;number=3&amp;sourceID=14","3")</f>
        <v>3</v>
      </c>
      <c r="G4804" s="4" t="str">
        <f>HYPERLINK("http://141.218.60.56/~jnz1568/getInfo.php?workbook=20_05.xlsx&amp;sheet=U0&amp;row=4804&amp;col=7&amp;number=0.0478&amp;sourceID=14","0.0478")</f>
        <v>0.0478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HYPERLINK("http://141.218.60.56/~jnz1568/getInfo.php?workbook=20_05.xlsx&amp;sheet=U0&amp;row=4805&amp;col=6&amp;number=3.1&amp;sourceID=14","3.1")</f>
        <v>3.1</v>
      </c>
      <c r="G4805" s="4" t="str">
        <f>HYPERLINK("http://141.218.60.56/~jnz1568/getInfo.php?workbook=20_05.xlsx&amp;sheet=U0&amp;row=4805&amp;col=7&amp;number=0.0478&amp;sourceID=14","0.0478")</f>
        <v>0.0478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HYPERLINK("http://141.218.60.56/~jnz1568/getInfo.php?workbook=20_05.xlsx&amp;sheet=U0&amp;row=4806&amp;col=6&amp;number=3.2&amp;sourceID=14","3.2")</f>
        <v>3.2</v>
      </c>
      <c r="G4806" s="4" t="str">
        <f>HYPERLINK("http://141.218.60.56/~jnz1568/getInfo.php?workbook=20_05.xlsx&amp;sheet=U0&amp;row=4806&amp;col=7&amp;number=0.0478&amp;sourceID=14","0.0478")</f>
        <v>0.0478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HYPERLINK("http://141.218.60.56/~jnz1568/getInfo.php?workbook=20_05.xlsx&amp;sheet=U0&amp;row=4807&amp;col=6&amp;number=3.3&amp;sourceID=14","3.3")</f>
        <v>3.3</v>
      </c>
      <c r="G4807" s="4" t="str">
        <f>HYPERLINK("http://141.218.60.56/~jnz1568/getInfo.php?workbook=20_05.xlsx&amp;sheet=U0&amp;row=4807&amp;col=7&amp;number=0.0478&amp;sourceID=14","0.0478")</f>
        <v>0.0478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HYPERLINK("http://141.218.60.56/~jnz1568/getInfo.php?workbook=20_05.xlsx&amp;sheet=U0&amp;row=4808&amp;col=6&amp;number=3.4&amp;sourceID=14","3.4")</f>
        <v>3.4</v>
      </c>
      <c r="G4808" s="4" t="str">
        <f>HYPERLINK("http://141.218.60.56/~jnz1568/getInfo.php?workbook=20_05.xlsx&amp;sheet=U0&amp;row=4808&amp;col=7&amp;number=0.0478&amp;sourceID=14","0.0478")</f>
        <v>0.0478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HYPERLINK("http://141.218.60.56/~jnz1568/getInfo.php?workbook=20_05.xlsx&amp;sheet=U0&amp;row=4809&amp;col=6&amp;number=3.5&amp;sourceID=14","3.5")</f>
        <v>3.5</v>
      </c>
      <c r="G4809" s="4" t="str">
        <f>HYPERLINK("http://141.218.60.56/~jnz1568/getInfo.php?workbook=20_05.xlsx&amp;sheet=U0&amp;row=4809&amp;col=7&amp;number=0.0478&amp;sourceID=14","0.0478")</f>
        <v>0.0478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HYPERLINK("http://141.218.60.56/~jnz1568/getInfo.php?workbook=20_05.xlsx&amp;sheet=U0&amp;row=4810&amp;col=6&amp;number=3.6&amp;sourceID=14","3.6")</f>
        <v>3.6</v>
      </c>
      <c r="G4810" s="4" t="str">
        <f>HYPERLINK("http://141.218.60.56/~jnz1568/getInfo.php?workbook=20_05.xlsx&amp;sheet=U0&amp;row=4810&amp;col=7&amp;number=0.0478&amp;sourceID=14","0.0478")</f>
        <v>0.0478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HYPERLINK("http://141.218.60.56/~jnz1568/getInfo.php?workbook=20_05.xlsx&amp;sheet=U0&amp;row=4811&amp;col=6&amp;number=3.7&amp;sourceID=14","3.7")</f>
        <v>3.7</v>
      </c>
      <c r="G4811" s="4" t="str">
        <f>HYPERLINK("http://141.218.60.56/~jnz1568/getInfo.php?workbook=20_05.xlsx&amp;sheet=U0&amp;row=4811&amp;col=7&amp;number=0.0478&amp;sourceID=14","0.0478")</f>
        <v>0.0478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HYPERLINK("http://141.218.60.56/~jnz1568/getInfo.php?workbook=20_05.xlsx&amp;sheet=U0&amp;row=4812&amp;col=6&amp;number=3.8&amp;sourceID=14","3.8")</f>
        <v>3.8</v>
      </c>
      <c r="G4812" s="4" t="str">
        <f>HYPERLINK("http://141.218.60.56/~jnz1568/getInfo.php?workbook=20_05.xlsx&amp;sheet=U0&amp;row=4812&amp;col=7&amp;number=0.0478&amp;sourceID=14","0.0478")</f>
        <v>0.0478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HYPERLINK("http://141.218.60.56/~jnz1568/getInfo.php?workbook=20_05.xlsx&amp;sheet=U0&amp;row=4813&amp;col=6&amp;number=3.9&amp;sourceID=14","3.9")</f>
        <v>3.9</v>
      </c>
      <c r="G4813" s="4" t="str">
        <f>HYPERLINK("http://141.218.60.56/~jnz1568/getInfo.php?workbook=20_05.xlsx&amp;sheet=U0&amp;row=4813&amp;col=7&amp;number=0.0478&amp;sourceID=14","0.0478")</f>
        <v>0.0478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HYPERLINK("http://141.218.60.56/~jnz1568/getInfo.php?workbook=20_05.xlsx&amp;sheet=U0&amp;row=4814&amp;col=6&amp;number=4&amp;sourceID=14","4")</f>
        <v>4</v>
      </c>
      <c r="G4814" s="4" t="str">
        <f>HYPERLINK("http://141.218.60.56/~jnz1568/getInfo.php?workbook=20_05.xlsx&amp;sheet=U0&amp;row=4814&amp;col=7&amp;number=0.0478&amp;sourceID=14","0.0478")</f>
        <v>0.0478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HYPERLINK("http://141.218.60.56/~jnz1568/getInfo.php?workbook=20_05.xlsx&amp;sheet=U0&amp;row=4815&amp;col=6&amp;number=4.1&amp;sourceID=14","4.1")</f>
        <v>4.1</v>
      </c>
      <c r="G4815" s="4" t="str">
        <f>HYPERLINK("http://141.218.60.56/~jnz1568/getInfo.php?workbook=20_05.xlsx&amp;sheet=U0&amp;row=4815&amp;col=7&amp;number=0.0478&amp;sourceID=14","0.0478")</f>
        <v>0.0478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HYPERLINK("http://141.218.60.56/~jnz1568/getInfo.php?workbook=20_05.xlsx&amp;sheet=U0&amp;row=4816&amp;col=6&amp;number=4.2&amp;sourceID=14","4.2")</f>
        <v>4.2</v>
      </c>
      <c r="G4816" s="4" t="str">
        <f>HYPERLINK("http://141.218.60.56/~jnz1568/getInfo.php?workbook=20_05.xlsx&amp;sheet=U0&amp;row=4816&amp;col=7&amp;number=0.0478&amp;sourceID=14","0.0478")</f>
        <v>0.0478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HYPERLINK("http://141.218.60.56/~jnz1568/getInfo.php?workbook=20_05.xlsx&amp;sheet=U0&amp;row=4817&amp;col=6&amp;number=4.3&amp;sourceID=14","4.3")</f>
        <v>4.3</v>
      </c>
      <c r="G4817" s="4" t="str">
        <f>HYPERLINK("http://141.218.60.56/~jnz1568/getInfo.php?workbook=20_05.xlsx&amp;sheet=U0&amp;row=4817&amp;col=7&amp;number=0.0478&amp;sourceID=14","0.0478")</f>
        <v>0.0478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HYPERLINK("http://141.218.60.56/~jnz1568/getInfo.php?workbook=20_05.xlsx&amp;sheet=U0&amp;row=4818&amp;col=6&amp;number=4.4&amp;sourceID=14","4.4")</f>
        <v>4.4</v>
      </c>
      <c r="G4818" s="4" t="str">
        <f>HYPERLINK("http://141.218.60.56/~jnz1568/getInfo.php?workbook=20_05.xlsx&amp;sheet=U0&amp;row=4818&amp;col=7&amp;number=0.0478&amp;sourceID=14","0.0478")</f>
        <v>0.0478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HYPERLINK("http://141.218.60.56/~jnz1568/getInfo.php?workbook=20_05.xlsx&amp;sheet=U0&amp;row=4819&amp;col=6&amp;number=4.5&amp;sourceID=14","4.5")</f>
        <v>4.5</v>
      </c>
      <c r="G4819" s="4" t="str">
        <f>HYPERLINK("http://141.218.60.56/~jnz1568/getInfo.php?workbook=20_05.xlsx&amp;sheet=U0&amp;row=4819&amp;col=7&amp;number=0.0478&amp;sourceID=14","0.0478")</f>
        <v>0.0478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HYPERLINK("http://141.218.60.56/~jnz1568/getInfo.php?workbook=20_05.xlsx&amp;sheet=U0&amp;row=4820&amp;col=6&amp;number=4.6&amp;sourceID=14","4.6")</f>
        <v>4.6</v>
      </c>
      <c r="G4820" s="4" t="str">
        <f>HYPERLINK("http://141.218.60.56/~jnz1568/getInfo.php?workbook=20_05.xlsx&amp;sheet=U0&amp;row=4820&amp;col=7&amp;number=0.0478&amp;sourceID=14","0.0478")</f>
        <v>0.0478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HYPERLINK("http://141.218.60.56/~jnz1568/getInfo.php?workbook=20_05.xlsx&amp;sheet=U0&amp;row=4821&amp;col=6&amp;number=4.7&amp;sourceID=14","4.7")</f>
        <v>4.7</v>
      </c>
      <c r="G4821" s="4" t="str">
        <f>HYPERLINK("http://141.218.60.56/~jnz1568/getInfo.php?workbook=20_05.xlsx&amp;sheet=U0&amp;row=4821&amp;col=7&amp;number=0.0478&amp;sourceID=14","0.0478")</f>
        <v>0.0478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HYPERLINK("http://141.218.60.56/~jnz1568/getInfo.php?workbook=20_05.xlsx&amp;sheet=U0&amp;row=4822&amp;col=6&amp;number=4.8&amp;sourceID=14","4.8")</f>
        <v>4.8</v>
      </c>
      <c r="G4822" s="4" t="str">
        <f>HYPERLINK("http://141.218.60.56/~jnz1568/getInfo.php?workbook=20_05.xlsx&amp;sheet=U0&amp;row=4822&amp;col=7&amp;number=0.0477&amp;sourceID=14","0.0477")</f>
        <v>0.0477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HYPERLINK("http://141.218.60.56/~jnz1568/getInfo.php?workbook=20_05.xlsx&amp;sheet=U0&amp;row=4823&amp;col=6&amp;number=4.9&amp;sourceID=14","4.9")</f>
        <v>4.9</v>
      </c>
      <c r="G4823" s="4" t="str">
        <f>HYPERLINK("http://141.218.60.56/~jnz1568/getInfo.php?workbook=20_05.xlsx&amp;sheet=U0&amp;row=4823&amp;col=7&amp;number=0.0477&amp;sourceID=14","0.0477")</f>
        <v>0.0477</v>
      </c>
    </row>
    <row r="4824" spans="1:7">
      <c r="A4824" s="3">
        <v>20</v>
      </c>
      <c r="B4824" s="3">
        <v>5</v>
      </c>
      <c r="C4824" s="3">
        <v>2</v>
      </c>
      <c r="D4824" s="3">
        <v>88</v>
      </c>
      <c r="E4824" s="3">
        <v>1</v>
      </c>
      <c r="F4824" s="4" t="str">
        <f>HYPERLINK("http://141.218.60.56/~jnz1568/getInfo.php?workbook=20_05.xlsx&amp;sheet=U0&amp;row=4824&amp;col=6&amp;number=3&amp;sourceID=14","3")</f>
        <v>3</v>
      </c>
      <c r="G4824" s="4" t="str">
        <f>HYPERLINK("http://141.218.60.56/~jnz1568/getInfo.php?workbook=20_05.xlsx&amp;sheet=U0&amp;row=4824&amp;col=7&amp;number=0.00221&amp;sourceID=14","0.00221")</f>
        <v>0.00221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HYPERLINK("http://141.218.60.56/~jnz1568/getInfo.php?workbook=20_05.xlsx&amp;sheet=U0&amp;row=4825&amp;col=6&amp;number=3.1&amp;sourceID=14","3.1")</f>
        <v>3.1</v>
      </c>
      <c r="G4825" s="4" t="str">
        <f>HYPERLINK("http://141.218.60.56/~jnz1568/getInfo.php?workbook=20_05.xlsx&amp;sheet=U0&amp;row=4825&amp;col=7&amp;number=0.00221&amp;sourceID=14","0.00221")</f>
        <v>0.00221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HYPERLINK("http://141.218.60.56/~jnz1568/getInfo.php?workbook=20_05.xlsx&amp;sheet=U0&amp;row=4826&amp;col=6&amp;number=3.2&amp;sourceID=14","3.2")</f>
        <v>3.2</v>
      </c>
      <c r="G4826" s="4" t="str">
        <f>HYPERLINK("http://141.218.60.56/~jnz1568/getInfo.php?workbook=20_05.xlsx&amp;sheet=U0&amp;row=4826&amp;col=7&amp;number=0.00221&amp;sourceID=14","0.00221")</f>
        <v>0.00221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HYPERLINK("http://141.218.60.56/~jnz1568/getInfo.php?workbook=20_05.xlsx&amp;sheet=U0&amp;row=4827&amp;col=6&amp;number=3.3&amp;sourceID=14","3.3")</f>
        <v>3.3</v>
      </c>
      <c r="G4827" s="4" t="str">
        <f>HYPERLINK("http://141.218.60.56/~jnz1568/getInfo.php?workbook=20_05.xlsx&amp;sheet=U0&amp;row=4827&amp;col=7&amp;number=0.00221&amp;sourceID=14","0.00221")</f>
        <v>0.00221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HYPERLINK("http://141.218.60.56/~jnz1568/getInfo.php?workbook=20_05.xlsx&amp;sheet=U0&amp;row=4828&amp;col=6&amp;number=3.4&amp;sourceID=14","3.4")</f>
        <v>3.4</v>
      </c>
      <c r="G4828" s="4" t="str">
        <f>HYPERLINK("http://141.218.60.56/~jnz1568/getInfo.php?workbook=20_05.xlsx&amp;sheet=U0&amp;row=4828&amp;col=7&amp;number=0.00221&amp;sourceID=14","0.00221")</f>
        <v>0.00221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HYPERLINK("http://141.218.60.56/~jnz1568/getInfo.php?workbook=20_05.xlsx&amp;sheet=U0&amp;row=4829&amp;col=6&amp;number=3.5&amp;sourceID=14","3.5")</f>
        <v>3.5</v>
      </c>
      <c r="G4829" s="4" t="str">
        <f>HYPERLINK("http://141.218.60.56/~jnz1568/getInfo.php?workbook=20_05.xlsx&amp;sheet=U0&amp;row=4829&amp;col=7&amp;number=0.00221&amp;sourceID=14","0.00221")</f>
        <v>0.00221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HYPERLINK("http://141.218.60.56/~jnz1568/getInfo.php?workbook=20_05.xlsx&amp;sheet=U0&amp;row=4830&amp;col=6&amp;number=3.6&amp;sourceID=14","3.6")</f>
        <v>3.6</v>
      </c>
      <c r="G4830" s="4" t="str">
        <f>HYPERLINK("http://141.218.60.56/~jnz1568/getInfo.php?workbook=20_05.xlsx&amp;sheet=U0&amp;row=4830&amp;col=7&amp;number=0.00221&amp;sourceID=14","0.00221")</f>
        <v>0.00221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HYPERLINK("http://141.218.60.56/~jnz1568/getInfo.php?workbook=20_05.xlsx&amp;sheet=U0&amp;row=4831&amp;col=6&amp;number=3.7&amp;sourceID=14","3.7")</f>
        <v>3.7</v>
      </c>
      <c r="G4831" s="4" t="str">
        <f>HYPERLINK("http://141.218.60.56/~jnz1568/getInfo.php?workbook=20_05.xlsx&amp;sheet=U0&amp;row=4831&amp;col=7&amp;number=0.0022&amp;sourceID=14","0.0022")</f>
        <v>0.0022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HYPERLINK("http://141.218.60.56/~jnz1568/getInfo.php?workbook=20_05.xlsx&amp;sheet=U0&amp;row=4832&amp;col=6&amp;number=3.8&amp;sourceID=14","3.8")</f>
        <v>3.8</v>
      </c>
      <c r="G4832" s="4" t="str">
        <f>HYPERLINK("http://141.218.60.56/~jnz1568/getInfo.php?workbook=20_05.xlsx&amp;sheet=U0&amp;row=4832&amp;col=7&amp;number=0.0022&amp;sourceID=14","0.0022")</f>
        <v>0.0022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HYPERLINK("http://141.218.60.56/~jnz1568/getInfo.php?workbook=20_05.xlsx&amp;sheet=U0&amp;row=4833&amp;col=6&amp;number=3.9&amp;sourceID=14","3.9")</f>
        <v>3.9</v>
      </c>
      <c r="G4833" s="4" t="str">
        <f>HYPERLINK("http://141.218.60.56/~jnz1568/getInfo.php?workbook=20_05.xlsx&amp;sheet=U0&amp;row=4833&amp;col=7&amp;number=0.0022&amp;sourceID=14","0.0022")</f>
        <v>0.0022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HYPERLINK("http://141.218.60.56/~jnz1568/getInfo.php?workbook=20_05.xlsx&amp;sheet=U0&amp;row=4834&amp;col=6&amp;number=4&amp;sourceID=14","4")</f>
        <v>4</v>
      </c>
      <c r="G4834" s="4" t="str">
        <f>HYPERLINK("http://141.218.60.56/~jnz1568/getInfo.php?workbook=20_05.xlsx&amp;sheet=U0&amp;row=4834&amp;col=7&amp;number=0.0022&amp;sourceID=14","0.0022")</f>
        <v>0.0022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HYPERLINK("http://141.218.60.56/~jnz1568/getInfo.php?workbook=20_05.xlsx&amp;sheet=U0&amp;row=4835&amp;col=6&amp;number=4.1&amp;sourceID=14","4.1")</f>
        <v>4.1</v>
      </c>
      <c r="G4835" s="4" t="str">
        <f>HYPERLINK("http://141.218.60.56/~jnz1568/getInfo.php?workbook=20_05.xlsx&amp;sheet=U0&amp;row=4835&amp;col=7&amp;number=0.0022&amp;sourceID=14","0.0022")</f>
        <v>0.0022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HYPERLINK("http://141.218.60.56/~jnz1568/getInfo.php?workbook=20_05.xlsx&amp;sheet=U0&amp;row=4836&amp;col=6&amp;number=4.2&amp;sourceID=14","4.2")</f>
        <v>4.2</v>
      </c>
      <c r="G4836" s="4" t="str">
        <f>HYPERLINK("http://141.218.60.56/~jnz1568/getInfo.php?workbook=20_05.xlsx&amp;sheet=U0&amp;row=4836&amp;col=7&amp;number=0.0022&amp;sourceID=14","0.0022")</f>
        <v>0.0022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HYPERLINK("http://141.218.60.56/~jnz1568/getInfo.php?workbook=20_05.xlsx&amp;sheet=U0&amp;row=4837&amp;col=6&amp;number=4.3&amp;sourceID=14","4.3")</f>
        <v>4.3</v>
      </c>
      <c r="G4837" s="4" t="str">
        <f>HYPERLINK("http://141.218.60.56/~jnz1568/getInfo.php?workbook=20_05.xlsx&amp;sheet=U0&amp;row=4837&amp;col=7&amp;number=0.0022&amp;sourceID=14","0.0022")</f>
        <v>0.0022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HYPERLINK("http://141.218.60.56/~jnz1568/getInfo.php?workbook=20_05.xlsx&amp;sheet=U0&amp;row=4838&amp;col=6&amp;number=4.4&amp;sourceID=14","4.4")</f>
        <v>4.4</v>
      </c>
      <c r="G4838" s="4" t="str">
        <f>HYPERLINK("http://141.218.60.56/~jnz1568/getInfo.php?workbook=20_05.xlsx&amp;sheet=U0&amp;row=4838&amp;col=7&amp;number=0.0022&amp;sourceID=14","0.0022")</f>
        <v>0.0022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HYPERLINK("http://141.218.60.56/~jnz1568/getInfo.php?workbook=20_05.xlsx&amp;sheet=U0&amp;row=4839&amp;col=6&amp;number=4.5&amp;sourceID=14","4.5")</f>
        <v>4.5</v>
      </c>
      <c r="G4839" s="4" t="str">
        <f>HYPERLINK("http://141.218.60.56/~jnz1568/getInfo.php?workbook=20_05.xlsx&amp;sheet=U0&amp;row=4839&amp;col=7&amp;number=0.0022&amp;sourceID=14","0.0022")</f>
        <v>0.0022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HYPERLINK("http://141.218.60.56/~jnz1568/getInfo.php?workbook=20_05.xlsx&amp;sheet=U0&amp;row=4840&amp;col=6&amp;number=4.6&amp;sourceID=14","4.6")</f>
        <v>4.6</v>
      </c>
      <c r="G4840" s="4" t="str">
        <f>HYPERLINK("http://141.218.60.56/~jnz1568/getInfo.php?workbook=20_05.xlsx&amp;sheet=U0&amp;row=4840&amp;col=7&amp;number=0.0022&amp;sourceID=14","0.0022")</f>
        <v>0.0022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HYPERLINK("http://141.218.60.56/~jnz1568/getInfo.php?workbook=20_05.xlsx&amp;sheet=U0&amp;row=4841&amp;col=6&amp;number=4.7&amp;sourceID=14","4.7")</f>
        <v>4.7</v>
      </c>
      <c r="G4841" s="4" t="str">
        <f>HYPERLINK("http://141.218.60.56/~jnz1568/getInfo.php?workbook=20_05.xlsx&amp;sheet=U0&amp;row=4841&amp;col=7&amp;number=0.00219&amp;sourceID=14","0.00219")</f>
        <v>0.00219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HYPERLINK("http://141.218.60.56/~jnz1568/getInfo.php?workbook=20_05.xlsx&amp;sheet=U0&amp;row=4842&amp;col=6&amp;number=4.8&amp;sourceID=14","4.8")</f>
        <v>4.8</v>
      </c>
      <c r="G4842" s="4" t="str">
        <f>HYPERLINK("http://141.218.60.56/~jnz1568/getInfo.php?workbook=20_05.xlsx&amp;sheet=U0&amp;row=4842&amp;col=7&amp;number=0.00219&amp;sourceID=14","0.00219")</f>
        <v>0.00219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HYPERLINK("http://141.218.60.56/~jnz1568/getInfo.php?workbook=20_05.xlsx&amp;sheet=U0&amp;row=4843&amp;col=6&amp;number=4.9&amp;sourceID=14","4.9")</f>
        <v>4.9</v>
      </c>
      <c r="G4843" s="4" t="str">
        <f>HYPERLINK("http://141.218.60.56/~jnz1568/getInfo.php?workbook=20_05.xlsx&amp;sheet=U0&amp;row=4843&amp;col=7&amp;number=0.00219&amp;sourceID=14","0.00219")</f>
        <v>0.00219</v>
      </c>
    </row>
    <row r="4844" spans="1:7">
      <c r="A4844" s="3">
        <v>20</v>
      </c>
      <c r="B4844" s="3">
        <v>5</v>
      </c>
      <c r="C4844" s="3">
        <v>2</v>
      </c>
      <c r="D4844" s="3">
        <v>89</v>
      </c>
      <c r="E4844" s="3">
        <v>1</v>
      </c>
      <c r="F4844" s="4" t="str">
        <f>HYPERLINK("http://141.218.60.56/~jnz1568/getInfo.php?workbook=20_05.xlsx&amp;sheet=U0&amp;row=4844&amp;col=6&amp;number=3&amp;sourceID=14","3")</f>
        <v>3</v>
      </c>
      <c r="G4844" s="4" t="str">
        <f>HYPERLINK("http://141.218.60.56/~jnz1568/getInfo.php?workbook=20_05.xlsx&amp;sheet=U0&amp;row=4844&amp;col=7&amp;number=0.084&amp;sourceID=14","0.084")</f>
        <v>0.084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HYPERLINK("http://141.218.60.56/~jnz1568/getInfo.php?workbook=20_05.xlsx&amp;sheet=U0&amp;row=4845&amp;col=6&amp;number=3.1&amp;sourceID=14","3.1")</f>
        <v>3.1</v>
      </c>
      <c r="G4845" s="4" t="str">
        <f>HYPERLINK("http://141.218.60.56/~jnz1568/getInfo.php?workbook=20_05.xlsx&amp;sheet=U0&amp;row=4845&amp;col=7&amp;number=0.084&amp;sourceID=14","0.084")</f>
        <v>0.084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HYPERLINK("http://141.218.60.56/~jnz1568/getInfo.php?workbook=20_05.xlsx&amp;sheet=U0&amp;row=4846&amp;col=6&amp;number=3.2&amp;sourceID=14","3.2")</f>
        <v>3.2</v>
      </c>
      <c r="G4846" s="4" t="str">
        <f>HYPERLINK("http://141.218.60.56/~jnz1568/getInfo.php?workbook=20_05.xlsx&amp;sheet=U0&amp;row=4846&amp;col=7&amp;number=0.084&amp;sourceID=14","0.084")</f>
        <v>0.084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HYPERLINK("http://141.218.60.56/~jnz1568/getInfo.php?workbook=20_05.xlsx&amp;sheet=U0&amp;row=4847&amp;col=6&amp;number=3.3&amp;sourceID=14","3.3")</f>
        <v>3.3</v>
      </c>
      <c r="G4847" s="4" t="str">
        <f>HYPERLINK("http://141.218.60.56/~jnz1568/getInfo.php?workbook=20_05.xlsx&amp;sheet=U0&amp;row=4847&amp;col=7&amp;number=0.084&amp;sourceID=14","0.084")</f>
        <v>0.084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HYPERLINK("http://141.218.60.56/~jnz1568/getInfo.php?workbook=20_05.xlsx&amp;sheet=U0&amp;row=4848&amp;col=6&amp;number=3.4&amp;sourceID=14","3.4")</f>
        <v>3.4</v>
      </c>
      <c r="G4848" s="4" t="str">
        <f>HYPERLINK("http://141.218.60.56/~jnz1568/getInfo.php?workbook=20_05.xlsx&amp;sheet=U0&amp;row=4848&amp;col=7&amp;number=0.084&amp;sourceID=14","0.084")</f>
        <v>0.084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HYPERLINK("http://141.218.60.56/~jnz1568/getInfo.php?workbook=20_05.xlsx&amp;sheet=U0&amp;row=4849&amp;col=6&amp;number=3.5&amp;sourceID=14","3.5")</f>
        <v>3.5</v>
      </c>
      <c r="G4849" s="4" t="str">
        <f>HYPERLINK("http://141.218.60.56/~jnz1568/getInfo.php?workbook=20_05.xlsx&amp;sheet=U0&amp;row=4849&amp;col=7&amp;number=0.084&amp;sourceID=14","0.084")</f>
        <v>0.084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HYPERLINK("http://141.218.60.56/~jnz1568/getInfo.php?workbook=20_05.xlsx&amp;sheet=U0&amp;row=4850&amp;col=6&amp;number=3.6&amp;sourceID=14","3.6")</f>
        <v>3.6</v>
      </c>
      <c r="G4850" s="4" t="str">
        <f>HYPERLINK("http://141.218.60.56/~jnz1568/getInfo.php?workbook=20_05.xlsx&amp;sheet=U0&amp;row=4850&amp;col=7&amp;number=0.084&amp;sourceID=14","0.084")</f>
        <v>0.084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HYPERLINK("http://141.218.60.56/~jnz1568/getInfo.php?workbook=20_05.xlsx&amp;sheet=U0&amp;row=4851&amp;col=6&amp;number=3.7&amp;sourceID=14","3.7")</f>
        <v>3.7</v>
      </c>
      <c r="G4851" s="4" t="str">
        <f>HYPERLINK("http://141.218.60.56/~jnz1568/getInfo.php?workbook=20_05.xlsx&amp;sheet=U0&amp;row=4851&amp;col=7&amp;number=0.0841&amp;sourceID=14","0.0841")</f>
        <v>0.0841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HYPERLINK("http://141.218.60.56/~jnz1568/getInfo.php?workbook=20_05.xlsx&amp;sheet=U0&amp;row=4852&amp;col=6&amp;number=3.8&amp;sourceID=14","3.8")</f>
        <v>3.8</v>
      </c>
      <c r="G4852" s="4" t="str">
        <f>HYPERLINK("http://141.218.60.56/~jnz1568/getInfo.php?workbook=20_05.xlsx&amp;sheet=U0&amp;row=4852&amp;col=7&amp;number=0.0841&amp;sourceID=14","0.0841")</f>
        <v>0.0841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HYPERLINK("http://141.218.60.56/~jnz1568/getInfo.php?workbook=20_05.xlsx&amp;sheet=U0&amp;row=4853&amp;col=6&amp;number=3.9&amp;sourceID=14","3.9")</f>
        <v>3.9</v>
      </c>
      <c r="G4853" s="4" t="str">
        <f>HYPERLINK("http://141.218.60.56/~jnz1568/getInfo.php?workbook=20_05.xlsx&amp;sheet=U0&amp;row=4853&amp;col=7&amp;number=0.0841&amp;sourceID=14","0.0841")</f>
        <v>0.0841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HYPERLINK("http://141.218.60.56/~jnz1568/getInfo.php?workbook=20_05.xlsx&amp;sheet=U0&amp;row=4854&amp;col=6&amp;number=4&amp;sourceID=14","4")</f>
        <v>4</v>
      </c>
      <c r="G4854" s="4" t="str">
        <f>HYPERLINK("http://141.218.60.56/~jnz1568/getInfo.php?workbook=20_05.xlsx&amp;sheet=U0&amp;row=4854&amp;col=7&amp;number=0.0841&amp;sourceID=14","0.0841")</f>
        <v>0.0841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HYPERLINK("http://141.218.60.56/~jnz1568/getInfo.php?workbook=20_05.xlsx&amp;sheet=U0&amp;row=4855&amp;col=6&amp;number=4.1&amp;sourceID=14","4.1")</f>
        <v>4.1</v>
      </c>
      <c r="G4855" s="4" t="str">
        <f>HYPERLINK("http://141.218.60.56/~jnz1568/getInfo.php?workbook=20_05.xlsx&amp;sheet=U0&amp;row=4855&amp;col=7&amp;number=0.0841&amp;sourceID=14","0.0841")</f>
        <v>0.0841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HYPERLINK("http://141.218.60.56/~jnz1568/getInfo.php?workbook=20_05.xlsx&amp;sheet=U0&amp;row=4856&amp;col=6&amp;number=4.2&amp;sourceID=14","4.2")</f>
        <v>4.2</v>
      </c>
      <c r="G4856" s="4" t="str">
        <f>HYPERLINK("http://141.218.60.56/~jnz1568/getInfo.php?workbook=20_05.xlsx&amp;sheet=U0&amp;row=4856&amp;col=7&amp;number=0.0841&amp;sourceID=14","0.0841")</f>
        <v>0.0841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HYPERLINK("http://141.218.60.56/~jnz1568/getInfo.php?workbook=20_05.xlsx&amp;sheet=U0&amp;row=4857&amp;col=6&amp;number=4.3&amp;sourceID=14","4.3")</f>
        <v>4.3</v>
      </c>
      <c r="G4857" s="4" t="str">
        <f>HYPERLINK("http://141.218.60.56/~jnz1568/getInfo.php?workbook=20_05.xlsx&amp;sheet=U0&amp;row=4857&amp;col=7&amp;number=0.0841&amp;sourceID=14","0.0841")</f>
        <v>0.0841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HYPERLINK("http://141.218.60.56/~jnz1568/getInfo.php?workbook=20_05.xlsx&amp;sheet=U0&amp;row=4858&amp;col=6&amp;number=4.4&amp;sourceID=14","4.4")</f>
        <v>4.4</v>
      </c>
      <c r="G4858" s="4" t="str">
        <f>HYPERLINK("http://141.218.60.56/~jnz1568/getInfo.php?workbook=20_05.xlsx&amp;sheet=U0&amp;row=4858&amp;col=7&amp;number=0.0841&amp;sourceID=14","0.0841")</f>
        <v>0.0841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HYPERLINK("http://141.218.60.56/~jnz1568/getInfo.php?workbook=20_05.xlsx&amp;sheet=U0&amp;row=4859&amp;col=6&amp;number=4.5&amp;sourceID=14","4.5")</f>
        <v>4.5</v>
      </c>
      <c r="G4859" s="4" t="str">
        <f>HYPERLINK("http://141.218.60.56/~jnz1568/getInfo.php?workbook=20_05.xlsx&amp;sheet=U0&amp;row=4859&amp;col=7&amp;number=0.0842&amp;sourceID=14","0.0842")</f>
        <v>0.0842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HYPERLINK("http://141.218.60.56/~jnz1568/getInfo.php?workbook=20_05.xlsx&amp;sheet=U0&amp;row=4860&amp;col=6&amp;number=4.6&amp;sourceID=14","4.6")</f>
        <v>4.6</v>
      </c>
      <c r="G4860" s="4" t="str">
        <f>HYPERLINK("http://141.218.60.56/~jnz1568/getInfo.php?workbook=20_05.xlsx&amp;sheet=U0&amp;row=4860&amp;col=7&amp;number=0.0842&amp;sourceID=14","0.0842")</f>
        <v>0.0842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HYPERLINK("http://141.218.60.56/~jnz1568/getInfo.php?workbook=20_05.xlsx&amp;sheet=U0&amp;row=4861&amp;col=6&amp;number=4.7&amp;sourceID=14","4.7")</f>
        <v>4.7</v>
      </c>
      <c r="G4861" s="4" t="str">
        <f>HYPERLINK("http://141.218.60.56/~jnz1568/getInfo.php?workbook=20_05.xlsx&amp;sheet=U0&amp;row=4861&amp;col=7&amp;number=0.0842&amp;sourceID=14","0.0842")</f>
        <v>0.0842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HYPERLINK("http://141.218.60.56/~jnz1568/getInfo.php?workbook=20_05.xlsx&amp;sheet=U0&amp;row=4862&amp;col=6&amp;number=4.8&amp;sourceID=14","4.8")</f>
        <v>4.8</v>
      </c>
      <c r="G4862" s="4" t="str">
        <f>HYPERLINK("http://141.218.60.56/~jnz1568/getInfo.php?workbook=20_05.xlsx&amp;sheet=U0&amp;row=4862&amp;col=7&amp;number=0.0843&amp;sourceID=14","0.0843")</f>
        <v>0.0843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HYPERLINK("http://141.218.60.56/~jnz1568/getInfo.php?workbook=20_05.xlsx&amp;sheet=U0&amp;row=4863&amp;col=6&amp;number=4.9&amp;sourceID=14","4.9")</f>
        <v>4.9</v>
      </c>
      <c r="G4863" s="4" t="str">
        <f>HYPERLINK("http://141.218.60.56/~jnz1568/getInfo.php?workbook=20_05.xlsx&amp;sheet=U0&amp;row=4863&amp;col=7&amp;number=0.0844&amp;sourceID=14","0.0844")</f>
        <v>0.0844</v>
      </c>
    </row>
    <row r="4864" spans="1:7">
      <c r="A4864" s="3">
        <v>20</v>
      </c>
      <c r="B4864" s="3">
        <v>5</v>
      </c>
      <c r="C4864" s="3">
        <v>2</v>
      </c>
      <c r="D4864" s="3">
        <v>90</v>
      </c>
      <c r="E4864" s="3">
        <v>1</v>
      </c>
      <c r="F4864" s="4" t="str">
        <f>HYPERLINK("http://141.218.60.56/~jnz1568/getInfo.php?workbook=20_05.xlsx&amp;sheet=U0&amp;row=4864&amp;col=6&amp;number=3&amp;sourceID=14","3")</f>
        <v>3</v>
      </c>
      <c r="G4864" s="4" t="str">
        <f>HYPERLINK("http://141.218.60.56/~jnz1568/getInfo.php?workbook=20_05.xlsx&amp;sheet=U0&amp;row=4864&amp;col=7&amp;number=0.000501&amp;sourceID=14","0.000501")</f>
        <v>0.000501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HYPERLINK("http://141.218.60.56/~jnz1568/getInfo.php?workbook=20_05.xlsx&amp;sheet=U0&amp;row=4865&amp;col=6&amp;number=3.1&amp;sourceID=14","3.1")</f>
        <v>3.1</v>
      </c>
      <c r="G4865" s="4" t="str">
        <f>HYPERLINK("http://141.218.60.56/~jnz1568/getInfo.php?workbook=20_05.xlsx&amp;sheet=U0&amp;row=4865&amp;col=7&amp;number=0.000501&amp;sourceID=14","0.000501")</f>
        <v>0.000501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HYPERLINK("http://141.218.60.56/~jnz1568/getInfo.php?workbook=20_05.xlsx&amp;sheet=U0&amp;row=4866&amp;col=6&amp;number=3.2&amp;sourceID=14","3.2")</f>
        <v>3.2</v>
      </c>
      <c r="G4866" s="4" t="str">
        <f>HYPERLINK("http://141.218.60.56/~jnz1568/getInfo.php?workbook=20_05.xlsx&amp;sheet=U0&amp;row=4866&amp;col=7&amp;number=0.0005&amp;sourceID=14","0.0005")</f>
        <v>0.0005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HYPERLINK("http://141.218.60.56/~jnz1568/getInfo.php?workbook=20_05.xlsx&amp;sheet=U0&amp;row=4867&amp;col=6&amp;number=3.3&amp;sourceID=14","3.3")</f>
        <v>3.3</v>
      </c>
      <c r="G4867" s="4" t="str">
        <f>HYPERLINK("http://141.218.60.56/~jnz1568/getInfo.php?workbook=20_05.xlsx&amp;sheet=U0&amp;row=4867&amp;col=7&amp;number=0.0005&amp;sourceID=14","0.0005")</f>
        <v>0.0005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HYPERLINK("http://141.218.60.56/~jnz1568/getInfo.php?workbook=20_05.xlsx&amp;sheet=U0&amp;row=4868&amp;col=6&amp;number=3.4&amp;sourceID=14","3.4")</f>
        <v>3.4</v>
      </c>
      <c r="G4868" s="4" t="str">
        <f>HYPERLINK("http://141.218.60.56/~jnz1568/getInfo.php?workbook=20_05.xlsx&amp;sheet=U0&amp;row=4868&amp;col=7&amp;number=0.0005&amp;sourceID=14","0.0005")</f>
        <v>0.0005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HYPERLINK("http://141.218.60.56/~jnz1568/getInfo.php?workbook=20_05.xlsx&amp;sheet=U0&amp;row=4869&amp;col=6&amp;number=3.5&amp;sourceID=14","3.5")</f>
        <v>3.5</v>
      </c>
      <c r="G4869" s="4" t="str">
        <f>HYPERLINK("http://141.218.60.56/~jnz1568/getInfo.php?workbook=20_05.xlsx&amp;sheet=U0&amp;row=4869&amp;col=7&amp;number=0.0005&amp;sourceID=14","0.0005")</f>
        <v>0.0005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HYPERLINK("http://141.218.60.56/~jnz1568/getInfo.php?workbook=20_05.xlsx&amp;sheet=U0&amp;row=4870&amp;col=6&amp;number=3.6&amp;sourceID=14","3.6")</f>
        <v>3.6</v>
      </c>
      <c r="G4870" s="4" t="str">
        <f>HYPERLINK("http://141.218.60.56/~jnz1568/getInfo.php?workbook=20_05.xlsx&amp;sheet=U0&amp;row=4870&amp;col=7&amp;number=0.0005&amp;sourceID=14","0.0005")</f>
        <v>0.0005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HYPERLINK("http://141.218.60.56/~jnz1568/getInfo.php?workbook=20_05.xlsx&amp;sheet=U0&amp;row=4871&amp;col=6&amp;number=3.7&amp;sourceID=14","3.7")</f>
        <v>3.7</v>
      </c>
      <c r="G4871" s="4" t="str">
        <f>HYPERLINK("http://141.218.60.56/~jnz1568/getInfo.php?workbook=20_05.xlsx&amp;sheet=U0&amp;row=4871&amp;col=7&amp;number=0.0005&amp;sourceID=14","0.0005")</f>
        <v>0.0005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HYPERLINK("http://141.218.60.56/~jnz1568/getInfo.php?workbook=20_05.xlsx&amp;sheet=U0&amp;row=4872&amp;col=6&amp;number=3.8&amp;sourceID=14","3.8")</f>
        <v>3.8</v>
      </c>
      <c r="G4872" s="4" t="str">
        <f>HYPERLINK("http://141.218.60.56/~jnz1568/getInfo.php?workbook=20_05.xlsx&amp;sheet=U0&amp;row=4872&amp;col=7&amp;number=0.0005&amp;sourceID=14","0.0005")</f>
        <v>0.0005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HYPERLINK("http://141.218.60.56/~jnz1568/getInfo.php?workbook=20_05.xlsx&amp;sheet=U0&amp;row=4873&amp;col=6&amp;number=3.9&amp;sourceID=14","3.9")</f>
        <v>3.9</v>
      </c>
      <c r="G4873" s="4" t="str">
        <f>HYPERLINK("http://141.218.60.56/~jnz1568/getInfo.php?workbook=20_05.xlsx&amp;sheet=U0&amp;row=4873&amp;col=7&amp;number=0.0005&amp;sourceID=14","0.0005")</f>
        <v>0.0005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HYPERLINK("http://141.218.60.56/~jnz1568/getInfo.php?workbook=20_05.xlsx&amp;sheet=U0&amp;row=4874&amp;col=6&amp;number=4&amp;sourceID=14","4")</f>
        <v>4</v>
      </c>
      <c r="G4874" s="4" t="str">
        <f>HYPERLINK("http://141.218.60.56/~jnz1568/getInfo.php?workbook=20_05.xlsx&amp;sheet=U0&amp;row=4874&amp;col=7&amp;number=0.0005&amp;sourceID=14","0.0005")</f>
        <v>0.0005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HYPERLINK("http://141.218.60.56/~jnz1568/getInfo.php?workbook=20_05.xlsx&amp;sheet=U0&amp;row=4875&amp;col=6&amp;number=4.1&amp;sourceID=14","4.1")</f>
        <v>4.1</v>
      </c>
      <c r="G4875" s="4" t="str">
        <f>HYPERLINK("http://141.218.60.56/~jnz1568/getInfo.php?workbook=20_05.xlsx&amp;sheet=U0&amp;row=4875&amp;col=7&amp;number=0.0005&amp;sourceID=14","0.0005")</f>
        <v>0.0005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HYPERLINK("http://141.218.60.56/~jnz1568/getInfo.php?workbook=20_05.xlsx&amp;sheet=U0&amp;row=4876&amp;col=6&amp;number=4.2&amp;sourceID=14","4.2")</f>
        <v>4.2</v>
      </c>
      <c r="G4876" s="4" t="str">
        <f>HYPERLINK("http://141.218.60.56/~jnz1568/getInfo.php?workbook=20_05.xlsx&amp;sheet=U0&amp;row=4876&amp;col=7&amp;number=0.0005&amp;sourceID=14","0.0005")</f>
        <v>0.0005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HYPERLINK("http://141.218.60.56/~jnz1568/getInfo.php?workbook=20_05.xlsx&amp;sheet=U0&amp;row=4877&amp;col=6&amp;number=4.3&amp;sourceID=14","4.3")</f>
        <v>4.3</v>
      </c>
      <c r="G4877" s="4" t="str">
        <f>HYPERLINK("http://141.218.60.56/~jnz1568/getInfo.php?workbook=20_05.xlsx&amp;sheet=U0&amp;row=4877&amp;col=7&amp;number=0.000499&amp;sourceID=14","0.000499")</f>
        <v>0.000499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HYPERLINK("http://141.218.60.56/~jnz1568/getInfo.php?workbook=20_05.xlsx&amp;sheet=U0&amp;row=4878&amp;col=6&amp;number=4.4&amp;sourceID=14","4.4")</f>
        <v>4.4</v>
      </c>
      <c r="G4878" s="4" t="str">
        <f>HYPERLINK("http://141.218.60.56/~jnz1568/getInfo.php?workbook=20_05.xlsx&amp;sheet=U0&amp;row=4878&amp;col=7&amp;number=0.000499&amp;sourceID=14","0.000499")</f>
        <v>0.000499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HYPERLINK("http://141.218.60.56/~jnz1568/getInfo.php?workbook=20_05.xlsx&amp;sheet=U0&amp;row=4879&amp;col=6&amp;number=4.5&amp;sourceID=14","4.5")</f>
        <v>4.5</v>
      </c>
      <c r="G4879" s="4" t="str">
        <f>HYPERLINK("http://141.218.60.56/~jnz1568/getInfo.php?workbook=20_05.xlsx&amp;sheet=U0&amp;row=4879&amp;col=7&amp;number=0.000498&amp;sourceID=14","0.000498")</f>
        <v>0.000498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HYPERLINK("http://141.218.60.56/~jnz1568/getInfo.php?workbook=20_05.xlsx&amp;sheet=U0&amp;row=4880&amp;col=6&amp;number=4.6&amp;sourceID=14","4.6")</f>
        <v>4.6</v>
      </c>
      <c r="G4880" s="4" t="str">
        <f>HYPERLINK("http://141.218.60.56/~jnz1568/getInfo.php?workbook=20_05.xlsx&amp;sheet=U0&amp;row=4880&amp;col=7&amp;number=0.000498&amp;sourceID=14","0.000498")</f>
        <v>0.000498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HYPERLINK("http://141.218.60.56/~jnz1568/getInfo.php?workbook=20_05.xlsx&amp;sheet=U0&amp;row=4881&amp;col=6&amp;number=4.7&amp;sourceID=14","4.7")</f>
        <v>4.7</v>
      </c>
      <c r="G4881" s="4" t="str">
        <f>HYPERLINK("http://141.218.60.56/~jnz1568/getInfo.php?workbook=20_05.xlsx&amp;sheet=U0&amp;row=4881&amp;col=7&amp;number=0.000497&amp;sourceID=14","0.000497")</f>
        <v>0.000497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HYPERLINK("http://141.218.60.56/~jnz1568/getInfo.php?workbook=20_05.xlsx&amp;sheet=U0&amp;row=4882&amp;col=6&amp;number=4.8&amp;sourceID=14","4.8")</f>
        <v>4.8</v>
      </c>
      <c r="G4882" s="4" t="str">
        <f>HYPERLINK("http://141.218.60.56/~jnz1568/getInfo.php?workbook=20_05.xlsx&amp;sheet=U0&amp;row=4882&amp;col=7&amp;number=0.000496&amp;sourceID=14","0.000496")</f>
        <v>0.000496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HYPERLINK("http://141.218.60.56/~jnz1568/getInfo.php?workbook=20_05.xlsx&amp;sheet=U0&amp;row=4883&amp;col=6&amp;number=4.9&amp;sourceID=14","4.9")</f>
        <v>4.9</v>
      </c>
      <c r="G4883" s="4" t="str">
        <f>HYPERLINK("http://141.218.60.56/~jnz1568/getInfo.php?workbook=20_05.xlsx&amp;sheet=U0&amp;row=4883&amp;col=7&amp;number=0.000495&amp;sourceID=14","0.000495")</f>
        <v>0.000495</v>
      </c>
    </row>
    <row r="4884" spans="1:7">
      <c r="A4884" s="3">
        <v>20</v>
      </c>
      <c r="B4884" s="3">
        <v>5</v>
      </c>
      <c r="C4884" s="3">
        <v>2</v>
      </c>
      <c r="D4884" s="3">
        <v>91</v>
      </c>
      <c r="E4884" s="3">
        <v>1</v>
      </c>
      <c r="F4884" s="4" t="str">
        <f>HYPERLINK("http://141.218.60.56/~jnz1568/getInfo.php?workbook=20_05.xlsx&amp;sheet=U0&amp;row=4884&amp;col=6&amp;number=3&amp;sourceID=14","3")</f>
        <v>3</v>
      </c>
      <c r="G4884" s="4" t="str">
        <f>HYPERLINK("http://141.218.60.56/~jnz1568/getInfo.php?workbook=20_05.xlsx&amp;sheet=U0&amp;row=4884&amp;col=7&amp;number=0.00178&amp;sourceID=14","0.00178")</f>
        <v>0.00178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HYPERLINK("http://141.218.60.56/~jnz1568/getInfo.php?workbook=20_05.xlsx&amp;sheet=U0&amp;row=4885&amp;col=6&amp;number=3.1&amp;sourceID=14","3.1")</f>
        <v>3.1</v>
      </c>
      <c r="G4885" s="4" t="str">
        <f>HYPERLINK("http://141.218.60.56/~jnz1568/getInfo.php?workbook=20_05.xlsx&amp;sheet=U0&amp;row=4885&amp;col=7&amp;number=0.00178&amp;sourceID=14","0.00178")</f>
        <v>0.00178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HYPERLINK("http://141.218.60.56/~jnz1568/getInfo.php?workbook=20_05.xlsx&amp;sheet=U0&amp;row=4886&amp;col=6&amp;number=3.2&amp;sourceID=14","3.2")</f>
        <v>3.2</v>
      </c>
      <c r="G4886" s="4" t="str">
        <f>HYPERLINK("http://141.218.60.56/~jnz1568/getInfo.php?workbook=20_05.xlsx&amp;sheet=U0&amp;row=4886&amp;col=7&amp;number=0.00178&amp;sourceID=14","0.00178")</f>
        <v>0.00178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HYPERLINK("http://141.218.60.56/~jnz1568/getInfo.php?workbook=20_05.xlsx&amp;sheet=U0&amp;row=4887&amp;col=6&amp;number=3.3&amp;sourceID=14","3.3")</f>
        <v>3.3</v>
      </c>
      <c r="G4887" s="4" t="str">
        <f>HYPERLINK("http://141.218.60.56/~jnz1568/getInfo.php?workbook=20_05.xlsx&amp;sheet=U0&amp;row=4887&amp;col=7&amp;number=0.00178&amp;sourceID=14","0.00178")</f>
        <v>0.00178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HYPERLINK("http://141.218.60.56/~jnz1568/getInfo.php?workbook=20_05.xlsx&amp;sheet=U0&amp;row=4888&amp;col=6&amp;number=3.4&amp;sourceID=14","3.4")</f>
        <v>3.4</v>
      </c>
      <c r="G4888" s="4" t="str">
        <f>HYPERLINK("http://141.218.60.56/~jnz1568/getInfo.php?workbook=20_05.xlsx&amp;sheet=U0&amp;row=4888&amp;col=7&amp;number=0.00178&amp;sourceID=14","0.00178")</f>
        <v>0.00178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HYPERLINK("http://141.218.60.56/~jnz1568/getInfo.php?workbook=20_05.xlsx&amp;sheet=U0&amp;row=4889&amp;col=6&amp;number=3.5&amp;sourceID=14","3.5")</f>
        <v>3.5</v>
      </c>
      <c r="G4889" s="4" t="str">
        <f>HYPERLINK("http://141.218.60.56/~jnz1568/getInfo.php?workbook=20_05.xlsx&amp;sheet=U0&amp;row=4889&amp;col=7&amp;number=0.00178&amp;sourceID=14","0.00178")</f>
        <v>0.00178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HYPERLINK("http://141.218.60.56/~jnz1568/getInfo.php?workbook=20_05.xlsx&amp;sheet=U0&amp;row=4890&amp;col=6&amp;number=3.6&amp;sourceID=14","3.6")</f>
        <v>3.6</v>
      </c>
      <c r="G4890" s="4" t="str">
        <f>HYPERLINK("http://141.218.60.56/~jnz1568/getInfo.php?workbook=20_05.xlsx&amp;sheet=U0&amp;row=4890&amp;col=7&amp;number=0.00178&amp;sourceID=14","0.00178")</f>
        <v>0.00178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HYPERLINK("http://141.218.60.56/~jnz1568/getInfo.php?workbook=20_05.xlsx&amp;sheet=U0&amp;row=4891&amp;col=6&amp;number=3.7&amp;sourceID=14","3.7")</f>
        <v>3.7</v>
      </c>
      <c r="G4891" s="4" t="str">
        <f>HYPERLINK("http://141.218.60.56/~jnz1568/getInfo.php?workbook=20_05.xlsx&amp;sheet=U0&amp;row=4891&amp;col=7&amp;number=0.00178&amp;sourceID=14","0.00178")</f>
        <v>0.00178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HYPERLINK("http://141.218.60.56/~jnz1568/getInfo.php?workbook=20_05.xlsx&amp;sheet=U0&amp;row=4892&amp;col=6&amp;number=3.8&amp;sourceID=14","3.8")</f>
        <v>3.8</v>
      </c>
      <c r="G4892" s="4" t="str">
        <f>HYPERLINK("http://141.218.60.56/~jnz1568/getInfo.php?workbook=20_05.xlsx&amp;sheet=U0&amp;row=4892&amp;col=7&amp;number=0.00178&amp;sourceID=14","0.00178")</f>
        <v>0.00178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HYPERLINK("http://141.218.60.56/~jnz1568/getInfo.php?workbook=20_05.xlsx&amp;sheet=U0&amp;row=4893&amp;col=6&amp;number=3.9&amp;sourceID=14","3.9")</f>
        <v>3.9</v>
      </c>
      <c r="G4893" s="4" t="str">
        <f>HYPERLINK("http://141.218.60.56/~jnz1568/getInfo.php?workbook=20_05.xlsx&amp;sheet=U0&amp;row=4893&amp;col=7&amp;number=0.00178&amp;sourceID=14","0.00178")</f>
        <v>0.00178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HYPERLINK("http://141.218.60.56/~jnz1568/getInfo.php?workbook=20_05.xlsx&amp;sheet=U0&amp;row=4894&amp;col=6&amp;number=4&amp;sourceID=14","4")</f>
        <v>4</v>
      </c>
      <c r="G4894" s="4" t="str">
        <f>HYPERLINK("http://141.218.60.56/~jnz1568/getInfo.php?workbook=20_05.xlsx&amp;sheet=U0&amp;row=4894&amp;col=7&amp;number=0.00178&amp;sourceID=14","0.00178")</f>
        <v>0.00178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HYPERLINK("http://141.218.60.56/~jnz1568/getInfo.php?workbook=20_05.xlsx&amp;sheet=U0&amp;row=4895&amp;col=6&amp;number=4.1&amp;sourceID=14","4.1")</f>
        <v>4.1</v>
      </c>
      <c r="G4895" s="4" t="str">
        <f>HYPERLINK("http://141.218.60.56/~jnz1568/getInfo.php?workbook=20_05.xlsx&amp;sheet=U0&amp;row=4895&amp;col=7&amp;number=0.00178&amp;sourceID=14","0.00178")</f>
        <v>0.00178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HYPERLINK("http://141.218.60.56/~jnz1568/getInfo.php?workbook=20_05.xlsx&amp;sheet=U0&amp;row=4896&amp;col=6&amp;number=4.2&amp;sourceID=14","4.2")</f>
        <v>4.2</v>
      </c>
      <c r="G4896" s="4" t="str">
        <f>HYPERLINK("http://141.218.60.56/~jnz1568/getInfo.php?workbook=20_05.xlsx&amp;sheet=U0&amp;row=4896&amp;col=7&amp;number=0.00178&amp;sourceID=14","0.00178")</f>
        <v>0.00178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HYPERLINK("http://141.218.60.56/~jnz1568/getInfo.php?workbook=20_05.xlsx&amp;sheet=U0&amp;row=4897&amp;col=6&amp;number=4.3&amp;sourceID=14","4.3")</f>
        <v>4.3</v>
      </c>
      <c r="G4897" s="4" t="str">
        <f>HYPERLINK("http://141.218.60.56/~jnz1568/getInfo.php?workbook=20_05.xlsx&amp;sheet=U0&amp;row=4897&amp;col=7&amp;number=0.00178&amp;sourceID=14","0.00178")</f>
        <v>0.00178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HYPERLINK("http://141.218.60.56/~jnz1568/getInfo.php?workbook=20_05.xlsx&amp;sheet=U0&amp;row=4898&amp;col=6&amp;number=4.4&amp;sourceID=14","4.4")</f>
        <v>4.4</v>
      </c>
      <c r="G4898" s="4" t="str">
        <f>HYPERLINK("http://141.218.60.56/~jnz1568/getInfo.php?workbook=20_05.xlsx&amp;sheet=U0&amp;row=4898&amp;col=7&amp;number=0.00178&amp;sourceID=14","0.00178")</f>
        <v>0.00178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HYPERLINK("http://141.218.60.56/~jnz1568/getInfo.php?workbook=20_05.xlsx&amp;sheet=U0&amp;row=4899&amp;col=6&amp;number=4.5&amp;sourceID=14","4.5")</f>
        <v>4.5</v>
      </c>
      <c r="G4899" s="4" t="str">
        <f>HYPERLINK("http://141.218.60.56/~jnz1568/getInfo.php?workbook=20_05.xlsx&amp;sheet=U0&amp;row=4899&amp;col=7&amp;number=0.00178&amp;sourceID=14","0.00178")</f>
        <v>0.00178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HYPERLINK("http://141.218.60.56/~jnz1568/getInfo.php?workbook=20_05.xlsx&amp;sheet=U0&amp;row=4900&amp;col=6&amp;number=4.6&amp;sourceID=14","4.6")</f>
        <v>4.6</v>
      </c>
      <c r="G4900" s="4" t="str">
        <f>HYPERLINK("http://141.218.60.56/~jnz1568/getInfo.php?workbook=20_05.xlsx&amp;sheet=U0&amp;row=4900&amp;col=7&amp;number=0.00178&amp;sourceID=14","0.00178")</f>
        <v>0.00178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HYPERLINK("http://141.218.60.56/~jnz1568/getInfo.php?workbook=20_05.xlsx&amp;sheet=U0&amp;row=4901&amp;col=6&amp;number=4.7&amp;sourceID=14","4.7")</f>
        <v>4.7</v>
      </c>
      <c r="G4901" s="4" t="str">
        <f>HYPERLINK("http://141.218.60.56/~jnz1568/getInfo.php?workbook=20_05.xlsx&amp;sheet=U0&amp;row=4901&amp;col=7&amp;number=0.00178&amp;sourceID=14","0.00178")</f>
        <v>0.00178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HYPERLINK("http://141.218.60.56/~jnz1568/getInfo.php?workbook=20_05.xlsx&amp;sheet=U0&amp;row=4902&amp;col=6&amp;number=4.8&amp;sourceID=14","4.8")</f>
        <v>4.8</v>
      </c>
      <c r="G4902" s="4" t="str">
        <f>HYPERLINK("http://141.218.60.56/~jnz1568/getInfo.php?workbook=20_05.xlsx&amp;sheet=U0&amp;row=4902&amp;col=7&amp;number=0.00178&amp;sourceID=14","0.00178")</f>
        <v>0.00178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HYPERLINK("http://141.218.60.56/~jnz1568/getInfo.php?workbook=20_05.xlsx&amp;sheet=U0&amp;row=4903&amp;col=6&amp;number=4.9&amp;sourceID=14","4.9")</f>
        <v>4.9</v>
      </c>
      <c r="G4903" s="4" t="str">
        <f>HYPERLINK("http://141.218.60.56/~jnz1568/getInfo.php?workbook=20_05.xlsx&amp;sheet=U0&amp;row=4903&amp;col=7&amp;number=0.00177&amp;sourceID=14","0.00177")</f>
        <v>0.00177</v>
      </c>
    </row>
    <row r="4904" spans="1:7">
      <c r="A4904" s="3">
        <v>20</v>
      </c>
      <c r="B4904" s="3">
        <v>5</v>
      </c>
      <c r="C4904" s="3">
        <v>2</v>
      </c>
      <c r="D4904" s="3">
        <v>92</v>
      </c>
      <c r="E4904" s="3">
        <v>1</v>
      </c>
      <c r="F4904" s="4" t="str">
        <f>HYPERLINK("http://141.218.60.56/~jnz1568/getInfo.php?workbook=20_05.xlsx&amp;sheet=U0&amp;row=4904&amp;col=6&amp;number=3&amp;sourceID=14","3")</f>
        <v>3</v>
      </c>
      <c r="G4904" s="4" t="str">
        <f>HYPERLINK("http://141.218.60.56/~jnz1568/getInfo.php?workbook=20_05.xlsx&amp;sheet=U0&amp;row=4904&amp;col=7&amp;number=0.0159&amp;sourceID=14","0.0159")</f>
        <v>0.0159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HYPERLINK("http://141.218.60.56/~jnz1568/getInfo.php?workbook=20_05.xlsx&amp;sheet=U0&amp;row=4905&amp;col=6&amp;number=3.1&amp;sourceID=14","3.1")</f>
        <v>3.1</v>
      </c>
      <c r="G4905" s="4" t="str">
        <f>HYPERLINK("http://141.218.60.56/~jnz1568/getInfo.php?workbook=20_05.xlsx&amp;sheet=U0&amp;row=4905&amp;col=7&amp;number=0.0159&amp;sourceID=14","0.0159")</f>
        <v>0.0159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HYPERLINK("http://141.218.60.56/~jnz1568/getInfo.php?workbook=20_05.xlsx&amp;sheet=U0&amp;row=4906&amp;col=6&amp;number=3.2&amp;sourceID=14","3.2")</f>
        <v>3.2</v>
      </c>
      <c r="G4906" s="4" t="str">
        <f>HYPERLINK("http://141.218.60.56/~jnz1568/getInfo.php?workbook=20_05.xlsx&amp;sheet=U0&amp;row=4906&amp;col=7&amp;number=0.0159&amp;sourceID=14","0.0159")</f>
        <v>0.0159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HYPERLINK("http://141.218.60.56/~jnz1568/getInfo.php?workbook=20_05.xlsx&amp;sheet=U0&amp;row=4907&amp;col=6&amp;number=3.3&amp;sourceID=14","3.3")</f>
        <v>3.3</v>
      </c>
      <c r="G4907" s="4" t="str">
        <f>HYPERLINK("http://141.218.60.56/~jnz1568/getInfo.php?workbook=20_05.xlsx&amp;sheet=U0&amp;row=4907&amp;col=7&amp;number=0.0159&amp;sourceID=14","0.0159")</f>
        <v>0.0159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HYPERLINK("http://141.218.60.56/~jnz1568/getInfo.php?workbook=20_05.xlsx&amp;sheet=U0&amp;row=4908&amp;col=6&amp;number=3.4&amp;sourceID=14","3.4")</f>
        <v>3.4</v>
      </c>
      <c r="G4908" s="4" t="str">
        <f>HYPERLINK("http://141.218.60.56/~jnz1568/getInfo.php?workbook=20_05.xlsx&amp;sheet=U0&amp;row=4908&amp;col=7&amp;number=0.0159&amp;sourceID=14","0.0159")</f>
        <v>0.0159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HYPERLINK("http://141.218.60.56/~jnz1568/getInfo.php?workbook=20_05.xlsx&amp;sheet=U0&amp;row=4909&amp;col=6&amp;number=3.5&amp;sourceID=14","3.5")</f>
        <v>3.5</v>
      </c>
      <c r="G4909" s="4" t="str">
        <f>HYPERLINK("http://141.218.60.56/~jnz1568/getInfo.php?workbook=20_05.xlsx&amp;sheet=U0&amp;row=4909&amp;col=7&amp;number=0.0159&amp;sourceID=14","0.0159")</f>
        <v>0.0159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HYPERLINK("http://141.218.60.56/~jnz1568/getInfo.php?workbook=20_05.xlsx&amp;sheet=U0&amp;row=4910&amp;col=6&amp;number=3.6&amp;sourceID=14","3.6")</f>
        <v>3.6</v>
      </c>
      <c r="G4910" s="4" t="str">
        <f>HYPERLINK("http://141.218.60.56/~jnz1568/getInfo.php?workbook=20_05.xlsx&amp;sheet=U0&amp;row=4910&amp;col=7&amp;number=0.0159&amp;sourceID=14","0.0159")</f>
        <v>0.0159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HYPERLINK("http://141.218.60.56/~jnz1568/getInfo.php?workbook=20_05.xlsx&amp;sheet=U0&amp;row=4911&amp;col=6&amp;number=3.7&amp;sourceID=14","3.7")</f>
        <v>3.7</v>
      </c>
      <c r="G4911" s="4" t="str">
        <f>HYPERLINK("http://141.218.60.56/~jnz1568/getInfo.php?workbook=20_05.xlsx&amp;sheet=U0&amp;row=4911&amp;col=7&amp;number=0.0159&amp;sourceID=14","0.0159")</f>
        <v>0.0159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HYPERLINK("http://141.218.60.56/~jnz1568/getInfo.php?workbook=20_05.xlsx&amp;sheet=U0&amp;row=4912&amp;col=6&amp;number=3.8&amp;sourceID=14","3.8")</f>
        <v>3.8</v>
      </c>
      <c r="G4912" s="4" t="str">
        <f>HYPERLINK("http://141.218.60.56/~jnz1568/getInfo.php?workbook=20_05.xlsx&amp;sheet=U0&amp;row=4912&amp;col=7&amp;number=0.0159&amp;sourceID=14","0.0159")</f>
        <v>0.0159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HYPERLINK("http://141.218.60.56/~jnz1568/getInfo.php?workbook=20_05.xlsx&amp;sheet=U0&amp;row=4913&amp;col=6&amp;number=3.9&amp;sourceID=14","3.9")</f>
        <v>3.9</v>
      </c>
      <c r="G4913" s="4" t="str">
        <f>HYPERLINK("http://141.218.60.56/~jnz1568/getInfo.php?workbook=20_05.xlsx&amp;sheet=U0&amp;row=4913&amp;col=7&amp;number=0.0159&amp;sourceID=14","0.0159")</f>
        <v>0.0159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HYPERLINK("http://141.218.60.56/~jnz1568/getInfo.php?workbook=20_05.xlsx&amp;sheet=U0&amp;row=4914&amp;col=6&amp;number=4&amp;sourceID=14","4")</f>
        <v>4</v>
      </c>
      <c r="G4914" s="4" t="str">
        <f>HYPERLINK("http://141.218.60.56/~jnz1568/getInfo.php?workbook=20_05.xlsx&amp;sheet=U0&amp;row=4914&amp;col=7&amp;number=0.0159&amp;sourceID=14","0.0159")</f>
        <v>0.0159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HYPERLINK("http://141.218.60.56/~jnz1568/getInfo.php?workbook=20_05.xlsx&amp;sheet=U0&amp;row=4915&amp;col=6&amp;number=4.1&amp;sourceID=14","4.1")</f>
        <v>4.1</v>
      </c>
      <c r="G4915" s="4" t="str">
        <f>HYPERLINK("http://141.218.60.56/~jnz1568/getInfo.php?workbook=20_05.xlsx&amp;sheet=U0&amp;row=4915&amp;col=7&amp;number=0.0159&amp;sourceID=14","0.0159")</f>
        <v>0.0159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HYPERLINK("http://141.218.60.56/~jnz1568/getInfo.php?workbook=20_05.xlsx&amp;sheet=U0&amp;row=4916&amp;col=6&amp;number=4.2&amp;sourceID=14","4.2")</f>
        <v>4.2</v>
      </c>
      <c r="G4916" s="4" t="str">
        <f>HYPERLINK("http://141.218.60.56/~jnz1568/getInfo.php?workbook=20_05.xlsx&amp;sheet=U0&amp;row=4916&amp;col=7&amp;number=0.0159&amp;sourceID=14","0.0159")</f>
        <v>0.0159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HYPERLINK("http://141.218.60.56/~jnz1568/getInfo.php?workbook=20_05.xlsx&amp;sheet=U0&amp;row=4917&amp;col=6&amp;number=4.3&amp;sourceID=14","4.3")</f>
        <v>4.3</v>
      </c>
      <c r="G4917" s="4" t="str">
        <f>HYPERLINK("http://141.218.60.56/~jnz1568/getInfo.php?workbook=20_05.xlsx&amp;sheet=U0&amp;row=4917&amp;col=7&amp;number=0.0159&amp;sourceID=14","0.0159")</f>
        <v>0.0159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HYPERLINK("http://141.218.60.56/~jnz1568/getInfo.php?workbook=20_05.xlsx&amp;sheet=U0&amp;row=4918&amp;col=6&amp;number=4.4&amp;sourceID=14","4.4")</f>
        <v>4.4</v>
      </c>
      <c r="G4918" s="4" t="str">
        <f>HYPERLINK("http://141.218.60.56/~jnz1568/getInfo.php?workbook=20_05.xlsx&amp;sheet=U0&amp;row=4918&amp;col=7&amp;number=0.0159&amp;sourceID=14","0.0159")</f>
        <v>0.0159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HYPERLINK("http://141.218.60.56/~jnz1568/getInfo.php?workbook=20_05.xlsx&amp;sheet=U0&amp;row=4919&amp;col=6&amp;number=4.5&amp;sourceID=14","4.5")</f>
        <v>4.5</v>
      </c>
      <c r="G4919" s="4" t="str">
        <f>HYPERLINK("http://141.218.60.56/~jnz1568/getInfo.php?workbook=20_05.xlsx&amp;sheet=U0&amp;row=4919&amp;col=7&amp;number=0.0159&amp;sourceID=14","0.0159")</f>
        <v>0.0159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HYPERLINK("http://141.218.60.56/~jnz1568/getInfo.php?workbook=20_05.xlsx&amp;sheet=U0&amp;row=4920&amp;col=6&amp;number=4.6&amp;sourceID=14","4.6")</f>
        <v>4.6</v>
      </c>
      <c r="G4920" s="4" t="str">
        <f>HYPERLINK("http://141.218.60.56/~jnz1568/getInfo.php?workbook=20_05.xlsx&amp;sheet=U0&amp;row=4920&amp;col=7&amp;number=0.0159&amp;sourceID=14","0.0159")</f>
        <v>0.0159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HYPERLINK("http://141.218.60.56/~jnz1568/getInfo.php?workbook=20_05.xlsx&amp;sheet=U0&amp;row=4921&amp;col=6&amp;number=4.7&amp;sourceID=14","4.7")</f>
        <v>4.7</v>
      </c>
      <c r="G4921" s="4" t="str">
        <f>HYPERLINK("http://141.218.60.56/~jnz1568/getInfo.php?workbook=20_05.xlsx&amp;sheet=U0&amp;row=4921&amp;col=7&amp;number=0.016&amp;sourceID=14","0.016")</f>
        <v>0.016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HYPERLINK("http://141.218.60.56/~jnz1568/getInfo.php?workbook=20_05.xlsx&amp;sheet=U0&amp;row=4922&amp;col=6&amp;number=4.8&amp;sourceID=14","4.8")</f>
        <v>4.8</v>
      </c>
      <c r="G4922" s="4" t="str">
        <f>HYPERLINK("http://141.218.60.56/~jnz1568/getInfo.php?workbook=20_05.xlsx&amp;sheet=U0&amp;row=4922&amp;col=7&amp;number=0.016&amp;sourceID=14","0.016")</f>
        <v>0.016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HYPERLINK("http://141.218.60.56/~jnz1568/getInfo.php?workbook=20_05.xlsx&amp;sheet=U0&amp;row=4923&amp;col=6&amp;number=4.9&amp;sourceID=14","4.9")</f>
        <v>4.9</v>
      </c>
      <c r="G4923" s="4" t="str">
        <f>HYPERLINK("http://141.218.60.56/~jnz1568/getInfo.php?workbook=20_05.xlsx&amp;sheet=U0&amp;row=4923&amp;col=7&amp;number=0.016&amp;sourceID=14","0.016")</f>
        <v>0.016</v>
      </c>
    </row>
    <row r="4924" spans="1:7">
      <c r="A4924" s="3">
        <v>20</v>
      </c>
      <c r="B4924" s="3">
        <v>5</v>
      </c>
      <c r="C4924" s="3">
        <v>2</v>
      </c>
      <c r="D4924" s="3">
        <v>93</v>
      </c>
      <c r="E4924" s="3">
        <v>1</v>
      </c>
      <c r="F4924" s="4" t="str">
        <f>HYPERLINK("http://141.218.60.56/~jnz1568/getInfo.php?workbook=20_05.xlsx&amp;sheet=U0&amp;row=4924&amp;col=6&amp;number=3&amp;sourceID=14","3")</f>
        <v>3</v>
      </c>
      <c r="G4924" s="4" t="str">
        <f>HYPERLINK("http://141.218.60.56/~jnz1568/getInfo.php?workbook=20_05.xlsx&amp;sheet=U0&amp;row=4924&amp;col=7&amp;number=0.0141&amp;sourceID=14","0.0141")</f>
        <v>0.0141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HYPERLINK("http://141.218.60.56/~jnz1568/getInfo.php?workbook=20_05.xlsx&amp;sheet=U0&amp;row=4925&amp;col=6&amp;number=3.1&amp;sourceID=14","3.1")</f>
        <v>3.1</v>
      </c>
      <c r="G4925" s="4" t="str">
        <f>HYPERLINK("http://141.218.60.56/~jnz1568/getInfo.php?workbook=20_05.xlsx&amp;sheet=U0&amp;row=4925&amp;col=7&amp;number=0.0141&amp;sourceID=14","0.0141")</f>
        <v>0.0141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HYPERLINK("http://141.218.60.56/~jnz1568/getInfo.php?workbook=20_05.xlsx&amp;sheet=U0&amp;row=4926&amp;col=6&amp;number=3.2&amp;sourceID=14","3.2")</f>
        <v>3.2</v>
      </c>
      <c r="G4926" s="4" t="str">
        <f>HYPERLINK("http://141.218.60.56/~jnz1568/getInfo.php?workbook=20_05.xlsx&amp;sheet=U0&amp;row=4926&amp;col=7&amp;number=0.0141&amp;sourceID=14","0.0141")</f>
        <v>0.0141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HYPERLINK("http://141.218.60.56/~jnz1568/getInfo.php?workbook=20_05.xlsx&amp;sheet=U0&amp;row=4927&amp;col=6&amp;number=3.3&amp;sourceID=14","3.3")</f>
        <v>3.3</v>
      </c>
      <c r="G4927" s="4" t="str">
        <f>HYPERLINK("http://141.218.60.56/~jnz1568/getInfo.php?workbook=20_05.xlsx&amp;sheet=U0&amp;row=4927&amp;col=7&amp;number=0.0141&amp;sourceID=14","0.0141")</f>
        <v>0.0141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HYPERLINK("http://141.218.60.56/~jnz1568/getInfo.php?workbook=20_05.xlsx&amp;sheet=U0&amp;row=4928&amp;col=6&amp;number=3.4&amp;sourceID=14","3.4")</f>
        <v>3.4</v>
      </c>
      <c r="G4928" s="4" t="str">
        <f>HYPERLINK("http://141.218.60.56/~jnz1568/getInfo.php?workbook=20_05.xlsx&amp;sheet=U0&amp;row=4928&amp;col=7&amp;number=0.0141&amp;sourceID=14","0.0141")</f>
        <v>0.0141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HYPERLINK("http://141.218.60.56/~jnz1568/getInfo.php?workbook=20_05.xlsx&amp;sheet=U0&amp;row=4929&amp;col=6&amp;number=3.5&amp;sourceID=14","3.5")</f>
        <v>3.5</v>
      </c>
      <c r="G4929" s="4" t="str">
        <f>HYPERLINK("http://141.218.60.56/~jnz1568/getInfo.php?workbook=20_05.xlsx&amp;sheet=U0&amp;row=4929&amp;col=7&amp;number=0.0141&amp;sourceID=14","0.0141")</f>
        <v>0.0141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HYPERLINK("http://141.218.60.56/~jnz1568/getInfo.php?workbook=20_05.xlsx&amp;sheet=U0&amp;row=4930&amp;col=6&amp;number=3.6&amp;sourceID=14","3.6")</f>
        <v>3.6</v>
      </c>
      <c r="G4930" s="4" t="str">
        <f>HYPERLINK("http://141.218.60.56/~jnz1568/getInfo.php?workbook=20_05.xlsx&amp;sheet=U0&amp;row=4930&amp;col=7&amp;number=0.0141&amp;sourceID=14","0.0141")</f>
        <v>0.0141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HYPERLINK("http://141.218.60.56/~jnz1568/getInfo.php?workbook=20_05.xlsx&amp;sheet=U0&amp;row=4931&amp;col=6&amp;number=3.7&amp;sourceID=14","3.7")</f>
        <v>3.7</v>
      </c>
      <c r="G4931" s="4" t="str">
        <f>HYPERLINK("http://141.218.60.56/~jnz1568/getInfo.php?workbook=20_05.xlsx&amp;sheet=U0&amp;row=4931&amp;col=7&amp;number=0.0141&amp;sourceID=14","0.0141")</f>
        <v>0.0141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HYPERLINK("http://141.218.60.56/~jnz1568/getInfo.php?workbook=20_05.xlsx&amp;sheet=U0&amp;row=4932&amp;col=6&amp;number=3.8&amp;sourceID=14","3.8")</f>
        <v>3.8</v>
      </c>
      <c r="G4932" s="4" t="str">
        <f>HYPERLINK("http://141.218.60.56/~jnz1568/getInfo.php?workbook=20_05.xlsx&amp;sheet=U0&amp;row=4932&amp;col=7&amp;number=0.0141&amp;sourceID=14","0.0141")</f>
        <v>0.0141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HYPERLINK("http://141.218.60.56/~jnz1568/getInfo.php?workbook=20_05.xlsx&amp;sheet=U0&amp;row=4933&amp;col=6&amp;number=3.9&amp;sourceID=14","3.9")</f>
        <v>3.9</v>
      </c>
      <c r="G4933" s="4" t="str">
        <f>HYPERLINK("http://141.218.60.56/~jnz1568/getInfo.php?workbook=20_05.xlsx&amp;sheet=U0&amp;row=4933&amp;col=7&amp;number=0.0141&amp;sourceID=14","0.0141")</f>
        <v>0.0141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HYPERLINK("http://141.218.60.56/~jnz1568/getInfo.php?workbook=20_05.xlsx&amp;sheet=U0&amp;row=4934&amp;col=6&amp;number=4&amp;sourceID=14","4")</f>
        <v>4</v>
      </c>
      <c r="G4934" s="4" t="str">
        <f>HYPERLINK("http://141.218.60.56/~jnz1568/getInfo.php?workbook=20_05.xlsx&amp;sheet=U0&amp;row=4934&amp;col=7&amp;number=0.0141&amp;sourceID=14","0.0141")</f>
        <v>0.0141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HYPERLINK("http://141.218.60.56/~jnz1568/getInfo.php?workbook=20_05.xlsx&amp;sheet=U0&amp;row=4935&amp;col=6&amp;number=4.1&amp;sourceID=14","4.1")</f>
        <v>4.1</v>
      </c>
      <c r="G4935" s="4" t="str">
        <f>HYPERLINK("http://141.218.60.56/~jnz1568/getInfo.php?workbook=20_05.xlsx&amp;sheet=U0&amp;row=4935&amp;col=7&amp;number=0.0141&amp;sourceID=14","0.0141")</f>
        <v>0.0141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HYPERLINK("http://141.218.60.56/~jnz1568/getInfo.php?workbook=20_05.xlsx&amp;sheet=U0&amp;row=4936&amp;col=6&amp;number=4.2&amp;sourceID=14","4.2")</f>
        <v>4.2</v>
      </c>
      <c r="G4936" s="4" t="str">
        <f>HYPERLINK("http://141.218.60.56/~jnz1568/getInfo.php?workbook=20_05.xlsx&amp;sheet=U0&amp;row=4936&amp;col=7&amp;number=0.0141&amp;sourceID=14","0.0141")</f>
        <v>0.0141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HYPERLINK("http://141.218.60.56/~jnz1568/getInfo.php?workbook=20_05.xlsx&amp;sheet=U0&amp;row=4937&amp;col=6&amp;number=4.3&amp;sourceID=14","4.3")</f>
        <v>4.3</v>
      </c>
      <c r="G4937" s="4" t="str">
        <f>HYPERLINK("http://141.218.60.56/~jnz1568/getInfo.php?workbook=20_05.xlsx&amp;sheet=U0&amp;row=4937&amp;col=7&amp;number=0.0141&amp;sourceID=14","0.0141")</f>
        <v>0.0141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HYPERLINK("http://141.218.60.56/~jnz1568/getInfo.php?workbook=20_05.xlsx&amp;sheet=U0&amp;row=4938&amp;col=6&amp;number=4.4&amp;sourceID=14","4.4")</f>
        <v>4.4</v>
      </c>
      <c r="G4938" s="4" t="str">
        <f>HYPERLINK("http://141.218.60.56/~jnz1568/getInfo.php?workbook=20_05.xlsx&amp;sheet=U0&amp;row=4938&amp;col=7&amp;number=0.0141&amp;sourceID=14","0.0141")</f>
        <v>0.0141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HYPERLINK("http://141.218.60.56/~jnz1568/getInfo.php?workbook=20_05.xlsx&amp;sheet=U0&amp;row=4939&amp;col=6&amp;number=4.5&amp;sourceID=14","4.5")</f>
        <v>4.5</v>
      </c>
      <c r="G4939" s="4" t="str">
        <f>HYPERLINK("http://141.218.60.56/~jnz1568/getInfo.php?workbook=20_05.xlsx&amp;sheet=U0&amp;row=4939&amp;col=7&amp;number=0.0141&amp;sourceID=14","0.0141")</f>
        <v>0.0141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HYPERLINK("http://141.218.60.56/~jnz1568/getInfo.php?workbook=20_05.xlsx&amp;sheet=U0&amp;row=4940&amp;col=6&amp;number=4.6&amp;sourceID=14","4.6")</f>
        <v>4.6</v>
      </c>
      <c r="G4940" s="4" t="str">
        <f>HYPERLINK("http://141.218.60.56/~jnz1568/getInfo.php?workbook=20_05.xlsx&amp;sheet=U0&amp;row=4940&amp;col=7&amp;number=0.0141&amp;sourceID=14","0.0141")</f>
        <v>0.0141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HYPERLINK("http://141.218.60.56/~jnz1568/getInfo.php?workbook=20_05.xlsx&amp;sheet=U0&amp;row=4941&amp;col=6&amp;number=4.7&amp;sourceID=14","4.7")</f>
        <v>4.7</v>
      </c>
      <c r="G4941" s="4" t="str">
        <f>HYPERLINK("http://141.218.60.56/~jnz1568/getInfo.php?workbook=20_05.xlsx&amp;sheet=U0&amp;row=4941&amp;col=7&amp;number=0.0141&amp;sourceID=14","0.0141")</f>
        <v>0.0141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HYPERLINK("http://141.218.60.56/~jnz1568/getInfo.php?workbook=20_05.xlsx&amp;sheet=U0&amp;row=4942&amp;col=6&amp;number=4.8&amp;sourceID=14","4.8")</f>
        <v>4.8</v>
      </c>
      <c r="G4942" s="4" t="str">
        <f>HYPERLINK("http://141.218.60.56/~jnz1568/getInfo.php?workbook=20_05.xlsx&amp;sheet=U0&amp;row=4942&amp;col=7&amp;number=0.0141&amp;sourceID=14","0.0141")</f>
        <v>0.0141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HYPERLINK("http://141.218.60.56/~jnz1568/getInfo.php?workbook=20_05.xlsx&amp;sheet=U0&amp;row=4943&amp;col=6&amp;number=4.9&amp;sourceID=14","4.9")</f>
        <v>4.9</v>
      </c>
      <c r="G4943" s="4" t="str">
        <f>HYPERLINK("http://141.218.60.56/~jnz1568/getInfo.php?workbook=20_05.xlsx&amp;sheet=U0&amp;row=4943&amp;col=7&amp;number=0.0141&amp;sourceID=14","0.0141")</f>
        <v>0.0141</v>
      </c>
    </row>
    <row r="4944" spans="1:7">
      <c r="A4944" s="3">
        <v>20</v>
      </c>
      <c r="B4944" s="3">
        <v>5</v>
      </c>
      <c r="C4944" s="3">
        <v>2</v>
      </c>
      <c r="D4944" s="3">
        <v>94</v>
      </c>
      <c r="E4944" s="3">
        <v>1</v>
      </c>
      <c r="F4944" s="4" t="str">
        <f>HYPERLINK("http://141.218.60.56/~jnz1568/getInfo.php?workbook=20_05.xlsx&amp;sheet=U0&amp;row=4944&amp;col=6&amp;number=3&amp;sourceID=14","3")</f>
        <v>3</v>
      </c>
      <c r="G4944" s="4" t="str">
        <f>HYPERLINK("http://141.218.60.56/~jnz1568/getInfo.php?workbook=20_05.xlsx&amp;sheet=U0&amp;row=4944&amp;col=7&amp;number=0.00409&amp;sourceID=14","0.00409")</f>
        <v>0.00409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HYPERLINK("http://141.218.60.56/~jnz1568/getInfo.php?workbook=20_05.xlsx&amp;sheet=U0&amp;row=4945&amp;col=6&amp;number=3.1&amp;sourceID=14","3.1")</f>
        <v>3.1</v>
      </c>
      <c r="G4945" s="4" t="str">
        <f>HYPERLINK("http://141.218.60.56/~jnz1568/getInfo.php?workbook=20_05.xlsx&amp;sheet=U0&amp;row=4945&amp;col=7&amp;number=0.00409&amp;sourceID=14","0.00409")</f>
        <v>0.00409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HYPERLINK("http://141.218.60.56/~jnz1568/getInfo.php?workbook=20_05.xlsx&amp;sheet=U0&amp;row=4946&amp;col=6&amp;number=3.2&amp;sourceID=14","3.2")</f>
        <v>3.2</v>
      </c>
      <c r="G4946" s="4" t="str">
        <f>HYPERLINK("http://141.218.60.56/~jnz1568/getInfo.php?workbook=20_05.xlsx&amp;sheet=U0&amp;row=4946&amp;col=7&amp;number=0.00409&amp;sourceID=14","0.00409")</f>
        <v>0.00409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HYPERLINK("http://141.218.60.56/~jnz1568/getInfo.php?workbook=20_05.xlsx&amp;sheet=U0&amp;row=4947&amp;col=6&amp;number=3.3&amp;sourceID=14","3.3")</f>
        <v>3.3</v>
      </c>
      <c r="G4947" s="4" t="str">
        <f>HYPERLINK("http://141.218.60.56/~jnz1568/getInfo.php?workbook=20_05.xlsx&amp;sheet=U0&amp;row=4947&amp;col=7&amp;number=0.00409&amp;sourceID=14","0.00409")</f>
        <v>0.00409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HYPERLINK("http://141.218.60.56/~jnz1568/getInfo.php?workbook=20_05.xlsx&amp;sheet=U0&amp;row=4948&amp;col=6&amp;number=3.4&amp;sourceID=14","3.4")</f>
        <v>3.4</v>
      </c>
      <c r="G4948" s="4" t="str">
        <f>HYPERLINK("http://141.218.60.56/~jnz1568/getInfo.php?workbook=20_05.xlsx&amp;sheet=U0&amp;row=4948&amp;col=7&amp;number=0.00408&amp;sourceID=14","0.00408")</f>
        <v>0.00408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HYPERLINK("http://141.218.60.56/~jnz1568/getInfo.php?workbook=20_05.xlsx&amp;sheet=U0&amp;row=4949&amp;col=6&amp;number=3.5&amp;sourceID=14","3.5")</f>
        <v>3.5</v>
      </c>
      <c r="G4949" s="4" t="str">
        <f>HYPERLINK("http://141.218.60.56/~jnz1568/getInfo.php?workbook=20_05.xlsx&amp;sheet=U0&amp;row=4949&amp;col=7&amp;number=0.00408&amp;sourceID=14","0.00408")</f>
        <v>0.00408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HYPERLINK("http://141.218.60.56/~jnz1568/getInfo.php?workbook=20_05.xlsx&amp;sheet=U0&amp;row=4950&amp;col=6&amp;number=3.6&amp;sourceID=14","3.6")</f>
        <v>3.6</v>
      </c>
      <c r="G4950" s="4" t="str">
        <f>HYPERLINK("http://141.218.60.56/~jnz1568/getInfo.php?workbook=20_05.xlsx&amp;sheet=U0&amp;row=4950&amp;col=7&amp;number=0.00408&amp;sourceID=14","0.00408")</f>
        <v>0.00408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HYPERLINK("http://141.218.60.56/~jnz1568/getInfo.php?workbook=20_05.xlsx&amp;sheet=U0&amp;row=4951&amp;col=6&amp;number=3.7&amp;sourceID=14","3.7")</f>
        <v>3.7</v>
      </c>
      <c r="G4951" s="4" t="str">
        <f>HYPERLINK("http://141.218.60.56/~jnz1568/getInfo.php?workbook=20_05.xlsx&amp;sheet=U0&amp;row=4951&amp;col=7&amp;number=0.00408&amp;sourceID=14","0.00408")</f>
        <v>0.00408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HYPERLINK("http://141.218.60.56/~jnz1568/getInfo.php?workbook=20_05.xlsx&amp;sheet=U0&amp;row=4952&amp;col=6&amp;number=3.8&amp;sourceID=14","3.8")</f>
        <v>3.8</v>
      </c>
      <c r="G4952" s="4" t="str">
        <f>HYPERLINK("http://141.218.60.56/~jnz1568/getInfo.php?workbook=20_05.xlsx&amp;sheet=U0&amp;row=4952&amp;col=7&amp;number=0.00408&amp;sourceID=14","0.00408")</f>
        <v>0.00408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HYPERLINK("http://141.218.60.56/~jnz1568/getInfo.php?workbook=20_05.xlsx&amp;sheet=U0&amp;row=4953&amp;col=6&amp;number=3.9&amp;sourceID=14","3.9")</f>
        <v>3.9</v>
      </c>
      <c r="G4953" s="4" t="str">
        <f>HYPERLINK("http://141.218.60.56/~jnz1568/getInfo.php?workbook=20_05.xlsx&amp;sheet=U0&amp;row=4953&amp;col=7&amp;number=0.00408&amp;sourceID=14","0.00408")</f>
        <v>0.00408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HYPERLINK("http://141.218.60.56/~jnz1568/getInfo.php?workbook=20_05.xlsx&amp;sheet=U0&amp;row=4954&amp;col=6&amp;number=4&amp;sourceID=14","4")</f>
        <v>4</v>
      </c>
      <c r="G4954" s="4" t="str">
        <f>HYPERLINK("http://141.218.60.56/~jnz1568/getInfo.php?workbook=20_05.xlsx&amp;sheet=U0&amp;row=4954&amp;col=7&amp;number=0.00408&amp;sourceID=14","0.00408")</f>
        <v>0.00408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HYPERLINK("http://141.218.60.56/~jnz1568/getInfo.php?workbook=20_05.xlsx&amp;sheet=U0&amp;row=4955&amp;col=6&amp;number=4.1&amp;sourceID=14","4.1")</f>
        <v>4.1</v>
      </c>
      <c r="G4955" s="4" t="str">
        <f>HYPERLINK("http://141.218.60.56/~jnz1568/getInfo.php?workbook=20_05.xlsx&amp;sheet=U0&amp;row=4955&amp;col=7&amp;number=0.00407&amp;sourceID=14","0.00407")</f>
        <v>0.00407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HYPERLINK("http://141.218.60.56/~jnz1568/getInfo.php?workbook=20_05.xlsx&amp;sheet=U0&amp;row=4956&amp;col=6&amp;number=4.2&amp;sourceID=14","4.2")</f>
        <v>4.2</v>
      </c>
      <c r="G4956" s="4" t="str">
        <f>HYPERLINK("http://141.218.60.56/~jnz1568/getInfo.php?workbook=20_05.xlsx&amp;sheet=U0&amp;row=4956&amp;col=7&amp;number=0.00407&amp;sourceID=14","0.00407")</f>
        <v>0.00407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HYPERLINK("http://141.218.60.56/~jnz1568/getInfo.php?workbook=20_05.xlsx&amp;sheet=U0&amp;row=4957&amp;col=6&amp;number=4.3&amp;sourceID=14","4.3")</f>
        <v>4.3</v>
      </c>
      <c r="G4957" s="4" t="str">
        <f>HYPERLINK("http://141.218.60.56/~jnz1568/getInfo.php?workbook=20_05.xlsx&amp;sheet=U0&amp;row=4957&amp;col=7&amp;number=0.00406&amp;sourceID=14","0.00406")</f>
        <v>0.00406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HYPERLINK("http://141.218.60.56/~jnz1568/getInfo.php?workbook=20_05.xlsx&amp;sheet=U0&amp;row=4958&amp;col=6&amp;number=4.4&amp;sourceID=14","4.4")</f>
        <v>4.4</v>
      </c>
      <c r="G4958" s="4" t="str">
        <f>HYPERLINK("http://141.218.60.56/~jnz1568/getInfo.php?workbook=20_05.xlsx&amp;sheet=U0&amp;row=4958&amp;col=7&amp;number=0.00406&amp;sourceID=14","0.00406")</f>
        <v>0.00406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HYPERLINK("http://141.218.60.56/~jnz1568/getInfo.php?workbook=20_05.xlsx&amp;sheet=U0&amp;row=4959&amp;col=6&amp;number=4.5&amp;sourceID=14","4.5")</f>
        <v>4.5</v>
      </c>
      <c r="G4959" s="4" t="str">
        <f>HYPERLINK("http://141.218.60.56/~jnz1568/getInfo.php?workbook=20_05.xlsx&amp;sheet=U0&amp;row=4959&amp;col=7&amp;number=0.00405&amp;sourceID=14","0.00405")</f>
        <v>0.00405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HYPERLINK("http://141.218.60.56/~jnz1568/getInfo.php?workbook=20_05.xlsx&amp;sheet=U0&amp;row=4960&amp;col=6&amp;number=4.6&amp;sourceID=14","4.6")</f>
        <v>4.6</v>
      </c>
      <c r="G4960" s="4" t="str">
        <f>HYPERLINK("http://141.218.60.56/~jnz1568/getInfo.php?workbook=20_05.xlsx&amp;sheet=U0&amp;row=4960&amp;col=7&amp;number=0.00404&amp;sourceID=14","0.00404")</f>
        <v>0.00404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HYPERLINK("http://141.218.60.56/~jnz1568/getInfo.php?workbook=20_05.xlsx&amp;sheet=U0&amp;row=4961&amp;col=6&amp;number=4.7&amp;sourceID=14","4.7")</f>
        <v>4.7</v>
      </c>
      <c r="G4961" s="4" t="str">
        <f>HYPERLINK("http://141.218.60.56/~jnz1568/getInfo.php?workbook=20_05.xlsx&amp;sheet=U0&amp;row=4961&amp;col=7&amp;number=0.00403&amp;sourceID=14","0.00403")</f>
        <v>0.00403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HYPERLINK("http://141.218.60.56/~jnz1568/getInfo.php?workbook=20_05.xlsx&amp;sheet=U0&amp;row=4962&amp;col=6&amp;number=4.8&amp;sourceID=14","4.8")</f>
        <v>4.8</v>
      </c>
      <c r="G4962" s="4" t="str">
        <f>HYPERLINK("http://141.218.60.56/~jnz1568/getInfo.php?workbook=20_05.xlsx&amp;sheet=U0&amp;row=4962&amp;col=7&amp;number=0.00401&amp;sourceID=14","0.00401")</f>
        <v>0.00401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HYPERLINK("http://141.218.60.56/~jnz1568/getInfo.php?workbook=20_05.xlsx&amp;sheet=U0&amp;row=4963&amp;col=6&amp;number=4.9&amp;sourceID=14","4.9")</f>
        <v>4.9</v>
      </c>
      <c r="G4963" s="4" t="str">
        <f>HYPERLINK("http://141.218.60.56/~jnz1568/getInfo.php?workbook=20_05.xlsx&amp;sheet=U0&amp;row=4963&amp;col=7&amp;number=0.00399&amp;sourceID=14","0.00399")</f>
        <v>0.00399</v>
      </c>
    </row>
    <row r="4964" spans="1:7">
      <c r="A4964" s="3">
        <v>20</v>
      </c>
      <c r="B4964" s="3">
        <v>5</v>
      </c>
      <c r="C4964" s="3">
        <v>2</v>
      </c>
      <c r="D4964" s="3">
        <v>95</v>
      </c>
      <c r="E4964" s="3">
        <v>1</v>
      </c>
      <c r="F4964" s="4" t="str">
        <f>HYPERLINK("http://141.218.60.56/~jnz1568/getInfo.php?workbook=20_05.xlsx&amp;sheet=U0&amp;row=4964&amp;col=6&amp;number=3&amp;sourceID=14","3")</f>
        <v>3</v>
      </c>
      <c r="G4964" s="4" t="str">
        <f>HYPERLINK("http://141.218.60.56/~jnz1568/getInfo.php?workbook=20_05.xlsx&amp;sheet=U0&amp;row=4964&amp;col=7&amp;number=0.0109&amp;sourceID=14","0.0109")</f>
        <v>0.0109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HYPERLINK("http://141.218.60.56/~jnz1568/getInfo.php?workbook=20_05.xlsx&amp;sheet=U0&amp;row=4965&amp;col=6&amp;number=3.1&amp;sourceID=14","3.1")</f>
        <v>3.1</v>
      </c>
      <c r="G4965" s="4" t="str">
        <f>HYPERLINK("http://141.218.60.56/~jnz1568/getInfo.php?workbook=20_05.xlsx&amp;sheet=U0&amp;row=4965&amp;col=7&amp;number=0.0109&amp;sourceID=14","0.0109")</f>
        <v>0.0109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HYPERLINK("http://141.218.60.56/~jnz1568/getInfo.php?workbook=20_05.xlsx&amp;sheet=U0&amp;row=4966&amp;col=6&amp;number=3.2&amp;sourceID=14","3.2")</f>
        <v>3.2</v>
      </c>
      <c r="G4966" s="4" t="str">
        <f>HYPERLINK("http://141.218.60.56/~jnz1568/getInfo.php?workbook=20_05.xlsx&amp;sheet=U0&amp;row=4966&amp;col=7&amp;number=0.0109&amp;sourceID=14","0.0109")</f>
        <v>0.0109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HYPERLINK("http://141.218.60.56/~jnz1568/getInfo.php?workbook=20_05.xlsx&amp;sheet=U0&amp;row=4967&amp;col=6&amp;number=3.3&amp;sourceID=14","3.3")</f>
        <v>3.3</v>
      </c>
      <c r="G4967" s="4" t="str">
        <f>HYPERLINK("http://141.218.60.56/~jnz1568/getInfo.php?workbook=20_05.xlsx&amp;sheet=U0&amp;row=4967&amp;col=7&amp;number=0.0109&amp;sourceID=14","0.0109")</f>
        <v>0.0109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HYPERLINK("http://141.218.60.56/~jnz1568/getInfo.php?workbook=20_05.xlsx&amp;sheet=U0&amp;row=4968&amp;col=6&amp;number=3.4&amp;sourceID=14","3.4")</f>
        <v>3.4</v>
      </c>
      <c r="G4968" s="4" t="str">
        <f>HYPERLINK("http://141.218.60.56/~jnz1568/getInfo.php?workbook=20_05.xlsx&amp;sheet=U0&amp;row=4968&amp;col=7&amp;number=0.0109&amp;sourceID=14","0.0109")</f>
        <v>0.0109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HYPERLINK("http://141.218.60.56/~jnz1568/getInfo.php?workbook=20_05.xlsx&amp;sheet=U0&amp;row=4969&amp;col=6&amp;number=3.5&amp;sourceID=14","3.5")</f>
        <v>3.5</v>
      </c>
      <c r="G4969" s="4" t="str">
        <f>HYPERLINK("http://141.218.60.56/~jnz1568/getInfo.php?workbook=20_05.xlsx&amp;sheet=U0&amp;row=4969&amp;col=7&amp;number=0.0109&amp;sourceID=14","0.0109")</f>
        <v>0.0109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HYPERLINK("http://141.218.60.56/~jnz1568/getInfo.php?workbook=20_05.xlsx&amp;sheet=U0&amp;row=4970&amp;col=6&amp;number=3.6&amp;sourceID=14","3.6")</f>
        <v>3.6</v>
      </c>
      <c r="G4970" s="4" t="str">
        <f>HYPERLINK("http://141.218.60.56/~jnz1568/getInfo.php?workbook=20_05.xlsx&amp;sheet=U0&amp;row=4970&amp;col=7&amp;number=0.0109&amp;sourceID=14","0.0109")</f>
        <v>0.0109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HYPERLINK("http://141.218.60.56/~jnz1568/getInfo.php?workbook=20_05.xlsx&amp;sheet=U0&amp;row=4971&amp;col=6&amp;number=3.7&amp;sourceID=14","3.7")</f>
        <v>3.7</v>
      </c>
      <c r="G4971" s="4" t="str">
        <f>HYPERLINK("http://141.218.60.56/~jnz1568/getInfo.php?workbook=20_05.xlsx&amp;sheet=U0&amp;row=4971&amp;col=7&amp;number=0.0109&amp;sourceID=14","0.0109")</f>
        <v>0.0109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HYPERLINK("http://141.218.60.56/~jnz1568/getInfo.php?workbook=20_05.xlsx&amp;sheet=U0&amp;row=4972&amp;col=6&amp;number=3.8&amp;sourceID=14","3.8")</f>
        <v>3.8</v>
      </c>
      <c r="G4972" s="4" t="str">
        <f>HYPERLINK("http://141.218.60.56/~jnz1568/getInfo.php?workbook=20_05.xlsx&amp;sheet=U0&amp;row=4972&amp;col=7&amp;number=0.0109&amp;sourceID=14","0.0109")</f>
        <v>0.0109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HYPERLINK("http://141.218.60.56/~jnz1568/getInfo.php?workbook=20_05.xlsx&amp;sheet=U0&amp;row=4973&amp;col=6&amp;number=3.9&amp;sourceID=14","3.9")</f>
        <v>3.9</v>
      </c>
      <c r="G4973" s="4" t="str">
        <f>HYPERLINK("http://141.218.60.56/~jnz1568/getInfo.php?workbook=20_05.xlsx&amp;sheet=U0&amp;row=4973&amp;col=7&amp;number=0.0109&amp;sourceID=14","0.0109")</f>
        <v>0.0109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HYPERLINK("http://141.218.60.56/~jnz1568/getInfo.php?workbook=20_05.xlsx&amp;sheet=U0&amp;row=4974&amp;col=6&amp;number=4&amp;sourceID=14","4")</f>
        <v>4</v>
      </c>
      <c r="G4974" s="4" t="str">
        <f>HYPERLINK("http://141.218.60.56/~jnz1568/getInfo.php?workbook=20_05.xlsx&amp;sheet=U0&amp;row=4974&amp;col=7&amp;number=0.0109&amp;sourceID=14","0.0109")</f>
        <v>0.0109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HYPERLINK("http://141.218.60.56/~jnz1568/getInfo.php?workbook=20_05.xlsx&amp;sheet=U0&amp;row=4975&amp;col=6&amp;number=4.1&amp;sourceID=14","4.1")</f>
        <v>4.1</v>
      </c>
      <c r="G4975" s="4" t="str">
        <f>HYPERLINK("http://141.218.60.56/~jnz1568/getInfo.php?workbook=20_05.xlsx&amp;sheet=U0&amp;row=4975&amp;col=7&amp;number=0.0109&amp;sourceID=14","0.0109")</f>
        <v>0.0109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HYPERLINK("http://141.218.60.56/~jnz1568/getInfo.php?workbook=20_05.xlsx&amp;sheet=U0&amp;row=4976&amp;col=6&amp;number=4.2&amp;sourceID=14","4.2")</f>
        <v>4.2</v>
      </c>
      <c r="G4976" s="4" t="str">
        <f>HYPERLINK("http://141.218.60.56/~jnz1568/getInfo.php?workbook=20_05.xlsx&amp;sheet=U0&amp;row=4976&amp;col=7&amp;number=0.0109&amp;sourceID=14","0.0109")</f>
        <v>0.0109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HYPERLINK("http://141.218.60.56/~jnz1568/getInfo.php?workbook=20_05.xlsx&amp;sheet=U0&amp;row=4977&amp;col=6&amp;number=4.3&amp;sourceID=14","4.3")</f>
        <v>4.3</v>
      </c>
      <c r="G4977" s="4" t="str">
        <f>HYPERLINK("http://141.218.60.56/~jnz1568/getInfo.php?workbook=20_05.xlsx&amp;sheet=U0&amp;row=4977&amp;col=7&amp;number=0.0109&amp;sourceID=14","0.0109")</f>
        <v>0.0109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HYPERLINK("http://141.218.60.56/~jnz1568/getInfo.php?workbook=20_05.xlsx&amp;sheet=U0&amp;row=4978&amp;col=6&amp;number=4.4&amp;sourceID=14","4.4")</f>
        <v>4.4</v>
      </c>
      <c r="G4978" s="4" t="str">
        <f>HYPERLINK("http://141.218.60.56/~jnz1568/getInfo.php?workbook=20_05.xlsx&amp;sheet=U0&amp;row=4978&amp;col=7&amp;number=0.0109&amp;sourceID=14","0.0109")</f>
        <v>0.0109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HYPERLINK("http://141.218.60.56/~jnz1568/getInfo.php?workbook=20_05.xlsx&amp;sheet=U0&amp;row=4979&amp;col=6&amp;number=4.5&amp;sourceID=14","4.5")</f>
        <v>4.5</v>
      </c>
      <c r="G4979" s="4" t="str">
        <f>HYPERLINK("http://141.218.60.56/~jnz1568/getInfo.php?workbook=20_05.xlsx&amp;sheet=U0&amp;row=4979&amp;col=7&amp;number=0.0109&amp;sourceID=14","0.0109")</f>
        <v>0.0109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HYPERLINK("http://141.218.60.56/~jnz1568/getInfo.php?workbook=20_05.xlsx&amp;sheet=U0&amp;row=4980&amp;col=6&amp;number=4.6&amp;sourceID=14","4.6")</f>
        <v>4.6</v>
      </c>
      <c r="G4980" s="4" t="str">
        <f>HYPERLINK("http://141.218.60.56/~jnz1568/getInfo.php?workbook=20_05.xlsx&amp;sheet=U0&amp;row=4980&amp;col=7&amp;number=0.0109&amp;sourceID=14","0.0109")</f>
        <v>0.0109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HYPERLINK("http://141.218.60.56/~jnz1568/getInfo.php?workbook=20_05.xlsx&amp;sheet=U0&amp;row=4981&amp;col=6&amp;number=4.7&amp;sourceID=14","4.7")</f>
        <v>4.7</v>
      </c>
      <c r="G4981" s="4" t="str">
        <f>HYPERLINK("http://141.218.60.56/~jnz1568/getInfo.php?workbook=20_05.xlsx&amp;sheet=U0&amp;row=4981&amp;col=7&amp;number=0.0109&amp;sourceID=14","0.0109")</f>
        <v>0.0109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HYPERLINK("http://141.218.60.56/~jnz1568/getInfo.php?workbook=20_05.xlsx&amp;sheet=U0&amp;row=4982&amp;col=6&amp;number=4.8&amp;sourceID=14","4.8")</f>
        <v>4.8</v>
      </c>
      <c r="G4982" s="4" t="str">
        <f>HYPERLINK("http://141.218.60.56/~jnz1568/getInfo.php?workbook=20_05.xlsx&amp;sheet=U0&amp;row=4982&amp;col=7&amp;number=0.011&amp;sourceID=14","0.011")</f>
        <v>0.011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HYPERLINK("http://141.218.60.56/~jnz1568/getInfo.php?workbook=20_05.xlsx&amp;sheet=U0&amp;row=4983&amp;col=6&amp;number=4.9&amp;sourceID=14","4.9")</f>
        <v>4.9</v>
      </c>
      <c r="G4983" s="4" t="str">
        <f>HYPERLINK("http://141.218.60.56/~jnz1568/getInfo.php?workbook=20_05.xlsx&amp;sheet=U0&amp;row=4983&amp;col=7&amp;number=0.011&amp;sourceID=14","0.011")</f>
        <v>0.011</v>
      </c>
    </row>
    <row r="4984" spans="1:7">
      <c r="A4984" s="3">
        <v>20</v>
      </c>
      <c r="B4984" s="3">
        <v>5</v>
      </c>
      <c r="C4984" s="3">
        <v>2</v>
      </c>
      <c r="D4984" s="3">
        <v>96</v>
      </c>
      <c r="E4984" s="3">
        <v>1</v>
      </c>
      <c r="F4984" s="4" t="str">
        <f>HYPERLINK("http://141.218.60.56/~jnz1568/getInfo.php?workbook=20_05.xlsx&amp;sheet=U0&amp;row=4984&amp;col=6&amp;number=3&amp;sourceID=14","3")</f>
        <v>3</v>
      </c>
      <c r="G4984" s="4" t="str">
        <f>HYPERLINK("http://141.218.60.56/~jnz1568/getInfo.php?workbook=20_05.xlsx&amp;sheet=U0&amp;row=4984&amp;col=7&amp;number=0.00658&amp;sourceID=14","0.00658")</f>
        <v>0.00658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HYPERLINK("http://141.218.60.56/~jnz1568/getInfo.php?workbook=20_05.xlsx&amp;sheet=U0&amp;row=4985&amp;col=6&amp;number=3.1&amp;sourceID=14","3.1")</f>
        <v>3.1</v>
      </c>
      <c r="G4985" s="4" t="str">
        <f>HYPERLINK("http://141.218.60.56/~jnz1568/getInfo.php?workbook=20_05.xlsx&amp;sheet=U0&amp;row=4985&amp;col=7&amp;number=0.00658&amp;sourceID=14","0.00658")</f>
        <v>0.00658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HYPERLINK("http://141.218.60.56/~jnz1568/getInfo.php?workbook=20_05.xlsx&amp;sheet=U0&amp;row=4986&amp;col=6&amp;number=3.2&amp;sourceID=14","3.2")</f>
        <v>3.2</v>
      </c>
      <c r="G4986" s="4" t="str">
        <f>HYPERLINK("http://141.218.60.56/~jnz1568/getInfo.php?workbook=20_05.xlsx&amp;sheet=U0&amp;row=4986&amp;col=7&amp;number=0.00658&amp;sourceID=14","0.00658")</f>
        <v>0.00658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HYPERLINK("http://141.218.60.56/~jnz1568/getInfo.php?workbook=20_05.xlsx&amp;sheet=U0&amp;row=4987&amp;col=6&amp;number=3.3&amp;sourceID=14","3.3")</f>
        <v>3.3</v>
      </c>
      <c r="G4987" s="4" t="str">
        <f>HYPERLINK("http://141.218.60.56/~jnz1568/getInfo.php?workbook=20_05.xlsx&amp;sheet=U0&amp;row=4987&amp;col=7&amp;number=0.00658&amp;sourceID=14","0.00658")</f>
        <v>0.00658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HYPERLINK("http://141.218.60.56/~jnz1568/getInfo.php?workbook=20_05.xlsx&amp;sheet=U0&amp;row=4988&amp;col=6&amp;number=3.4&amp;sourceID=14","3.4")</f>
        <v>3.4</v>
      </c>
      <c r="G4988" s="4" t="str">
        <f>HYPERLINK("http://141.218.60.56/~jnz1568/getInfo.php?workbook=20_05.xlsx&amp;sheet=U0&amp;row=4988&amp;col=7&amp;number=0.00658&amp;sourceID=14","0.00658")</f>
        <v>0.00658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HYPERLINK("http://141.218.60.56/~jnz1568/getInfo.php?workbook=20_05.xlsx&amp;sheet=U0&amp;row=4989&amp;col=6&amp;number=3.5&amp;sourceID=14","3.5")</f>
        <v>3.5</v>
      </c>
      <c r="G4989" s="4" t="str">
        <f>HYPERLINK("http://141.218.60.56/~jnz1568/getInfo.php?workbook=20_05.xlsx&amp;sheet=U0&amp;row=4989&amp;col=7&amp;number=0.00658&amp;sourceID=14","0.00658")</f>
        <v>0.00658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HYPERLINK("http://141.218.60.56/~jnz1568/getInfo.php?workbook=20_05.xlsx&amp;sheet=U0&amp;row=4990&amp;col=6&amp;number=3.6&amp;sourceID=14","3.6")</f>
        <v>3.6</v>
      </c>
      <c r="G4990" s="4" t="str">
        <f>HYPERLINK("http://141.218.60.56/~jnz1568/getInfo.php?workbook=20_05.xlsx&amp;sheet=U0&amp;row=4990&amp;col=7&amp;number=0.00658&amp;sourceID=14","0.00658")</f>
        <v>0.00658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HYPERLINK("http://141.218.60.56/~jnz1568/getInfo.php?workbook=20_05.xlsx&amp;sheet=U0&amp;row=4991&amp;col=6&amp;number=3.7&amp;sourceID=14","3.7")</f>
        <v>3.7</v>
      </c>
      <c r="G4991" s="4" t="str">
        <f>HYPERLINK("http://141.218.60.56/~jnz1568/getInfo.php?workbook=20_05.xlsx&amp;sheet=U0&amp;row=4991&amp;col=7&amp;number=0.00658&amp;sourceID=14","0.00658")</f>
        <v>0.00658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HYPERLINK("http://141.218.60.56/~jnz1568/getInfo.php?workbook=20_05.xlsx&amp;sheet=U0&amp;row=4992&amp;col=6&amp;number=3.8&amp;sourceID=14","3.8")</f>
        <v>3.8</v>
      </c>
      <c r="G4992" s="4" t="str">
        <f>HYPERLINK("http://141.218.60.56/~jnz1568/getInfo.php?workbook=20_05.xlsx&amp;sheet=U0&amp;row=4992&amp;col=7&amp;number=0.00659&amp;sourceID=14","0.00659")</f>
        <v>0.00659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HYPERLINK("http://141.218.60.56/~jnz1568/getInfo.php?workbook=20_05.xlsx&amp;sheet=U0&amp;row=4993&amp;col=6&amp;number=3.9&amp;sourceID=14","3.9")</f>
        <v>3.9</v>
      </c>
      <c r="G4993" s="4" t="str">
        <f>HYPERLINK("http://141.218.60.56/~jnz1568/getInfo.php?workbook=20_05.xlsx&amp;sheet=U0&amp;row=4993&amp;col=7&amp;number=0.00659&amp;sourceID=14","0.00659")</f>
        <v>0.00659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HYPERLINK("http://141.218.60.56/~jnz1568/getInfo.php?workbook=20_05.xlsx&amp;sheet=U0&amp;row=4994&amp;col=6&amp;number=4&amp;sourceID=14","4")</f>
        <v>4</v>
      </c>
      <c r="G4994" s="4" t="str">
        <f>HYPERLINK("http://141.218.60.56/~jnz1568/getInfo.php?workbook=20_05.xlsx&amp;sheet=U0&amp;row=4994&amp;col=7&amp;number=0.00659&amp;sourceID=14","0.00659")</f>
        <v>0.00659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HYPERLINK("http://141.218.60.56/~jnz1568/getInfo.php?workbook=20_05.xlsx&amp;sheet=U0&amp;row=4995&amp;col=6&amp;number=4.1&amp;sourceID=14","4.1")</f>
        <v>4.1</v>
      </c>
      <c r="G4995" s="4" t="str">
        <f>HYPERLINK("http://141.218.60.56/~jnz1568/getInfo.php?workbook=20_05.xlsx&amp;sheet=U0&amp;row=4995&amp;col=7&amp;number=0.00659&amp;sourceID=14","0.00659")</f>
        <v>0.00659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HYPERLINK("http://141.218.60.56/~jnz1568/getInfo.php?workbook=20_05.xlsx&amp;sheet=U0&amp;row=4996&amp;col=6&amp;number=4.2&amp;sourceID=14","4.2")</f>
        <v>4.2</v>
      </c>
      <c r="G4996" s="4" t="str">
        <f>HYPERLINK("http://141.218.60.56/~jnz1568/getInfo.php?workbook=20_05.xlsx&amp;sheet=U0&amp;row=4996&amp;col=7&amp;number=0.00659&amp;sourceID=14","0.00659")</f>
        <v>0.00659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HYPERLINK("http://141.218.60.56/~jnz1568/getInfo.php?workbook=20_05.xlsx&amp;sheet=U0&amp;row=4997&amp;col=6&amp;number=4.3&amp;sourceID=14","4.3")</f>
        <v>4.3</v>
      </c>
      <c r="G4997" s="4" t="str">
        <f>HYPERLINK("http://141.218.60.56/~jnz1568/getInfo.php?workbook=20_05.xlsx&amp;sheet=U0&amp;row=4997&amp;col=7&amp;number=0.00659&amp;sourceID=14","0.00659")</f>
        <v>0.00659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HYPERLINK("http://141.218.60.56/~jnz1568/getInfo.php?workbook=20_05.xlsx&amp;sheet=U0&amp;row=4998&amp;col=6&amp;number=4.4&amp;sourceID=14","4.4")</f>
        <v>4.4</v>
      </c>
      <c r="G4998" s="4" t="str">
        <f>HYPERLINK("http://141.218.60.56/~jnz1568/getInfo.php?workbook=20_05.xlsx&amp;sheet=U0&amp;row=4998&amp;col=7&amp;number=0.0066&amp;sourceID=14","0.0066")</f>
        <v>0.0066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HYPERLINK("http://141.218.60.56/~jnz1568/getInfo.php?workbook=20_05.xlsx&amp;sheet=U0&amp;row=4999&amp;col=6&amp;number=4.5&amp;sourceID=14","4.5")</f>
        <v>4.5</v>
      </c>
      <c r="G4999" s="4" t="str">
        <f>HYPERLINK("http://141.218.60.56/~jnz1568/getInfo.php?workbook=20_05.xlsx&amp;sheet=U0&amp;row=4999&amp;col=7&amp;number=0.0066&amp;sourceID=14","0.0066")</f>
        <v>0.0066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HYPERLINK("http://141.218.60.56/~jnz1568/getInfo.php?workbook=20_05.xlsx&amp;sheet=U0&amp;row=5000&amp;col=6&amp;number=4.6&amp;sourceID=14","4.6")</f>
        <v>4.6</v>
      </c>
      <c r="G5000" s="4" t="str">
        <f>HYPERLINK("http://141.218.60.56/~jnz1568/getInfo.php?workbook=20_05.xlsx&amp;sheet=U0&amp;row=5000&amp;col=7&amp;number=0.0066&amp;sourceID=14","0.0066")</f>
        <v>0.0066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HYPERLINK("http://141.218.60.56/~jnz1568/getInfo.php?workbook=20_05.xlsx&amp;sheet=U0&amp;row=5001&amp;col=6&amp;number=4.7&amp;sourceID=14","4.7")</f>
        <v>4.7</v>
      </c>
      <c r="G5001" s="4" t="str">
        <f>HYPERLINK("http://141.218.60.56/~jnz1568/getInfo.php?workbook=20_05.xlsx&amp;sheet=U0&amp;row=5001&amp;col=7&amp;number=0.00661&amp;sourceID=14","0.00661")</f>
        <v>0.00661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HYPERLINK("http://141.218.60.56/~jnz1568/getInfo.php?workbook=20_05.xlsx&amp;sheet=U0&amp;row=5002&amp;col=6&amp;number=4.8&amp;sourceID=14","4.8")</f>
        <v>4.8</v>
      </c>
      <c r="G5002" s="4" t="str">
        <f>HYPERLINK("http://141.218.60.56/~jnz1568/getInfo.php?workbook=20_05.xlsx&amp;sheet=U0&amp;row=5002&amp;col=7&amp;number=0.00662&amp;sourceID=14","0.00662")</f>
        <v>0.00662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HYPERLINK("http://141.218.60.56/~jnz1568/getInfo.php?workbook=20_05.xlsx&amp;sheet=U0&amp;row=5003&amp;col=6&amp;number=4.9&amp;sourceID=14","4.9")</f>
        <v>4.9</v>
      </c>
      <c r="G5003" s="4" t="str">
        <f>HYPERLINK("http://141.218.60.56/~jnz1568/getInfo.php?workbook=20_05.xlsx&amp;sheet=U0&amp;row=5003&amp;col=7&amp;number=0.00663&amp;sourceID=14","0.00663")</f>
        <v>0.00663</v>
      </c>
    </row>
    <row r="5004" spans="1:7">
      <c r="A5004" s="3">
        <v>20</v>
      </c>
      <c r="B5004" s="3">
        <v>5</v>
      </c>
      <c r="C5004" s="3">
        <v>2</v>
      </c>
      <c r="D5004" s="3">
        <v>97</v>
      </c>
      <c r="E5004" s="3">
        <v>1</v>
      </c>
      <c r="F5004" s="4" t="str">
        <f>HYPERLINK("http://141.218.60.56/~jnz1568/getInfo.php?workbook=20_05.xlsx&amp;sheet=U0&amp;row=5004&amp;col=6&amp;number=3&amp;sourceID=14","3")</f>
        <v>3</v>
      </c>
      <c r="G5004" s="4" t="str">
        <f>HYPERLINK("http://141.218.60.56/~jnz1568/getInfo.php?workbook=20_05.xlsx&amp;sheet=U0&amp;row=5004&amp;col=7&amp;number=0.00479&amp;sourceID=14","0.00479")</f>
        <v>0.00479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HYPERLINK("http://141.218.60.56/~jnz1568/getInfo.php?workbook=20_05.xlsx&amp;sheet=U0&amp;row=5005&amp;col=6&amp;number=3.1&amp;sourceID=14","3.1")</f>
        <v>3.1</v>
      </c>
      <c r="G5005" s="4" t="str">
        <f>HYPERLINK("http://141.218.60.56/~jnz1568/getInfo.php?workbook=20_05.xlsx&amp;sheet=U0&amp;row=5005&amp;col=7&amp;number=0.00479&amp;sourceID=14","0.00479")</f>
        <v>0.00479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HYPERLINK("http://141.218.60.56/~jnz1568/getInfo.php?workbook=20_05.xlsx&amp;sheet=U0&amp;row=5006&amp;col=6&amp;number=3.2&amp;sourceID=14","3.2")</f>
        <v>3.2</v>
      </c>
      <c r="G5006" s="4" t="str">
        <f>HYPERLINK("http://141.218.60.56/~jnz1568/getInfo.php?workbook=20_05.xlsx&amp;sheet=U0&amp;row=5006&amp;col=7&amp;number=0.00479&amp;sourceID=14","0.00479")</f>
        <v>0.00479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HYPERLINK("http://141.218.60.56/~jnz1568/getInfo.php?workbook=20_05.xlsx&amp;sheet=U0&amp;row=5007&amp;col=6&amp;number=3.3&amp;sourceID=14","3.3")</f>
        <v>3.3</v>
      </c>
      <c r="G5007" s="4" t="str">
        <f>HYPERLINK("http://141.218.60.56/~jnz1568/getInfo.php?workbook=20_05.xlsx&amp;sheet=U0&amp;row=5007&amp;col=7&amp;number=0.00479&amp;sourceID=14","0.00479")</f>
        <v>0.00479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HYPERLINK("http://141.218.60.56/~jnz1568/getInfo.php?workbook=20_05.xlsx&amp;sheet=U0&amp;row=5008&amp;col=6&amp;number=3.4&amp;sourceID=14","3.4")</f>
        <v>3.4</v>
      </c>
      <c r="G5008" s="4" t="str">
        <f>HYPERLINK("http://141.218.60.56/~jnz1568/getInfo.php?workbook=20_05.xlsx&amp;sheet=U0&amp;row=5008&amp;col=7&amp;number=0.00479&amp;sourceID=14","0.00479")</f>
        <v>0.00479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HYPERLINK("http://141.218.60.56/~jnz1568/getInfo.php?workbook=20_05.xlsx&amp;sheet=U0&amp;row=5009&amp;col=6&amp;number=3.5&amp;sourceID=14","3.5")</f>
        <v>3.5</v>
      </c>
      <c r="G5009" s="4" t="str">
        <f>HYPERLINK("http://141.218.60.56/~jnz1568/getInfo.php?workbook=20_05.xlsx&amp;sheet=U0&amp;row=5009&amp;col=7&amp;number=0.00479&amp;sourceID=14","0.00479")</f>
        <v>0.00479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HYPERLINK("http://141.218.60.56/~jnz1568/getInfo.php?workbook=20_05.xlsx&amp;sheet=U0&amp;row=5010&amp;col=6&amp;number=3.6&amp;sourceID=14","3.6")</f>
        <v>3.6</v>
      </c>
      <c r="G5010" s="4" t="str">
        <f>HYPERLINK("http://141.218.60.56/~jnz1568/getInfo.php?workbook=20_05.xlsx&amp;sheet=U0&amp;row=5010&amp;col=7&amp;number=0.00479&amp;sourceID=14","0.00479")</f>
        <v>0.00479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HYPERLINK("http://141.218.60.56/~jnz1568/getInfo.php?workbook=20_05.xlsx&amp;sheet=U0&amp;row=5011&amp;col=6&amp;number=3.7&amp;sourceID=14","3.7")</f>
        <v>3.7</v>
      </c>
      <c r="G5011" s="4" t="str">
        <f>HYPERLINK("http://141.218.60.56/~jnz1568/getInfo.php?workbook=20_05.xlsx&amp;sheet=U0&amp;row=5011&amp;col=7&amp;number=0.00479&amp;sourceID=14","0.00479")</f>
        <v>0.00479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HYPERLINK("http://141.218.60.56/~jnz1568/getInfo.php?workbook=20_05.xlsx&amp;sheet=U0&amp;row=5012&amp;col=6&amp;number=3.8&amp;sourceID=14","3.8")</f>
        <v>3.8</v>
      </c>
      <c r="G5012" s="4" t="str">
        <f>HYPERLINK("http://141.218.60.56/~jnz1568/getInfo.php?workbook=20_05.xlsx&amp;sheet=U0&amp;row=5012&amp;col=7&amp;number=0.00479&amp;sourceID=14","0.00479")</f>
        <v>0.00479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HYPERLINK("http://141.218.60.56/~jnz1568/getInfo.php?workbook=20_05.xlsx&amp;sheet=U0&amp;row=5013&amp;col=6&amp;number=3.9&amp;sourceID=14","3.9")</f>
        <v>3.9</v>
      </c>
      <c r="G5013" s="4" t="str">
        <f>HYPERLINK("http://141.218.60.56/~jnz1568/getInfo.php?workbook=20_05.xlsx&amp;sheet=U0&amp;row=5013&amp;col=7&amp;number=0.00479&amp;sourceID=14","0.00479")</f>
        <v>0.00479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HYPERLINK("http://141.218.60.56/~jnz1568/getInfo.php?workbook=20_05.xlsx&amp;sheet=U0&amp;row=5014&amp;col=6&amp;number=4&amp;sourceID=14","4")</f>
        <v>4</v>
      </c>
      <c r="G5014" s="4" t="str">
        <f>HYPERLINK("http://141.218.60.56/~jnz1568/getInfo.php?workbook=20_05.xlsx&amp;sheet=U0&amp;row=5014&amp;col=7&amp;number=0.00479&amp;sourceID=14","0.00479")</f>
        <v>0.00479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HYPERLINK("http://141.218.60.56/~jnz1568/getInfo.php?workbook=20_05.xlsx&amp;sheet=U0&amp;row=5015&amp;col=6&amp;number=4.1&amp;sourceID=14","4.1")</f>
        <v>4.1</v>
      </c>
      <c r="G5015" s="4" t="str">
        <f>HYPERLINK("http://141.218.60.56/~jnz1568/getInfo.php?workbook=20_05.xlsx&amp;sheet=U0&amp;row=5015&amp;col=7&amp;number=0.00479&amp;sourceID=14","0.00479")</f>
        <v>0.00479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HYPERLINK("http://141.218.60.56/~jnz1568/getInfo.php?workbook=20_05.xlsx&amp;sheet=U0&amp;row=5016&amp;col=6&amp;number=4.2&amp;sourceID=14","4.2")</f>
        <v>4.2</v>
      </c>
      <c r="G5016" s="4" t="str">
        <f>HYPERLINK("http://141.218.60.56/~jnz1568/getInfo.php?workbook=20_05.xlsx&amp;sheet=U0&amp;row=5016&amp;col=7&amp;number=0.00479&amp;sourceID=14","0.00479")</f>
        <v>0.00479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HYPERLINK("http://141.218.60.56/~jnz1568/getInfo.php?workbook=20_05.xlsx&amp;sheet=U0&amp;row=5017&amp;col=6&amp;number=4.3&amp;sourceID=14","4.3")</f>
        <v>4.3</v>
      </c>
      <c r="G5017" s="4" t="str">
        <f>HYPERLINK("http://141.218.60.56/~jnz1568/getInfo.php?workbook=20_05.xlsx&amp;sheet=U0&amp;row=5017&amp;col=7&amp;number=0.00479&amp;sourceID=14","0.00479")</f>
        <v>0.00479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HYPERLINK("http://141.218.60.56/~jnz1568/getInfo.php?workbook=20_05.xlsx&amp;sheet=U0&amp;row=5018&amp;col=6&amp;number=4.4&amp;sourceID=14","4.4")</f>
        <v>4.4</v>
      </c>
      <c r="G5018" s="4" t="str">
        <f>HYPERLINK("http://141.218.60.56/~jnz1568/getInfo.php?workbook=20_05.xlsx&amp;sheet=U0&amp;row=5018&amp;col=7&amp;number=0.00479&amp;sourceID=14","0.00479")</f>
        <v>0.00479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HYPERLINK("http://141.218.60.56/~jnz1568/getInfo.php?workbook=20_05.xlsx&amp;sheet=U0&amp;row=5019&amp;col=6&amp;number=4.5&amp;sourceID=14","4.5")</f>
        <v>4.5</v>
      </c>
      <c r="G5019" s="4" t="str">
        <f>HYPERLINK("http://141.218.60.56/~jnz1568/getInfo.php?workbook=20_05.xlsx&amp;sheet=U0&amp;row=5019&amp;col=7&amp;number=0.00479&amp;sourceID=14","0.00479")</f>
        <v>0.00479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HYPERLINK("http://141.218.60.56/~jnz1568/getInfo.php?workbook=20_05.xlsx&amp;sheet=U0&amp;row=5020&amp;col=6&amp;number=4.6&amp;sourceID=14","4.6")</f>
        <v>4.6</v>
      </c>
      <c r="G5020" s="4" t="str">
        <f>HYPERLINK("http://141.218.60.56/~jnz1568/getInfo.php?workbook=20_05.xlsx&amp;sheet=U0&amp;row=5020&amp;col=7&amp;number=0.00479&amp;sourceID=14","0.00479")</f>
        <v>0.00479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HYPERLINK("http://141.218.60.56/~jnz1568/getInfo.php?workbook=20_05.xlsx&amp;sheet=U0&amp;row=5021&amp;col=6&amp;number=4.7&amp;sourceID=14","4.7")</f>
        <v>4.7</v>
      </c>
      <c r="G5021" s="4" t="str">
        <f>HYPERLINK("http://141.218.60.56/~jnz1568/getInfo.php?workbook=20_05.xlsx&amp;sheet=U0&amp;row=5021&amp;col=7&amp;number=0.00479&amp;sourceID=14","0.00479")</f>
        <v>0.00479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HYPERLINK("http://141.218.60.56/~jnz1568/getInfo.php?workbook=20_05.xlsx&amp;sheet=U0&amp;row=5022&amp;col=6&amp;number=4.8&amp;sourceID=14","4.8")</f>
        <v>4.8</v>
      </c>
      <c r="G5022" s="4" t="str">
        <f>HYPERLINK("http://141.218.60.56/~jnz1568/getInfo.php?workbook=20_05.xlsx&amp;sheet=U0&amp;row=5022&amp;col=7&amp;number=0.00479&amp;sourceID=14","0.00479")</f>
        <v>0.00479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HYPERLINK("http://141.218.60.56/~jnz1568/getInfo.php?workbook=20_05.xlsx&amp;sheet=U0&amp;row=5023&amp;col=6&amp;number=4.9&amp;sourceID=14","4.9")</f>
        <v>4.9</v>
      </c>
      <c r="G5023" s="4" t="str">
        <f>HYPERLINK("http://141.218.60.56/~jnz1568/getInfo.php?workbook=20_05.xlsx&amp;sheet=U0&amp;row=5023&amp;col=7&amp;number=0.00479&amp;sourceID=14","0.00479")</f>
        <v>0.00479</v>
      </c>
    </row>
    <row r="5024" spans="1:7">
      <c r="A5024" s="3">
        <v>20</v>
      </c>
      <c r="B5024" s="3">
        <v>5</v>
      </c>
      <c r="C5024" s="3">
        <v>2</v>
      </c>
      <c r="D5024" s="3">
        <v>98</v>
      </c>
      <c r="E5024" s="3">
        <v>1</v>
      </c>
      <c r="F5024" s="4" t="str">
        <f>HYPERLINK("http://141.218.60.56/~jnz1568/getInfo.php?workbook=20_05.xlsx&amp;sheet=U0&amp;row=5024&amp;col=6&amp;number=3&amp;sourceID=14","3")</f>
        <v>3</v>
      </c>
      <c r="G5024" s="4" t="str">
        <f>HYPERLINK("http://141.218.60.56/~jnz1568/getInfo.php?workbook=20_05.xlsx&amp;sheet=U0&amp;row=5024&amp;col=7&amp;number=7.67e-05&amp;sourceID=14","7.67e-05")</f>
        <v>7.67e-05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HYPERLINK("http://141.218.60.56/~jnz1568/getInfo.php?workbook=20_05.xlsx&amp;sheet=U0&amp;row=5025&amp;col=6&amp;number=3.1&amp;sourceID=14","3.1")</f>
        <v>3.1</v>
      </c>
      <c r="G5025" s="4" t="str">
        <f>HYPERLINK("http://141.218.60.56/~jnz1568/getInfo.php?workbook=20_05.xlsx&amp;sheet=U0&amp;row=5025&amp;col=7&amp;number=7.67e-05&amp;sourceID=14","7.67e-05")</f>
        <v>7.67e-05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HYPERLINK("http://141.218.60.56/~jnz1568/getInfo.php?workbook=20_05.xlsx&amp;sheet=U0&amp;row=5026&amp;col=6&amp;number=3.2&amp;sourceID=14","3.2")</f>
        <v>3.2</v>
      </c>
      <c r="G5026" s="4" t="str">
        <f>HYPERLINK("http://141.218.60.56/~jnz1568/getInfo.php?workbook=20_05.xlsx&amp;sheet=U0&amp;row=5026&amp;col=7&amp;number=7.67e-05&amp;sourceID=14","7.67e-05")</f>
        <v>7.67e-05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HYPERLINK("http://141.218.60.56/~jnz1568/getInfo.php?workbook=20_05.xlsx&amp;sheet=U0&amp;row=5027&amp;col=6&amp;number=3.3&amp;sourceID=14","3.3")</f>
        <v>3.3</v>
      </c>
      <c r="G5027" s="4" t="str">
        <f>HYPERLINK("http://141.218.60.56/~jnz1568/getInfo.php?workbook=20_05.xlsx&amp;sheet=U0&amp;row=5027&amp;col=7&amp;number=7.67e-05&amp;sourceID=14","7.67e-05")</f>
        <v>7.67e-05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HYPERLINK("http://141.218.60.56/~jnz1568/getInfo.php?workbook=20_05.xlsx&amp;sheet=U0&amp;row=5028&amp;col=6&amp;number=3.4&amp;sourceID=14","3.4")</f>
        <v>3.4</v>
      </c>
      <c r="G5028" s="4" t="str">
        <f>HYPERLINK("http://141.218.60.56/~jnz1568/getInfo.php?workbook=20_05.xlsx&amp;sheet=U0&amp;row=5028&amp;col=7&amp;number=7.67e-05&amp;sourceID=14","7.67e-05")</f>
        <v>7.67e-05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HYPERLINK("http://141.218.60.56/~jnz1568/getInfo.php?workbook=20_05.xlsx&amp;sheet=U0&amp;row=5029&amp;col=6&amp;number=3.5&amp;sourceID=14","3.5")</f>
        <v>3.5</v>
      </c>
      <c r="G5029" s="4" t="str">
        <f>HYPERLINK("http://141.218.60.56/~jnz1568/getInfo.php?workbook=20_05.xlsx&amp;sheet=U0&amp;row=5029&amp;col=7&amp;number=7.67e-05&amp;sourceID=14","7.67e-05")</f>
        <v>7.67e-05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HYPERLINK("http://141.218.60.56/~jnz1568/getInfo.php?workbook=20_05.xlsx&amp;sheet=U0&amp;row=5030&amp;col=6&amp;number=3.6&amp;sourceID=14","3.6")</f>
        <v>3.6</v>
      </c>
      <c r="G5030" s="4" t="str">
        <f>HYPERLINK("http://141.218.60.56/~jnz1568/getInfo.php?workbook=20_05.xlsx&amp;sheet=U0&amp;row=5030&amp;col=7&amp;number=7.67e-05&amp;sourceID=14","7.67e-05")</f>
        <v>7.67e-05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HYPERLINK("http://141.218.60.56/~jnz1568/getInfo.php?workbook=20_05.xlsx&amp;sheet=U0&amp;row=5031&amp;col=6&amp;number=3.7&amp;sourceID=14","3.7")</f>
        <v>3.7</v>
      </c>
      <c r="G5031" s="4" t="str">
        <f>HYPERLINK("http://141.218.60.56/~jnz1568/getInfo.php?workbook=20_05.xlsx&amp;sheet=U0&amp;row=5031&amp;col=7&amp;number=7.67e-05&amp;sourceID=14","7.67e-05")</f>
        <v>7.67e-05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HYPERLINK("http://141.218.60.56/~jnz1568/getInfo.php?workbook=20_05.xlsx&amp;sheet=U0&amp;row=5032&amp;col=6&amp;number=3.8&amp;sourceID=14","3.8")</f>
        <v>3.8</v>
      </c>
      <c r="G5032" s="4" t="str">
        <f>HYPERLINK("http://141.218.60.56/~jnz1568/getInfo.php?workbook=20_05.xlsx&amp;sheet=U0&amp;row=5032&amp;col=7&amp;number=7.67e-05&amp;sourceID=14","7.67e-05")</f>
        <v>7.67e-05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HYPERLINK("http://141.218.60.56/~jnz1568/getInfo.php?workbook=20_05.xlsx&amp;sheet=U0&amp;row=5033&amp;col=6&amp;number=3.9&amp;sourceID=14","3.9")</f>
        <v>3.9</v>
      </c>
      <c r="G5033" s="4" t="str">
        <f>HYPERLINK("http://141.218.60.56/~jnz1568/getInfo.php?workbook=20_05.xlsx&amp;sheet=U0&amp;row=5033&amp;col=7&amp;number=7.67e-05&amp;sourceID=14","7.67e-05")</f>
        <v>7.67e-05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HYPERLINK("http://141.218.60.56/~jnz1568/getInfo.php?workbook=20_05.xlsx&amp;sheet=U0&amp;row=5034&amp;col=6&amp;number=4&amp;sourceID=14","4")</f>
        <v>4</v>
      </c>
      <c r="G5034" s="4" t="str">
        <f>HYPERLINK("http://141.218.60.56/~jnz1568/getInfo.php?workbook=20_05.xlsx&amp;sheet=U0&amp;row=5034&amp;col=7&amp;number=7.66e-05&amp;sourceID=14","7.66e-05")</f>
        <v>7.66e-05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HYPERLINK("http://141.218.60.56/~jnz1568/getInfo.php?workbook=20_05.xlsx&amp;sheet=U0&amp;row=5035&amp;col=6&amp;number=4.1&amp;sourceID=14","4.1")</f>
        <v>4.1</v>
      </c>
      <c r="G5035" s="4" t="str">
        <f>HYPERLINK("http://141.218.60.56/~jnz1568/getInfo.php?workbook=20_05.xlsx&amp;sheet=U0&amp;row=5035&amp;col=7&amp;number=7.66e-05&amp;sourceID=14","7.66e-05")</f>
        <v>7.66e-05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HYPERLINK("http://141.218.60.56/~jnz1568/getInfo.php?workbook=20_05.xlsx&amp;sheet=U0&amp;row=5036&amp;col=6&amp;number=4.2&amp;sourceID=14","4.2")</f>
        <v>4.2</v>
      </c>
      <c r="G5036" s="4" t="str">
        <f>HYPERLINK("http://141.218.60.56/~jnz1568/getInfo.php?workbook=20_05.xlsx&amp;sheet=U0&amp;row=5036&amp;col=7&amp;number=7.66e-05&amp;sourceID=14","7.66e-05")</f>
        <v>7.66e-05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HYPERLINK("http://141.218.60.56/~jnz1568/getInfo.php?workbook=20_05.xlsx&amp;sheet=U0&amp;row=5037&amp;col=6&amp;number=4.3&amp;sourceID=14","4.3")</f>
        <v>4.3</v>
      </c>
      <c r="G5037" s="4" t="str">
        <f>HYPERLINK("http://141.218.60.56/~jnz1568/getInfo.php?workbook=20_05.xlsx&amp;sheet=U0&amp;row=5037&amp;col=7&amp;number=7.65e-05&amp;sourceID=14","7.65e-05")</f>
        <v>7.65e-05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HYPERLINK("http://141.218.60.56/~jnz1568/getInfo.php?workbook=20_05.xlsx&amp;sheet=U0&amp;row=5038&amp;col=6&amp;number=4.4&amp;sourceID=14","4.4")</f>
        <v>4.4</v>
      </c>
      <c r="G5038" s="4" t="str">
        <f>HYPERLINK("http://141.218.60.56/~jnz1568/getInfo.php?workbook=20_05.xlsx&amp;sheet=U0&amp;row=5038&amp;col=7&amp;number=7.65e-05&amp;sourceID=14","7.65e-05")</f>
        <v>7.65e-05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HYPERLINK("http://141.218.60.56/~jnz1568/getInfo.php?workbook=20_05.xlsx&amp;sheet=U0&amp;row=5039&amp;col=6&amp;number=4.5&amp;sourceID=14","4.5")</f>
        <v>4.5</v>
      </c>
      <c r="G5039" s="4" t="str">
        <f>HYPERLINK("http://141.218.60.56/~jnz1568/getInfo.php?workbook=20_05.xlsx&amp;sheet=U0&amp;row=5039&amp;col=7&amp;number=7.64e-05&amp;sourceID=14","7.64e-05")</f>
        <v>7.64e-05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HYPERLINK("http://141.218.60.56/~jnz1568/getInfo.php?workbook=20_05.xlsx&amp;sheet=U0&amp;row=5040&amp;col=6&amp;number=4.6&amp;sourceID=14","4.6")</f>
        <v>4.6</v>
      </c>
      <c r="G5040" s="4" t="str">
        <f>HYPERLINK("http://141.218.60.56/~jnz1568/getInfo.php?workbook=20_05.xlsx&amp;sheet=U0&amp;row=5040&amp;col=7&amp;number=7.63e-05&amp;sourceID=14","7.63e-05")</f>
        <v>7.63e-05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HYPERLINK("http://141.218.60.56/~jnz1568/getInfo.php?workbook=20_05.xlsx&amp;sheet=U0&amp;row=5041&amp;col=6&amp;number=4.7&amp;sourceID=14","4.7")</f>
        <v>4.7</v>
      </c>
      <c r="G5041" s="4" t="str">
        <f>HYPERLINK("http://141.218.60.56/~jnz1568/getInfo.php?workbook=20_05.xlsx&amp;sheet=U0&amp;row=5041&amp;col=7&amp;number=7.62e-05&amp;sourceID=14","7.62e-05")</f>
        <v>7.62e-05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HYPERLINK("http://141.218.60.56/~jnz1568/getInfo.php?workbook=20_05.xlsx&amp;sheet=U0&amp;row=5042&amp;col=6&amp;number=4.8&amp;sourceID=14","4.8")</f>
        <v>4.8</v>
      </c>
      <c r="G5042" s="4" t="str">
        <f>HYPERLINK("http://141.218.60.56/~jnz1568/getInfo.php?workbook=20_05.xlsx&amp;sheet=U0&amp;row=5042&amp;col=7&amp;number=7.6e-05&amp;sourceID=14","7.6e-05")</f>
        <v>7.6e-05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HYPERLINK("http://141.218.60.56/~jnz1568/getInfo.php?workbook=20_05.xlsx&amp;sheet=U0&amp;row=5043&amp;col=6&amp;number=4.9&amp;sourceID=14","4.9")</f>
        <v>4.9</v>
      </c>
      <c r="G5043" s="4" t="str">
        <f>HYPERLINK("http://141.218.60.56/~jnz1568/getInfo.php?workbook=20_05.xlsx&amp;sheet=U0&amp;row=5043&amp;col=7&amp;number=7.59e-05&amp;sourceID=14","7.59e-05")</f>
        <v>7.59e-05</v>
      </c>
    </row>
    <row r="5044" spans="1:7">
      <c r="A5044" s="3">
        <v>20</v>
      </c>
      <c r="B5044" s="3">
        <v>5</v>
      </c>
      <c r="C5044" s="3">
        <v>2</v>
      </c>
      <c r="D5044" s="3">
        <v>99</v>
      </c>
      <c r="E5044" s="3">
        <v>1</v>
      </c>
      <c r="F5044" s="4" t="str">
        <f>HYPERLINK("http://141.218.60.56/~jnz1568/getInfo.php?workbook=20_05.xlsx&amp;sheet=U0&amp;row=5044&amp;col=6&amp;number=3&amp;sourceID=14","3")</f>
        <v>3</v>
      </c>
      <c r="G5044" s="4" t="str">
        <f>HYPERLINK("http://141.218.60.56/~jnz1568/getInfo.php?workbook=20_05.xlsx&amp;sheet=U0&amp;row=5044&amp;col=7&amp;number=8.85e-05&amp;sourceID=14","8.85e-05")</f>
        <v>8.85e-05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HYPERLINK("http://141.218.60.56/~jnz1568/getInfo.php?workbook=20_05.xlsx&amp;sheet=U0&amp;row=5045&amp;col=6&amp;number=3.1&amp;sourceID=14","3.1")</f>
        <v>3.1</v>
      </c>
      <c r="G5045" s="4" t="str">
        <f>HYPERLINK("http://141.218.60.56/~jnz1568/getInfo.php?workbook=20_05.xlsx&amp;sheet=U0&amp;row=5045&amp;col=7&amp;number=8.85e-05&amp;sourceID=14","8.85e-05")</f>
        <v>8.85e-05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HYPERLINK("http://141.218.60.56/~jnz1568/getInfo.php?workbook=20_05.xlsx&amp;sheet=U0&amp;row=5046&amp;col=6&amp;number=3.2&amp;sourceID=14","3.2")</f>
        <v>3.2</v>
      </c>
      <c r="G5046" s="4" t="str">
        <f>HYPERLINK("http://141.218.60.56/~jnz1568/getInfo.php?workbook=20_05.xlsx&amp;sheet=U0&amp;row=5046&amp;col=7&amp;number=8.85e-05&amp;sourceID=14","8.85e-05")</f>
        <v>8.85e-05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HYPERLINK("http://141.218.60.56/~jnz1568/getInfo.php?workbook=20_05.xlsx&amp;sheet=U0&amp;row=5047&amp;col=6&amp;number=3.3&amp;sourceID=14","3.3")</f>
        <v>3.3</v>
      </c>
      <c r="G5047" s="4" t="str">
        <f>HYPERLINK("http://141.218.60.56/~jnz1568/getInfo.php?workbook=20_05.xlsx&amp;sheet=U0&amp;row=5047&amp;col=7&amp;number=8.85e-05&amp;sourceID=14","8.85e-05")</f>
        <v>8.85e-05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HYPERLINK("http://141.218.60.56/~jnz1568/getInfo.php?workbook=20_05.xlsx&amp;sheet=U0&amp;row=5048&amp;col=6&amp;number=3.4&amp;sourceID=14","3.4")</f>
        <v>3.4</v>
      </c>
      <c r="G5048" s="4" t="str">
        <f>HYPERLINK("http://141.218.60.56/~jnz1568/getInfo.php?workbook=20_05.xlsx&amp;sheet=U0&amp;row=5048&amp;col=7&amp;number=8.85e-05&amp;sourceID=14","8.85e-05")</f>
        <v>8.85e-05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HYPERLINK("http://141.218.60.56/~jnz1568/getInfo.php?workbook=20_05.xlsx&amp;sheet=U0&amp;row=5049&amp;col=6&amp;number=3.5&amp;sourceID=14","3.5")</f>
        <v>3.5</v>
      </c>
      <c r="G5049" s="4" t="str">
        <f>HYPERLINK("http://141.218.60.56/~jnz1568/getInfo.php?workbook=20_05.xlsx&amp;sheet=U0&amp;row=5049&amp;col=7&amp;number=8.85e-05&amp;sourceID=14","8.85e-05")</f>
        <v>8.85e-05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HYPERLINK("http://141.218.60.56/~jnz1568/getInfo.php?workbook=20_05.xlsx&amp;sheet=U0&amp;row=5050&amp;col=6&amp;number=3.6&amp;sourceID=14","3.6")</f>
        <v>3.6</v>
      </c>
      <c r="G5050" s="4" t="str">
        <f>HYPERLINK("http://141.218.60.56/~jnz1568/getInfo.php?workbook=20_05.xlsx&amp;sheet=U0&amp;row=5050&amp;col=7&amp;number=8.85e-05&amp;sourceID=14","8.85e-05")</f>
        <v>8.85e-05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HYPERLINK("http://141.218.60.56/~jnz1568/getInfo.php?workbook=20_05.xlsx&amp;sheet=U0&amp;row=5051&amp;col=6&amp;number=3.7&amp;sourceID=14","3.7")</f>
        <v>3.7</v>
      </c>
      <c r="G5051" s="4" t="str">
        <f>HYPERLINK("http://141.218.60.56/~jnz1568/getInfo.php?workbook=20_05.xlsx&amp;sheet=U0&amp;row=5051&amp;col=7&amp;number=8.85e-05&amp;sourceID=14","8.85e-05")</f>
        <v>8.85e-05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HYPERLINK("http://141.218.60.56/~jnz1568/getInfo.php?workbook=20_05.xlsx&amp;sheet=U0&amp;row=5052&amp;col=6&amp;number=3.8&amp;sourceID=14","3.8")</f>
        <v>3.8</v>
      </c>
      <c r="G5052" s="4" t="str">
        <f>HYPERLINK("http://141.218.60.56/~jnz1568/getInfo.php?workbook=20_05.xlsx&amp;sheet=U0&amp;row=5052&amp;col=7&amp;number=8.85e-05&amp;sourceID=14","8.85e-05")</f>
        <v>8.85e-05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HYPERLINK("http://141.218.60.56/~jnz1568/getInfo.php?workbook=20_05.xlsx&amp;sheet=U0&amp;row=5053&amp;col=6&amp;number=3.9&amp;sourceID=14","3.9")</f>
        <v>3.9</v>
      </c>
      <c r="G5053" s="4" t="str">
        <f>HYPERLINK("http://141.218.60.56/~jnz1568/getInfo.php?workbook=20_05.xlsx&amp;sheet=U0&amp;row=5053&amp;col=7&amp;number=8.84e-05&amp;sourceID=14","8.84e-05")</f>
        <v>8.84e-05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HYPERLINK("http://141.218.60.56/~jnz1568/getInfo.php?workbook=20_05.xlsx&amp;sheet=U0&amp;row=5054&amp;col=6&amp;number=4&amp;sourceID=14","4")</f>
        <v>4</v>
      </c>
      <c r="G5054" s="4" t="str">
        <f>HYPERLINK("http://141.218.60.56/~jnz1568/getInfo.php?workbook=20_05.xlsx&amp;sheet=U0&amp;row=5054&amp;col=7&amp;number=8.84e-05&amp;sourceID=14","8.84e-05")</f>
        <v>8.84e-05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HYPERLINK("http://141.218.60.56/~jnz1568/getInfo.php?workbook=20_05.xlsx&amp;sheet=U0&amp;row=5055&amp;col=6&amp;number=4.1&amp;sourceID=14","4.1")</f>
        <v>4.1</v>
      </c>
      <c r="G5055" s="4" t="str">
        <f>HYPERLINK("http://141.218.60.56/~jnz1568/getInfo.php?workbook=20_05.xlsx&amp;sheet=U0&amp;row=5055&amp;col=7&amp;number=8.84e-05&amp;sourceID=14","8.84e-05")</f>
        <v>8.84e-05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HYPERLINK("http://141.218.60.56/~jnz1568/getInfo.php?workbook=20_05.xlsx&amp;sheet=U0&amp;row=5056&amp;col=6&amp;number=4.2&amp;sourceID=14","4.2")</f>
        <v>4.2</v>
      </c>
      <c r="G5056" s="4" t="str">
        <f>HYPERLINK("http://141.218.60.56/~jnz1568/getInfo.php?workbook=20_05.xlsx&amp;sheet=U0&amp;row=5056&amp;col=7&amp;number=8.83e-05&amp;sourceID=14","8.83e-05")</f>
        <v>8.83e-05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HYPERLINK("http://141.218.60.56/~jnz1568/getInfo.php?workbook=20_05.xlsx&amp;sheet=U0&amp;row=5057&amp;col=6&amp;number=4.3&amp;sourceID=14","4.3")</f>
        <v>4.3</v>
      </c>
      <c r="G5057" s="4" t="str">
        <f>HYPERLINK("http://141.218.60.56/~jnz1568/getInfo.php?workbook=20_05.xlsx&amp;sheet=U0&amp;row=5057&amp;col=7&amp;number=8.83e-05&amp;sourceID=14","8.83e-05")</f>
        <v>8.83e-05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HYPERLINK("http://141.218.60.56/~jnz1568/getInfo.php?workbook=20_05.xlsx&amp;sheet=U0&amp;row=5058&amp;col=6&amp;number=4.4&amp;sourceID=14","4.4")</f>
        <v>4.4</v>
      </c>
      <c r="G5058" s="4" t="str">
        <f>HYPERLINK("http://141.218.60.56/~jnz1568/getInfo.php?workbook=20_05.xlsx&amp;sheet=U0&amp;row=5058&amp;col=7&amp;number=8.82e-05&amp;sourceID=14","8.82e-05")</f>
        <v>8.82e-05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HYPERLINK("http://141.218.60.56/~jnz1568/getInfo.php?workbook=20_05.xlsx&amp;sheet=U0&amp;row=5059&amp;col=6&amp;number=4.5&amp;sourceID=14","4.5")</f>
        <v>4.5</v>
      </c>
      <c r="G5059" s="4" t="str">
        <f>HYPERLINK("http://141.218.60.56/~jnz1568/getInfo.php?workbook=20_05.xlsx&amp;sheet=U0&amp;row=5059&amp;col=7&amp;number=8.81e-05&amp;sourceID=14","8.81e-05")</f>
        <v>8.81e-05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HYPERLINK("http://141.218.60.56/~jnz1568/getInfo.php?workbook=20_05.xlsx&amp;sheet=U0&amp;row=5060&amp;col=6&amp;number=4.6&amp;sourceID=14","4.6")</f>
        <v>4.6</v>
      </c>
      <c r="G5060" s="4" t="str">
        <f>HYPERLINK("http://141.218.60.56/~jnz1568/getInfo.php?workbook=20_05.xlsx&amp;sheet=U0&amp;row=5060&amp;col=7&amp;number=8.8e-05&amp;sourceID=14","8.8e-05")</f>
        <v>8.8e-05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HYPERLINK("http://141.218.60.56/~jnz1568/getInfo.php?workbook=20_05.xlsx&amp;sheet=U0&amp;row=5061&amp;col=6&amp;number=4.7&amp;sourceID=14","4.7")</f>
        <v>4.7</v>
      </c>
      <c r="G5061" s="4" t="str">
        <f>HYPERLINK("http://141.218.60.56/~jnz1568/getInfo.php?workbook=20_05.xlsx&amp;sheet=U0&amp;row=5061&amp;col=7&amp;number=8.79e-05&amp;sourceID=14","8.79e-05")</f>
        <v>8.79e-05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HYPERLINK("http://141.218.60.56/~jnz1568/getInfo.php?workbook=20_05.xlsx&amp;sheet=U0&amp;row=5062&amp;col=6&amp;number=4.8&amp;sourceID=14","4.8")</f>
        <v>4.8</v>
      </c>
      <c r="G5062" s="4" t="str">
        <f>HYPERLINK("http://141.218.60.56/~jnz1568/getInfo.php?workbook=20_05.xlsx&amp;sheet=U0&amp;row=5062&amp;col=7&amp;number=8.77e-05&amp;sourceID=14","8.77e-05")</f>
        <v>8.77e-05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HYPERLINK("http://141.218.60.56/~jnz1568/getInfo.php?workbook=20_05.xlsx&amp;sheet=U0&amp;row=5063&amp;col=6&amp;number=4.9&amp;sourceID=14","4.9")</f>
        <v>4.9</v>
      </c>
      <c r="G5063" s="4" t="str">
        <f>HYPERLINK("http://141.218.60.56/~jnz1568/getInfo.php?workbook=20_05.xlsx&amp;sheet=U0&amp;row=5063&amp;col=7&amp;number=8.75e-05&amp;sourceID=14","8.75e-05")</f>
        <v>8.75e-05</v>
      </c>
    </row>
    <row r="5064" spans="1:7">
      <c r="A5064" s="3">
        <v>20</v>
      </c>
      <c r="B5064" s="3">
        <v>5</v>
      </c>
      <c r="C5064" s="3">
        <v>2</v>
      </c>
      <c r="D5064" s="3">
        <v>100</v>
      </c>
      <c r="E5064" s="3">
        <v>1</v>
      </c>
      <c r="F5064" s="4" t="str">
        <f>HYPERLINK("http://141.218.60.56/~jnz1568/getInfo.php?workbook=20_05.xlsx&amp;sheet=U0&amp;row=5064&amp;col=6&amp;number=3&amp;sourceID=14","3")</f>
        <v>3</v>
      </c>
      <c r="G5064" s="4" t="str">
        <f>HYPERLINK("http://141.218.60.56/~jnz1568/getInfo.php?workbook=20_05.xlsx&amp;sheet=U0&amp;row=5064&amp;col=7&amp;number=8.2e-05&amp;sourceID=14","8.2e-05")</f>
        <v>8.2e-05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HYPERLINK("http://141.218.60.56/~jnz1568/getInfo.php?workbook=20_05.xlsx&amp;sheet=U0&amp;row=5065&amp;col=6&amp;number=3.1&amp;sourceID=14","3.1")</f>
        <v>3.1</v>
      </c>
      <c r="G5065" s="4" t="str">
        <f>HYPERLINK("http://141.218.60.56/~jnz1568/getInfo.php?workbook=20_05.xlsx&amp;sheet=U0&amp;row=5065&amp;col=7&amp;number=8.2e-05&amp;sourceID=14","8.2e-05")</f>
        <v>8.2e-05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HYPERLINK("http://141.218.60.56/~jnz1568/getInfo.php?workbook=20_05.xlsx&amp;sheet=U0&amp;row=5066&amp;col=6&amp;number=3.2&amp;sourceID=14","3.2")</f>
        <v>3.2</v>
      </c>
      <c r="G5066" s="4" t="str">
        <f>HYPERLINK("http://141.218.60.56/~jnz1568/getInfo.php?workbook=20_05.xlsx&amp;sheet=U0&amp;row=5066&amp;col=7&amp;number=8.2e-05&amp;sourceID=14","8.2e-05")</f>
        <v>8.2e-05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HYPERLINK("http://141.218.60.56/~jnz1568/getInfo.php?workbook=20_05.xlsx&amp;sheet=U0&amp;row=5067&amp;col=6&amp;number=3.3&amp;sourceID=14","3.3")</f>
        <v>3.3</v>
      </c>
      <c r="G5067" s="4" t="str">
        <f>HYPERLINK("http://141.218.60.56/~jnz1568/getInfo.php?workbook=20_05.xlsx&amp;sheet=U0&amp;row=5067&amp;col=7&amp;number=8.2e-05&amp;sourceID=14","8.2e-05")</f>
        <v>8.2e-05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HYPERLINK("http://141.218.60.56/~jnz1568/getInfo.php?workbook=20_05.xlsx&amp;sheet=U0&amp;row=5068&amp;col=6&amp;number=3.4&amp;sourceID=14","3.4")</f>
        <v>3.4</v>
      </c>
      <c r="G5068" s="4" t="str">
        <f>HYPERLINK("http://141.218.60.56/~jnz1568/getInfo.php?workbook=20_05.xlsx&amp;sheet=U0&amp;row=5068&amp;col=7&amp;number=8.2e-05&amp;sourceID=14","8.2e-05")</f>
        <v>8.2e-05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HYPERLINK("http://141.218.60.56/~jnz1568/getInfo.php?workbook=20_05.xlsx&amp;sheet=U0&amp;row=5069&amp;col=6&amp;number=3.5&amp;sourceID=14","3.5")</f>
        <v>3.5</v>
      </c>
      <c r="G5069" s="4" t="str">
        <f>HYPERLINK("http://141.218.60.56/~jnz1568/getInfo.php?workbook=20_05.xlsx&amp;sheet=U0&amp;row=5069&amp;col=7&amp;number=8.19e-05&amp;sourceID=14","8.19e-05")</f>
        <v>8.19e-05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HYPERLINK("http://141.218.60.56/~jnz1568/getInfo.php?workbook=20_05.xlsx&amp;sheet=U0&amp;row=5070&amp;col=6&amp;number=3.6&amp;sourceID=14","3.6")</f>
        <v>3.6</v>
      </c>
      <c r="G5070" s="4" t="str">
        <f>HYPERLINK("http://141.218.60.56/~jnz1568/getInfo.php?workbook=20_05.xlsx&amp;sheet=U0&amp;row=5070&amp;col=7&amp;number=8.19e-05&amp;sourceID=14","8.19e-05")</f>
        <v>8.19e-05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HYPERLINK("http://141.218.60.56/~jnz1568/getInfo.php?workbook=20_05.xlsx&amp;sheet=U0&amp;row=5071&amp;col=6&amp;number=3.7&amp;sourceID=14","3.7")</f>
        <v>3.7</v>
      </c>
      <c r="G5071" s="4" t="str">
        <f>HYPERLINK("http://141.218.60.56/~jnz1568/getInfo.php?workbook=20_05.xlsx&amp;sheet=U0&amp;row=5071&amp;col=7&amp;number=8.19e-05&amp;sourceID=14","8.19e-05")</f>
        <v>8.19e-05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HYPERLINK("http://141.218.60.56/~jnz1568/getInfo.php?workbook=20_05.xlsx&amp;sheet=U0&amp;row=5072&amp;col=6&amp;number=3.8&amp;sourceID=14","3.8")</f>
        <v>3.8</v>
      </c>
      <c r="G5072" s="4" t="str">
        <f>HYPERLINK("http://141.218.60.56/~jnz1568/getInfo.php?workbook=20_05.xlsx&amp;sheet=U0&amp;row=5072&amp;col=7&amp;number=8.19e-05&amp;sourceID=14","8.19e-05")</f>
        <v>8.19e-05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HYPERLINK("http://141.218.60.56/~jnz1568/getInfo.php?workbook=20_05.xlsx&amp;sheet=U0&amp;row=5073&amp;col=6&amp;number=3.9&amp;sourceID=14","3.9")</f>
        <v>3.9</v>
      </c>
      <c r="G5073" s="4" t="str">
        <f>HYPERLINK("http://141.218.60.56/~jnz1568/getInfo.php?workbook=20_05.xlsx&amp;sheet=U0&amp;row=5073&amp;col=7&amp;number=8.19e-05&amp;sourceID=14","8.19e-05")</f>
        <v>8.19e-05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HYPERLINK("http://141.218.60.56/~jnz1568/getInfo.php?workbook=20_05.xlsx&amp;sheet=U0&amp;row=5074&amp;col=6&amp;number=4&amp;sourceID=14","4")</f>
        <v>4</v>
      </c>
      <c r="G5074" s="4" t="str">
        <f>HYPERLINK("http://141.218.60.56/~jnz1568/getInfo.php?workbook=20_05.xlsx&amp;sheet=U0&amp;row=5074&amp;col=7&amp;number=8.18e-05&amp;sourceID=14","8.18e-05")</f>
        <v>8.18e-05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HYPERLINK("http://141.218.60.56/~jnz1568/getInfo.php?workbook=20_05.xlsx&amp;sheet=U0&amp;row=5075&amp;col=6&amp;number=4.1&amp;sourceID=14","4.1")</f>
        <v>4.1</v>
      </c>
      <c r="G5075" s="4" t="str">
        <f>HYPERLINK("http://141.218.60.56/~jnz1568/getInfo.php?workbook=20_05.xlsx&amp;sheet=U0&amp;row=5075&amp;col=7&amp;number=8.18e-05&amp;sourceID=14","8.18e-05")</f>
        <v>8.18e-05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HYPERLINK("http://141.218.60.56/~jnz1568/getInfo.php?workbook=20_05.xlsx&amp;sheet=U0&amp;row=5076&amp;col=6&amp;number=4.2&amp;sourceID=14","4.2")</f>
        <v>4.2</v>
      </c>
      <c r="G5076" s="4" t="str">
        <f>HYPERLINK("http://141.218.60.56/~jnz1568/getInfo.php?workbook=20_05.xlsx&amp;sheet=U0&amp;row=5076&amp;col=7&amp;number=8.17e-05&amp;sourceID=14","8.17e-05")</f>
        <v>8.17e-05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HYPERLINK("http://141.218.60.56/~jnz1568/getInfo.php?workbook=20_05.xlsx&amp;sheet=U0&amp;row=5077&amp;col=6&amp;number=4.3&amp;sourceID=14","4.3")</f>
        <v>4.3</v>
      </c>
      <c r="G5077" s="4" t="str">
        <f>HYPERLINK("http://141.218.60.56/~jnz1568/getInfo.php?workbook=20_05.xlsx&amp;sheet=U0&amp;row=5077&amp;col=7&amp;number=8.17e-05&amp;sourceID=14","8.17e-05")</f>
        <v>8.17e-05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HYPERLINK("http://141.218.60.56/~jnz1568/getInfo.php?workbook=20_05.xlsx&amp;sheet=U0&amp;row=5078&amp;col=6&amp;number=4.4&amp;sourceID=14","4.4")</f>
        <v>4.4</v>
      </c>
      <c r="G5078" s="4" t="str">
        <f>HYPERLINK("http://141.218.60.56/~jnz1568/getInfo.php?workbook=20_05.xlsx&amp;sheet=U0&amp;row=5078&amp;col=7&amp;number=8.16e-05&amp;sourceID=14","8.16e-05")</f>
        <v>8.16e-05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HYPERLINK("http://141.218.60.56/~jnz1568/getInfo.php?workbook=20_05.xlsx&amp;sheet=U0&amp;row=5079&amp;col=6&amp;number=4.5&amp;sourceID=14","4.5")</f>
        <v>4.5</v>
      </c>
      <c r="G5079" s="4" t="str">
        <f>HYPERLINK("http://141.218.60.56/~jnz1568/getInfo.php?workbook=20_05.xlsx&amp;sheet=U0&amp;row=5079&amp;col=7&amp;number=8.15e-05&amp;sourceID=14","8.15e-05")</f>
        <v>8.15e-05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HYPERLINK("http://141.218.60.56/~jnz1568/getInfo.php?workbook=20_05.xlsx&amp;sheet=U0&amp;row=5080&amp;col=6&amp;number=4.6&amp;sourceID=14","4.6")</f>
        <v>4.6</v>
      </c>
      <c r="G5080" s="4" t="str">
        <f>HYPERLINK("http://141.218.60.56/~jnz1568/getInfo.php?workbook=20_05.xlsx&amp;sheet=U0&amp;row=5080&amp;col=7&amp;number=8.14e-05&amp;sourceID=14","8.14e-05")</f>
        <v>8.14e-05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HYPERLINK("http://141.218.60.56/~jnz1568/getInfo.php?workbook=20_05.xlsx&amp;sheet=U0&amp;row=5081&amp;col=6&amp;number=4.7&amp;sourceID=14","4.7")</f>
        <v>4.7</v>
      </c>
      <c r="G5081" s="4" t="str">
        <f>HYPERLINK("http://141.218.60.56/~jnz1568/getInfo.php?workbook=20_05.xlsx&amp;sheet=U0&amp;row=5081&amp;col=7&amp;number=8.12e-05&amp;sourceID=14","8.12e-05")</f>
        <v>8.12e-05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HYPERLINK("http://141.218.60.56/~jnz1568/getInfo.php?workbook=20_05.xlsx&amp;sheet=U0&amp;row=5082&amp;col=6&amp;number=4.8&amp;sourceID=14","4.8")</f>
        <v>4.8</v>
      </c>
      <c r="G5082" s="4" t="str">
        <f>HYPERLINK("http://141.218.60.56/~jnz1568/getInfo.php?workbook=20_05.xlsx&amp;sheet=U0&amp;row=5082&amp;col=7&amp;number=8.1e-05&amp;sourceID=14","8.1e-05")</f>
        <v>8.1e-05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HYPERLINK("http://141.218.60.56/~jnz1568/getInfo.php?workbook=20_05.xlsx&amp;sheet=U0&amp;row=5083&amp;col=6&amp;number=4.9&amp;sourceID=14","4.9")</f>
        <v>4.9</v>
      </c>
      <c r="G5083" s="4" t="str">
        <f>HYPERLINK("http://141.218.60.56/~jnz1568/getInfo.php?workbook=20_05.xlsx&amp;sheet=U0&amp;row=5083&amp;col=7&amp;number=8.08e-05&amp;sourceID=14","8.08e-05")</f>
        <v>8.08e-05</v>
      </c>
    </row>
    <row r="5084" spans="1:7">
      <c r="A5084" s="3">
        <v>20</v>
      </c>
      <c r="B5084" s="3">
        <v>5</v>
      </c>
      <c r="C5084" s="3">
        <v>2</v>
      </c>
      <c r="D5084" s="3">
        <v>101</v>
      </c>
      <c r="E5084" s="3">
        <v>1</v>
      </c>
      <c r="F5084" s="4" t="str">
        <f>HYPERLINK("http://141.218.60.56/~jnz1568/getInfo.php?workbook=20_05.xlsx&amp;sheet=U0&amp;row=5084&amp;col=6&amp;number=3&amp;sourceID=14","3")</f>
        <v>3</v>
      </c>
      <c r="G5084" s="4" t="str">
        <f>HYPERLINK("http://141.218.60.56/~jnz1568/getInfo.php?workbook=20_05.xlsx&amp;sheet=U0&amp;row=5084&amp;col=7&amp;number=5.13e-05&amp;sourceID=14","5.13e-05")</f>
        <v>5.13e-05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HYPERLINK("http://141.218.60.56/~jnz1568/getInfo.php?workbook=20_05.xlsx&amp;sheet=U0&amp;row=5085&amp;col=6&amp;number=3.1&amp;sourceID=14","3.1")</f>
        <v>3.1</v>
      </c>
      <c r="G5085" s="4" t="str">
        <f>HYPERLINK("http://141.218.60.56/~jnz1568/getInfo.php?workbook=20_05.xlsx&amp;sheet=U0&amp;row=5085&amp;col=7&amp;number=5.13e-05&amp;sourceID=14","5.13e-05")</f>
        <v>5.13e-05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HYPERLINK("http://141.218.60.56/~jnz1568/getInfo.php?workbook=20_05.xlsx&amp;sheet=U0&amp;row=5086&amp;col=6&amp;number=3.2&amp;sourceID=14","3.2")</f>
        <v>3.2</v>
      </c>
      <c r="G5086" s="4" t="str">
        <f>HYPERLINK("http://141.218.60.56/~jnz1568/getInfo.php?workbook=20_05.xlsx&amp;sheet=U0&amp;row=5086&amp;col=7&amp;number=5.13e-05&amp;sourceID=14","5.13e-05")</f>
        <v>5.13e-05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HYPERLINK("http://141.218.60.56/~jnz1568/getInfo.php?workbook=20_05.xlsx&amp;sheet=U0&amp;row=5087&amp;col=6&amp;number=3.3&amp;sourceID=14","3.3")</f>
        <v>3.3</v>
      </c>
      <c r="G5087" s="4" t="str">
        <f>HYPERLINK("http://141.218.60.56/~jnz1568/getInfo.php?workbook=20_05.xlsx&amp;sheet=U0&amp;row=5087&amp;col=7&amp;number=5.13e-05&amp;sourceID=14","5.13e-05")</f>
        <v>5.13e-05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HYPERLINK("http://141.218.60.56/~jnz1568/getInfo.php?workbook=20_05.xlsx&amp;sheet=U0&amp;row=5088&amp;col=6&amp;number=3.4&amp;sourceID=14","3.4")</f>
        <v>3.4</v>
      </c>
      <c r="G5088" s="4" t="str">
        <f>HYPERLINK("http://141.218.60.56/~jnz1568/getInfo.php?workbook=20_05.xlsx&amp;sheet=U0&amp;row=5088&amp;col=7&amp;number=5.13e-05&amp;sourceID=14","5.13e-05")</f>
        <v>5.13e-05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HYPERLINK("http://141.218.60.56/~jnz1568/getInfo.php?workbook=20_05.xlsx&amp;sheet=U0&amp;row=5089&amp;col=6&amp;number=3.5&amp;sourceID=14","3.5")</f>
        <v>3.5</v>
      </c>
      <c r="G5089" s="4" t="str">
        <f>HYPERLINK("http://141.218.60.56/~jnz1568/getInfo.php?workbook=20_05.xlsx&amp;sheet=U0&amp;row=5089&amp;col=7&amp;number=5.13e-05&amp;sourceID=14","5.13e-05")</f>
        <v>5.13e-05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HYPERLINK("http://141.218.60.56/~jnz1568/getInfo.php?workbook=20_05.xlsx&amp;sheet=U0&amp;row=5090&amp;col=6&amp;number=3.6&amp;sourceID=14","3.6")</f>
        <v>3.6</v>
      </c>
      <c r="G5090" s="4" t="str">
        <f>HYPERLINK("http://141.218.60.56/~jnz1568/getInfo.php?workbook=20_05.xlsx&amp;sheet=U0&amp;row=5090&amp;col=7&amp;number=5.13e-05&amp;sourceID=14","5.13e-05")</f>
        <v>5.13e-05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HYPERLINK("http://141.218.60.56/~jnz1568/getInfo.php?workbook=20_05.xlsx&amp;sheet=U0&amp;row=5091&amp;col=6&amp;number=3.7&amp;sourceID=14","3.7")</f>
        <v>3.7</v>
      </c>
      <c r="G5091" s="4" t="str">
        <f>HYPERLINK("http://141.218.60.56/~jnz1568/getInfo.php?workbook=20_05.xlsx&amp;sheet=U0&amp;row=5091&amp;col=7&amp;number=5.13e-05&amp;sourceID=14","5.13e-05")</f>
        <v>5.13e-05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HYPERLINK("http://141.218.60.56/~jnz1568/getInfo.php?workbook=20_05.xlsx&amp;sheet=U0&amp;row=5092&amp;col=6&amp;number=3.8&amp;sourceID=14","3.8")</f>
        <v>3.8</v>
      </c>
      <c r="G5092" s="4" t="str">
        <f>HYPERLINK("http://141.218.60.56/~jnz1568/getInfo.php?workbook=20_05.xlsx&amp;sheet=U0&amp;row=5092&amp;col=7&amp;number=5.13e-05&amp;sourceID=14","5.13e-05")</f>
        <v>5.13e-05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HYPERLINK("http://141.218.60.56/~jnz1568/getInfo.php?workbook=20_05.xlsx&amp;sheet=U0&amp;row=5093&amp;col=6&amp;number=3.9&amp;sourceID=14","3.9")</f>
        <v>3.9</v>
      </c>
      <c r="G5093" s="4" t="str">
        <f>HYPERLINK("http://141.218.60.56/~jnz1568/getInfo.php?workbook=20_05.xlsx&amp;sheet=U0&amp;row=5093&amp;col=7&amp;number=5.12e-05&amp;sourceID=14","5.12e-05")</f>
        <v>5.12e-05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HYPERLINK("http://141.218.60.56/~jnz1568/getInfo.php?workbook=20_05.xlsx&amp;sheet=U0&amp;row=5094&amp;col=6&amp;number=4&amp;sourceID=14","4")</f>
        <v>4</v>
      </c>
      <c r="G5094" s="4" t="str">
        <f>HYPERLINK("http://141.218.60.56/~jnz1568/getInfo.php?workbook=20_05.xlsx&amp;sheet=U0&amp;row=5094&amp;col=7&amp;number=5.12e-05&amp;sourceID=14","5.12e-05")</f>
        <v>5.12e-05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HYPERLINK("http://141.218.60.56/~jnz1568/getInfo.php?workbook=20_05.xlsx&amp;sheet=U0&amp;row=5095&amp;col=6&amp;number=4.1&amp;sourceID=14","4.1")</f>
        <v>4.1</v>
      </c>
      <c r="G5095" s="4" t="str">
        <f>HYPERLINK("http://141.218.60.56/~jnz1568/getInfo.php?workbook=20_05.xlsx&amp;sheet=U0&amp;row=5095&amp;col=7&amp;number=5.12e-05&amp;sourceID=14","5.12e-05")</f>
        <v>5.12e-05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HYPERLINK("http://141.218.60.56/~jnz1568/getInfo.php?workbook=20_05.xlsx&amp;sheet=U0&amp;row=5096&amp;col=6&amp;number=4.2&amp;sourceID=14","4.2")</f>
        <v>4.2</v>
      </c>
      <c r="G5096" s="4" t="str">
        <f>HYPERLINK("http://141.218.60.56/~jnz1568/getInfo.php?workbook=20_05.xlsx&amp;sheet=U0&amp;row=5096&amp;col=7&amp;number=5.11e-05&amp;sourceID=14","5.11e-05")</f>
        <v>5.11e-05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HYPERLINK("http://141.218.60.56/~jnz1568/getInfo.php?workbook=20_05.xlsx&amp;sheet=U0&amp;row=5097&amp;col=6&amp;number=4.3&amp;sourceID=14","4.3")</f>
        <v>4.3</v>
      </c>
      <c r="G5097" s="4" t="str">
        <f>HYPERLINK("http://141.218.60.56/~jnz1568/getInfo.php?workbook=20_05.xlsx&amp;sheet=U0&amp;row=5097&amp;col=7&amp;number=5.11e-05&amp;sourceID=14","5.11e-05")</f>
        <v>5.11e-05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HYPERLINK("http://141.218.60.56/~jnz1568/getInfo.php?workbook=20_05.xlsx&amp;sheet=U0&amp;row=5098&amp;col=6&amp;number=4.4&amp;sourceID=14","4.4")</f>
        <v>4.4</v>
      </c>
      <c r="G5098" s="4" t="str">
        <f>HYPERLINK("http://141.218.60.56/~jnz1568/getInfo.php?workbook=20_05.xlsx&amp;sheet=U0&amp;row=5098&amp;col=7&amp;number=5.1e-05&amp;sourceID=14","5.1e-05")</f>
        <v>5.1e-05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HYPERLINK("http://141.218.60.56/~jnz1568/getInfo.php?workbook=20_05.xlsx&amp;sheet=U0&amp;row=5099&amp;col=6&amp;number=4.5&amp;sourceID=14","4.5")</f>
        <v>4.5</v>
      </c>
      <c r="G5099" s="4" t="str">
        <f>HYPERLINK("http://141.218.60.56/~jnz1568/getInfo.php?workbook=20_05.xlsx&amp;sheet=U0&amp;row=5099&amp;col=7&amp;number=5.1e-05&amp;sourceID=14","5.1e-05")</f>
        <v>5.1e-05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HYPERLINK("http://141.218.60.56/~jnz1568/getInfo.php?workbook=20_05.xlsx&amp;sheet=U0&amp;row=5100&amp;col=6&amp;number=4.6&amp;sourceID=14","4.6")</f>
        <v>4.6</v>
      </c>
      <c r="G5100" s="4" t="str">
        <f>HYPERLINK("http://141.218.60.56/~jnz1568/getInfo.php?workbook=20_05.xlsx&amp;sheet=U0&amp;row=5100&amp;col=7&amp;number=5.09e-05&amp;sourceID=14","5.09e-05")</f>
        <v>5.09e-05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HYPERLINK("http://141.218.60.56/~jnz1568/getInfo.php?workbook=20_05.xlsx&amp;sheet=U0&amp;row=5101&amp;col=6&amp;number=4.7&amp;sourceID=14","4.7")</f>
        <v>4.7</v>
      </c>
      <c r="G5101" s="4" t="str">
        <f>HYPERLINK("http://141.218.60.56/~jnz1568/getInfo.php?workbook=20_05.xlsx&amp;sheet=U0&amp;row=5101&amp;col=7&amp;number=5.08e-05&amp;sourceID=14","5.08e-05")</f>
        <v>5.08e-05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HYPERLINK("http://141.218.60.56/~jnz1568/getInfo.php?workbook=20_05.xlsx&amp;sheet=U0&amp;row=5102&amp;col=6&amp;number=4.8&amp;sourceID=14","4.8")</f>
        <v>4.8</v>
      </c>
      <c r="G5102" s="4" t="str">
        <f>HYPERLINK("http://141.218.60.56/~jnz1568/getInfo.php?workbook=20_05.xlsx&amp;sheet=U0&amp;row=5102&amp;col=7&amp;number=5.06e-05&amp;sourceID=14","5.06e-05")</f>
        <v>5.06e-05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HYPERLINK("http://141.218.60.56/~jnz1568/getInfo.php?workbook=20_05.xlsx&amp;sheet=U0&amp;row=5103&amp;col=6&amp;number=4.9&amp;sourceID=14","4.9")</f>
        <v>4.9</v>
      </c>
      <c r="G5103" s="4" t="str">
        <f>HYPERLINK("http://141.218.60.56/~jnz1568/getInfo.php?workbook=20_05.xlsx&amp;sheet=U0&amp;row=5103&amp;col=7&amp;number=5.05e-05&amp;sourceID=14","5.05e-05")</f>
        <v>5.05e-05</v>
      </c>
    </row>
    <row r="5104" spans="1:7">
      <c r="A5104" s="3">
        <v>20</v>
      </c>
      <c r="B5104" s="3">
        <v>5</v>
      </c>
      <c r="C5104" s="3">
        <v>2</v>
      </c>
      <c r="D5104" s="3">
        <v>102</v>
      </c>
      <c r="E5104" s="3">
        <v>1</v>
      </c>
      <c r="F5104" s="4" t="str">
        <f>HYPERLINK("http://141.218.60.56/~jnz1568/getInfo.php?workbook=20_05.xlsx&amp;sheet=U0&amp;row=5104&amp;col=6&amp;number=3&amp;sourceID=14","3")</f>
        <v>3</v>
      </c>
      <c r="G5104" s="4" t="str">
        <f>HYPERLINK("http://141.218.60.56/~jnz1568/getInfo.php?workbook=20_05.xlsx&amp;sheet=U0&amp;row=5104&amp;col=7&amp;number=0.000136&amp;sourceID=14","0.000136")</f>
        <v>0.000136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HYPERLINK("http://141.218.60.56/~jnz1568/getInfo.php?workbook=20_05.xlsx&amp;sheet=U0&amp;row=5105&amp;col=6&amp;number=3.1&amp;sourceID=14","3.1")</f>
        <v>3.1</v>
      </c>
      <c r="G5105" s="4" t="str">
        <f>HYPERLINK("http://141.218.60.56/~jnz1568/getInfo.php?workbook=20_05.xlsx&amp;sheet=U0&amp;row=5105&amp;col=7&amp;number=0.000136&amp;sourceID=14","0.000136")</f>
        <v>0.000136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HYPERLINK("http://141.218.60.56/~jnz1568/getInfo.php?workbook=20_05.xlsx&amp;sheet=U0&amp;row=5106&amp;col=6&amp;number=3.2&amp;sourceID=14","3.2")</f>
        <v>3.2</v>
      </c>
      <c r="G5106" s="4" t="str">
        <f>HYPERLINK("http://141.218.60.56/~jnz1568/getInfo.php?workbook=20_05.xlsx&amp;sheet=U0&amp;row=5106&amp;col=7&amp;number=0.000136&amp;sourceID=14","0.000136")</f>
        <v>0.000136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HYPERLINK("http://141.218.60.56/~jnz1568/getInfo.php?workbook=20_05.xlsx&amp;sheet=U0&amp;row=5107&amp;col=6&amp;number=3.3&amp;sourceID=14","3.3")</f>
        <v>3.3</v>
      </c>
      <c r="G5107" s="4" t="str">
        <f>HYPERLINK("http://141.218.60.56/~jnz1568/getInfo.php?workbook=20_05.xlsx&amp;sheet=U0&amp;row=5107&amp;col=7&amp;number=0.000136&amp;sourceID=14","0.000136")</f>
        <v>0.000136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HYPERLINK("http://141.218.60.56/~jnz1568/getInfo.php?workbook=20_05.xlsx&amp;sheet=U0&amp;row=5108&amp;col=6&amp;number=3.4&amp;sourceID=14","3.4")</f>
        <v>3.4</v>
      </c>
      <c r="G5108" s="4" t="str">
        <f>HYPERLINK("http://141.218.60.56/~jnz1568/getInfo.php?workbook=20_05.xlsx&amp;sheet=U0&amp;row=5108&amp;col=7&amp;number=0.000136&amp;sourceID=14","0.000136")</f>
        <v>0.000136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HYPERLINK("http://141.218.60.56/~jnz1568/getInfo.php?workbook=20_05.xlsx&amp;sheet=U0&amp;row=5109&amp;col=6&amp;number=3.5&amp;sourceID=14","3.5")</f>
        <v>3.5</v>
      </c>
      <c r="G5109" s="4" t="str">
        <f>HYPERLINK("http://141.218.60.56/~jnz1568/getInfo.php?workbook=20_05.xlsx&amp;sheet=U0&amp;row=5109&amp;col=7&amp;number=0.000136&amp;sourceID=14","0.000136")</f>
        <v>0.000136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HYPERLINK("http://141.218.60.56/~jnz1568/getInfo.php?workbook=20_05.xlsx&amp;sheet=U0&amp;row=5110&amp;col=6&amp;number=3.6&amp;sourceID=14","3.6")</f>
        <v>3.6</v>
      </c>
      <c r="G5110" s="4" t="str">
        <f>HYPERLINK("http://141.218.60.56/~jnz1568/getInfo.php?workbook=20_05.xlsx&amp;sheet=U0&amp;row=5110&amp;col=7&amp;number=0.000136&amp;sourceID=14","0.000136")</f>
        <v>0.000136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HYPERLINK("http://141.218.60.56/~jnz1568/getInfo.php?workbook=20_05.xlsx&amp;sheet=U0&amp;row=5111&amp;col=6&amp;number=3.7&amp;sourceID=14","3.7")</f>
        <v>3.7</v>
      </c>
      <c r="G5111" s="4" t="str">
        <f>HYPERLINK("http://141.218.60.56/~jnz1568/getInfo.php?workbook=20_05.xlsx&amp;sheet=U0&amp;row=5111&amp;col=7&amp;number=0.000136&amp;sourceID=14","0.000136")</f>
        <v>0.000136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HYPERLINK("http://141.218.60.56/~jnz1568/getInfo.php?workbook=20_05.xlsx&amp;sheet=U0&amp;row=5112&amp;col=6&amp;number=3.8&amp;sourceID=14","3.8")</f>
        <v>3.8</v>
      </c>
      <c r="G5112" s="4" t="str">
        <f>HYPERLINK("http://141.218.60.56/~jnz1568/getInfo.php?workbook=20_05.xlsx&amp;sheet=U0&amp;row=5112&amp;col=7&amp;number=0.000136&amp;sourceID=14","0.000136")</f>
        <v>0.000136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HYPERLINK("http://141.218.60.56/~jnz1568/getInfo.php?workbook=20_05.xlsx&amp;sheet=U0&amp;row=5113&amp;col=6&amp;number=3.9&amp;sourceID=14","3.9")</f>
        <v>3.9</v>
      </c>
      <c r="G5113" s="4" t="str">
        <f>HYPERLINK("http://141.218.60.56/~jnz1568/getInfo.php?workbook=20_05.xlsx&amp;sheet=U0&amp;row=5113&amp;col=7&amp;number=0.000136&amp;sourceID=14","0.000136")</f>
        <v>0.000136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HYPERLINK("http://141.218.60.56/~jnz1568/getInfo.php?workbook=20_05.xlsx&amp;sheet=U0&amp;row=5114&amp;col=6&amp;number=4&amp;sourceID=14","4")</f>
        <v>4</v>
      </c>
      <c r="G5114" s="4" t="str">
        <f>HYPERLINK("http://141.218.60.56/~jnz1568/getInfo.php?workbook=20_05.xlsx&amp;sheet=U0&amp;row=5114&amp;col=7&amp;number=0.000136&amp;sourceID=14","0.000136")</f>
        <v>0.000136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HYPERLINK("http://141.218.60.56/~jnz1568/getInfo.php?workbook=20_05.xlsx&amp;sheet=U0&amp;row=5115&amp;col=6&amp;number=4.1&amp;sourceID=14","4.1")</f>
        <v>4.1</v>
      </c>
      <c r="G5115" s="4" t="str">
        <f>HYPERLINK("http://141.218.60.56/~jnz1568/getInfo.php?workbook=20_05.xlsx&amp;sheet=U0&amp;row=5115&amp;col=7&amp;number=0.000136&amp;sourceID=14","0.000136")</f>
        <v>0.000136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HYPERLINK("http://141.218.60.56/~jnz1568/getInfo.php?workbook=20_05.xlsx&amp;sheet=U0&amp;row=5116&amp;col=6&amp;number=4.2&amp;sourceID=14","4.2")</f>
        <v>4.2</v>
      </c>
      <c r="G5116" s="4" t="str">
        <f>HYPERLINK("http://141.218.60.56/~jnz1568/getInfo.php?workbook=20_05.xlsx&amp;sheet=U0&amp;row=5116&amp;col=7&amp;number=0.000136&amp;sourceID=14","0.000136")</f>
        <v>0.000136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HYPERLINK("http://141.218.60.56/~jnz1568/getInfo.php?workbook=20_05.xlsx&amp;sheet=U0&amp;row=5117&amp;col=6&amp;number=4.3&amp;sourceID=14","4.3")</f>
        <v>4.3</v>
      </c>
      <c r="G5117" s="4" t="str">
        <f>HYPERLINK("http://141.218.60.56/~jnz1568/getInfo.php?workbook=20_05.xlsx&amp;sheet=U0&amp;row=5117&amp;col=7&amp;number=0.000136&amp;sourceID=14","0.000136")</f>
        <v>0.000136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HYPERLINK("http://141.218.60.56/~jnz1568/getInfo.php?workbook=20_05.xlsx&amp;sheet=U0&amp;row=5118&amp;col=6&amp;number=4.4&amp;sourceID=14","4.4")</f>
        <v>4.4</v>
      </c>
      <c r="G5118" s="4" t="str">
        <f>HYPERLINK("http://141.218.60.56/~jnz1568/getInfo.php?workbook=20_05.xlsx&amp;sheet=U0&amp;row=5118&amp;col=7&amp;number=0.000136&amp;sourceID=14","0.000136")</f>
        <v>0.000136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HYPERLINK("http://141.218.60.56/~jnz1568/getInfo.php?workbook=20_05.xlsx&amp;sheet=U0&amp;row=5119&amp;col=6&amp;number=4.5&amp;sourceID=14","4.5")</f>
        <v>4.5</v>
      </c>
      <c r="G5119" s="4" t="str">
        <f>HYPERLINK("http://141.218.60.56/~jnz1568/getInfo.php?workbook=20_05.xlsx&amp;sheet=U0&amp;row=5119&amp;col=7&amp;number=0.000136&amp;sourceID=14","0.000136")</f>
        <v>0.000136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HYPERLINK("http://141.218.60.56/~jnz1568/getInfo.php?workbook=20_05.xlsx&amp;sheet=U0&amp;row=5120&amp;col=6&amp;number=4.6&amp;sourceID=14","4.6")</f>
        <v>4.6</v>
      </c>
      <c r="G5120" s="4" t="str">
        <f>HYPERLINK("http://141.218.60.56/~jnz1568/getInfo.php?workbook=20_05.xlsx&amp;sheet=U0&amp;row=5120&amp;col=7&amp;number=0.000136&amp;sourceID=14","0.000136")</f>
        <v>0.000136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HYPERLINK("http://141.218.60.56/~jnz1568/getInfo.php?workbook=20_05.xlsx&amp;sheet=U0&amp;row=5121&amp;col=6&amp;number=4.7&amp;sourceID=14","4.7")</f>
        <v>4.7</v>
      </c>
      <c r="G5121" s="4" t="str">
        <f>HYPERLINK("http://141.218.60.56/~jnz1568/getInfo.php?workbook=20_05.xlsx&amp;sheet=U0&amp;row=5121&amp;col=7&amp;number=0.000136&amp;sourceID=14","0.000136")</f>
        <v>0.000136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HYPERLINK("http://141.218.60.56/~jnz1568/getInfo.php?workbook=20_05.xlsx&amp;sheet=U0&amp;row=5122&amp;col=6&amp;number=4.8&amp;sourceID=14","4.8")</f>
        <v>4.8</v>
      </c>
      <c r="G5122" s="4" t="str">
        <f>HYPERLINK("http://141.218.60.56/~jnz1568/getInfo.php?workbook=20_05.xlsx&amp;sheet=U0&amp;row=5122&amp;col=7&amp;number=0.000136&amp;sourceID=14","0.000136")</f>
        <v>0.000136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HYPERLINK("http://141.218.60.56/~jnz1568/getInfo.php?workbook=20_05.xlsx&amp;sheet=U0&amp;row=5123&amp;col=6&amp;number=4.9&amp;sourceID=14","4.9")</f>
        <v>4.9</v>
      </c>
      <c r="G5123" s="4" t="str">
        <f>HYPERLINK("http://141.218.60.56/~jnz1568/getInfo.php?workbook=20_05.xlsx&amp;sheet=U0&amp;row=5123&amp;col=7&amp;number=0.000136&amp;sourceID=14","0.000136")</f>
        <v>0.000136</v>
      </c>
    </row>
    <row r="5124" spans="1:7">
      <c r="A5124" s="3">
        <v>20</v>
      </c>
      <c r="B5124" s="3">
        <v>5</v>
      </c>
      <c r="C5124" s="3">
        <v>2</v>
      </c>
      <c r="D5124" s="3">
        <v>103</v>
      </c>
      <c r="E5124" s="3">
        <v>1</v>
      </c>
      <c r="F5124" s="4" t="str">
        <f>HYPERLINK("http://141.218.60.56/~jnz1568/getInfo.php?workbook=20_05.xlsx&amp;sheet=U0&amp;row=5124&amp;col=6&amp;number=3&amp;sourceID=14","3")</f>
        <v>3</v>
      </c>
      <c r="G5124" s="4" t="str">
        <f>HYPERLINK("http://141.218.60.56/~jnz1568/getInfo.php?workbook=20_05.xlsx&amp;sheet=U0&amp;row=5124&amp;col=7&amp;number=0.000101&amp;sourceID=14","0.000101")</f>
        <v>0.000101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HYPERLINK("http://141.218.60.56/~jnz1568/getInfo.php?workbook=20_05.xlsx&amp;sheet=U0&amp;row=5125&amp;col=6&amp;number=3.1&amp;sourceID=14","3.1")</f>
        <v>3.1</v>
      </c>
      <c r="G5125" s="4" t="str">
        <f>HYPERLINK("http://141.218.60.56/~jnz1568/getInfo.php?workbook=20_05.xlsx&amp;sheet=U0&amp;row=5125&amp;col=7&amp;number=0.000101&amp;sourceID=14","0.000101")</f>
        <v>0.000101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HYPERLINK("http://141.218.60.56/~jnz1568/getInfo.php?workbook=20_05.xlsx&amp;sheet=U0&amp;row=5126&amp;col=6&amp;number=3.2&amp;sourceID=14","3.2")</f>
        <v>3.2</v>
      </c>
      <c r="G5126" s="4" t="str">
        <f>HYPERLINK("http://141.218.60.56/~jnz1568/getInfo.php?workbook=20_05.xlsx&amp;sheet=U0&amp;row=5126&amp;col=7&amp;number=0.000101&amp;sourceID=14","0.000101")</f>
        <v>0.000101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HYPERLINK("http://141.218.60.56/~jnz1568/getInfo.php?workbook=20_05.xlsx&amp;sheet=U0&amp;row=5127&amp;col=6&amp;number=3.3&amp;sourceID=14","3.3")</f>
        <v>3.3</v>
      </c>
      <c r="G5127" s="4" t="str">
        <f>HYPERLINK("http://141.218.60.56/~jnz1568/getInfo.php?workbook=20_05.xlsx&amp;sheet=U0&amp;row=5127&amp;col=7&amp;number=0.000101&amp;sourceID=14","0.000101")</f>
        <v>0.000101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HYPERLINK("http://141.218.60.56/~jnz1568/getInfo.php?workbook=20_05.xlsx&amp;sheet=U0&amp;row=5128&amp;col=6&amp;number=3.4&amp;sourceID=14","3.4")</f>
        <v>3.4</v>
      </c>
      <c r="G5128" s="4" t="str">
        <f>HYPERLINK("http://141.218.60.56/~jnz1568/getInfo.php?workbook=20_05.xlsx&amp;sheet=U0&amp;row=5128&amp;col=7&amp;number=0.000101&amp;sourceID=14","0.000101")</f>
        <v>0.000101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HYPERLINK("http://141.218.60.56/~jnz1568/getInfo.php?workbook=20_05.xlsx&amp;sheet=U0&amp;row=5129&amp;col=6&amp;number=3.5&amp;sourceID=14","3.5")</f>
        <v>3.5</v>
      </c>
      <c r="G5129" s="4" t="str">
        <f>HYPERLINK("http://141.218.60.56/~jnz1568/getInfo.php?workbook=20_05.xlsx&amp;sheet=U0&amp;row=5129&amp;col=7&amp;number=0.000101&amp;sourceID=14","0.000101")</f>
        <v>0.000101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HYPERLINK("http://141.218.60.56/~jnz1568/getInfo.php?workbook=20_05.xlsx&amp;sheet=U0&amp;row=5130&amp;col=6&amp;number=3.6&amp;sourceID=14","3.6")</f>
        <v>3.6</v>
      </c>
      <c r="G5130" s="4" t="str">
        <f>HYPERLINK("http://141.218.60.56/~jnz1568/getInfo.php?workbook=20_05.xlsx&amp;sheet=U0&amp;row=5130&amp;col=7&amp;number=0.000101&amp;sourceID=14","0.000101")</f>
        <v>0.000101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HYPERLINK("http://141.218.60.56/~jnz1568/getInfo.php?workbook=20_05.xlsx&amp;sheet=U0&amp;row=5131&amp;col=6&amp;number=3.7&amp;sourceID=14","3.7")</f>
        <v>3.7</v>
      </c>
      <c r="G5131" s="4" t="str">
        <f>HYPERLINK("http://141.218.60.56/~jnz1568/getInfo.php?workbook=20_05.xlsx&amp;sheet=U0&amp;row=5131&amp;col=7&amp;number=0.000101&amp;sourceID=14","0.000101")</f>
        <v>0.000101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HYPERLINK("http://141.218.60.56/~jnz1568/getInfo.php?workbook=20_05.xlsx&amp;sheet=U0&amp;row=5132&amp;col=6&amp;number=3.8&amp;sourceID=14","3.8")</f>
        <v>3.8</v>
      </c>
      <c r="G5132" s="4" t="str">
        <f>HYPERLINK("http://141.218.60.56/~jnz1568/getInfo.php?workbook=20_05.xlsx&amp;sheet=U0&amp;row=5132&amp;col=7&amp;number=0.000101&amp;sourceID=14","0.000101")</f>
        <v>0.000101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HYPERLINK("http://141.218.60.56/~jnz1568/getInfo.php?workbook=20_05.xlsx&amp;sheet=U0&amp;row=5133&amp;col=6&amp;number=3.9&amp;sourceID=14","3.9")</f>
        <v>3.9</v>
      </c>
      <c r="G5133" s="4" t="str">
        <f>HYPERLINK("http://141.218.60.56/~jnz1568/getInfo.php?workbook=20_05.xlsx&amp;sheet=U0&amp;row=5133&amp;col=7&amp;number=0.000101&amp;sourceID=14","0.000101")</f>
        <v>0.000101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HYPERLINK("http://141.218.60.56/~jnz1568/getInfo.php?workbook=20_05.xlsx&amp;sheet=U0&amp;row=5134&amp;col=6&amp;number=4&amp;sourceID=14","4")</f>
        <v>4</v>
      </c>
      <c r="G5134" s="4" t="str">
        <f>HYPERLINK("http://141.218.60.56/~jnz1568/getInfo.php?workbook=20_05.xlsx&amp;sheet=U0&amp;row=5134&amp;col=7&amp;number=0.000101&amp;sourceID=14","0.000101")</f>
        <v>0.000101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HYPERLINK("http://141.218.60.56/~jnz1568/getInfo.php?workbook=20_05.xlsx&amp;sheet=U0&amp;row=5135&amp;col=6&amp;number=4.1&amp;sourceID=14","4.1")</f>
        <v>4.1</v>
      </c>
      <c r="G5135" s="4" t="str">
        <f>HYPERLINK("http://141.218.60.56/~jnz1568/getInfo.php?workbook=20_05.xlsx&amp;sheet=U0&amp;row=5135&amp;col=7&amp;number=0.000101&amp;sourceID=14","0.000101")</f>
        <v>0.000101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HYPERLINK("http://141.218.60.56/~jnz1568/getInfo.php?workbook=20_05.xlsx&amp;sheet=U0&amp;row=5136&amp;col=6&amp;number=4.2&amp;sourceID=14","4.2")</f>
        <v>4.2</v>
      </c>
      <c r="G5136" s="4" t="str">
        <f>HYPERLINK("http://141.218.60.56/~jnz1568/getInfo.php?workbook=20_05.xlsx&amp;sheet=U0&amp;row=5136&amp;col=7&amp;number=0.000101&amp;sourceID=14","0.000101")</f>
        <v>0.000101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HYPERLINK("http://141.218.60.56/~jnz1568/getInfo.php?workbook=20_05.xlsx&amp;sheet=U0&amp;row=5137&amp;col=6&amp;number=4.3&amp;sourceID=14","4.3")</f>
        <v>4.3</v>
      </c>
      <c r="G5137" s="4" t="str">
        <f>HYPERLINK("http://141.218.60.56/~jnz1568/getInfo.php?workbook=20_05.xlsx&amp;sheet=U0&amp;row=5137&amp;col=7&amp;number=0.000101&amp;sourceID=14","0.000101")</f>
        <v>0.000101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HYPERLINK("http://141.218.60.56/~jnz1568/getInfo.php?workbook=20_05.xlsx&amp;sheet=U0&amp;row=5138&amp;col=6&amp;number=4.4&amp;sourceID=14","4.4")</f>
        <v>4.4</v>
      </c>
      <c r="G5138" s="4" t="str">
        <f>HYPERLINK("http://141.218.60.56/~jnz1568/getInfo.php?workbook=20_05.xlsx&amp;sheet=U0&amp;row=5138&amp;col=7&amp;number=0.000101&amp;sourceID=14","0.000101")</f>
        <v>0.000101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HYPERLINK("http://141.218.60.56/~jnz1568/getInfo.php?workbook=20_05.xlsx&amp;sheet=U0&amp;row=5139&amp;col=6&amp;number=4.5&amp;sourceID=14","4.5")</f>
        <v>4.5</v>
      </c>
      <c r="G5139" s="4" t="str">
        <f>HYPERLINK("http://141.218.60.56/~jnz1568/getInfo.php?workbook=20_05.xlsx&amp;sheet=U0&amp;row=5139&amp;col=7&amp;number=0.000101&amp;sourceID=14","0.000101")</f>
        <v>0.000101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HYPERLINK("http://141.218.60.56/~jnz1568/getInfo.php?workbook=20_05.xlsx&amp;sheet=U0&amp;row=5140&amp;col=6&amp;number=4.6&amp;sourceID=14","4.6")</f>
        <v>4.6</v>
      </c>
      <c r="G5140" s="4" t="str">
        <f>HYPERLINK("http://141.218.60.56/~jnz1568/getInfo.php?workbook=20_05.xlsx&amp;sheet=U0&amp;row=5140&amp;col=7&amp;number=0.000101&amp;sourceID=14","0.000101")</f>
        <v>0.000101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HYPERLINK("http://141.218.60.56/~jnz1568/getInfo.php?workbook=20_05.xlsx&amp;sheet=U0&amp;row=5141&amp;col=6&amp;number=4.7&amp;sourceID=14","4.7")</f>
        <v>4.7</v>
      </c>
      <c r="G5141" s="4" t="str">
        <f>HYPERLINK("http://141.218.60.56/~jnz1568/getInfo.php?workbook=20_05.xlsx&amp;sheet=U0&amp;row=5141&amp;col=7&amp;number=0.000101&amp;sourceID=14","0.000101")</f>
        <v>0.000101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HYPERLINK("http://141.218.60.56/~jnz1568/getInfo.php?workbook=20_05.xlsx&amp;sheet=U0&amp;row=5142&amp;col=6&amp;number=4.8&amp;sourceID=14","4.8")</f>
        <v>4.8</v>
      </c>
      <c r="G5142" s="4" t="str">
        <f>HYPERLINK("http://141.218.60.56/~jnz1568/getInfo.php?workbook=20_05.xlsx&amp;sheet=U0&amp;row=5142&amp;col=7&amp;number=0.000101&amp;sourceID=14","0.000101")</f>
        <v>0.000101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HYPERLINK("http://141.218.60.56/~jnz1568/getInfo.php?workbook=20_05.xlsx&amp;sheet=U0&amp;row=5143&amp;col=6&amp;number=4.9&amp;sourceID=14","4.9")</f>
        <v>4.9</v>
      </c>
      <c r="G5143" s="4" t="str">
        <f>HYPERLINK("http://141.218.60.56/~jnz1568/getInfo.php?workbook=20_05.xlsx&amp;sheet=U0&amp;row=5143&amp;col=7&amp;number=0.000101&amp;sourceID=14","0.000101")</f>
        <v>0.000101</v>
      </c>
    </row>
    <row r="5144" spans="1:7">
      <c r="A5144" s="3">
        <v>20</v>
      </c>
      <c r="B5144" s="3">
        <v>5</v>
      </c>
      <c r="C5144" s="3">
        <v>2</v>
      </c>
      <c r="D5144" s="3">
        <v>104</v>
      </c>
      <c r="E5144" s="3">
        <v>1</v>
      </c>
      <c r="F5144" s="4" t="str">
        <f>HYPERLINK("http://141.218.60.56/~jnz1568/getInfo.php?workbook=20_05.xlsx&amp;sheet=U0&amp;row=5144&amp;col=6&amp;number=3&amp;sourceID=14","3")</f>
        <v>3</v>
      </c>
      <c r="G5144" s="4" t="str">
        <f>HYPERLINK("http://141.218.60.56/~jnz1568/getInfo.php?workbook=20_05.xlsx&amp;sheet=U0&amp;row=5144&amp;col=7&amp;number=0.000201&amp;sourceID=14","0.000201")</f>
        <v>0.000201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HYPERLINK("http://141.218.60.56/~jnz1568/getInfo.php?workbook=20_05.xlsx&amp;sheet=U0&amp;row=5145&amp;col=6&amp;number=3.1&amp;sourceID=14","3.1")</f>
        <v>3.1</v>
      </c>
      <c r="G5145" s="4" t="str">
        <f>HYPERLINK("http://141.218.60.56/~jnz1568/getInfo.php?workbook=20_05.xlsx&amp;sheet=U0&amp;row=5145&amp;col=7&amp;number=0.000201&amp;sourceID=14","0.000201")</f>
        <v>0.000201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HYPERLINK("http://141.218.60.56/~jnz1568/getInfo.php?workbook=20_05.xlsx&amp;sheet=U0&amp;row=5146&amp;col=6&amp;number=3.2&amp;sourceID=14","3.2")</f>
        <v>3.2</v>
      </c>
      <c r="G5146" s="4" t="str">
        <f>HYPERLINK("http://141.218.60.56/~jnz1568/getInfo.php?workbook=20_05.xlsx&amp;sheet=U0&amp;row=5146&amp;col=7&amp;number=0.000201&amp;sourceID=14","0.000201")</f>
        <v>0.000201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HYPERLINK("http://141.218.60.56/~jnz1568/getInfo.php?workbook=20_05.xlsx&amp;sheet=U0&amp;row=5147&amp;col=6&amp;number=3.3&amp;sourceID=14","3.3")</f>
        <v>3.3</v>
      </c>
      <c r="G5147" s="4" t="str">
        <f>HYPERLINK("http://141.218.60.56/~jnz1568/getInfo.php?workbook=20_05.xlsx&amp;sheet=U0&amp;row=5147&amp;col=7&amp;number=0.000201&amp;sourceID=14","0.000201")</f>
        <v>0.000201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HYPERLINK("http://141.218.60.56/~jnz1568/getInfo.php?workbook=20_05.xlsx&amp;sheet=U0&amp;row=5148&amp;col=6&amp;number=3.4&amp;sourceID=14","3.4")</f>
        <v>3.4</v>
      </c>
      <c r="G5148" s="4" t="str">
        <f>HYPERLINK("http://141.218.60.56/~jnz1568/getInfo.php?workbook=20_05.xlsx&amp;sheet=U0&amp;row=5148&amp;col=7&amp;number=0.000201&amp;sourceID=14","0.000201")</f>
        <v>0.000201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HYPERLINK("http://141.218.60.56/~jnz1568/getInfo.php?workbook=20_05.xlsx&amp;sheet=U0&amp;row=5149&amp;col=6&amp;number=3.5&amp;sourceID=14","3.5")</f>
        <v>3.5</v>
      </c>
      <c r="G5149" s="4" t="str">
        <f>HYPERLINK("http://141.218.60.56/~jnz1568/getInfo.php?workbook=20_05.xlsx&amp;sheet=U0&amp;row=5149&amp;col=7&amp;number=0.000201&amp;sourceID=14","0.000201")</f>
        <v>0.000201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HYPERLINK("http://141.218.60.56/~jnz1568/getInfo.php?workbook=20_05.xlsx&amp;sheet=U0&amp;row=5150&amp;col=6&amp;number=3.6&amp;sourceID=14","3.6")</f>
        <v>3.6</v>
      </c>
      <c r="G5150" s="4" t="str">
        <f>HYPERLINK("http://141.218.60.56/~jnz1568/getInfo.php?workbook=20_05.xlsx&amp;sheet=U0&amp;row=5150&amp;col=7&amp;number=0.000201&amp;sourceID=14","0.000201")</f>
        <v>0.000201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HYPERLINK("http://141.218.60.56/~jnz1568/getInfo.php?workbook=20_05.xlsx&amp;sheet=U0&amp;row=5151&amp;col=6&amp;number=3.7&amp;sourceID=14","3.7")</f>
        <v>3.7</v>
      </c>
      <c r="G5151" s="4" t="str">
        <f>HYPERLINK("http://141.218.60.56/~jnz1568/getInfo.php?workbook=20_05.xlsx&amp;sheet=U0&amp;row=5151&amp;col=7&amp;number=0.000201&amp;sourceID=14","0.000201")</f>
        <v>0.000201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HYPERLINK("http://141.218.60.56/~jnz1568/getInfo.php?workbook=20_05.xlsx&amp;sheet=U0&amp;row=5152&amp;col=6&amp;number=3.8&amp;sourceID=14","3.8")</f>
        <v>3.8</v>
      </c>
      <c r="G5152" s="4" t="str">
        <f>HYPERLINK("http://141.218.60.56/~jnz1568/getInfo.php?workbook=20_05.xlsx&amp;sheet=U0&amp;row=5152&amp;col=7&amp;number=0.000201&amp;sourceID=14","0.000201")</f>
        <v>0.000201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HYPERLINK("http://141.218.60.56/~jnz1568/getInfo.php?workbook=20_05.xlsx&amp;sheet=U0&amp;row=5153&amp;col=6&amp;number=3.9&amp;sourceID=14","3.9")</f>
        <v>3.9</v>
      </c>
      <c r="G5153" s="4" t="str">
        <f>HYPERLINK("http://141.218.60.56/~jnz1568/getInfo.php?workbook=20_05.xlsx&amp;sheet=U0&amp;row=5153&amp;col=7&amp;number=0.000201&amp;sourceID=14","0.000201")</f>
        <v>0.000201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HYPERLINK("http://141.218.60.56/~jnz1568/getInfo.php?workbook=20_05.xlsx&amp;sheet=U0&amp;row=5154&amp;col=6&amp;number=4&amp;sourceID=14","4")</f>
        <v>4</v>
      </c>
      <c r="G5154" s="4" t="str">
        <f>HYPERLINK("http://141.218.60.56/~jnz1568/getInfo.php?workbook=20_05.xlsx&amp;sheet=U0&amp;row=5154&amp;col=7&amp;number=0.000201&amp;sourceID=14","0.000201")</f>
        <v>0.000201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HYPERLINK("http://141.218.60.56/~jnz1568/getInfo.php?workbook=20_05.xlsx&amp;sheet=U0&amp;row=5155&amp;col=6&amp;number=4.1&amp;sourceID=14","4.1")</f>
        <v>4.1</v>
      </c>
      <c r="G5155" s="4" t="str">
        <f>HYPERLINK("http://141.218.60.56/~jnz1568/getInfo.php?workbook=20_05.xlsx&amp;sheet=U0&amp;row=5155&amp;col=7&amp;number=0.000201&amp;sourceID=14","0.000201")</f>
        <v>0.000201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HYPERLINK("http://141.218.60.56/~jnz1568/getInfo.php?workbook=20_05.xlsx&amp;sheet=U0&amp;row=5156&amp;col=6&amp;number=4.2&amp;sourceID=14","4.2")</f>
        <v>4.2</v>
      </c>
      <c r="G5156" s="4" t="str">
        <f>HYPERLINK("http://141.218.60.56/~jnz1568/getInfo.php?workbook=20_05.xlsx&amp;sheet=U0&amp;row=5156&amp;col=7&amp;number=0.000201&amp;sourceID=14","0.000201")</f>
        <v>0.000201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HYPERLINK("http://141.218.60.56/~jnz1568/getInfo.php?workbook=20_05.xlsx&amp;sheet=U0&amp;row=5157&amp;col=6&amp;number=4.3&amp;sourceID=14","4.3")</f>
        <v>4.3</v>
      </c>
      <c r="G5157" s="4" t="str">
        <f>HYPERLINK("http://141.218.60.56/~jnz1568/getInfo.php?workbook=20_05.xlsx&amp;sheet=U0&amp;row=5157&amp;col=7&amp;number=0.000201&amp;sourceID=14","0.000201")</f>
        <v>0.000201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HYPERLINK("http://141.218.60.56/~jnz1568/getInfo.php?workbook=20_05.xlsx&amp;sheet=U0&amp;row=5158&amp;col=6&amp;number=4.4&amp;sourceID=14","4.4")</f>
        <v>4.4</v>
      </c>
      <c r="G5158" s="4" t="str">
        <f>HYPERLINK("http://141.218.60.56/~jnz1568/getInfo.php?workbook=20_05.xlsx&amp;sheet=U0&amp;row=5158&amp;col=7&amp;number=0.000201&amp;sourceID=14","0.000201")</f>
        <v>0.000201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HYPERLINK("http://141.218.60.56/~jnz1568/getInfo.php?workbook=20_05.xlsx&amp;sheet=U0&amp;row=5159&amp;col=6&amp;number=4.5&amp;sourceID=14","4.5")</f>
        <v>4.5</v>
      </c>
      <c r="G5159" s="4" t="str">
        <f>HYPERLINK("http://141.218.60.56/~jnz1568/getInfo.php?workbook=20_05.xlsx&amp;sheet=U0&amp;row=5159&amp;col=7&amp;number=0.000201&amp;sourceID=14","0.000201")</f>
        <v>0.000201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HYPERLINK("http://141.218.60.56/~jnz1568/getInfo.php?workbook=20_05.xlsx&amp;sheet=U0&amp;row=5160&amp;col=6&amp;number=4.6&amp;sourceID=14","4.6")</f>
        <v>4.6</v>
      </c>
      <c r="G5160" s="4" t="str">
        <f>HYPERLINK("http://141.218.60.56/~jnz1568/getInfo.php?workbook=20_05.xlsx&amp;sheet=U0&amp;row=5160&amp;col=7&amp;number=0.000201&amp;sourceID=14","0.000201")</f>
        <v>0.000201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HYPERLINK("http://141.218.60.56/~jnz1568/getInfo.php?workbook=20_05.xlsx&amp;sheet=U0&amp;row=5161&amp;col=6&amp;number=4.7&amp;sourceID=14","4.7")</f>
        <v>4.7</v>
      </c>
      <c r="G5161" s="4" t="str">
        <f>HYPERLINK("http://141.218.60.56/~jnz1568/getInfo.php?workbook=20_05.xlsx&amp;sheet=U0&amp;row=5161&amp;col=7&amp;number=0.000201&amp;sourceID=14","0.000201")</f>
        <v>0.000201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HYPERLINK("http://141.218.60.56/~jnz1568/getInfo.php?workbook=20_05.xlsx&amp;sheet=U0&amp;row=5162&amp;col=6&amp;number=4.8&amp;sourceID=14","4.8")</f>
        <v>4.8</v>
      </c>
      <c r="G5162" s="4" t="str">
        <f>HYPERLINK("http://141.218.60.56/~jnz1568/getInfo.php?workbook=20_05.xlsx&amp;sheet=U0&amp;row=5162&amp;col=7&amp;number=0.000201&amp;sourceID=14","0.000201")</f>
        <v>0.000201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HYPERLINK("http://141.218.60.56/~jnz1568/getInfo.php?workbook=20_05.xlsx&amp;sheet=U0&amp;row=5163&amp;col=6&amp;number=4.9&amp;sourceID=14","4.9")</f>
        <v>4.9</v>
      </c>
      <c r="G5163" s="4" t="str">
        <f>HYPERLINK("http://141.218.60.56/~jnz1568/getInfo.php?workbook=20_05.xlsx&amp;sheet=U0&amp;row=5163&amp;col=7&amp;number=0.000201&amp;sourceID=14","0.000201")</f>
        <v>0.000201</v>
      </c>
    </row>
    <row r="5164" spans="1:7">
      <c r="A5164" s="3">
        <v>20</v>
      </c>
      <c r="B5164" s="3">
        <v>5</v>
      </c>
      <c r="C5164" s="3">
        <v>2</v>
      </c>
      <c r="D5164" s="3">
        <v>105</v>
      </c>
      <c r="E5164" s="3">
        <v>1</v>
      </c>
      <c r="F5164" s="4" t="str">
        <f>HYPERLINK("http://141.218.60.56/~jnz1568/getInfo.php?workbook=20_05.xlsx&amp;sheet=U0&amp;row=5164&amp;col=6&amp;number=3&amp;sourceID=14","3")</f>
        <v>3</v>
      </c>
      <c r="G5164" s="4" t="str">
        <f>HYPERLINK("http://141.218.60.56/~jnz1568/getInfo.php?workbook=20_05.xlsx&amp;sheet=U0&amp;row=5164&amp;col=7&amp;number=0.000204&amp;sourceID=14","0.000204")</f>
        <v>0.000204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HYPERLINK("http://141.218.60.56/~jnz1568/getInfo.php?workbook=20_05.xlsx&amp;sheet=U0&amp;row=5165&amp;col=6&amp;number=3.1&amp;sourceID=14","3.1")</f>
        <v>3.1</v>
      </c>
      <c r="G5165" s="4" t="str">
        <f>HYPERLINK("http://141.218.60.56/~jnz1568/getInfo.php?workbook=20_05.xlsx&amp;sheet=U0&amp;row=5165&amp;col=7&amp;number=0.000204&amp;sourceID=14","0.000204")</f>
        <v>0.000204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HYPERLINK("http://141.218.60.56/~jnz1568/getInfo.php?workbook=20_05.xlsx&amp;sheet=U0&amp;row=5166&amp;col=6&amp;number=3.2&amp;sourceID=14","3.2")</f>
        <v>3.2</v>
      </c>
      <c r="G5166" s="4" t="str">
        <f>HYPERLINK("http://141.218.60.56/~jnz1568/getInfo.php?workbook=20_05.xlsx&amp;sheet=U0&amp;row=5166&amp;col=7&amp;number=0.000204&amp;sourceID=14","0.000204")</f>
        <v>0.000204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HYPERLINK("http://141.218.60.56/~jnz1568/getInfo.php?workbook=20_05.xlsx&amp;sheet=U0&amp;row=5167&amp;col=6&amp;number=3.3&amp;sourceID=14","3.3")</f>
        <v>3.3</v>
      </c>
      <c r="G5167" s="4" t="str">
        <f>HYPERLINK("http://141.218.60.56/~jnz1568/getInfo.php?workbook=20_05.xlsx&amp;sheet=U0&amp;row=5167&amp;col=7&amp;number=0.000204&amp;sourceID=14","0.000204")</f>
        <v>0.000204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HYPERLINK("http://141.218.60.56/~jnz1568/getInfo.php?workbook=20_05.xlsx&amp;sheet=U0&amp;row=5168&amp;col=6&amp;number=3.4&amp;sourceID=14","3.4")</f>
        <v>3.4</v>
      </c>
      <c r="G5168" s="4" t="str">
        <f>HYPERLINK("http://141.218.60.56/~jnz1568/getInfo.php?workbook=20_05.xlsx&amp;sheet=U0&amp;row=5168&amp;col=7&amp;number=0.000204&amp;sourceID=14","0.000204")</f>
        <v>0.000204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HYPERLINK("http://141.218.60.56/~jnz1568/getInfo.php?workbook=20_05.xlsx&amp;sheet=U0&amp;row=5169&amp;col=6&amp;number=3.5&amp;sourceID=14","3.5")</f>
        <v>3.5</v>
      </c>
      <c r="G5169" s="4" t="str">
        <f>HYPERLINK("http://141.218.60.56/~jnz1568/getInfo.php?workbook=20_05.xlsx&amp;sheet=U0&amp;row=5169&amp;col=7&amp;number=0.000204&amp;sourceID=14","0.000204")</f>
        <v>0.000204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HYPERLINK("http://141.218.60.56/~jnz1568/getInfo.php?workbook=20_05.xlsx&amp;sheet=U0&amp;row=5170&amp;col=6&amp;number=3.6&amp;sourceID=14","3.6")</f>
        <v>3.6</v>
      </c>
      <c r="G5170" s="4" t="str">
        <f>HYPERLINK("http://141.218.60.56/~jnz1568/getInfo.php?workbook=20_05.xlsx&amp;sheet=U0&amp;row=5170&amp;col=7&amp;number=0.000204&amp;sourceID=14","0.000204")</f>
        <v>0.000204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HYPERLINK("http://141.218.60.56/~jnz1568/getInfo.php?workbook=20_05.xlsx&amp;sheet=U0&amp;row=5171&amp;col=6&amp;number=3.7&amp;sourceID=14","3.7")</f>
        <v>3.7</v>
      </c>
      <c r="G5171" s="4" t="str">
        <f>HYPERLINK("http://141.218.60.56/~jnz1568/getInfo.php?workbook=20_05.xlsx&amp;sheet=U0&amp;row=5171&amp;col=7&amp;number=0.000204&amp;sourceID=14","0.000204")</f>
        <v>0.000204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HYPERLINK("http://141.218.60.56/~jnz1568/getInfo.php?workbook=20_05.xlsx&amp;sheet=U0&amp;row=5172&amp;col=6&amp;number=3.8&amp;sourceID=14","3.8")</f>
        <v>3.8</v>
      </c>
      <c r="G5172" s="4" t="str">
        <f>HYPERLINK("http://141.218.60.56/~jnz1568/getInfo.php?workbook=20_05.xlsx&amp;sheet=U0&amp;row=5172&amp;col=7&amp;number=0.000204&amp;sourceID=14","0.000204")</f>
        <v>0.000204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HYPERLINK("http://141.218.60.56/~jnz1568/getInfo.php?workbook=20_05.xlsx&amp;sheet=U0&amp;row=5173&amp;col=6&amp;number=3.9&amp;sourceID=14","3.9")</f>
        <v>3.9</v>
      </c>
      <c r="G5173" s="4" t="str">
        <f>HYPERLINK("http://141.218.60.56/~jnz1568/getInfo.php?workbook=20_05.xlsx&amp;sheet=U0&amp;row=5173&amp;col=7&amp;number=0.000204&amp;sourceID=14","0.000204")</f>
        <v>0.000204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HYPERLINK("http://141.218.60.56/~jnz1568/getInfo.php?workbook=20_05.xlsx&amp;sheet=U0&amp;row=5174&amp;col=6&amp;number=4&amp;sourceID=14","4")</f>
        <v>4</v>
      </c>
      <c r="G5174" s="4" t="str">
        <f>HYPERLINK("http://141.218.60.56/~jnz1568/getInfo.php?workbook=20_05.xlsx&amp;sheet=U0&amp;row=5174&amp;col=7&amp;number=0.000204&amp;sourceID=14","0.000204")</f>
        <v>0.000204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HYPERLINK("http://141.218.60.56/~jnz1568/getInfo.php?workbook=20_05.xlsx&amp;sheet=U0&amp;row=5175&amp;col=6&amp;number=4.1&amp;sourceID=14","4.1")</f>
        <v>4.1</v>
      </c>
      <c r="G5175" s="4" t="str">
        <f>HYPERLINK("http://141.218.60.56/~jnz1568/getInfo.php?workbook=20_05.xlsx&amp;sheet=U0&amp;row=5175&amp;col=7&amp;number=0.000204&amp;sourceID=14","0.000204")</f>
        <v>0.000204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HYPERLINK("http://141.218.60.56/~jnz1568/getInfo.php?workbook=20_05.xlsx&amp;sheet=U0&amp;row=5176&amp;col=6&amp;number=4.2&amp;sourceID=14","4.2")</f>
        <v>4.2</v>
      </c>
      <c r="G5176" s="4" t="str">
        <f>HYPERLINK("http://141.218.60.56/~jnz1568/getInfo.php?workbook=20_05.xlsx&amp;sheet=U0&amp;row=5176&amp;col=7&amp;number=0.000204&amp;sourceID=14","0.000204")</f>
        <v>0.000204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HYPERLINK("http://141.218.60.56/~jnz1568/getInfo.php?workbook=20_05.xlsx&amp;sheet=U0&amp;row=5177&amp;col=6&amp;number=4.3&amp;sourceID=14","4.3")</f>
        <v>4.3</v>
      </c>
      <c r="G5177" s="4" t="str">
        <f>HYPERLINK("http://141.218.60.56/~jnz1568/getInfo.php?workbook=20_05.xlsx&amp;sheet=U0&amp;row=5177&amp;col=7&amp;number=0.000204&amp;sourceID=14","0.000204")</f>
        <v>0.000204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HYPERLINK("http://141.218.60.56/~jnz1568/getInfo.php?workbook=20_05.xlsx&amp;sheet=U0&amp;row=5178&amp;col=6&amp;number=4.4&amp;sourceID=14","4.4")</f>
        <v>4.4</v>
      </c>
      <c r="G5178" s="4" t="str">
        <f>HYPERLINK("http://141.218.60.56/~jnz1568/getInfo.php?workbook=20_05.xlsx&amp;sheet=U0&amp;row=5178&amp;col=7&amp;number=0.000204&amp;sourceID=14","0.000204")</f>
        <v>0.000204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HYPERLINK("http://141.218.60.56/~jnz1568/getInfo.php?workbook=20_05.xlsx&amp;sheet=U0&amp;row=5179&amp;col=6&amp;number=4.5&amp;sourceID=14","4.5")</f>
        <v>4.5</v>
      </c>
      <c r="G5179" s="4" t="str">
        <f>HYPERLINK("http://141.218.60.56/~jnz1568/getInfo.php?workbook=20_05.xlsx&amp;sheet=U0&amp;row=5179&amp;col=7&amp;number=0.000204&amp;sourceID=14","0.000204")</f>
        <v>0.000204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HYPERLINK("http://141.218.60.56/~jnz1568/getInfo.php?workbook=20_05.xlsx&amp;sheet=U0&amp;row=5180&amp;col=6&amp;number=4.6&amp;sourceID=14","4.6")</f>
        <v>4.6</v>
      </c>
      <c r="G5180" s="4" t="str">
        <f>HYPERLINK("http://141.218.60.56/~jnz1568/getInfo.php?workbook=20_05.xlsx&amp;sheet=U0&amp;row=5180&amp;col=7&amp;number=0.000204&amp;sourceID=14","0.000204")</f>
        <v>0.000204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HYPERLINK("http://141.218.60.56/~jnz1568/getInfo.php?workbook=20_05.xlsx&amp;sheet=U0&amp;row=5181&amp;col=6&amp;number=4.7&amp;sourceID=14","4.7")</f>
        <v>4.7</v>
      </c>
      <c r="G5181" s="4" t="str">
        <f>HYPERLINK("http://141.218.60.56/~jnz1568/getInfo.php?workbook=20_05.xlsx&amp;sheet=U0&amp;row=5181&amp;col=7&amp;number=0.000203&amp;sourceID=14","0.000203")</f>
        <v>0.000203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HYPERLINK("http://141.218.60.56/~jnz1568/getInfo.php?workbook=20_05.xlsx&amp;sheet=U0&amp;row=5182&amp;col=6&amp;number=4.8&amp;sourceID=14","4.8")</f>
        <v>4.8</v>
      </c>
      <c r="G5182" s="4" t="str">
        <f>HYPERLINK("http://141.218.60.56/~jnz1568/getInfo.php?workbook=20_05.xlsx&amp;sheet=U0&amp;row=5182&amp;col=7&amp;number=0.000203&amp;sourceID=14","0.000203")</f>
        <v>0.000203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HYPERLINK("http://141.218.60.56/~jnz1568/getInfo.php?workbook=20_05.xlsx&amp;sheet=U0&amp;row=5183&amp;col=6&amp;number=4.9&amp;sourceID=14","4.9")</f>
        <v>4.9</v>
      </c>
      <c r="G5183" s="4" t="str">
        <f>HYPERLINK("http://141.218.60.56/~jnz1568/getInfo.php?workbook=20_05.xlsx&amp;sheet=U0&amp;row=5183&amp;col=7&amp;number=0.000203&amp;sourceID=14","0.000203")</f>
        <v>0.000203</v>
      </c>
    </row>
    <row r="5184" spans="1:7">
      <c r="A5184" s="3">
        <v>20</v>
      </c>
      <c r="B5184" s="3">
        <v>5</v>
      </c>
      <c r="C5184" s="3">
        <v>2</v>
      </c>
      <c r="D5184" s="3">
        <v>106</v>
      </c>
      <c r="E5184" s="3">
        <v>1</v>
      </c>
      <c r="F5184" s="4" t="str">
        <f>HYPERLINK("http://141.218.60.56/~jnz1568/getInfo.php?workbook=20_05.xlsx&amp;sheet=U0&amp;row=5184&amp;col=6&amp;number=3&amp;sourceID=14","3")</f>
        <v>3</v>
      </c>
      <c r="G5184" s="4" t="str">
        <f>HYPERLINK("http://141.218.60.56/~jnz1568/getInfo.php?workbook=20_05.xlsx&amp;sheet=U0&amp;row=5184&amp;col=7&amp;number=0.00454&amp;sourceID=14","0.00454")</f>
        <v>0.00454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HYPERLINK("http://141.218.60.56/~jnz1568/getInfo.php?workbook=20_05.xlsx&amp;sheet=U0&amp;row=5185&amp;col=6&amp;number=3.1&amp;sourceID=14","3.1")</f>
        <v>3.1</v>
      </c>
      <c r="G5185" s="4" t="str">
        <f>HYPERLINK("http://141.218.60.56/~jnz1568/getInfo.php?workbook=20_05.xlsx&amp;sheet=U0&amp;row=5185&amp;col=7&amp;number=0.00454&amp;sourceID=14","0.00454")</f>
        <v>0.00454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HYPERLINK("http://141.218.60.56/~jnz1568/getInfo.php?workbook=20_05.xlsx&amp;sheet=U0&amp;row=5186&amp;col=6&amp;number=3.2&amp;sourceID=14","3.2")</f>
        <v>3.2</v>
      </c>
      <c r="G5186" s="4" t="str">
        <f>HYPERLINK("http://141.218.60.56/~jnz1568/getInfo.php?workbook=20_05.xlsx&amp;sheet=U0&amp;row=5186&amp;col=7&amp;number=0.00454&amp;sourceID=14","0.00454")</f>
        <v>0.00454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HYPERLINK("http://141.218.60.56/~jnz1568/getInfo.php?workbook=20_05.xlsx&amp;sheet=U0&amp;row=5187&amp;col=6&amp;number=3.3&amp;sourceID=14","3.3")</f>
        <v>3.3</v>
      </c>
      <c r="G5187" s="4" t="str">
        <f>HYPERLINK("http://141.218.60.56/~jnz1568/getInfo.php?workbook=20_05.xlsx&amp;sheet=U0&amp;row=5187&amp;col=7&amp;number=0.00454&amp;sourceID=14","0.00454")</f>
        <v>0.00454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HYPERLINK("http://141.218.60.56/~jnz1568/getInfo.php?workbook=20_05.xlsx&amp;sheet=U0&amp;row=5188&amp;col=6&amp;number=3.4&amp;sourceID=14","3.4")</f>
        <v>3.4</v>
      </c>
      <c r="G5188" s="4" t="str">
        <f>HYPERLINK("http://141.218.60.56/~jnz1568/getInfo.php?workbook=20_05.xlsx&amp;sheet=U0&amp;row=5188&amp;col=7&amp;number=0.00454&amp;sourceID=14","0.00454")</f>
        <v>0.00454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HYPERLINK("http://141.218.60.56/~jnz1568/getInfo.php?workbook=20_05.xlsx&amp;sheet=U0&amp;row=5189&amp;col=6&amp;number=3.5&amp;sourceID=14","3.5")</f>
        <v>3.5</v>
      </c>
      <c r="G5189" s="4" t="str">
        <f>HYPERLINK("http://141.218.60.56/~jnz1568/getInfo.php?workbook=20_05.xlsx&amp;sheet=U0&amp;row=5189&amp;col=7&amp;number=0.00453&amp;sourceID=14","0.00453")</f>
        <v>0.00453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HYPERLINK("http://141.218.60.56/~jnz1568/getInfo.php?workbook=20_05.xlsx&amp;sheet=U0&amp;row=5190&amp;col=6&amp;number=3.6&amp;sourceID=14","3.6")</f>
        <v>3.6</v>
      </c>
      <c r="G5190" s="4" t="str">
        <f>HYPERLINK("http://141.218.60.56/~jnz1568/getInfo.php?workbook=20_05.xlsx&amp;sheet=U0&amp;row=5190&amp;col=7&amp;number=0.00453&amp;sourceID=14","0.00453")</f>
        <v>0.00453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HYPERLINK("http://141.218.60.56/~jnz1568/getInfo.php?workbook=20_05.xlsx&amp;sheet=U0&amp;row=5191&amp;col=6&amp;number=3.7&amp;sourceID=14","3.7")</f>
        <v>3.7</v>
      </c>
      <c r="G5191" s="4" t="str">
        <f>HYPERLINK("http://141.218.60.56/~jnz1568/getInfo.php?workbook=20_05.xlsx&amp;sheet=U0&amp;row=5191&amp;col=7&amp;number=0.00453&amp;sourceID=14","0.00453")</f>
        <v>0.00453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HYPERLINK("http://141.218.60.56/~jnz1568/getInfo.php?workbook=20_05.xlsx&amp;sheet=U0&amp;row=5192&amp;col=6&amp;number=3.8&amp;sourceID=14","3.8")</f>
        <v>3.8</v>
      </c>
      <c r="G5192" s="4" t="str">
        <f>HYPERLINK("http://141.218.60.56/~jnz1568/getInfo.php?workbook=20_05.xlsx&amp;sheet=U0&amp;row=5192&amp;col=7&amp;number=0.00453&amp;sourceID=14","0.00453")</f>
        <v>0.00453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HYPERLINK("http://141.218.60.56/~jnz1568/getInfo.php?workbook=20_05.xlsx&amp;sheet=U0&amp;row=5193&amp;col=6&amp;number=3.9&amp;sourceID=14","3.9")</f>
        <v>3.9</v>
      </c>
      <c r="G5193" s="4" t="str">
        <f>HYPERLINK("http://141.218.60.56/~jnz1568/getInfo.php?workbook=20_05.xlsx&amp;sheet=U0&amp;row=5193&amp;col=7&amp;number=0.00453&amp;sourceID=14","0.00453")</f>
        <v>0.00453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HYPERLINK("http://141.218.60.56/~jnz1568/getInfo.php?workbook=20_05.xlsx&amp;sheet=U0&amp;row=5194&amp;col=6&amp;number=4&amp;sourceID=14","4")</f>
        <v>4</v>
      </c>
      <c r="G5194" s="4" t="str">
        <f>HYPERLINK("http://141.218.60.56/~jnz1568/getInfo.php?workbook=20_05.xlsx&amp;sheet=U0&amp;row=5194&amp;col=7&amp;number=0.00453&amp;sourceID=14","0.00453")</f>
        <v>0.00453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HYPERLINK("http://141.218.60.56/~jnz1568/getInfo.php?workbook=20_05.xlsx&amp;sheet=U0&amp;row=5195&amp;col=6&amp;number=4.1&amp;sourceID=14","4.1")</f>
        <v>4.1</v>
      </c>
      <c r="G5195" s="4" t="str">
        <f>HYPERLINK("http://141.218.60.56/~jnz1568/getInfo.php?workbook=20_05.xlsx&amp;sheet=U0&amp;row=5195&amp;col=7&amp;number=0.00452&amp;sourceID=14","0.00452")</f>
        <v>0.00452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HYPERLINK("http://141.218.60.56/~jnz1568/getInfo.php?workbook=20_05.xlsx&amp;sheet=U0&amp;row=5196&amp;col=6&amp;number=4.2&amp;sourceID=14","4.2")</f>
        <v>4.2</v>
      </c>
      <c r="G5196" s="4" t="str">
        <f>HYPERLINK("http://141.218.60.56/~jnz1568/getInfo.php?workbook=20_05.xlsx&amp;sheet=U0&amp;row=5196&amp;col=7&amp;number=0.00452&amp;sourceID=14","0.00452")</f>
        <v>0.00452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HYPERLINK("http://141.218.60.56/~jnz1568/getInfo.php?workbook=20_05.xlsx&amp;sheet=U0&amp;row=5197&amp;col=6&amp;number=4.3&amp;sourceID=14","4.3")</f>
        <v>4.3</v>
      </c>
      <c r="G5197" s="4" t="str">
        <f>HYPERLINK("http://141.218.60.56/~jnz1568/getInfo.php?workbook=20_05.xlsx&amp;sheet=U0&amp;row=5197&amp;col=7&amp;number=0.00451&amp;sourceID=14","0.00451")</f>
        <v>0.00451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HYPERLINK("http://141.218.60.56/~jnz1568/getInfo.php?workbook=20_05.xlsx&amp;sheet=U0&amp;row=5198&amp;col=6&amp;number=4.4&amp;sourceID=14","4.4")</f>
        <v>4.4</v>
      </c>
      <c r="G5198" s="4" t="str">
        <f>HYPERLINK("http://141.218.60.56/~jnz1568/getInfo.php?workbook=20_05.xlsx&amp;sheet=U0&amp;row=5198&amp;col=7&amp;number=0.00451&amp;sourceID=14","0.00451")</f>
        <v>0.00451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HYPERLINK("http://141.218.60.56/~jnz1568/getInfo.php?workbook=20_05.xlsx&amp;sheet=U0&amp;row=5199&amp;col=6&amp;number=4.5&amp;sourceID=14","4.5")</f>
        <v>4.5</v>
      </c>
      <c r="G5199" s="4" t="str">
        <f>HYPERLINK("http://141.218.60.56/~jnz1568/getInfo.php?workbook=20_05.xlsx&amp;sheet=U0&amp;row=5199&amp;col=7&amp;number=0.0045&amp;sourceID=14","0.0045")</f>
        <v>0.0045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HYPERLINK("http://141.218.60.56/~jnz1568/getInfo.php?workbook=20_05.xlsx&amp;sheet=U0&amp;row=5200&amp;col=6&amp;number=4.6&amp;sourceID=14","4.6")</f>
        <v>4.6</v>
      </c>
      <c r="G5200" s="4" t="str">
        <f>HYPERLINK("http://141.218.60.56/~jnz1568/getInfo.php?workbook=20_05.xlsx&amp;sheet=U0&amp;row=5200&amp;col=7&amp;number=0.00449&amp;sourceID=14","0.00449")</f>
        <v>0.00449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HYPERLINK("http://141.218.60.56/~jnz1568/getInfo.php?workbook=20_05.xlsx&amp;sheet=U0&amp;row=5201&amp;col=6&amp;number=4.7&amp;sourceID=14","4.7")</f>
        <v>4.7</v>
      </c>
      <c r="G5201" s="4" t="str">
        <f>HYPERLINK("http://141.218.60.56/~jnz1568/getInfo.php?workbook=20_05.xlsx&amp;sheet=U0&amp;row=5201&amp;col=7&amp;number=0.00448&amp;sourceID=14","0.00448")</f>
        <v>0.00448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HYPERLINK("http://141.218.60.56/~jnz1568/getInfo.php?workbook=20_05.xlsx&amp;sheet=U0&amp;row=5202&amp;col=6&amp;number=4.8&amp;sourceID=14","4.8")</f>
        <v>4.8</v>
      </c>
      <c r="G5202" s="4" t="str">
        <f>HYPERLINK("http://141.218.60.56/~jnz1568/getInfo.php?workbook=20_05.xlsx&amp;sheet=U0&amp;row=5202&amp;col=7&amp;number=0.00446&amp;sourceID=14","0.00446")</f>
        <v>0.00446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HYPERLINK("http://141.218.60.56/~jnz1568/getInfo.php?workbook=20_05.xlsx&amp;sheet=U0&amp;row=5203&amp;col=6&amp;number=4.9&amp;sourceID=14","4.9")</f>
        <v>4.9</v>
      </c>
      <c r="G5203" s="4" t="str">
        <f>HYPERLINK("http://141.218.60.56/~jnz1568/getInfo.php?workbook=20_05.xlsx&amp;sheet=U0&amp;row=5203&amp;col=7&amp;number=0.00444&amp;sourceID=14","0.00444")</f>
        <v>0.00444</v>
      </c>
    </row>
    <row r="5204" spans="1:7">
      <c r="A5204" s="3">
        <v>20</v>
      </c>
      <c r="B5204" s="3">
        <v>5</v>
      </c>
      <c r="C5204" s="3">
        <v>2</v>
      </c>
      <c r="D5204" s="3">
        <v>107</v>
      </c>
      <c r="E5204" s="3">
        <v>1</v>
      </c>
      <c r="F5204" s="4" t="str">
        <f>HYPERLINK("http://141.218.60.56/~jnz1568/getInfo.php?workbook=20_05.xlsx&amp;sheet=U0&amp;row=5204&amp;col=6&amp;number=3&amp;sourceID=14","3")</f>
        <v>3</v>
      </c>
      <c r="G5204" s="4" t="str">
        <f>HYPERLINK("http://141.218.60.56/~jnz1568/getInfo.php?workbook=20_05.xlsx&amp;sheet=U0&amp;row=5204&amp;col=7&amp;number=0.00164&amp;sourceID=14","0.00164")</f>
        <v>0.00164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HYPERLINK("http://141.218.60.56/~jnz1568/getInfo.php?workbook=20_05.xlsx&amp;sheet=U0&amp;row=5205&amp;col=6&amp;number=3.1&amp;sourceID=14","3.1")</f>
        <v>3.1</v>
      </c>
      <c r="G5205" s="4" t="str">
        <f>HYPERLINK("http://141.218.60.56/~jnz1568/getInfo.php?workbook=20_05.xlsx&amp;sheet=U0&amp;row=5205&amp;col=7&amp;number=0.00164&amp;sourceID=14","0.00164")</f>
        <v>0.00164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HYPERLINK("http://141.218.60.56/~jnz1568/getInfo.php?workbook=20_05.xlsx&amp;sheet=U0&amp;row=5206&amp;col=6&amp;number=3.2&amp;sourceID=14","3.2")</f>
        <v>3.2</v>
      </c>
      <c r="G5206" s="4" t="str">
        <f>HYPERLINK("http://141.218.60.56/~jnz1568/getInfo.php?workbook=20_05.xlsx&amp;sheet=U0&amp;row=5206&amp;col=7&amp;number=0.00164&amp;sourceID=14","0.00164")</f>
        <v>0.00164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HYPERLINK("http://141.218.60.56/~jnz1568/getInfo.php?workbook=20_05.xlsx&amp;sheet=U0&amp;row=5207&amp;col=6&amp;number=3.3&amp;sourceID=14","3.3")</f>
        <v>3.3</v>
      </c>
      <c r="G5207" s="4" t="str">
        <f>HYPERLINK("http://141.218.60.56/~jnz1568/getInfo.php?workbook=20_05.xlsx&amp;sheet=U0&amp;row=5207&amp;col=7&amp;number=0.00164&amp;sourceID=14","0.00164")</f>
        <v>0.00164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HYPERLINK("http://141.218.60.56/~jnz1568/getInfo.php?workbook=20_05.xlsx&amp;sheet=U0&amp;row=5208&amp;col=6&amp;number=3.4&amp;sourceID=14","3.4")</f>
        <v>3.4</v>
      </c>
      <c r="G5208" s="4" t="str">
        <f>HYPERLINK("http://141.218.60.56/~jnz1568/getInfo.php?workbook=20_05.xlsx&amp;sheet=U0&amp;row=5208&amp;col=7&amp;number=0.00164&amp;sourceID=14","0.00164")</f>
        <v>0.00164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HYPERLINK("http://141.218.60.56/~jnz1568/getInfo.php?workbook=20_05.xlsx&amp;sheet=U0&amp;row=5209&amp;col=6&amp;number=3.5&amp;sourceID=14","3.5")</f>
        <v>3.5</v>
      </c>
      <c r="G5209" s="4" t="str">
        <f>HYPERLINK("http://141.218.60.56/~jnz1568/getInfo.php?workbook=20_05.xlsx&amp;sheet=U0&amp;row=5209&amp;col=7&amp;number=0.00164&amp;sourceID=14","0.00164")</f>
        <v>0.00164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HYPERLINK("http://141.218.60.56/~jnz1568/getInfo.php?workbook=20_05.xlsx&amp;sheet=U0&amp;row=5210&amp;col=6&amp;number=3.6&amp;sourceID=14","3.6")</f>
        <v>3.6</v>
      </c>
      <c r="G5210" s="4" t="str">
        <f>HYPERLINK("http://141.218.60.56/~jnz1568/getInfo.php?workbook=20_05.xlsx&amp;sheet=U0&amp;row=5210&amp;col=7&amp;number=0.00164&amp;sourceID=14","0.00164")</f>
        <v>0.00164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HYPERLINK("http://141.218.60.56/~jnz1568/getInfo.php?workbook=20_05.xlsx&amp;sheet=U0&amp;row=5211&amp;col=6&amp;number=3.7&amp;sourceID=14","3.7")</f>
        <v>3.7</v>
      </c>
      <c r="G5211" s="4" t="str">
        <f>HYPERLINK("http://141.218.60.56/~jnz1568/getInfo.php?workbook=20_05.xlsx&amp;sheet=U0&amp;row=5211&amp;col=7&amp;number=0.00164&amp;sourceID=14","0.00164")</f>
        <v>0.00164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HYPERLINK("http://141.218.60.56/~jnz1568/getInfo.php?workbook=20_05.xlsx&amp;sheet=U0&amp;row=5212&amp;col=6&amp;number=3.8&amp;sourceID=14","3.8")</f>
        <v>3.8</v>
      </c>
      <c r="G5212" s="4" t="str">
        <f>HYPERLINK("http://141.218.60.56/~jnz1568/getInfo.php?workbook=20_05.xlsx&amp;sheet=U0&amp;row=5212&amp;col=7&amp;number=0.00164&amp;sourceID=14","0.00164")</f>
        <v>0.00164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HYPERLINK("http://141.218.60.56/~jnz1568/getInfo.php?workbook=20_05.xlsx&amp;sheet=U0&amp;row=5213&amp;col=6&amp;number=3.9&amp;sourceID=14","3.9")</f>
        <v>3.9</v>
      </c>
      <c r="G5213" s="4" t="str">
        <f>HYPERLINK("http://141.218.60.56/~jnz1568/getInfo.php?workbook=20_05.xlsx&amp;sheet=U0&amp;row=5213&amp;col=7&amp;number=0.00164&amp;sourceID=14","0.00164")</f>
        <v>0.00164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HYPERLINK("http://141.218.60.56/~jnz1568/getInfo.php?workbook=20_05.xlsx&amp;sheet=U0&amp;row=5214&amp;col=6&amp;number=4&amp;sourceID=14","4")</f>
        <v>4</v>
      </c>
      <c r="G5214" s="4" t="str">
        <f>HYPERLINK("http://141.218.60.56/~jnz1568/getInfo.php?workbook=20_05.xlsx&amp;sheet=U0&amp;row=5214&amp;col=7&amp;number=0.00164&amp;sourceID=14","0.00164")</f>
        <v>0.00164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HYPERLINK("http://141.218.60.56/~jnz1568/getInfo.php?workbook=20_05.xlsx&amp;sheet=U0&amp;row=5215&amp;col=6&amp;number=4.1&amp;sourceID=14","4.1")</f>
        <v>4.1</v>
      </c>
      <c r="G5215" s="4" t="str">
        <f>HYPERLINK("http://141.218.60.56/~jnz1568/getInfo.php?workbook=20_05.xlsx&amp;sheet=U0&amp;row=5215&amp;col=7&amp;number=0.00164&amp;sourceID=14","0.00164")</f>
        <v>0.00164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HYPERLINK("http://141.218.60.56/~jnz1568/getInfo.php?workbook=20_05.xlsx&amp;sheet=U0&amp;row=5216&amp;col=6&amp;number=4.2&amp;sourceID=14","4.2")</f>
        <v>4.2</v>
      </c>
      <c r="G5216" s="4" t="str">
        <f>HYPERLINK("http://141.218.60.56/~jnz1568/getInfo.php?workbook=20_05.xlsx&amp;sheet=U0&amp;row=5216&amp;col=7&amp;number=0.00164&amp;sourceID=14","0.00164")</f>
        <v>0.00164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HYPERLINK("http://141.218.60.56/~jnz1568/getInfo.php?workbook=20_05.xlsx&amp;sheet=U0&amp;row=5217&amp;col=6&amp;number=4.3&amp;sourceID=14","4.3")</f>
        <v>4.3</v>
      </c>
      <c r="G5217" s="4" t="str">
        <f>HYPERLINK("http://141.218.60.56/~jnz1568/getInfo.php?workbook=20_05.xlsx&amp;sheet=U0&amp;row=5217&amp;col=7&amp;number=0.00164&amp;sourceID=14","0.00164")</f>
        <v>0.00164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HYPERLINK("http://141.218.60.56/~jnz1568/getInfo.php?workbook=20_05.xlsx&amp;sheet=U0&amp;row=5218&amp;col=6&amp;number=4.4&amp;sourceID=14","4.4")</f>
        <v>4.4</v>
      </c>
      <c r="G5218" s="4" t="str">
        <f>HYPERLINK("http://141.218.60.56/~jnz1568/getInfo.php?workbook=20_05.xlsx&amp;sheet=U0&amp;row=5218&amp;col=7&amp;number=0.00163&amp;sourceID=14","0.00163")</f>
        <v>0.00163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HYPERLINK("http://141.218.60.56/~jnz1568/getInfo.php?workbook=20_05.xlsx&amp;sheet=U0&amp;row=5219&amp;col=6&amp;number=4.5&amp;sourceID=14","4.5")</f>
        <v>4.5</v>
      </c>
      <c r="G5219" s="4" t="str">
        <f>HYPERLINK("http://141.218.60.56/~jnz1568/getInfo.php?workbook=20_05.xlsx&amp;sheet=U0&amp;row=5219&amp;col=7&amp;number=0.00163&amp;sourceID=14","0.00163")</f>
        <v>0.00163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HYPERLINK("http://141.218.60.56/~jnz1568/getInfo.php?workbook=20_05.xlsx&amp;sheet=U0&amp;row=5220&amp;col=6&amp;number=4.6&amp;sourceID=14","4.6")</f>
        <v>4.6</v>
      </c>
      <c r="G5220" s="4" t="str">
        <f>HYPERLINK("http://141.218.60.56/~jnz1568/getInfo.php?workbook=20_05.xlsx&amp;sheet=U0&amp;row=5220&amp;col=7&amp;number=0.00163&amp;sourceID=14","0.00163")</f>
        <v>0.00163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HYPERLINK("http://141.218.60.56/~jnz1568/getInfo.php?workbook=20_05.xlsx&amp;sheet=U0&amp;row=5221&amp;col=6&amp;number=4.7&amp;sourceID=14","4.7")</f>
        <v>4.7</v>
      </c>
      <c r="G5221" s="4" t="str">
        <f>HYPERLINK("http://141.218.60.56/~jnz1568/getInfo.php?workbook=20_05.xlsx&amp;sheet=U0&amp;row=5221&amp;col=7&amp;number=0.00163&amp;sourceID=14","0.00163")</f>
        <v>0.00163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HYPERLINK("http://141.218.60.56/~jnz1568/getInfo.php?workbook=20_05.xlsx&amp;sheet=U0&amp;row=5222&amp;col=6&amp;number=4.8&amp;sourceID=14","4.8")</f>
        <v>4.8</v>
      </c>
      <c r="G5222" s="4" t="str">
        <f>HYPERLINK("http://141.218.60.56/~jnz1568/getInfo.php?workbook=20_05.xlsx&amp;sheet=U0&amp;row=5222&amp;col=7&amp;number=0.00162&amp;sourceID=14","0.00162")</f>
        <v>0.00162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HYPERLINK("http://141.218.60.56/~jnz1568/getInfo.php?workbook=20_05.xlsx&amp;sheet=U0&amp;row=5223&amp;col=6&amp;number=4.9&amp;sourceID=14","4.9")</f>
        <v>4.9</v>
      </c>
      <c r="G5223" s="4" t="str">
        <f>HYPERLINK("http://141.218.60.56/~jnz1568/getInfo.php?workbook=20_05.xlsx&amp;sheet=U0&amp;row=5223&amp;col=7&amp;number=0.00161&amp;sourceID=14","0.00161")</f>
        <v>0.00161</v>
      </c>
    </row>
    <row r="5224" spans="1:7">
      <c r="A5224" s="3">
        <v>20</v>
      </c>
      <c r="B5224" s="3">
        <v>5</v>
      </c>
      <c r="C5224" s="3">
        <v>2</v>
      </c>
      <c r="D5224" s="3">
        <v>108</v>
      </c>
      <c r="E5224" s="3">
        <v>1</v>
      </c>
      <c r="F5224" s="4" t="str">
        <f>HYPERLINK("http://141.218.60.56/~jnz1568/getInfo.php?workbook=20_05.xlsx&amp;sheet=U0&amp;row=5224&amp;col=6&amp;number=3&amp;sourceID=14","3")</f>
        <v>3</v>
      </c>
      <c r="G5224" s="4" t="str">
        <f>HYPERLINK("http://141.218.60.56/~jnz1568/getInfo.php?workbook=20_05.xlsx&amp;sheet=U0&amp;row=5224&amp;col=7&amp;number=0.00293&amp;sourceID=14","0.00293")</f>
        <v>0.00293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HYPERLINK("http://141.218.60.56/~jnz1568/getInfo.php?workbook=20_05.xlsx&amp;sheet=U0&amp;row=5225&amp;col=6&amp;number=3.1&amp;sourceID=14","3.1")</f>
        <v>3.1</v>
      </c>
      <c r="G5225" s="4" t="str">
        <f>HYPERLINK("http://141.218.60.56/~jnz1568/getInfo.php?workbook=20_05.xlsx&amp;sheet=U0&amp;row=5225&amp;col=7&amp;number=0.00293&amp;sourceID=14","0.00293")</f>
        <v>0.00293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HYPERLINK("http://141.218.60.56/~jnz1568/getInfo.php?workbook=20_05.xlsx&amp;sheet=U0&amp;row=5226&amp;col=6&amp;number=3.2&amp;sourceID=14","3.2")</f>
        <v>3.2</v>
      </c>
      <c r="G5226" s="4" t="str">
        <f>HYPERLINK("http://141.218.60.56/~jnz1568/getInfo.php?workbook=20_05.xlsx&amp;sheet=U0&amp;row=5226&amp;col=7&amp;number=0.00293&amp;sourceID=14","0.00293")</f>
        <v>0.00293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HYPERLINK("http://141.218.60.56/~jnz1568/getInfo.php?workbook=20_05.xlsx&amp;sheet=U0&amp;row=5227&amp;col=6&amp;number=3.3&amp;sourceID=14","3.3")</f>
        <v>3.3</v>
      </c>
      <c r="G5227" s="4" t="str">
        <f>HYPERLINK("http://141.218.60.56/~jnz1568/getInfo.php?workbook=20_05.xlsx&amp;sheet=U0&amp;row=5227&amp;col=7&amp;number=0.00293&amp;sourceID=14","0.00293")</f>
        <v>0.00293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HYPERLINK("http://141.218.60.56/~jnz1568/getInfo.php?workbook=20_05.xlsx&amp;sheet=U0&amp;row=5228&amp;col=6&amp;number=3.4&amp;sourceID=14","3.4")</f>
        <v>3.4</v>
      </c>
      <c r="G5228" s="4" t="str">
        <f>HYPERLINK("http://141.218.60.56/~jnz1568/getInfo.php?workbook=20_05.xlsx&amp;sheet=U0&amp;row=5228&amp;col=7&amp;number=0.00293&amp;sourceID=14","0.00293")</f>
        <v>0.00293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HYPERLINK("http://141.218.60.56/~jnz1568/getInfo.php?workbook=20_05.xlsx&amp;sheet=U0&amp;row=5229&amp;col=6&amp;number=3.5&amp;sourceID=14","3.5")</f>
        <v>3.5</v>
      </c>
      <c r="G5229" s="4" t="str">
        <f>HYPERLINK("http://141.218.60.56/~jnz1568/getInfo.php?workbook=20_05.xlsx&amp;sheet=U0&amp;row=5229&amp;col=7&amp;number=0.00293&amp;sourceID=14","0.00293")</f>
        <v>0.00293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HYPERLINK("http://141.218.60.56/~jnz1568/getInfo.php?workbook=20_05.xlsx&amp;sheet=U0&amp;row=5230&amp;col=6&amp;number=3.6&amp;sourceID=14","3.6")</f>
        <v>3.6</v>
      </c>
      <c r="G5230" s="4" t="str">
        <f>HYPERLINK("http://141.218.60.56/~jnz1568/getInfo.php?workbook=20_05.xlsx&amp;sheet=U0&amp;row=5230&amp;col=7&amp;number=0.00293&amp;sourceID=14","0.00293")</f>
        <v>0.00293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HYPERLINK("http://141.218.60.56/~jnz1568/getInfo.php?workbook=20_05.xlsx&amp;sheet=U0&amp;row=5231&amp;col=6&amp;number=3.7&amp;sourceID=14","3.7")</f>
        <v>3.7</v>
      </c>
      <c r="G5231" s="4" t="str">
        <f>HYPERLINK("http://141.218.60.56/~jnz1568/getInfo.php?workbook=20_05.xlsx&amp;sheet=U0&amp;row=5231&amp;col=7&amp;number=0.00293&amp;sourceID=14","0.00293")</f>
        <v>0.00293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HYPERLINK("http://141.218.60.56/~jnz1568/getInfo.php?workbook=20_05.xlsx&amp;sheet=U0&amp;row=5232&amp;col=6&amp;number=3.8&amp;sourceID=14","3.8")</f>
        <v>3.8</v>
      </c>
      <c r="G5232" s="4" t="str">
        <f>HYPERLINK("http://141.218.60.56/~jnz1568/getInfo.php?workbook=20_05.xlsx&amp;sheet=U0&amp;row=5232&amp;col=7&amp;number=0.00293&amp;sourceID=14","0.00293")</f>
        <v>0.00293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HYPERLINK("http://141.218.60.56/~jnz1568/getInfo.php?workbook=20_05.xlsx&amp;sheet=U0&amp;row=5233&amp;col=6&amp;number=3.9&amp;sourceID=14","3.9")</f>
        <v>3.9</v>
      </c>
      <c r="G5233" s="4" t="str">
        <f>HYPERLINK("http://141.218.60.56/~jnz1568/getInfo.php?workbook=20_05.xlsx&amp;sheet=U0&amp;row=5233&amp;col=7&amp;number=0.00293&amp;sourceID=14","0.00293")</f>
        <v>0.00293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HYPERLINK("http://141.218.60.56/~jnz1568/getInfo.php?workbook=20_05.xlsx&amp;sheet=U0&amp;row=5234&amp;col=6&amp;number=4&amp;sourceID=14","4")</f>
        <v>4</v>
      </c>
      <c r="G5234" s="4" t="str">
        <f>HYPERLINK("http://141.218.60.56/~jnz1568/getInfo.php?workbook=20_05.xlsx&amp;sheet=U0&amp;row=5234&amp;col=7&amp;number=0.00293&amp;sourceID=14","0.00293")</f>
        <v>0.00293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HYPERLINK("http://141.218.60.56/~jnz1568/getInfo.php?workbook=20_05.xlsx&amp;sheet=U0&amp;row=5235&amp;col=6&amp;number=4.1&amp;sourceID=14","4.1")</f>
        <v>4.1</v>
      </c>
      <c r="G5235" s="4" t="str">
        <f>HYPERLINK("http://141.218.60.56/~jnz1568/getInfo.php?workbook=20_05.xlsx&amp;sheet=U0&amp;row=5235&amp;col=7&amp;number=0.00293&amp;sourceID=14","0.00293")</f>
        <v>0.00293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HYPERLINK("http://141.218.60.56/~jnz1568/getInfo.php?workbook=20_05.xlsx&amp;sheet=U0&amp;row=5236&amp;col=6&amp;number=4.2&amp;sourceID=14","4.2")</f>
        <v>4.2</v>
      </c>
      <c r="G5236" s="4" t="str">
        <f>HYPERLINK("http://141.218.60.56/~jnz1568/getInfo.php?workbook=20_05.xlsx&amp;sheet=U0&amp;row=5236&amp;col=7&amp;number=0.00293&amp;sourceID=14","0.00293")</f>
        <v>0.00293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HYPERLINK("http://141.218.60.56/~jnz1568/getInfo.php?workbook=20_05.xlsx&amp;sheet=U0&amp;row=5237&amp;col=6&amp;number=4.3&amp;sourceID=14","4.3")</f>
        <v>4.3</v>
      </c>
      <c r="G5237" s="4" t="str">
        <f>HYPERLINK("http://141.218.60.56/~jnz1568/getInfo.php?workbook=20_05.xlsx&amp;sheet=U0&amp;row=5237&amp;col=7&amp;number=0.00293&amp;sourceID=14","0.00293")</f>
        <v>0.00293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HYPERLINK("http://141.218.60.56/~jnz1568/getInfo.php?workbook=20_05.xlsx&amp;sheet=U0&amp;row=5238&amp;col=6&amp;number=4.4&amp;sourceID=14","4.4")</f>
        <v>4.4</v>
      </c>
      <c r="G5238" s="4" t="str">
        <f>HYPERLINK("http://141.218.60.56/~jnz1568/getInfo.php?workbook=20_05.xlsx&amp;sheet=U0&amp;row=5238&amp;col=7&amp;number=0.00294&amp;sourceID=14","0.00294")</f>
        <v>0.00294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HYPERLINK("http://141.218.60.56/~jnz1568/getInfo.php?workbook=20_05.xlsx&amp;sheet=U0&amp;row=5239&amp;col=6&amp;number=4.5&amp;sourceID=14","4.5")</f>
        <v>4.5</v>
      </c>
      <c r="G5239" s="4" t="str">
        <f>HYPERLINK("http://141.218.60.56/~jnz1568/getInfo.php?workbook=20_05.xlsx&amp;sheet=U0&amp;row=5239&amp;col=7&amp;number=0.00294&amp;sourceID=14","0.00294")</f>
        <v>0.00294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HYPERLINK("http://141.218.60.56/~jnz1568/getInfo.php?workbook=20_05.xlsx&amp;sheet=U0&amp;row=5240&amp;col=6&amp;number=4.6&amp;sourceID=14","4.6")</f>
        <v>4.6</v>
      </c>
      <c r="G5240" s="4" t="str">
        <f>HYPERLINK("http://141.218.60.56/~jnz1568/getInfo.php?workbook=20_05.xlsx&amp;sheet=U0&amp;row=5240&amp;col=7&amp;number=0.00294&amp;sourceID=14","0.00294")</f>
        <v>0.00294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HYPERLINK("http://141.218.60.56/~jnz1568/getInfo.php?workbook=20_05.xlsx&amp;sheet=U0&amp;row=5241&amp;col=6&amp;number=4.7&amp;sourceID=14","4.7")</f>
        <v>4.7</v>
      </c>
      <c r="G5241" s="4" t="str">
        <f>HYPERLINK("http://141.218.60.56/~jnz1568/getInfo.php?workbook=20_05.xlsx&amp;sheet=U0&amp;row=5241&amp;col=7&amp;number=0.00295&amp;sourceID=14","0.00295")</f>
        <v>0.00295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HYPERLINK("http://141.218.60.56/~jnz1568/getInfo.php?workbook=20_05.xlsx&amp;sheet=U0&amp;row=5242&amp;col=6&amp;number=4.8&amp;sourceID=14","4.8")</f>
        <v>4.8</v>
      </c>
      <c r="G5242" s="4" t="str">
        <f>HYPERLINK("http://141.218.60.56/~jnz1568/getInfo.php?workbook=20_05.xlsx&amp;sheet=U0&amp;row=5242&amp;col=7&amp;number=0.00295&amp;sourceID=14","0.00295")</f>
        <v>0.00295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HYPERLINK("http://141.218.60.56/~jnz1568/getInfo.php?workbook=20_05.xlsx&amp;sheet=U0&amp;row=5243&amp;col=6&amp;number=4.9&amp;sourceID=14","4.9")</f>
        <v>4.9</v>
      </c>
      <c r="G5243" s="4" t="str">
        <f>HYPERLINK("http://141.218.60.56/~jnz1568/getInfo.php?workbook=20_05.xlsx&amp;sheet=U0&amp;row=5243&amp;col=7&amp;number=0.00296&amp;sourceID=14","0.00296")</f>
        <v>0.00296</v>
      </c>
    </row>
    <row r="5244" spans="1:7">
      <c r="A5244" s="3">
        <v>20</v>
      </c>
      <c r="B5244" s="3">
        <v>5</v>
      </c>
      <c r="C5244" s="3">
        <v>2</v>
      </c>
      <c r="D5244" s="3">
        <v>109</v>
      </c>
      <c r="E5244" s="3">
        <v>1</v>
      </c>
      <c r="F5244" s="4" t="str">
        <f>HYPERLINK("http://141.218.60.56/~jnz1568/getInfo.php?workbook=20_05.xlsx&amp;sheet=U0&amp;row=5244&amp;col=6&amp;number=3&amp;sourceID=14","3")</f>
        <v>3</v>
      </c>
      <c r="G5244" s="4" t="str">
        <f>HYPERLINK("http://141.218.60.56/~jnz1568/getInfo.php?workbook=20_05.xlsx&amp;sheet=U0&amp;row=5244&amp;col=7&amp;number=0.0111&amp;sourceID=14","0.0111")</f>
        <v>0.0111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HYPERLINK("http://141.218.60.56/~jnz1568/getInfo.php?workbook=20_05.xlsx&amp;sheet=U0&amp;row=5245&amp;col=6&amp;number=3.1&amp;sourceID=14","3.1")</f>
        <v>3.1</v>
      </c>
      <c r="G5245" s="4" t="str">
        <f>HYPERLINK("http://141.218.60.56/~jnz1568/getInfo.php?workbook=20_05.xlsx&amp;sheet=U0&amp;row=5245&amp;col=7&amp;number=0.0111&amp;sourceID=14","0.0111")</f>
        <v>0.0111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HYPERLINK("http://141.218.60.56/~jnz1568/getInfo.php?workbook=20_05.xlsx&amp;sheet=U0&amp;row=5246&amp;col=6&amp;number=3.2&amp;sourceID=14","3.2")</f>
        <v>3.2</v>
      </c>
      <c r="G5246" s="4" t="str">
        <f>HYPERLINK("http://141.218.60.56/~jnz1568/getInfo.php?workbook=20_05.xlsx&amp;sheet=U0&amp;row=5246&amp;col=7&amp;number=0.0111&amp;sourceID=14","0.0111")</f>
        <v>0.0111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HYPERLINK("http://141.218.60.56/~jnz1568/getInfo.php?workbook=20_05.xlsx&amp;sheet=U0&amp;row=5247&amp;col=6&amp;number=3.3&amp;sourceID=14","3.3")</f>
        <v>3.3</v>
      </c>
      <c r="G5247" s="4" t="str">
        <f>HYPERLINK("http://141.218.60.56/~jnz1568/getInfo.php?workbook=20_05.xlsx&amp;sheet=U0&amp;row=5247&amp;col=7&amp;number=0.0111&amp;sourceID=14","0.0111")</f>
        <v>0.0111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HYPERLINK("http://141.218.60.56/~jnz1568/getInfo.php?workbook=20_05.xlsx&amp;sheet=U0&amp;row=5248&amp;col=6&amp;number=3.4&amp;sourceID=14","3.4")</f>
        <v>3.4</v>
      </c>
      <c r="G5248" s="4" t="str">
        <f>HYPERLINK("http://141.218.60.56/~jnz1568/getInfo.php?workbook=20_05.xlsx&amp;sheet=U0&amp;row=5248&amp;col=7&amp;number=0.0111&amp;sourceID=14","0.0111")</f>
        <v>0.0111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HYPERLINK("http://141.218.60.56/~jnz1568/getInfo.php?workbook=20_05.xlsx&amp;sheet=U0&amp;row=5249&amp;col=6&amp;number=3.5&amp;sourceID=14","3.5")</f>
        <v>3.5</v>
      </c>
      <c r="G5249" s="4" t="str">
        <f>HYPERLINK("http://141.218.60.56/~jnz1568/getInfo.php?workbook=20_05.xlsx&amp;sheet=U0&amp;row=5249&amp;col=7&amp;number=0.0111&amp;sourceID=14","0.0111")</f>
        <v>0.0111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HYPERLINK("http://141.218.60.56/~jnz1568/getInfo.php?workbook=20_05.xlsx&amp;sheet=U0&amp;row=5250&amp;col=6&amp;number=3.6&amp;sourceID=14","3.6")</f>
        <v>3.6</v>
      </c>
      <c r="G5250" s="4" t="str">
        <f>HYPERLINK("http://141.218.60.56/~jnz1568/getInfo.php?workbook=20_05.xlsx&amp;sheet=U0&amp;row=5250&amp;col=7&amp;number=0.0111&amp;sourceID=14","0.0111")</f>
        <v>0.0111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HYPERLINK("http://141.218.60.56/~jnz1568/getInfo.php?workbook=20_05.xlsx&amp;sheet=U0&amp;row=5251&amp;col=6&amp;number=3.7&amp;sourceID=14","3.7")</f>
        <v>3.7</v>
      </c>
      <c r="G5251" s="4" t="str">
        <f>HYPERLINK("http://141.218.60.56/~jnz1568/getInfo.php?workbook=20_05.xlsx&amp;sheet=U0&amp;row=5251&amp;col=7&amp;number=0.0111&amp;sourceID=14","0.0111")</f>
        <v>0.0111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HYPERLINK("http://141.218.60.56/~jnz1568/getInfo.php?workbook=20_05.xlsx&amp;sheet=U0&amp;row=5252&amp;col=6&amp;number=3.8&amp;sourceID=14","3.8")</f>
        <v>3.8</v>
      </c>
      <c r="G5252" s="4" t="str">
        <f>HYPERLINK("http://141.218.60.56/~jnz1568/getInfo.php?workbook=20_05.xlsx&amp;sheet=U0&amp;row=5252&amp;col=7&amp;number=0.0111&amp;sourceID=14","0.0111")</f>
        <v>0.0111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HYPERLINK("http://141.218.60.56/~jnz1568/getInfo.php?workbook=20_05.xlsx&amp;sheet=U0&amp;row=5253&amp;col=6&amp;number=3.9&amp;sourceID=14","3.9")</f>
        <v>3.9</v>
      </c>
      <c r="G5253" s="4" t="str">
        <f>HYPERLINK("http://141.218.60.56/~jnz1568/getInfo.php?workbook=20_05.xlsx&amp;sheet=U0&amp;row=5253&amp;col=7&amp;number=0.0111&amp;sourceID=14","0.0111")</f>
        <v>0.0111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HYPERLINK("http://141.218.60.56/~jnz1568/getInfo.php?workbook=20_05.xlsx&amp;sheet=U0&amp;row=5254&amp;col=6&amp;number=4&amp;sourceID=14","4")</f>
        <v>4</v>
      </c>
      <c r="G5254" s="4" t="str">
        <f>HYPERLINK("http://141.218.60.56/~jnz1568/getInfo.php?workbook=20_05.xlsx&amp;sheet=U0&amp;row=5254&amp;col=7&amp;number=0.0111&amp;sourceID=14","0.0111")</f>
        <v>0.0111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HYPERLINK("http://141.218.60.56/~jnz1568/getInfo.php?workbook=20_05.xlsx&amp;sheet=U0&amp;row=5255&amp;col=6&amp;number=4.1&amp;sourceID=14","4.1")</f>
        <v>4.1</v>
      </c>
      <c r="G5255" s="4" t="str">
        <f>HYPERLINK("http://141.218.60.56/~jnz1568/getInfo.php?workbook=20_05.xlsx&amp;sheet=U0&amp;row=5255&amp;col=7&amp;number=0.0111&amp;sourceID=14","0.0111")</f>
        <v>0.0111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HYPERLINK("http://141.218.60.56/~jnz1568/getInfo.php?workbook=20_05.xlsx&amp;sheet=U0&amp;row=5256&amp;col=6&amp;number=4.2&amp;sourceID=14","4.2")</f>
        <v>4.2</v>
      </c>
      <c r="G5256" s="4" t="str">
        <f>HYPERLINK("http://141.218.60.56/~jnz1568/getInfo.php?workbook=20_05.xlsx&amp;sheet=U0&amp;row=5256&amp;col=7&amp;number=0.0111&amp;sourceID=14","0.0111")</f>
        <v>0.0111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HYPERLINK("http://141.218.60.56/~jnz1568/getInfo.php?workbook=20_05.xlsx&amp;sheet=U0&amp;row=5257&amp;col=6&amp;number=4.3&amp;sourceID=14","4.3")</f>
        <v>4.3</v>
      </c>
      <c r="G5257" s="4" t="str">
        <f>HYPERLINK("http://141.218.60.56/~jnz1568/getInfo.php?workbook=20_05.xlsx&amp;sheet=U0&amp;row=5257&amp;col=7&amp;number=0.0111&amp;sourceID=14","0.0111")</f>
        <v>0.0111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HYPERLINK("http://141.218.60.56/~jnz1568/getInfo.php?workbook=20_05.xlsx&amp;sheet=U0&amp;row=5258&amp;col=6&amp;number=4.4&amp;sourceID=14","4.4")</f>
        <v>4.4</v>
      </c>
      <c r="G5258" s="4" t="str">
        <f>HYPERLINK("http://141.218.60.56/~jnz1568/getInfo.php?workbook=20_05.xlsx&amp;sheet=U0&amp;row=5258&amp;col=7&amp;number=0.0111&amp;sourceID=14","0.0111")</f>
        <v>0.0111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HYPERLINK("http://141.218.60.56/~jnz1568/getInfo.php?workbook=20_05.xlsx&amp;sheet=U0&amp;row=5259&amp;col=6&amp;number=4.5&amp;sourceID=14","4.5")</f>
        <v>4.5</v>
      </c>
      <c r="G5259" s="4" t="str">
        <f>HYPERLINK("http://141.218.60.56/~jnz1568/getInfo.php?workbook=20_05.xlsx&amp;sheet=U0&amp;row=5259&amp;col=7&amp;number=0.0111&amp;sourceID=14","0.0111")</f>
        <v>0.0111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HYPERLINK("http://141.218.60.56/~jnz1568/getInfo.php?workbook=20_05.xlsx&amp;sheet=U0&amp;row=5260&amp;col=6&amp;number=4.6&amp;sourceID=14","4.6")</f>
        <v>4.6</v>
      </c>
      <c r="G5260" s="4" t="str">
        <f>HYPERLINK("http://141.218.60.56/~jnz1568/getInfo.php?workbook=20_05.xlsx&amp;sheet=U0&amp;row=5260&amp;col=7&amp;number=0.0112&amp;sourceID=14","0.0112")</f>
        <v>0.0112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HYPERLINK("http://141.218.60.56/~jnz1568/getInfo.php?workbook=20_05.xlsx&amp;sheet=U0&amp;row=5261&amp;col=6&amp;number=4.7&amp;sourceID=14","4.7")</f>
        <v>4.7</v>
      </c>
      <c r="G5261" s="4" t="str">
        <f>HYPERLINK("http://141.218.60.56/~jnz1568/getInfo.php?workbook=20_05.xlsx&amp;sheet=U0&amp;row=5261&amp;col=7&amp;number=0.0112&amp;sourceID=14","0.0112")</f>
        <v>0.0112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HYPERLINK("http://141.218.60.56/~jnz1568/getInfo.php?workbook=20_05.xlsx&amp;sheet=U0&amp;row=5262&amp;col=6&amp;number=4.8&amp;sourceID=14","4.8")</f>
        <v>4.8</v>
      </c>
      <c r="G5262" s="4" t="str">
        <f>HYPERLINK("http://141.218.60.56/~jnz1568/getInfo.php?workbook=20_05.xlsx&amp;sheet=U0&amp;row=5262&amp;col=7&amp;number=0.0112&amp;sourceID=14","0.0112")</f>
        <v>0.0112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HYPERLINK("http://141.218.60.56/~jnz1568/getInfo.php?workbook=20_05.xlsx&amp;sheet=U0&amp;row=5263&amp;col=6&amp;number=4.9&amp;sourceID=14","4.9")</f>
        <v>4.9</v>
      </c>
      <c r="G5263" s="4" t="str">
        <f>HYPERLINK("http://141.218.60.56/~jnz1568/getInfo.php?workbook=20_05.xlsx&amp;sheet=U0&amp;row=5263&amp;col=7&amp;number=0.0112&amp;sourceID=14","0.0112")</f>
        <v>0.0112</v>
      </c>
    </row>
    <row r="5264" spans="1:7">
      <c r="A5264" s="3">
        <v>20</v>
      </c>
      <c r="B5264" s="3">
        <v>5</v>
      </c>
      <c r="C5264" s="3">
        <v>2</v>
      </c>
      <c r="D5264" s="3">
        <v>110</v>
      </c>
      <c r="E5264" s="3">
        <v>1</v>
      </c>
      <c r="F5264" s="4" t="str">
        <f>HYPERLINK("http://141.218.60.56/~jnz1568/getInfo.php?workbook=20_05.xlsx&amp;sheet=U0&amp;row=5264&amp;col=6&amp;number=3&amp;sourceID=14","3")</f>
        <v>3</v>
      </c>
      <c r="G5264" s="4" t="str">
        <f>HYPERLINK("http://141.218.60.56/~jnz1568/getInfo.php?workbook=20_05.xlsx&amp;sheet=U0&amp;row=5264&amp;col=7&amp;number=0.00668&amp;sourceID=14","0.00668")</f>
        <v>0.00668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HYPERLINK("http://141.218.60.56/~jnz1568/getInfo.php?workbook=20_05.xlsx&amp;sheet=U0&amp;row=5265&amp;col=6&amp;number=3.1&amp;sourceID=14","3.1")</f>
        <v>3.1</v>
      </c>
      <c r="G5265" s="4" t="str">
        <f>HYPERLINK("http://141.218.60.56/~jnz1568/getInfo.php?workbook=20_05.xlsx&amp;sheet=U0&amp;row=5265&amp;col=7&amp;number=0.00668&amp;sourceID=14","0.00668")</f>
        <v>0.00668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HYPERLINK("http://141.218.60.56/~jnz1568/getInfo.php?workbook=20_05.xlsx&amp;sheet=U0&amp;row=5266&amp;col=6&amp;number=3.2&amp;sourceID=14","3.2")</f>
        <v>3.2</v>
      </c>
      <c r="G5266" s="4" t="str">
        <f>HYPERLINK("http://141.218.60.56/~jnz1568/getInfo.php?workbook=20_05.xlsx&amp;sheet=U0&amp;row=5266&amp;col=7&amp;number=0.00668&amp;sourceID=14","0.00668")</f>
        <v>0.00668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HYPERLINK("http://141.218.60.56/~jnz1568/getInfo.php?workbook=20_05.xlsx&amp;sheet=U0&amp;row=5267&amp;col=6&amp;number=3.3&amp;sourceID=14","3.3")</f>
        <v>3.3</v>
      </c>
      <c r="G5267" s="4" t="str">
        <f>HYPERLINK("http://141.218.60.56/~jnz1568/getInfo.php?workbook=20_05.xlsx&amp;sheet=U0&amp;row=5267&amp;col=7&amp;number=0.00668&amp;sourceID=14","0.00668")</f>
        <v>0.00668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HYPERLINK("http://141.218.60.56/~jnz1568/getInfo.php?workbook=20_05.xlsx&amp;sheet=U0&amp;row=5268&amp;col=6&amp;number=3.4&amp;sourceID=14","3.4")</f>
        <v>3.4</v>
      </c>
      <c r="G5268" s="4" t="str">
        <f>HYPERLINK("http://141.218.60.56/~jnz1568/getInfo.php?workbook=20_05.xlsx&amp;sheet=U0&amp;row=5268&amp;col=7&amp;number=0.00668&amp;sourceID=14","0.00668")</f>
        <v>0.00668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HYPERLINK("http://141.218.60.56/~jnz1568/getInfo.php?workbook=20_05.xlsx&amp;sheet=U0&amp;row=5269&amp;col=6&amp;number=3.5&amp;sourceID=14","3.5")</f>
        <v>3.5</v>
      </c>
      <c r="G5269" s="4" t="str">
        <f>HYPERLINK("http://141.218.60.56/~jnz1568/getInfo.php?workbook=20_05.xlsx&amp;sheet=U0&amp;row=5269&amp;col=7&amp;number=0.00668&amp;sourceID=14","0.00668")</f>
        <v>0.00668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HYPERLINK("http://141.218.60.56/~jnz1568/getInfo.php?workbook=20_05.xlsx&amp;sheet=U0&amp;row=5270&amp;col=6&amp;number=3.6&amp;sourceID=14","3.6")</f>
        <v>3.6</v>
      </c>
      <c r="G5270" s="4" t="str">
        <f>HYPERLINK("http://141.218.60.56/~jnz1568/getInfo.php?workbook=20_05.xlsx&amp;sheet=U0&amp;row=5270&amp;col=7&amp;number=0.00668&amp;sourceID=14","0.00668")</f>
        <v>0.00668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HYPERLINK("http://141.218.60.56/~jnz1568/getInfo.php?workbook=20_05.xlsx&amp;sheet=U0&amp;row=5271&amp;col=6&amp;number=3.7&amp;sourceID=14","3.7")</f>
        <v>3.7</v>
      </c>
      <c r="G5271" s="4" t="str">
        <f>HYPERLINK("http://141.218.60.56/~jnz1568/getInfo.php?workbook=20_05.xlsx&amp;sheet=U0&amp;row=5271&amp;col=7&amp;number=0.00668&amp;sourceID=14","0.00668")</f>
        <v>0.00668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HYPERLINK("http://141.218.60.56/~jnz1568/getInfo.php?workbook=20_05.xlsx&amp;sheet=U0&amp;row=5272&amp;col=6&amp;number=3.8&amp;sourceID=14","3.8")</f>
        <v>3.8</v>
      </c>
      <c r="G5272" s="4" t="str">
        <f>HYPERLINK("http://141.218.60.56/~jnz1568/getInfo.php?workbook=20_05.xlsx&amp;sheet=U0&amp;row=5272&amp;col=7&amp;number=0.00668&amp;sourceID=14","0.00668")</f>
        <v>0.00668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HYPERLINK("http://141.218.60.56/~jnz1568/getInfo.php?workbook=20_05.xlsx&amp;sheet=U0&amp;row=5273&amp;col=6&amp;number=3.9&amp;sourceID=14","3.9")</f>
        <v>3.9</v>
      </c>
      <c r="G5273" s="4" t="str">
        <f>HYPERLINK("http://141.218.60.56/~jnz1568/getInfo.php?workbook=20_05.xlsx&amp;sheet=U0&amp;row=5273&amp;col=7&amp;number=0.00667&amp;sourceID=14","0.00667")</f>
        <v>0.00667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HYPERLINK("http://141.218.60.56/~jnz1568/getInfo.php?workbook=20_05.xlsx&amp;sheet=U0&amp;row=5274&amp;col=6&amp;number=4&amp;sourceID=14","4")</f>
        <v>4</v>
      </c>
      <c r="G5274" s="4" t="str">
        <f>HYPERLINK("http://141.218.60.56/~jnz1568/getInfo.php?workbook=20_05.xlsx&amp;sheet=U0&amp;row=5274&amp;col=7&amp;number=0.00667&amp;sourceID=14","0.00667")</f>
        <v>0.00667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HYPERLINK("http://141.218.60.56/~jnz1568/getInfo.php?workbook=20_05.xlsx&amp;sheet=U0&amp;row=5275&amp;col=6&amp;number=4.1&amp;sourceID=14","4.1")</f>
        <v>4.1</v>
      </c>
      <c r="G5275" s="4" t="str">
        <f>HYPERLINK("http://141.218.60.56/~jnz1568/getInfo.php?workbook=20_05.xlsx&amp;sheet=U0&amp;row=5275&amp;col=7&amp;number=0.00667&amp;sourceID=14","0.00667")</f>
        <v>0.00667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HYPERLINK("http://141.218.60.56/~jnz1568/getInfo.php?workbook=20_05.xlsx&amp;sheet=U0&amp;row=5276&amp;col=6&amp;number=4.2&amp;sourceID=14","4.2")</f>
        <v>4.2</v>
      </c>
      <c r="G5276" s="4" t="str">
        <f>HYPERLINK("http://141.218.60.56/~jnz1568/getInfo.php?workbook=20_05.xlsx&amp;sheet=U0&amp;row=5276&amp;col=7&amp;number=0.00666&amp;sourceID=14","0.00666")</f>
        <v>0.00666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HYPERLINK("http://141.218.60.56/~jnz1568/getInfo.php?workbook=20_05.xlsx&amp;sheet=U0&amp;row=5277&amp;col=6&amp;number=4.3&amp;sourceID=14","4.3")</f>
        <v>4.3</v>
      </c>
      <c r="G5277" s="4" t="str">
        <f>HYPERLINK("http://141.218.60.56/~jnz1568/getInfo.php?workbook=20_05.xlsx&amp;sheet=U0&amp;row=5277&amp;col=7&amp;number=0.00666&amp;sourceID=14","0.00666")</f>
        <v>0.00666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HYPERLINK("http://141.218.60.56/~jnz1568/getInfo.php?workbook=20_05.xlsx&amp;sheet=U0&amp;row=5278&amp;col=6&amp;number=4.4&amp;sourceID=14","4.4")</f>
        <v>4.4</v>
      </c>
      <c r="G5278" s="4" t="str">
        <f>HYPERLINK("http://141.218.60.56/~jnz1568/getInfo.php?workbook=20_05.xlsx&amp;sheet=U0&amp;row=5278&amp;col=7&amp;number=0.00665&amp;sourceID=14","0.00665")</f>
        <v>0.00665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HYPERLINK("http://141.218.60.56/~jnz1568/getInfo.php?workbook=20_05.xlsx&amp;sheet=U0&amp;row=5279&amp;col=6&amp;number=4.5&amp;sourceID=14","4.5")</f>
        <v>4.5</v>
      </c>
      <c r="G5279" s="4" t="str">
        <f>HYPERLINK("http://141.218.60.56/~jnz1568/getInfo.php?workbook=20_05.xlsx&amp;sheet=U0&amp;row=5279&amp;col=7&amp;number=0.00665&amp;sourceID=14","0.00665")</f>
        <v>0.00665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HYPERLINK("http://141.218.60.56/~jnz1568/getInfo.php?workbook=20_05.xlsx&amp;sheet=U0&amp;row=5280&amp;col=6&amp;number=4.6&amp;sourceID=14","4.6")</f>
        <v>4.6</v>
      </c>
      <c r="G5280" s="4" t="str">
        <f>HYPERLINK("http://141.218.60.56/~jnz1568/getInfo.php?workbook=20_05.xlsx&amp;sheet=U0&amp;row=5280&amp;col=7&amp;number=0.00664&amp;sourceID=14","0.00664")</f>
        <v>0.00664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HYPERLINK("http://141.218.60.56/~jnz1568/getInfo.php?workbook=20_05.xlsx&amp;sheet=U0&amp;row=5281&amp;col=6&amp;number=4.7&amp;sourceID=14","4.7")</f>
        <v>4.7</v>
      </c>
      <c r="G5281" s="4" t="str">
        <f>HYPERLINK("http://141.218.60.56/~jnz1568/getInfo.php?workbook=20_05.xlsx&amp;sheet=U0&amp;row=5281&amp;col=7&amp;number=0.00662&amp;sourceID=14","0.00662")</f>
        <v>0.00662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HYPERLINK("http://141.218.60.56/~jnz1568/getInfo.php?workbook=20_05.xlsx&amp;sheet=U0&amp;row=5282&amp;col=6&amp;number=4.8&amp;sourceID=14","4.8")</f>
        <v>4.8</v>
      </c>
      <c r="G5282" s="4" t="str">
        <f>HYPERLINK("http://141.218.60.56/~jnz1568/getInfo.php?workbook=20_05.xlsx&amp;sheet=U0&amp;row=5282&amp;col=7&amp;number=0.00661&amp;sourceID=14","0.00661")</f>
        <v>0.00661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HYPERLINK("http://141.218.60.56/~jnz1568/getInfo.php?workbook=20_05.xlsx&amp;sheet=U0&amp;row=5283&amp;col=6&amp;number=4.9&amp;sourceID=14","4.9")</f>
        <v>4.9</v>
      </c>
      <c r="G5283" s="4" t="str">
        <f>HYPERLINK("http://141.218.60.56/~jnz1568/getInfo.php?workbook=20_05.xlsx&amp;sheet=U0&amp;row=5283&amp;col=7&amp;number=0.00659&amp;sourceID=14","0.00659")</f>
        <v>0.00659</v>
      </c>
    </row>
    <row r="5284" spans="1:7">
      <c r="A5284" s="3">
        <v>20</v>
      </c>
      <c r="B5284" s="3">
        <v>5</v>
      </c>
      <c r="C5284" s="3">
        <v>2</v>
      </c>
      <c r="D5284" s="3">
        <v>111</v>
      </c>
      <c r="E5284" s="3">
        <v>1</v>
      </c>
      <c r="F5284" s="4" t="str">
        <f>HYPERLINK("http://141.218.60.56/~jnz1568/getInfo.php?workbook=20_05.xlsx&amp;sheet=U0&amp;row=5284&amp;col=6&amp;number=3&amp;sourceID=14","3")</f>
        <v>3</v>
      </c>
      <c r="G5284" s="4" t="str">
        <f>HYPERLINK("http://141.218.60.56/~jnz1568/getInfo.php?workbook=20_05.xlsx&amp;sheet=U0&amp;row=5284&amp;col=7&amp;number=0.0104&amp;sourceID=14","0.0104")</f>
        <v>0.0104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HYPERLINK("http://141.218.60.56/~jnz1568/getInfo.php?workbook=20_05.xlsx&amp;sheet=U0&amp;row=5285&amp;col=6&amp;number=3.1&amp;sourceID=14","3.1")</f>
        <v>3.1</v>
      </c>
      <c r="G5285" s="4" t="str">
        <f>HYPERLINK("http://141.218.60.56/~jnz1568/getInfo.php?workbook=20_05.xlsx&amp;sheet=U0&amp;row=5285&amp;col=7&amp;number=0.0104&amp;sourceID=14","0.0104")</f>
        <v>0.0104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HYPERLINK("http://141.218.60.56/~jnz1568/getInfo.php?workbook=20_05.xlsx&amp;sheet=U0&amp;row=5286&amp;col=6&amp;number=3.2&amp;sourceID=14","3.2")</f>
        <v>3.2</v>
      </c>
      <c r="G5286" s="4" t="str">
        <f>HYPERLINK("http://141.218.60.56/~jnz1568/getInfo.php?workbook=20_05.xlsx&amp;sheet=U0&amp;row=5286&amp;col=7&amp;number=0.0104&amp;sourceID=14","0.0104")</f>
        <v>0.0104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HYPERLINK("http://141.218.60.56/~jnz1568/getInfo.php?workbook=20_05.xlsx&amp;sheet=U0&amp;row=5287&amp;col=6&amp;number=3.3&amp;sourceID=14","3.3")</f>
        <v>3.3</v>
      </c>
      <c r="G5287" s="4" t="str">
        <f>HYPERLINK("http://141.218.60.56/~jnz1568/getInfo.php?workbook=20_05.xlsx&amp;sheet=U0&amp;row=5287&amp;col=7&amp;number=0.0104&amp;sourceID=14","0.0104")</f>
        <v>0.0104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HYPERLINK("http://141.218.60.56/~jnz1568/getInfo.php?workbook=20_05.xlsx&amp;sheet=U0&amp;row=5288&amp;col=6&amp;number=3.4&amp;sourceID=14","3.4")</f>
        <v>3.4</v>
      </c>
      <c r="G5288" s="4" t="str">
        <f>HYPERLINK("http://141.218.60.56/~jnz1568/getInfo.php?workbook=20_05.xlsx&amp;sheet=U0&amp;row=5288&amp;col=7&amp;number=0.0104&amp;sourceID=14","0.0104")</f>
        <v>0.0104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HYPERLINK("http://141.218.60.56/~jnz1568/getInfo.php?workbook=20_05.xlsx&amp;sheet=U0&amp;row=5289&amp;col=6&amp;number=3.5&amp;sourceID=14","3.5")</f>
        <v>3.5</v>
      </c>
      <c r="G5289" s="4" t="str">
        <f>HYPERLINK("http://141.218.60.56/~jnz1568/getInfo.php?workbook=20_05.xlsx&amp;sheet=U0&amp;row=5289&amp;col=7&amp;number=0.0104&amp;sourceID=14","0.0104")</f>
        <v>0.0104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HYPERLINK("http://141.218.60.56/~jnz1568/getInfo.php?workbook=20_05.xlsx&amp;sheet=U0&amp;row=5290&amp;col=6&amp;number=3.6&amp;sourceID=14","3.6")</f>
        <v>3.6</v>
      </c>
      <c r="G5290" s="4" t="str">
        <f>HYPERLINK("http://141.218.60.56/~jnz1568/getInfo.php?workbook=20_05.xlsx&amp;sheet=U0&amp;row=5290&amp;col=7&amp;number=0.0104&amp;sourceID=14","0.0104")</f>
        <v>0.0104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HYPERLINK("http://141.218.60.56/~jnz1568/getInfo.php?workbook=20_05.xlsx&amp;sheet=U0&amp;row=5291&amp;col=6&amp;number=3.7&amp;sourceID=14","3.7")</f>
        <v>3.7</v>
      </c>
      <c r="G5291" s="4" t="str">
        <f>HYPERLINK("http://141.218.60.56/~jnz1568/getInfo.php?workbook=20_05.xlsx&amp;sheet=U0&amp;row=5291&amp;col=7&amp;number=0.0104&amp;sourceID=14","0.0104")</f>
        <v>0.0104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HYPERLINK("http://141.218.60.56/~jnz1568/getInfo.php?workbook=20_05.xlsx&amp;sheet=U0&amp;row=5292&amp;col=6&amp;number=3.8&amp;sourceID=14","3.8")</f>
        <v>3.8</v>
      </c>
      <c r="G5292" s="4" t="str">
        <f>HYPERLINK("http://141.218.60.56/~jnz1568/getInfo.php?workbook=20_05.xlsx&amp;sheet=U0&amp;row=5292&amp;col=7&amp;number=0.0105&amp;sourceID=14","0.0105")</f>
        <v>0.0105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HYPERLINK("http://141.218.60.56/~jnz1568/getInfo.php?workbook=20_05.xlsx&amp;sheet=U0&amp;row=5293&amp;col=6&amp;number=3.9&amp;sourceID=14","3.9")</f>
        <v>3.9</v>
      </c>
      <c r="G5293" s="4" t="str">
        <f>HYPERLINK("http://141.218.60.56/~jnz1568/getInfo.php?workbook=20_05.xlsx&amp;sheet=U0&amp;row=5293&amp;col=7&amp;number=0.0105&amp;sourceID=14","0.0105")</f>
        <v>0.0105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HYPERLINK("http://141.218.60.56/~jnz1568/getInfo.php?workbook=20_05.xlsx&amp;sheet=U0&amp;row=5294&amp;col=6&amp;number=4&amp;sourceID=14","4")</f>
        <v>4</v>
      </c>
      <c r="G5294" s="4" t="str">
        <f>HYPERLINK("http://141.218.60.56/~jnz1568/getInfo.php?workbook=20_05.xlsx&amp;sheet=U0&amp;row=5294&amp;col=7&amp;number=0.0105&amp;sourceID=14","0.0105")</f>
        <v>0.0105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HYPERLINK("http://141.218.60.56/~jnz1568/getInfo.php?workbook=20_05.xlsx&amp;sheet=U0&amp;row=5295&amp;col=6&amp;number=4.1&amp;sourceID=14","4.1")</f>
        <v>4.1</v>
      </c>
      <c r="G5295" s="4" t="str">
        <f>HYPERLINK("http://141.218.60.56/~jnz1568/getInfo.php?workbook=20_05.xlsx&amp;sheet=U0&amp;row=5295&amp;col=7&amp;number=0.0105&amp;sourceID=14","0.0105")</f>
        <v>0.0105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HYPERLINK("http://141.218.60.56/~jnz1568/getInfo.php?workbook=20_05.xlsx&amp;sheet=U0&amp;row=5296&amp;col=6&amp;number=4.2&amp;sourceID=14","4.2")</f>
        <v>4.2</v>
      </c>
      <c r="G5296" s="4" t="str">
        <f>HYPERLINK("http://141.218.60.56/~jnz1568/getInfo.php?workbook=20_05.xlsx&amp;sheet=U0&amp;row=5296&amp;col=7&amp;number=0.0105&amp;sourceID=14","0.0105")</f>
        <v>0.0105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HYPERLINK("http://141.218.60.56/~jnz1568/getInfo.php?workbook=20_05.xlsx&amp;sheet=U0&amp;row=5297&amp;col=6&amp;number=4.3&amp;sourceID=14","4.3")</f>
        <v>4.3</v>
      </c>
      <c r="G5297" s="4" t="str">
        <f>HYPERLINK("http://141.218.60.56/~jnz1568/getInfo.php?workbook=20_05.xlsx&amp;sheet=U0&amp;row=5297&amp;col=7&amp;number=0.0105&amp;sourceID=14","0.0105")</f>
        <v>0.0105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HYPERLINK("http://141.218.60.56/~jnz1568/getInfo.php?workbook=20_05.xlsx&amp;sheet=U0&amp;row=5298&amp;col=6&amp;number=4.4&amp;sourceID=14","4.4")</f>
        <v>4.4</v>
      </c>
      <c r="G5298" s="4" t="str">
        <f>HYPERLINK("http://141.218.60.56/~jnz1568/getInfo.php?workbook=20_05.xlsx&amp;sheet=U0&amp;row=5298&amp;col=7&amp;number=0.0105&amp;sourceID=14","0.0105")</f>
        <v>0.0105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HYPERLINK("http://141.218.60.56/~jnz1568/getInfo.php?workbook=20_05.xlsx&amp;sheet=U0&amp;row=5299&amp;col=6&amp;number=4.5&amp;sourceID=14","4.5")</f>
        <v>4.5</v>
      </c>
      <c r="G5299" s="4" t="str">
        <f>HYPERLINK("http://141.218.60.56/~jnz1568/getInfo.php?workbook=20_05.xlsx&amp;sheet=U0&amp;row=5299&amp;col=7&amp;number=0.0105&amp;sourceID=14","0.0105")</f>
        <v>0.0105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HYPERLINK("http://141.218.60.56/~jnz1568/getInfo.php?workbook=20_05.xlsx&amp;sheet=U0&amp;row=5300&amp;col=6&amp;number=4.6&amp;sourceID=14","4.6")</f>
        <v>4.6</v>
      </c>
      <c r="G5300" s="4" t="str">
        <f>HYPERLINK("http://141.218.60.56/~jnz1568/getInfo.php?workbook=20_05.xlsx&amp;sheet=U0&amp;row=5300&amp;col=7&amp;number=0.0105&amp;sourceID=14","0.0105")</f>
        <v>0.0105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HYPERLINK("http://141.218.60.56/~jnz1568/getInfo.php?workbook=20_05.xlsx&amp;sheet=U0&amp;row=5301&amp;col=6&amp;number=4.7&amp;sourceID=14","4.7")</f>
        <v>4.7</v>
      </c>
      <c r="G5301" s="4" t="str">
        <f>HYPERLINK("http://141.218.60.56/~jnz1568/getInfo.php?workbook=20_05.xlsx&amp;sheet=U0&amp;row=5301&amp;col=7&amp;number=0.0105&amp;sourceID=14","0.0105")</f>
        <v>0.0105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HYPERLINK("http://141.218.60.56/~jnz1568/getInfo.php?workbook=20_05.xlsx&amp;sheet=U0&amp;row=5302&amp;col=6&amp;number=4.8&amp;sourceID=14","4.8")</f>
        <v>4.8</v>
      </c>
      <c r="G5302" s="4" t="str">
        <f>HYPERLINK("http://141.218.60.56/~jnz1568/getInfo.php?workbook=20_05.xlsx&amp;sheet=U0&amp;row=5302&amp;col=7&amp;number=0.0105&amp;sourceID=14","0.0105")</f>
        <v>0.0105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HYPERLINK("http://141.218.60.56/~jnz1568/getInfo.php?workbook=20_05.xlsx&amp;sheet=U0&amp;row=5303&amp;col=6&amp;number=4.9&amp;sourceID=14","4.9")</f>
        <v>4.9</v>
      </c>
      <c r="G5303" s="4" t="str">
        <f>HYPERLINK("http://141.218.60.56/~jnz1568/getInfo.php?workbook=20_05.xlsx&amp;sheet=U0&amp;row=5303&amp;col=7&amp;number=0.0106&amp;sourceID=14","0.0106")</f>
        <v>0.0106</v>
      </c>
    </row>
    <row r="5304" spans="1:7">
      <c r="A5304" s="3">
        <v>20</v>
      </c>
      <c r="B5304" s="3">
        <v>5</v>
      </c>
      <c r="C5304" s="3">
        <v>2</v>
      </c>
      <c r="D5304" s="3">
        <v>112</v>
      </c>
      <c r="E5304" s="3">
        <v>1</v>
      </c>
      <c r="F5304" s="4" t="str">
        <f>HYPERLINK("http://141.218.60.56/~jnz1568/getInfo.php?workbook=20_05.xlsx&amp;sheet=U0&amp;row=5304&amp;col=6&amp;number=3&amp;sourceID=14","3")</f>
        <v>3</v>
      </c>
      <c r="G5304" s="4" t="str">
        <f>HYPERLINK("http://141.218.60.56/~jnz1568/getInfo.php?workbook=20_05.xlsx&amp;sheet=U0&amp;row=5304&amp;col=7&amp;number=0.00592&amp;sourceID=14","0.00592")</f>
        <v>0.00592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HYPERLINK("http://141.218.60.56/~jnz1568/getInfo.php?workbook=20_05.xlsx&amp;sheet=U0&amp;row=5305&amp;col=6&amp;number=3.1&amp;sourceID=14","3.1")</f>
        <v>3.1</v>
      </c>
      <c r="G5305" s="4" t="str">
        <f>HYPERLINK("http://141.218.60.56/~jnz1568/getInfo.php?workbook=20_05.xlsx&amp;sheet=U0&amp;row=5305&amp;col=7&amp;number=0.00592&amp;sourceID=14","0.00592")</f>
        <v>0.00592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HYPERLINK("http://141.218.60.56/~jnz1568/getInfo.php?workbook=20_05.xlsx&amp;sheet=U0&amp;row=5306&amp;col=6&amp;number=3.2&amp;sourceID=14","3.2")</f>
        <v>3.2</v>
      </c>
      <c r="G5306" s="4" t="str">
        <f>HYPERLINK("http://141.218.60.56/~jnz1568/getInfo.php?workbook=20_05.xlsx&amp;sheet=U0&amp;row=5306&amp;col=7&amp;number=0.00592&amp;sourceID=14","0.00592")</f>
        <v>0.00592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HYPERLINK("http://141.218.60.56/~jnz1568/getInfo.php?workbook=20_05.xlsx&amp;sheet=U0&amp;row=5307&amp;col=6&amp;number=3.3&amp;sourceID=14","3.3")</f>
        <v>3.3</v>
      </c>
      <c r="G5307" s="4" t="str">
        <f>HYPERLINK("http://141.218.60.56/~jnz1568/getInfo.php?workbook=20_05.xlsx&amp;sheet=U0&amp;row=5307&amp;col=7&amp;number=0.00591&amp;sourceID=14","0.00591")</f>
        <v>0.00591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HYPERLINK("http://141.218.60.56/~jnz1568/getInfo.php?workbook=20_05.xlsx&amp;sheet=U0&amp;row=5308&amp;col=6&amp;number=3.4&amp;sourceID=14","3.4")</f>
        <v>3.4</v>
      </c>
      <c r="G5308" s="4" t="str">
        <f>HYPERLINK("http://141.218.60.56/~jnz1568/getInfo.php?workbook=20_05.xlsx&amp;sheet=U0&amp;row=5308&amp;col=7&amp;number=0.00591&amp;sourceID=14","0.00591")</f>
        <v>0.00591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HYPERLINK("http://141.218.60.56/~jnz1568/getInfo.php?workbook=20_05.xlsx&amp;sheet=U0&amp;row=5309&amp;col=6&amp;number=3.5&amp;sourceID=14","3.5")</f>
        <v>3.5</v>
      </c>
      <c r="G5309" s="4" t="str">
        <f>HYPERLINK("http://141.218.60.56/~jnz1568/getInfo.php?workbook=20_05.xlsx&amp;sheet=U0&amp;row=5309&amp;col=7&amp;number=0.00591&amp;sourceID=14","0.00591")</f>
        <v>0.00591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HYPERLINK("http://141.218.60.56/~jnz1568/getInfo.php?workbook=20_05.xlsx&amp;sheet=U0&amp;row=5310&amp;col=6&amp;number=3.6&amp;sourceID=14","3.6")</f>
        <v>3.6</v>
      </c>
      <c r="G5310" s="4" t="str">
        <f>HYPERLINK("http://141.218.60.56/~jnz1568/getInfo.php?workbook=20_05.xlsx&amp;sheet=U0&amp;row=5310&amp;col=7&amp;number=0.00591&amp;sourceID=14","0.00591")</f>
        <v>0.00591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HYPERLINK("http://141.218.60.56/~jnz1568/getInfo.php?workbook=20_05.xlsx&amp;sheet=U0&amp;row=5311&amp;col=6&amp;number=3.7&amp;sourceID=14","3.7")</f>
        <v>3.7</v>
      </c>
      <c r="G5311" s="4" t="str">
        <f>HYPERLINK("http://141.218.60.56/~jnz1568/getInfo.php?workbook=20_05.xlsx&amp;sheet=U0&amp;row=5311&amp;col=7&amp;number=0.00591&amp;sourceID=14","0.00591")</f>
        <v>0.00591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HYPERLINK("http://141.218.60.56/~jnz1568/getInfo.php?workbook=20_05.xlsx&amp;sheet=U0&amp;row=5312&amp;col=6&amp;number=3.8&amp;sourceID=14","3.8")</f>
        <v>3.8</v>
      </c>
      <c r="G5312" s="4" t="str">
        <f>HYPERLINK("http://141.218.60.56/~jnz1568/getInfo.php?workbook=20_05.xlsx&amp;sheet=U0&amp;row=5312&amp;col=7&amp;number=0.00591&amp;sourceID=14","0.00591")</f>
        <v>0.00591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HYPERLINK("http://141.218.60.56/~jnz1568/getInfo.php?workbook=20_05.xlsx&amp;sheet=U0&amp;row=5313&amp;col=6&amp;number=3.9&amp;sourceID=14","3.9")</f>
        <v>3.9</v>
      </c>
      <c r="G5313" s="4" t="str">
        <f>HYPERLINK("http://141.218.60.56/~jnz1568/getInfo.php?workbook=20_05.xlsx&amp;sheet=U0&amp;row=5313&amp;col=7&amp;number=0.00591&amp;sourceID=14","0.00591")</f>
        <v>0.00591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HYPERLINK("http://141.218.60.56/~jnz1568/getInfo.php?workbook=20_05.xlsx&amp;sheet=U0&amp;row=5314&amp;col=6&amp;number=4&amp;sourceID=14","4")</f>
        <v>4</v>
      </c>
      <c r="G5314" s="4" t="str">
        <f>HYPERLINK("http://141.218.60.56/~jnz1568/getInfo.php?workbook=20_05.xlsx&amp;sheet=U0&amp;row=5314&amp;col=7&amp;number=0.00591&amp;sourceID=14","0.00591")</f>
        <v>0.00591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HYPERLINK("http://141.218.60.56/~jnz1568/getInfo.php?workbook=20_05.xlsx&amp;sheet=U0&amp;row=5315&amp;col=6&amp;number=4.1&amp;sourceID=14","4.1")</f>
        <v>4.1</v>
      </c>
      <c r="G5315" s="4" t="str">
        <f>HYPERLINK("http://141.218.60.56/~jnz1568/getInfo.php?workbook=20_05.xlsx&amp;sheet=U0&amp;row=5315&amp;col=7&amp;number=0.00591&amp;sourceID=14","0.00591")</f>
        <v>0.00591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HYPERLINK("http://141.218.60.56/~jnz1568/getInfo.php?workbook=20_05.xlsx&amp;sheet=U0&amp;row=5316&amp;col=6&amp;number=4.2&amp;sourceID=14","4.2")</f>
        <v>4.2</v>
      </c>
      <c r="G5316" s="4" t="str">
        <f>HYPERLINK("http://141.218.60.56/~jnz1568/getInfo.php?workbook=20_05.xlsx&amp;sheet=U0&amp;row=5316&amp;col=7&amp;number=0.00591&amp;sourceID=14","0.00591")</f>
        <v>0.00591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HYPERLINK("http://141.218.60.56/~jnz1568/getInfo.php?workbook=20_05.xlsx&amp;sheet=U0&amp;row=5317&amp;col=6&amp;number=4.3&amp;sourceID=14","4.3")</f>
        <v>4.3</v>
      </c>
      <c r="G5317" s="4" t="str">
        <f>HYPERLINK("http://141.218.60.56/~jnz1568/getInfo.php?workbook=20_05.xlsx&amp;sheet=U0&amp;row=5317&amp;col=7&amp;number=0.0059&amp;sourceID=14","0.0059")</f>
        <v>0.0059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HYPERLINK("http://141.218.60.56/~jnz1568/getInfo.php?workbook=20_05.xlsx&amp;sheet=U0&amp;row=5318&amp;col=6&amp;number=4.4&amp;sourceID=14","4.4")</f>
        <v>4.4</v>
      </c>
      <c r="G5318" s="4" t="str">
        <f>HYPERLINK("http://141.218.60.56/~jnz1568/getInfo.php?workbook=20_05.xlsx&amp;sheet=U0&amp;row=5318&amp;col=7&amp;number=0.0059&amp;sourceID=14","0.0059")</f>
        <v>0.0059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HYPERLINK("http://141.218.60.56/~jnz1568/getInfo.php?workbook=20_05.xlsx&amp;sheet=U0&amp;row=5319&amp;col=6&amp;number=4.5&amp;sourceID=14","4.5")</f>
        <v>4.5</v>
      </c>
      <c r="G5319" s="4" t="str">
        <f>HYPERLINK("http://141.218.60.56/~jnz1568/getInfo.php?workbook=20_05.xlsx&amp;sheet=U0&amp;row=5319&amp;col=7&amp;number=0.0059&amp;sourceID=14","0.0059")</f>
        <v>0.0059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HYPERLINK("http://141.218.60.56/~jnz1568/getInfo.php?workbook=20_05.xlsx&amp;sheet=U0&amp;row=5320&amp;col=6&amp;number=4.6&amp;sourceID=14","4.6")</f>
        <v>4.6</v>
      </c>
      <c r="G5320" s="4" t="str">
        <f>HYPERLINK("http://141.218.60.56/~jnz1568/getInfo.php?workbook=20_05.xlsx&amp;sheet=U0&amp;row=5320&amp;col=7&amp;number=0.00589&amp;sourceID=14","0.00589")</f>
        <v>0.00589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HYPERLINK("http://141.218.60.56/~jnz1568/getInfo.php?workbook=20_05.xlsx&amp;sheet=U0&amp;row=5321&amp;col=6&amp;number=4.7&amp;sourceID=14","4.7")</f>
        <v>4.7</v>
      </c>
      <c r="G5321" s="4" t="str">
        <f>HYPERLINK("http://141.218.60.56/~jnz1568/getInfo.php?workbook=20_05.xlsx&amp;sheet=U0&amp;row=5321&amp;col=7&amp;number=0.00588&amp;sourceID=14","0.00588")</f>
        <v>0.00588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HYPERLINK("http://141.218.60.56/~jnz1568/getInfo.php?workbook=20_05.xlsx&amp;sheet=U0&amp;row=5322&amp;col=6&amp;number=4.8&amp;sourceID=14","4.8")</f>
        <v>4.8</v>
      </c>
      <c r="G5322" s="4" t="str">
        <f>HYPERLINK("http://141.218.60.56/~jnz1568/getInfo.php?workbook=20_05.xlsx&amp;sheet=U0&amp;row=5322&amp;col=7&amp;number=0.00588&amp;sourceID=14","0.00588")</f>
        <v>0.00588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HYPERLINK("http://141.218.60.56/~jnz1568/getInfo.php?workbook=20_05.xlsx&amp;sheet=U0&amp;row=5323&amp;col=6&amp;number=4.9&amp;sourceID=14","4.9")</f>
        <v>4.9</v>
      </c>
      <c r="G5323" s="4" t="str">
        <f>HYPERLINK("http://141.218.60.56/~jnz1568/getInfo.php?workbook=20_05.xlsx&amp;sheet=U0&amp;row=5323&amp;col=7&amp;number=0.00587&amp;sourceID=14","0.00587")</f>
        <v>0.00587</v>
      </c>
    </row>
    <row r="5324" spans="1:7">
      <c r="A5324" s="3">
        <v>20</v>
      </c>
      <c r="B5324" s="3">
        <v>5</v>
      </c>
      <c r="C5324" s="3">
        <v>2</v>
      </c>
      <c r="D5324" s="3">
        <v>113</v>
      </c>
      <c r="E5324" s="3">
        <v>1</v>
      </c>
      <c r="F5324" s="4" t="str">
        <f>HYPERLINK("http://141.218.60.56/~jnz1568/getInfo.php?workbook=20_05.xlsx&amp;sheet=U0&amp;row=5324&amp;col=6&amp;number=3&amp;sourceID=14","3")</f>
        <v>3</v>
      </c>
      <c r="G5324" s="4" t="str">
        <f>HYPERLINK("http://141.218.60.56/~jnz1568/getInfo.php?workbook=20_05.xlsx&amp;sheet=U0&amp;row=5324&amp;col=7&amp;number=0.0124&amp;sourceID=14","0.0124")</f>
        <v>0.0124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HYPERLINK("http://141.218.60.56/~jnz1568/getInfo.php?workbook=20_05.xlsx&amp;sheet=U0&amp;row=5325&amp;col=6&amp;number=3.1&amp;sourceID=14","3.1")</f>
        <v>3.1</v>
      </c>
      <c r="G5325" s="4" t="str">
        <f>HYPERLINK("http://141.218.60.56/~jnz1568/getInfo.php?workbook=20_05.xlsx&amp;sheet=U0&amp;row=5325&amp;col=7&amp;number=0.0124&amp;sourceID=14","0.0124")</f>
        <v>0.0124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HYPERLINK("http://141.218.60.56/~jnz1568/getInfo.php?workbook=20_05.xlsx&amp;sheet=U0&amp;row=5326&amp;col=6&amp;number=3.2&amp;sourceID=14","3.2")</f>
        <v>3.2</v>
      </c>
      <c r="G5326" s="4" t="str">
        <f>HYPERLINK("http://141.218.60.56/~jnz1568/getInfo.php?workbook=20_05.xlsx&amp;sheet=U0&amp;row=5326&amp;col=7&amp;number=0.0124&amp;sourceID=14","0.0124")</f>
        <v>0.0124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HYPERLINK("http://141.218.60.56/~jnz1568/getInfo.php?workbook=20_05.xlsx&amp;sheet=U0&amp;row=5327&amp;col=6&amp;number=3.3&amp;sourceID=14","3.3")</f>
        <v>3.3</v>
      </c>
      <c r="G5327" s="4" t="str">
        <f>HYPERLINK("http://141.218.60.56/~jnz1568/getInfo.php?workbook=20_05.xlsx&amp;sheet=U0&amp;row=5327&amp;col=7&amp;number=0.0124&amp;sourceID=14","0.0124")</f>
        <v>0.0124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HYPERLINK("http://141.218.60.56/~jnz1568/getInfo.php?workbook=20_05.xlsx&amp;sheet=U0&amp;row=5328&amp;col=6&amp;number=3.4&amp;sourceID=14","3.4")</f>
        <v>3.4</v>
      </c>
      <c r="G5328" s="4" t="str">
        <f>HYPERLINK("http://141.218.60.56/~jnz1568/getInfo.php?workbook=20_05.xlsx&amp;sheet=U0&amp;row=5328&amp;col=7&amp;number=0.0124&amp;sourceID=14","0.0124")</f>
        <v>0.0124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HYPERLINK("http://141.218.60.56/~jnz1568/getInfo.php?workbook=20_05.xlsx&amp;sheet=U0&amp;row=5329&amp;col=6&amp;number=3.5&amp;sourceID=14","3.5")</f>
        <v>3.5</v>
      </c>
      <c r="G5329" s="4" t="str">
        <f>HYPERLINK("http://141.218.60.56/~jnz1568/getInfo.php?workbook=20_05.xlsx&amp;sheet=U0&amp;row=5329&amp;col=7&amp;number=0.0124&amp;sourceID=14","0.0124")</f>
        <v>0.0124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HYPERLINK("http://141.218.60.56/~jnz1568/getInfo.php?workbook=20_05.xlsx&amp;sheet=U0&amp;row=5330&amp;col=6&amp;number=3.6&amp;sourceID=14","3.6")</f>
        <v>3.6</v>
      </c>
      <c r="G5330" s="4" t="str">
        <f>HYPERLINK("http://141.218.60.56/~jnz1568/getInfo.php?workbook=20_05.xlsx&amp;sheet=U0&amp;row=5330&amp;col=7&amp;number=0.0124&amp;sourceID=14","0.0124")</f>
        <v>0.0124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HYPERLINK("http://141.218.60.56/~jnz1568/getInfo.php?workbook=20_05.xlsx&amp;sheet=U0&amp;row=5331&amp;col=6&amp;number=3.7&amp;sourceID=14","3.7")</f>
        <v>3.7</v>
      </c>
      <c r="G5331" s="4" t="str">
        <f>HYPERLINK("http://141.218.60.56/~jnz1568/getInfo.php?workbook=20_05.xlsx&amp;sheet=U0&amp;row=5331&amp;col=7&amp;number=0.0124&amp;sourceID=14","0.0124")</f>
        <v>0.0124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HYPERLINK("http://141.218.60.56/~jnz1568/getInfo.php?workbook=20_05.xlsx&amp;sheet=U0&amp;row=5332&amp;col=6&amp;number=3.8&amp;sourceID=14","3.8")</f>
        <v>3.8</v>
      </c>
      <c r="G5332" s="4" t="str">
        <f>HYPERLINK("http://141.218.60.56/~jnz1568/getInfo.php?workbook=20_05.xlsx&amp;sheet=U0&amp;row=5332&amp;col=7&amp;number=0.0124&amp;sourceID=14","0.0124")</f>
        <v>0.0124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HYPERLINK("http://141.218.60.56/~jnz1568/getInfo.php?workbook=20_05.xlsx&amp;sheet=U0&amp;row=5333&amp;col=6&amp;number=3.9&amp;sourceID=14","3.9")</f>
        <v>3.9</v>
      </c>
      <c r="G5333" s="4" t="str">
        <f>HYPERLINK("http://141.218.60.56/~jnz1568/getInfo.php?workbook=20_05.xlsx&amp;sheet=U0&amp;row=5333&amp;col=7&amp;number=0.0124&amp;sourceID=14","0.0124")</f>
        <v>0.0124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HYPERLINK("http://141.218.60.56/~jnz1568/getInfo.php?workbook=20_05.xlsx&amp;sheet=U0&amp;row=5334&amp;col=6&amp;number=4&amp;sourceID=14","4")</f>
        <v>4</v>
      </c>
      <c r="G5334" s="4" t="str">
        <f>HYPERLINK("http://141.218.60.56/~jnz1568/getInfo.php?workbook=20_05.xlsx&amp;sheet=U0&amp;row=5334&amp;col=7&amp;number=0.0124&amp;sourceID=14","0.0124")</f>
        <v>0.0124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HYPERLINK("http://141.218.60.56/~jnz1568/getInfo.php?workbook=20_05.xlsx&amp;sheet=U0&amp;row=5335&amp;col=6&amp;number=4.1&amp;sourceID=14","4.1")</f>
        <v>4.1</v>
      </c>
      <c r="G5335" s="4" t="str">
        <f>HYPERLINK("http://141.218.60.56/~jnz1568/getInfo.php?workbook=20_05.xlsx&amp;sheet=U0&amp;row=5335&amp;col=7&amp;number=0.0124&amp;sourceID=14","0.0124")</f>
        <v>0.0124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HYPERLINK("http://141.218.60.56/~jnz1568/getInfo.php?workbook=20_05.xlsx&amp;sheet=U0&amp;row=5336&amp;col=6&amp;number=4.2&amp;sourceID=14","4.2")</f>
        <v>4.2</v>
      </c>
      <c r="G5336" s="4" t="str">
        <f>HYPERLINK("http://141.218.60.56/~jnz1568/getInfo.php?workbook=20_05.xlsx&amp;sheet=U0&amp;row=5336&amp;col=7&amp;number=0.0124&amp;sourceID=14","0.0124")</f>
        <v>0.0124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HYPERLINK("http://141.218.60.56/~jnz1568/getInfo.php?workbook=20_05.xlsx&amp;sheet=U0&amp;row=5337&amp;col=6&amp;number=4.3&amp;sourceID=14","4.3")</f>
        <v>4.3</v>
      </c>
      <c r="G5337" s="4" t="str">
        <f>HYPERLINK("http://141.218.60.56/~jnz1568/getInfo.php?workbook=20_05.xlsx&amp;sheet=U0&amp;row=5337&amp;col=7&amp;number=0.0124&amp;sourceID=14","0.0124")</f>
        <v>0.0124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HYPERLINK("http://141.218.60.56/~jnz1568/getInfo.php?workbook=20_05.xlsx&amp;sheet=U0&amp;row=5338&amp;col=6&amp;number=4.4&amp;sourceID=14","4.4")</f>
        <v>4.4</v>
      </c>
      <c r="G5338" s="4" t="str">
        <f>HYPERLINK("http://141.218.60.56/~jnz1568/getInfo.php?workbook=20_05.xlsx&amp;sheet=U0&amp;row=5338&amp;col=7&amp;number=0.0124&amp;sourceID=14","0.0124")</f>
        <v>0.0124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HYPERLINK("http://141.218.60.56/~jnz1568/getInfo.php?workbook=20_05.xlsx&amp;sheet=U0&amp;row=5339&amp;col=6&amp;number=4.5&amp;sourceID=14","4.5")</f>
        <v>4.5</v>
      </c>
      <c r="G5339" s="4" t="str">
        <f>HYPERLINK("http://141.218.60.56/~jnz1568/getInfo.php?workbook=20_05.xlsx&amp;sheet=U0&amp;row=5339&amp;col=7&amp;number=0.0125&amp;sourceID=14","0.0125")</f>
        <v>0.0125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HYPERLINK("http://141.218.60.56/~jnz1568/getInfo.php?workbook=20_05.xlsx&amp;sheet=U0&amp;row=5340&amp;col=6&amp;number=4.6&amp;sourceID=14","4.6")</f>
        <v>4.6</v>
      </c>
      <c r="G5340" s="4" t="str">
        <f>HYPERLINK("http://141.218.60.56/~jnz1568/getInfo.php?workbook=20_05.xlsx&amp;sheet=U0&amp;row=5340&amp;col=7&amp;number=0.0125&amp;sourceID=14","0.0125")</f>
        <v>0.0125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HYPERLINK("http://141.218.60.56/~jnz1568/getInfo.php?workbook=20_05.xlsx&amp;sheet=U0&amp;row=5341&amp;col=6&amp;number=4.7&amp;sourceID=14","4.7")</f>
        <v>4.7</v>
      </c>
      <c r="G5341" s="4" t="str">
        <f>HYPERLINK("http://141.218.60.56/~jnz1568/getInfo.php?workbook=20_05.xlsx&amp;sheet=U0&amp;row=5341&amp;col=7&amp;number=0.0125&amp;sourceID=14","0.0125")</f>
        <v>0.0125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HYPERLINK("http://141.218.60.56/~jnz1568/getInfo.php?workbook=20_05.xlsx&amp;sheet=U0&amp;row=5342&amp;col=6&amp;number=4.8&amp;sourceID=14","4.8")</f>
        <v>4.8</v>
      </c>
      <c r="G5342" s="4" t="str">
        <f>HYPERLINK("http://141.218.60.56/~jnz1568/getInfo.php?workbook=20_05.xlsx&amp;sheet=U0&amp;row=5342&amp;col=7&amp;number=0.0125&amp;sourceID=14","0.0125")</f>
        <v>0.0125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HYPERLINK("http://141.218.60.56/~jnz1568/getInfo.php?workbook=20_05.xlsx&amp;sheet=U0&amp;row=5343&amp;col=6&amp;number=4.9&amp;sourceID=14","4.9")</f>
        <v>4.9</v>
      </c>
      <c r="G5343" s="4" t="str">
        <f>HYPERLINK("http://141.218.60.56/~jnz1568/getInfo.php?workbook=20_05.xlsx&amp;sheet=U0&amp;row=5343&amp;col=7&amp;number=0.0125&amp;sourceID=14","0.0125")</f>
        <v>0.0125</v>
      </c>
    </row>
    <row r="5344" spans="1:7">
      <c r="A5344" s="3">
        <v>20</v>
      </c>
      <c r="B5344" s="3">
        <v>5</v>
      </c>
      <c r="C5344" s="3">
        <v>2</v>
      </c>
      <c r="D5344" s="3">
        <v>114</v>
      </c>
      <c r="E5344" s="3">
        <v>1</v>
      </c>
      <c r="F5344" s="4" t="str">
        <f>HYPERLINK("http://141.218.60.56/~jnz1568/getInfo.php?workbook=20_05.xlsx&amp;sheet=U0&amp;row=5344&amp;col=6&amp;number=3&amp;sourceID=14","3")</f>
        <v>3</v>
      </c>
      <c r="G5344" s="4" t="str">
        <f>HYPERLINK("http://141.218.60.56/~jnz1568/getInfo.php?workbook=20_05.xlsx&amp;sheet=U0&amp;row=5344&amp;col=7&amp;number=0.000143&amp;sourceID=14","0.000143")</f>
        <v>0.000143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HYPERLINK("http://141.218.60.56/~jnz1568/getInfo.php?workbook=20_05.xlsx&amp;sheet=U0&amp;row=5345&amp;col=6&amp;number=3.1&amp;sourceID=14","3.1")</f>
        <v>3.1</v>
      </c>
      <c r="G5345" s="4" t="str">
        <f>HYPERLINK("http://141.218.60.56/~jnz1568/getInfo.php?workbook=20_05.xlsx&amp;sheet=U0&amp;row=5345&amp;col=7&amp;number=0.000143&amp;sourceID=14","0.000143")</f>
        <v>0.000143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HYPERLINK("http://141.218.60.56/~jnz1568/getInfo.php?workbook=20_05.xlsx&amp;sheet=U0&amp;row=5346&amp;col=6&amp;number=3.2&amp;sourceID=14","3.2")</f>
        <v>3.2</v>
      </c>
      <c r="G5346" s="4" t="str">
        <f>HYPERLINK("http://141.218.60.56/~jnz1568/getInfo.php?workbook=20_05.xlsx&amp;sheet=U0&amp;row=5346&amp;col=7&amp;number=0.000143&amp;sourceID=14","0.000143")</f>
        <v>0.000143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HYPERLINK("http://141.218.60.56/~jnz1568/getInfo.php?workbook=20_05.xlsx&amp;sheet=U0&amp;row=5347&amp;col=6&amp;number=3.3&amp;sourceID=14","3.3")</f>
        <v>3.3</v>
      </c>
      <c r="G5347" s="4" t="str">
        <f>HYPERLINK("http://141.218.60.56/~jnz1568/getInfo.php?workbook=20_05.xlsx&amp;sheet=U0&amp;row=5347&amp;col=7&amp;number=0.000143&amp;sourceID=14","0.000143")</f>
        <v>0.000143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HYPERLINK("http://141.218.60.56/~jnz1568/getInfo.php?workbook=20_05.xlsx&amp;sheet=U0&amp;row=5348&amp;col=6&amp;number=3.4&amp;sourceID=14","3.4")</f>
        <v>3.4</v>
      </c>
      <c r="G5348" s="4" t="str">
        <f>HYPERLINK("http://141.218.60.56/~jnz1568/getInfo.php?workbook=20_05.xlsx&amp;sheet=U0&amp;row=5348&amp;col=7&amp;number=0.000143&amp;sourceID=14","0.000143")</f>
        <v>0.000143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HYPERLINK("http://141.218.60.56/~jnz1568/getInfo.php?workbook=20_05.xlsx&amp;sheet=U0&amp;row=5349&amp;col=6&amp;number=3.5&amp;sourceID=14","3.5")</f>
        <v>3.5</v>
      </c>
      <c r="G5349" s="4" t="str">
        <f>HYPERLINK("http://141.218.60.56/~jnz1568/getInfo.php?workbook=20_05.xlsx&amp;sheet=U0&amp;row=5349&amp;col=7&amp;number=0.000143&amp;sourceID=14","0.000143")</f>
        <v>0.000143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HYPERLINK("http://141.218.60.56/~jnz1568/getInfo.php?workbook=20_05.xlsx&amp;sheet=U0&amp;row=5350&amp;col=6&amp;number=3.6&amp;sourceID=14","3.6")</f>
        <v>3.6</v>
      </c>
      <c r="G5350" s="4" t="str">
        <f>HYPERLINK("http://141.218.60.56/~jnz1568/getInfo.php?workbook=20_05.xlsx&amp;sheet=U0&amp;row=5350&amp;col=7&amp;number=0.000143&amp;sourceID=14","0.000143")</f>
        <v>0.000143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HYPERLINK("http://141.218.60.56/~jnz1568/getInfo.php?workbook=20_05.xlsx&amp;sheet=U0&amp;row=5351&amp;col=6&amp;number=3.7&amp;sourceID=14","3.7")</f>
        <v>3.7</v>
      </c>
      <c r="G5351" s="4" t="str">
        <f>HYPERLINK("http://141.218.60.56/~jnz1568/getInfo.php?workbook=20_05.xlsx&amp;sheet=U0&amp;row=5351&amp;col=7&amp;number=0.000143&amp;sourceID=14","0.000143")</f>
        <v>0.000143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HYPERLINK("http://141.218.60.56/~jnz1568/getInfo.php?workbook=20_05.xlsx&amp;sheet=U0&amp;row=5352&amp;col=6&amp;number=3.8&amp;sourceID=14","3.8")</f>
        <v>3.8</v>
      </c>
      <c r="G5352" s="4" t="str">
        <f>HYPERLINK("http://141.218.60.56/~jnz1568/getInfo.php?workbook=20_05.xlsx&amp;sheet=U0&amp;row=5352&amp;col=7&amp;number=0.000143&amp;sourceID=14","0.000143")</f>
        <v>0.000143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HYPERLINK("http://141.218.60.56/~jnz1568/getInfo.php?workbook=20_05.xlsx&amp;sheet=U0&amp;row=5353&amp;col=6&amp;number=3.9&amp;sourceID=14","3.9")</f>
        <v>3.9</v>
      </c>
      <c r="G5353" s="4" t="str">
        <f>HYPERLINK("http://141.218.60.56/~jnz1568/getInfo.php?workbook=20_05.xlsx&amp;sheet=U0&amp;row=5353&amp;col=7&amp;number=0.000143&amp;sourceID=14","0.000143")</f>
        <v>0.000143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HYPERLINK("http://141.218.60.56/~jnz1568/getInfo.php?workbook=20_05.xlsx&amp;sheet=U0&amp;row=5354&amp;col=6&amp;number=4&amp;sourceID=14","4")</f>
        <v>4</v>
      </c>
      <c r="G5354" s="4" t="str">
        <f>HYPERLINK("http://141.218.60.56/~jnz1568/getInfo.php?workbook=20_05.xlsx&amp;sheet=U0&amp;row=5354&amp;col=7&amp;number=0.000143&amp;sourceID=14","0.000143")</f>
        <v>0.000143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HYPERLINK("http://141.218.60.56/~jnz1568/getInfo.php?workbook=20_05.xlsx&amp;sheet=U0&amp;row=5355&amp;col=6&amp;number=4.1&amp;sourceID=14","4.1")</f>
        <v>4.1</v>
      </c>
      <c r="G5355" s="4" t="str">
        <f>HYPERLINK("http://141.218.60.56/~jnz1568/getInfo.php?workbook=20_05.xlsx&amp;sheet=U0&amp;row=5355&amp;col=7&amp;number=0.000143&amp;sourceID=14","0.000143")</f>
        <v>0.000143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HYPERLINK("http://141.218.60.56/~jnz1568/getInfo.php?workbook=20_05.xlsx&amp;sheet=U0&amp;row=5356&amp;col=6&amp;number=4.2&amp;sourceID=14","4.2")</f>
        <v>4.2</v>
      </c>
      <c r="G5356" s="4" t="str">
        <f>HYPERLINK("http://141.218.60.56/~jnz1568/getInfo.php?workbook=20_05.xlsx&amp;sheet=U0&amp;row=5356&amp;col=7&amp;number=0.000143&amp;sourceID=14","0.000143")</f>
        <v>0.000143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HYPERLINK("http://141.218.60.56/~jnz1568/getInfo.php?workbook=20_05.xlsx&amp;sheet=U0&amp;row=5357&amp;col=6&amp;number=4.3&amp;sourceID=14","4.3")</f>
        <v>4.3</v>
      </c>
      <c r="G5357" s="4" t="str">
        <f>HYPERLINK("http://141.218.60.56/~jnz1568/getInfo.php?workbook=20_05.xlsx&amp;sheet=U0&amp;row=5357&amp;col=7&amp;number=0.000143&amp;sourceID=14","0.000143")</f>
        <v>0.000143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HYPERLINK("http://141.218.60.56/~jnz1568/getInfo.php?workbook=20_05.xlsx&amp;sheet=U0&amp;row=5358&amp;col=6&amp;number=4.4&amp;sourceID=14","4.4")</f>
        <v>4.4</v>
      </c>
      <c r="G5358" s="4" t="str">
        <f>HYPERLINK("http://141.218.60.56/~jnz1568/getInfo.php?workbook=20_05.xlsx&amp;sheet=U0&amp;row=5358&amp;col=7&amp;number=0.000143&amp;sourceID=14","0.000143")</f>
        <v>0.000143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HYPERLINK("http://141.218.60.56/~jnz1568/getInfo.php?workbook=20_05.xlsx&amp;sheet=U0&amp;row=5359&amp;col=6&amp;number=4.5&amp;sourceID=14","4.5")</f>
        <v>4.5</v>
      </c>
      <c r="G5359" s="4" t="str">
        <f>HYPERLINK("http://141.218.60.56/~jnz1568/getInfo.php?workbook=20_05.xlsx&amp;sheet=U0&amp;row=5359&amp;col=7&amp;number=0.000143&amp;sourceID=14","0.000143")</f>
        <v>0.000143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HYPERLINK("http://141.218.60.56/~jnz1568/getInfo.php?workbook=20_05.xlsx&amp;sheet=U0&amp;row=5360&amp;col=6&amp;number=4.6&amp;sourceID=14","4.6")</f>
        <v>4.6</v>
      </c>
      <c r="G5360" s="4" t="str">
        <f>HYPERLINK("http://141.218.60.56/~jnz1568/getInfo.php?workbook=20_05.xlsx&amp;sheet=U0&amp;row=5360&amp;col=7&amp;number=0.000142&amp;sourceID=14","0.000142")</f>
        <v>0.000142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HYPERLINK("http://141.218.60.56/~jnz1568/getInfo.php?workbook=20_05.xlsx&amp;sheet=U0&amp;row=5361&amp;col=6&amp;number=4.7&amp;sourceID=14","4.7")</f>
        <v>4.7</v>
      </c>
      <c r="G5361" s="4" t="str">
        <f>HYPERLINK("http://141.218.60.56/~jnz1568/getInfo.php?workbook=20_05.xlsx&amp;sheet=U0&amp;row=5361&amp;col=7&amp;number=0.000142&amp;sourceID=14","0.000142")</f>
        <v>0.000142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HYPERLINK("http://141.218.60.56/~jnz1568/getInfo.php?workbook=20_05.xlsx&amp;sheet=U0&amp;row=5362&amp;col=6&amp;number=4.8&amp;sourceID=14","4.8")</f>
        <v>4.8</v>
      </c>
      <c r="G5362" s="4" t="str">
        <f>HYPERLINK("http://141.218.60.56/~jnz1568/getInfo.php?workbook=20_05.xlsx&amp;sheet=U0&amp;row=5362&amp;col=7&amp;number=0.000142&amp;sourceID=14","0.000142")</f>
        <v>0.000142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HYPERLINK("http://141.218.60.56/~jnz1568/getInfo.php?workbook=20_05.xlsx&amp;sheet=U0&amp;row=5363&amp;col=6&amp;number=4.9&amp;sourceID=14","4.9")</f>
        <v>4.9</v>
      </c>
      <c r="G5363" s="4" t="str">
        <f>HYPERLINK("http://141.218.60.56/~jnz1568/getInfo.php?workbook=20_05.xlsx&amp;sheet=U0&amp;row=5363&amp;col=7&amp;number=0.000141&amp;sourceID=14","0.000141")</f>
        <v>0.000141</v>
      </c>
    </row>
    <row r="5364" spans="1:7">
      <c r="A5364" s="3">
        <v>20</v>
      </c>
      <c r="B5364" s="3">
        <v>5</v>
      </c>
      <c r="C5364" s="3">
        <v>2</v>
      </c>
      <c r="D5364" s="3">
        <v>115</v>
      </c>
      <c r="E5364" s="3">
        <v>1</v>
      </c>
      <c r="F5364" s="4" t="str">
        <f>HYPERLINK("http://141.218.60.56/~jnz1568/getInfo.php?workbook=20_05.xlsx&amp;sheet=U0&amp;row=5364&amp;col=6&amp;number=3&amp;sourceID=14","3")</f>
        <v>3</v>
      </c>
      <c r="G5364" s="4" t="str">
        <f>HYPERLINK("http://141.218.60.56/~jnz1568/getInfo.php?workbook=20_05.xlsx&amp;sheet=U0&amp;row=5364&amp;col=7&amp;number=0.000105&amp;sourceID=14","0.000105")</f>
        <v>0.000105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HYPERLINK("http://141.218.60.56/~jnz1568/getInfo.php?workbook=20_05.xlsx&amp;sheet=U0&amp;row=5365&amp;col=6&amp;number=3.1&amp;sourceID=14","3.1")</f>
        <v>3.1</v>
      </c>
      <c r="G5365" s="4" t="str">
        <f>HYPERLINK("http://141.218.60.56/~jnz1568/getInfo.php?workbook=20_05.xlsx&amp;sheet=U0&amp;row=5365&amp;col=7&amp;number=0.000105&amp;sourceID=14","0.000105")</f>
        <v>0.000105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HYPERLINK("http://141.218.60.56/~jnz1568/getInfo.php?workbook=20_05.xlsx&amp;sheet=U0&amp;row=5366&amp;col=6&amp;number=3.2&amp;sourceID=14","3.2")</f>
        <v>3.2</v>
      </c>
      <c r="G5366" s="4" t="str">
        <f>HYPERLINK("http://141.218.60.56/~jnz1568/getInfo.php?workbook=20_05.xlsx&amp;sheet=U0&amp;row=5366&amp;col=7&amp;number=0.000105&amp;sourceID=14","0.000105")</f>
        <v>0.000105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HYPERLINK("http://141.218.60.56/~jnz1568/getInfo.php?workbook=20_05.xlsx&amp;sheet=U0&amp;row=5367&amp;col=6&amp;number=3.3&amp;sourceID=14","3.3")</f>
        <v>3.3</v>
      </c>
      <c r="G5367" s="4" t="str">
        <f>HYPERLINK("http://141.218.60.56/~jnz1568/getInfo.php?workbook=20_05.xlsx&amp;sheet=U0&amp;row=5367&amp;col=7&amp;number=0.000105&amp;sourceID=14","0.000105")</f>
        <v>0.000105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HYPERLINK("http://141.218.60.56/~jnz1568/getInfo.php?workbook=20_05.xlsx&amp;sheet=U0&amp;row=5368&amp;col=6&amp;number=3.4&amp;sourceID=14","3.4")</f>
        <v>3.4</v>
      </c>
      <c r="G5368" s="4" t="str">
        <f>HYPERLINK("http://141.218.60.56/~jnz1568/getInfo.php?workbook=20_05.xlsx&amp;sheet=U0&amp;row=5368&amp;col=7&amp;number=0.000105&amp;sourceID=14","0.000105")</f>
        <v>0.000105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HYPERLINK("http://141.218.60.56/~jnz1568/getInfo.php?workbook=20_05.xlsx&amp;sheet=U0&amp;row=5369&amp;col=6&amp;number=3.5&amp;sourceID=14","3.5")</f>
        <v>3.5</v>
      </c>
      <c r="G5369" s="4" t="str">
        <f>HYPERLINK("http://141.218.60.56/~jnz1568/getInfo.php?workbook=20_05.xlsx&amp;sheet=U0&amp;row=5369&amp;col=7&amp;number=0.000105&amp;sourceID=14","0.000105")</f>
        <v>0.000105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HYPERLINK("http://141.218.60.56/~jnz1568/getInfo.php?workbook=20_05.xlsx&amp;sheet=U0&amp;row=5370&amp;col=6&amp;number=3.6&amp;sourceID=14","3.6")</f>
        <v>3.6</v>
      </c>
      <c r="G5370" s="4" t="str">
        <f>HYPERLINK("http://141.218.60.56/~jnz1568/getInfo.php?workbook=20_05.xlsx&amp;sheet=U0&amp;row=5370&amp;col=7&amp;number=0.000105&amp;sourceID=14","0.000105")</f>
        <v>0.000105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HYPERLINK("http://141.218.60.56/~jnz1568/getInfo.php?workbook=20_05.xlsx&amp;sheet=U0&amp;row=5371&amp;col=6&amp;number=3.7&amp;sourceID=14","3.7")</f>
        <v>3.7</v>
      </c>
      <c r="G5371" s="4" t="str">
        <f>HYPERLINK("http://141.218.60.56/~jnz1568/getInfo.php?workbook=20_05.xlsx&amp;sheet=U0&amp;row=5371&amp;col=7&amp;number=0.000105&amp;sourceID=14","0.000105")</f>
        <v>0.000105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HYPERLINK("http://141.218.60.56/~jnz1568/getInfo.php?workbook=20_05.xlsx&amp;sheet=U0&amp;row=5372&amp;col=6&amp;number=3.8&amp;sourceID=14","3.8")</f>
        <v>3.8</v>
      </c>
      <c r="G5372" s="4" t="str">
        <f>HYPERLINK("http://141.218.60.56/~jnz1568/getInfo.php?workbook=20_05.xlsx&amp;sheet=U0&amp;row=5372&amp;col=7&amp;number=0.000105&amp;sourceID=14","0.000105")</f>
        <v>0.000105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HYPERLINK("http://141.218.60.56/~jnz1568/getInfo.php?workbook=20_05.xlsx&amp;sheet=U0&amp;row=5373&amp;col=6&amp;number=3.9&amp;sourceID=14","3.9")</f>
        <v>3.9</v>
      </c>
      <c r="G5373" s="4" t="str">
        <f>HYPERLINK("http://141.218.60.56/~jnz1568/getInfo.php?workbook=20_05.xlsx&amp;sheet=U0&amp;row=5373&amp;col=7&amp;number=0.000105&amp;sourceID=14","0.000105")</f>
        <v>0.000105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HYPERLINK("http://141.218.60.56/~jnz1568/getInfo.php?workbook=20_05.xlsx&amp;sheet=U0&amp;row=5374&amp;col=6&amp;number=4&amp;sourceID=14","4")</f>
        <v>4</v>
      </c>
      <c r="G5374" s="4" t="str">
        <f>HYPERLINK("http://141.218.60.56/~jnz1568/getInfo.php?workbook=20_05.xlsx&amp;sheet=U0&amp;row=5374&amp;col=7&amp;number=0.000105&amp;sourceID=14","0.000105")</f>
        <v>0.000105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HYPERLINK("http://141.218.60.56/~jnz1568/getInfo.php?workbook=20_05.xlsx&amp;sheet=U0&amp;row=5375&amp;col=6&amp;number=4.1&amp;sourceID=14","4.1")</f>
        <v>4.1</v>
      </c>
      <c r="G5375" s="4" t="str">
        <f>HYPERLINK("http://141.218.60.56/~jnz1568/getInfo.php?workbook=20_05.xlsx&amp;sheet=U0&amp;row=5375&amp;col=7&amp;number=0.000105&amp;sourceID=14","0.000105")</f>
        <v>0.000105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HYPERLINK("http://141.218.60.56/~jnz1568/getInfo.php?workbook=20_05.xlsx&amp;sheet=U0&amp;row=5376&amp;col=6&amp;number=4.2&amp;sourceID=14","4.2")</f>
        <v>4.2</v>
      </c>
      <c r="G5376" s="4" t="str">
        <f>HYPERLINK("http://141.218.60.56/~jnz1568/getInfo.php?workbook=20_05.xlsx&amp;sheet=U0&amp;row=5376&amp;col=7&amp;number=0.000105&amp;sourceID=14","0.000105")</f>
        <v>0.000105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HYPERLINK("http://141.218.60.56/~jnz1568/getInfo.php?workbook=20_05.xlsx&amp;sheet=U0&amp;row=5377&amp;col=6&amp;number=4.3&amp;sourceID=14","4.3")</f>
        <v>4.3</v>
      </c>
      <c r="G5377" s="4" t="str">
        <f>HYPERLINK("http://141.218.60.56/~jnz1568/getInfo.php?workbook=20_05.xlsx&amp;sheet=U0&amp;row=5377&amp;col=7&amp;number=0.000105&amp;sourceID=14","0.000105")</f>
        <v>0.000105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HYPERLINK("http://141.218.60.56/~jnz1568/getInfo.php?workbook=20_05.xlsx&amp;sheet=U0&amp;row=5378&amp;col=6&amp;number=4.4&amp;sourceID=14","4.4")</f>
        <v>4.4</v>
      </c>
      <c r="G5378" s="4" t="str">
        <f>HYPERLINK("http://141.218.60.56/~jnz1568/getInfo.php?workbook=20_05.xlsx&amp;sheet=U0&amp;row=5378&amp;col=7&amp;number=0.000105&amp;sourceID=14","0.000105")</f>
        <v>0.000105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HYPERLINK("http://141.218.60.56/~jnz1568/getInfo.php?workbook=20_05.xlsx&amp;sheet=U0&amp;row=5379&amp;col=6&amp;number=4.5&amp;sourceID=14","4.5")</f>
        <v>4.5</v>
      </c>
      <c r="G5379" s="4" t="str">
        <f>HYPERLINK("http://141.218.60.56/~jnz1568/getInfo.php?workbook=20_05.xlsx&amp;sheet=U0&amp;row=5379&amp;col=7&amp;number=0.000105&amp;sourceID=14","0.000105")</f>
        <v>0.000105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HYPERLINK("http://141.218.60.56/~jnz1568/getInfo.php?workbook=20_05.xlsx&amp;sheet=U0&amp;row=5380&amp;col=6&amp;number=4.6&amp;sourceID=14","4.6")</f>
        <v>4.6</v>
      </c>
      <c r="G5380" s="4" t="str">
        <f>HYPERLINK("http://141.218.60.56/~jnz1568/getInfo.php?workbook=20_05.xlsx&amp;sheet=U0&amp;row=5380&amp;col=7&amp;number=0.000104&amp;sourceID=14","0.000104")</f>
        <v>0.000104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HYPERLINK("http://141.218.60.56/~jnz1568/getInfo.php?workbook=20_05.xlsx&amp;sheet=U0&amp;row=5381&amp;col=6&amp;number=4.7&amp;sourceID=14","4.7")</f>
        <v>4.7</v>
      </c>
      <c r="G5381" s="4" t="str">
        <f>HYPERLINK("http://141.218.60.56/~jnz1568/getInfo.php?workbook=20_05.xlsx&amp;sheet=U0&amp;row=5381&amp;col=7&amp;number=0.000104&amp;sourceID=14","0.000104")</f>
        <v>0.000104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HYPERLINK("http://141.218.60.56/~jnz1568/getInfo.php?workbook=20_05.xlsx&amp;sheet=U0&amp;row=5382&amp;col=6&amp;number=4.8&amp;sourceID=14","4.8")</f>
        <v>4.8</v>
      </c>
      <c r="G5382" s="4" t="str">
        <f>HYPERLINK("http://141.218.60.56/~jnz1568/getInfo.php?workbook=20_05.xlsx&amp;sheet=U0&amp;row=5382&amp;col=7&amp;number=0.000104&amp;sourceID=14","0.000104")</f>
        <v>0.000104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HYPERLINK("http://141.218.60.56/~jnz1568/getInfo.php?workbook=20_05.xlsx&amp;sheet=U0&amp;row=5383&amp;col=6&amp;number=4.9&amp;sourceID=14","4.9")</f>
        <v>4.9</v>
      </c>
      <c r="G5383" s="4" t="str">
        <f>HYPERLINK("http://141.218.60.56/~jnz1568/getInfo.php?workbook=20_05.xlsx&amp;sheet=U0&amp;row=5383&amp;col=7&amp;number=0.000104&amp;sourceID=14","0.000104")</f>
        <v>0.000104</v>
      </c>
    </row>
    <row r="5384" spans="1:7">
      <c r="A5384" s="3">
        <v>20</v>
      </c>
      <c r="B5384" s="3">
        <v>5</v>
      </c>
      <c r="C5384" s="3">
        <v>2</v>
      </c>
      <c r="D5384" s="3">
        <v>116</v>
      </c>
      <c r="E5384" s="3">
        <v>1</v>
      </c>
      <c r="F5384" s="4" t="str">
        <f>HYPERLINK("http://141.218.60.56/~jnz1568/getInfo.php?workbook=20_05.xlsx&amp;sheet=U0&amp;row=5384&amp;col=6&amp;number=3&amp;sourceID=14","3")</f>
        <v>3</v>
      </c>
      <c r="G5384" s="4" t="str">
        <f>HYPERLINK("http://141.218.60.56/~jnz1568/getInfo.php?workbook=20_05.xlsx&amp;sheet=U0&amp;row=5384&amp;col=7&amp;number=0.000151&amp;sourceID=14","0.000151")</f>
        <v>0.000151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HYPERLINK("http://141.218.60.56/~jnz1568/getInfo.php?workbook=20_05.xlsx&amp;sheet=U0&amp;row=5385&amp;col=6&amp;number=3.1&amp;sourceID=14","3.1")</f>
        <v>3.1</v>
      </c>
      <c r="G5385" s="4" t="str">
        <f>HYPERLINK("http://141.218.60.56/~jnz1568/getInfo.php?workbook=20_05.xlsx&amp;sheet=U0&amp;row=5385&amp;col=7&amp;number=0.000151&amp;sourceID=14","0.000151")</f>
        <v>0.000151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HYPERLINK("http://141.218.60.56/~jnz1568/getInfo.php?workbook=20_05.xlsx&amp;sheet=U0&amp;row=5386&amp;col=6&amp;number=3.2&amp;sourceID=14","3.2")</f>
        <v>3.2</v>
      </c>
      <c r="G5386" s="4" t="str">
        <f>HYPERLINK("http://141.218.60.56/~jnz1568/getInfo.php?workbook=20_05.xlsx&amp;sheet=U0&amp;row=5386&amp;col=7&amp;number=0.000151&amp;sourceID=14","0.000151")</f>
        <v>0.000151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HYPERLINK("http://141.218.60.56/~jnz1568/getInfo.php?workbook=20_05.xlsx&amp;sheet=U0&amp;row=5387&amp;col=6&amp;number=3.3&amp;sourceID=14","3.3")</f>
        <v>3.3</v>
      </c>
      <c r="G5387" s="4" t="str">
        <f>HYPERLINK("http://141.218.60.56/~jnz1568/getInfo.php?workbook=20_05.xlsx&amp;sheet=U0&amp;row=5387&amp;col=7&amp;number=0.000151&amp;sourceID=14","0.000151")</f>
        <v>0.000151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HYPERLINK("http://141.218.60.56/~jnz1568/getInfo.php?workbook=20_05.xlsx&amp;sheet=U0&amp;row=5388&amp;col=6&amp;number=3.4&amp;sourceID=14","3.4")</f>
        <v>3.4</v>
      </c>
      <c r="G5388" s="4" t="str">
        <f>HYPERLINK("http://141.218.60.56/~jnz1568/getInfo.php?workbook=20_05.xlsx&amp;sheet=U0&amp;row=5388&amp;col=7&amp;number=0.000151&amp;sourceID=14","0.000151")</f>
        <v>0.000151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HYPERLINK("http://141.218.60.56/~jnz1568/getInfo.php?workbook=20_05.xlsx&amp;sheet=U0&amp;row=5389&amp;col=6&amp;number=3.5&amp;sourceID=14","3.5")</f>
        <v>3.5</v>
      </c>
      <c r="G5389" s="4" t="str">
        <f>HYPERLINK("http://141.218.60.56/~jnz1568/getInfo.php?workbook=20_05.xlsx&amp;sheet=U0&amp;row=5389&amp;col=7&amp;number=0.000151&amp;sourceID=14","0.000151")</f>
        <v>0.000151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HYPERLINK("http://141.218.60.56/~jnz1568/getInfo.php?workbook=20_05.xlsx&amp;sheet=U0&amp;row=5390&amp;col=6&amp;number=3.6&amp;sourceID=14","3.6")</f>
        <v>3.6</v>
      </c>
      <c r="G5390" s="4" t="str">
        <f>HYPERLINK("http://141.218.60.56/~jnz1568/getInfo.php?workbook=20_05.xlsx&amp;sheet=U0&amp;row=5390&amp;col=7&amp;number=0.000151&amp;sourceID=14","0.000151")</f>
        <v>0.000151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HYPERLINK("http://141.218.60.56/~jnz1568/getInfo.php?workbook=20_05.xlsx&amp;sheet=U0&amp;row=5391&amp;col=6&amp;number=3.7&amp;sourceID=14","3.7")</f>
        <v>3.7</v>
      </c>
      <c r="G5391" s="4" t="str">
        <f>HYPERLINK("http://141.218.60.56/~jnz1568/getInfo.php?workbook=20_05.xlsx&amp;sheet=U0&amp;row=5391&amp;col=7&amp;number=0.000151&amp;sourceID=14","0.000151")</f>
        <v>0.000151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HYPERLINK("http://141.218.60.56/~jnz1568/getInfo.php?workbook=20_05.xlsx&amp;sheet=U0&amp;row=5392&amp;col=6&amp;number=3.8&amp;sourceID=14","3.8")</f>
        <v>3.8</v>
      </c>
      <c r="G5392" s="4" t="str">
        <f>HYPERLINK("http://141.218.60.56/~jnz1568/getInfo.php?workbook=20_05.xlsx&amp;sheet=U0&amp;row=5392&amp;col=7&amp;number=0.000151&amp;sourceID=14","0.000151")</f>
        <v>0.000151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HYPERLINK("http://141.218.60.56/~jnz1568/getInfo.php?workbook=20_05.xlsx&amp;sheet=U0&amp;row=5393&amp;col=6&amp;number=3.9&amp;sourceID=14","3.9")</f>
        <v>3.9</v>
      </c>
      <c r="G5393" s="4" t="str">
        <f>HYPERLINK("http://141.218.60.56/~jnz1568/getInfo.php?workbook=20_05.xlsx&amp;sheet=U0&amp;row=5393&amp;col=7&amp;number=0.000151&amp;sourceID=14","0.000151")</f>
        <v>0.000151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HYPERLINK("http://141.218.60.56/~jnz1568/getInfo.php?workbook=20_05.xlsx&amp;sheet=U0&amp;row=5394&amp;col=6&amp;number=4&amp;sourceID=14","4")</f>
        <v>4</v>
      </c>
      <c r="G5394" s="4" t="str">
        <f>HYPERLINK("http://141.218.60.56/~jnz1568/getInfo.php?workbook=20_05.xlsx&amp;sheet=U0&amp;row=5394&amp;col=7&amp;number=0.000151&amp;sourceID=14","0.000151")</f>
        <v>0.000151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HYPERLINK("http://141.218.60.56/~jnz1568/getInfo.php?workbook=20_05.xlsx&amp;sheet=U0&amp;row=5395&amp;col=6&amp;number=4.1&amp;sourceID=14","4.1")</f>
        <v>4.1</v>
      </c>
      <c r="G5395" s="4" t="str">
        <f>HYPERLINK("http://141.218.60.56/~jnz1568/getInfo.php?workbook=20_05.xlsx&amp;sheet=U0&amp;row=5395&amp;col=7&amp;number=0.000151&amp;sourceID=14","0.000151")</f>
        <v>0.000151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HYPERLINK("http://141.218.60.56/~jnz1568/getInfo.php?workbook=20_05.xlsx&amp;sheet=U0&amp;row=5396&amp;col=6&amp;number=4.2&amp;sourceID=14","4.2")</f>
        <v>4.2</v>
      </c>
      <c r="G5396" s="4" t="str">
        <f>HYPERLINK("http://141.218.60.56/~jnz1568/getInfo.php?workbook=20_05.xlsx&amp;sheet=U0&amp;row=5396&amp;col=7&amp;number=0.000151&amp;sourceID=14","0.000151")</f>
        <v>0.000151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HYPERLINK("http://141.218.60.56/~jnz1568/getInfo.php?workbook=20_05.xlsx&amp;sheet=U0&amp;row=5397&amp;col=6&amp;number=4.3&amp;sourceID=14","4.3")</f>
        <v>4.3</v>
      </c>
      <c r="G5397" s="4" t="str">
        <f>HYPERLINK("http://141.218.60.56/~jnz1568/getInfo.php?workbook=20_05.xlsx&amp;sheet=U0&amp;row=5397&amp;col=7&amp;number=0.000151&amp;sourceID=14","0.000151")</f>
        <v>0.000151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HYPERLINK("http://141.218.60.56/~jnz1568/getInfo.php?workbook=20_05.xlsx&amp;sheet=U0&amp;row=5398&amp;col=6&amp;number=4.4&amp;sourceID=14","4.4")</f>
        <v>4.4</v>
      </c>
      <c r="G5398" s="4" t="str">
        <f>HYPERLINK("http://141.218.60.56/~jnz1568/getInfo.php?workbook=20_05.xlsx&amp;sheet=U0&amp;row=5398&amp;col=7&amp;number=0.000151&amp;sourceID=14","0.000151")</f>
        <v>0.000151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HYPERLINK("http://141.218.60.56/~jnz1568/getInfo.php?workbook=20_05.xlsx&amp;sheet=U0&amp;row=5399&amp;col=6&amp;number=4.5&amp;sourceID=14","4.5")</f>
        <v>4.5</v>
      </c>
      <c r="G5399" s="4" t="str">
        <f>HYPERLINK("http://141.218.60.56/~jnz1568/getInfo.php?workbook=20_05.xlsx&amp;sheet=U0&amp;row=5399&amp;col=7&amp;number=0.00015&amp;sourceID=14","0.00015")</f>
        <v>0.00015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HYPERLINK("http://141.218.60.56/~jnz1568/getInfo.php?workbook=20_05.xlsx&amp;sheet=U0&amp;row=5400&amp;col=6&amp;number=4.6&amp;sourceID=14","4.6")</f>
        <v>4.6</v>
      </c>
      <c r="G5400" s="4" t="str">
        <f>HYPERLINK("http://141.218.60.56/~jnz1568/getInfo.php?workbook=20_05.xlsx&amp;sheet=U0&amp;row=5400&amp;col=7&amp;number=0.00015&amp;sourceID=14","0.00015")</f>
        <v>0.00015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HYPERLINK("http://141.218.60.56/~jnz1568/getInfo.php?workbook=20_05.xlsx&amp;sheet=U0&amp;row=5401&amp;col=6&amp;number=4.7&amp;sourceID=14","4.7")</f>
        <v>4.7</v>
      </c>
      <c r="G5401" s="4" t="str">
        <f>HYPERLINK("http://141.218.60.56/~jnz1568/getInfo.php?workbook=20_05.xlsx&amp;sheet=U0&amp;row=5401&amp;col=7&amp;number=0.00015&amp;sourceID=14","0.00015")</f>
        <v>0.00015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HYPERLINK("http://141.218.60.56/~jnz1568/getInfo.php?workbook=20_05.xlsx&amp;sheet=U0&amp;row=5402&amp;col=6&amp;number=4.8&amp;sourceID=14","4.8")</f>
        <v>4.8</v>
      </c>
      <c r="G5402" s="4" t="str">
        <f>HYPERLINK("http://141.218.60.56/~jnz1568/getInfo.php?workbook=20_05.xlsx&amp;sheet=U0&amp;row=5402&amp;col=7&amp;number=0.000149&amp;sourceID=14","0.000149")</f>
        <v>0.000149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HYPERLINK("http://141.218.60.56/~jnz1568/getInfo.php?workbook=20_05.xlsx&amp;sheet=U0&amp;row=5403&amp;col=6&amp;number=4.9&amp;sourceID=14","4.9")</f>
        <v>4.9</v>
      </c>
      <c r="G5403" s="4" t="str">
        <f>HYPERLINK("http://141.218.60.56/~jnz1568/getInfo.php?workbook=20_05.xlsx&amp;sheet=U0&amp;row=5403&amp;col=7&amp;number=0.000149&amp;sourceID=14","0.000149")</f>
        <v>0.000149</v>
      </c>
    </row>
    <row r="5404" spans="1:7">
      <c r="A5404" s="3">
        <v>20</v>
      </c>
      <c r="B5404" s="3">
        <v>5</v>
      </c>
      <c r="C5404" s="3">
        <v>2</v>
      </c>
      <c r="D5404" s="3">
        <v>117</v>
      </c>
      <c r="E5404" s="3">
        <v>1</v>
      </c>
      <c r="F5404" s="4" t="str">
        <f>HYPERLINK("http://141.218.60.56/~jnz1568/getInfo.php?workbook=20_05.xlsx&amp;sheet=U0&amp;row=5404&amp;col=6&amp;number=3&amp;sourceID=14","3")</f>
        <v>3</v>
      </c>
      <c r="G5404" s="4" t="str">
        <f>HYPERLINK("http://141.218.60.56/~jnz1568/getInfo.php?workbook=20_05.xlsx&amp;sheet=U0&amp;row=5404&amp;col=7&amp;number=0.000389&amp;sourceID=14","0.000389")</f>
        <v>0.000389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HYPERLINK("http://141.218.60.56/~jnz1568/getInfo.php?workbook=20_05.xlsx&amp;sheet=U0&amp;row=5405&amp;col=6&amp;number=3.1&amp;sourceID=14","3.1")</f>
        <v>3.1</v>
      </c>
      <c r="G5405" s="4" t="str">
        <f>HYPERLINK("http://141.218.60.56/~jnz1568/getInfo.php?workbook=20_05.xlsx&amp;sheet=U0&amp;row=5405&amp;col=7&amp;number=0.000389&amp;sourceID=14","0.000389")</f>
        <v>0.000389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HYPERLINK("http://141.218.60.56/~jnz1568/getInfo.php?workbook=20_05.xlsx&amp;sheet=U0&amp;row=5406&amp;col=6&amp;number=3.2&amp;sourceID=14","3.2")</f>
        <v>3.2</v>
      </c>
      <c r="G5406" s="4" t="str">
        <f>HYPERLINK("http://141.218.60.56/~jnz1568/getInfo.php?workbook=20_05.xlsx&amp;sheet=U0&amp;row=5406&amp;col=7&amp;number=0.000388&amp;sourceID=14","0.000388")</f>
        <v>0.000388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HYPERLINK("http://141.218.60.56/~jnz1568/getInfo.php?workbook=20_05.xlsx&amp;sheet=U0&amp;row=5407&amp;col=6&amp;number=3.3&amp;sourceID=14","3.3")</f>
        <v>3.3</v>
      </c>
      <c r="G5407" s="4" t="str">
        <f>HYPERLINK("http://141.218.60.56/~jnz1568/getInfo.php?workbook=20_05.xlsx&amp;sheet=U0&amp;row=5407&amp;col=7&amp;number=0.000388&amp;sourceID=14","0.000388")</f>
        <v>0.000388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HYPERLINK("http://141.218.60.56/~jnz1568/getInfo.php?workbook=20_05.xlsx&amp;sheet=U0&amp;row=5408&amp;col=6&amp;number=3.4&amp;sourceID=14","3.4")</f>
        <v>3.4</v>
      </c>
      <c r="G5408" s="4" t="str">
        <f>HYPERLINK("http://141.218.60.56/~jnz1568/getInfo.php?workbook=20_05.xlsx&amp;sheet=U0&amp;row=5408&amp;col=7&amp;number=0.000388&amp;sourceID=14","0.000388")</f>
        <v>0.000388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HYPERLINK("http://141.218.60.56/~jnz1568/getInfo.php?workbook=20_05.xlsx&amp;sheet=U0&amp;row=5409&amp;col=6&amp;number=3.5&amp;sourceID=14","3.5")</f>
        <v>3.5</v>
      </c>
      <c r="G5409" s="4" t="str">
        <f>HYPERLINK("http://141.218.60.56/~jnz1568/getInfo.php?workbook=20_05.xlsx&amp;sheet=U0&amp;row=5409&amp;col=7&amp;number=0.000388&amp;sourceID=14","0.000388")</f>
        <v>0.000388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HYPERLINK("http://141.218.60.56/~jnz1568/getInfo.php?workbook=20_05.xlsx&amp;sheet=U0&amp;row=5410&amp;col=6&amp;number=3.6&amp;sourceID=14","3.6")</f>
        <v>3.6</v>
      </c>
      <c r="G5410" s="4" t="str">
        <f>HYPERLINK("http://141.218.60.56/~jnz1568/getInfo.php?workbook=20_05.xlsx&amp;sheet=U0&amp;row=5410&amp;col=7&amp;number=0.000388&amp;sourceID=14","0.000388")</f>
        <v>0.000388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HYPERLINK("http://141.218.60.56/~jnz1568/getInfo.php?workbook=20_05.xlsx&amp;sheet=U0&amp;row=5411&amp;col=6&amp;number=3.7&amp;sourceID=14","3.7")</f>
        <v>3.7</v>
      </c>
      <c r="G5411" s="4" t="str">
        <f>HYPERLINK("http://141.218.60.56/~jnz1568/getInfo.php?workbook=20_05.xlsx&amp;sheet=U0&amp;row=5411&amp;col=7&amp;number=0.000388&amp;sourceID=14","0.000388")</f>
        <v>0.000388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HYPERLINK("http://141.218.60.56/~jnz1568/getInfo.php?workbook=20_05.xlsx&amp;sheet=U0&amp;row=5412&amp;col=6&amp;number=3.8&amp;sourceID=14","3.8")</f>
        <v>3.8</v>
      </c>
      <c r="G5412" s="4" t="str">
        <f>HYPERLINK("http://141.218.60.56/~jnz1568/getInfo.php?workbook=20_05.xlsx&amp;sheet=U0&amp;row=5412&amp;col=7&amp;number=0.000388&amp;sourceID=14","0.000388")</f>
        <v>0.000388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HYPERLINK("http://141.218.60.56/~jnz1568/getInfo.php?workbook=20_05.xlsx&amp;sheet=U0&amp;row=5413&amp;col=6&amp;number=3.9&amp;sourceID=14","3.9")</f>
        <v>3.9</v>
      </c>
      <c r="G5413" s="4" t="str">
        <f>HYPERLINK("http://141.218.60.56/~jnz1568/getInfo.php?workbook=20_05.xlsx&amp;sheet=U0&amp;row=5413&amp;col=7&amp;number=0.000388&amp;sourceID=14","0.000388")</f>
        <v>0.000388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HYPERLINK("http://141.218.60.56/~jnz1568/getInfo.php?workbook=20_05.xlsx&amp;sheet=U0&amp;row=5414&amp;col=6&amp;number=4&amp;sourceID=14","4")</f>
        <v>4</v>
      </c>
      <c r="G5414" s="4" t="str">
        <f>HYPERLINK("http://141.218.60.56/~jnz1568/getInfo.php?workbook=20_05.xlsx&amp;sheet=U0&amp;row=5414&amp;col=7&amp;number=0.000388&amp;sourceID=14","0.000388")</f>
        <v>0.000388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HYPERLINK("http://141.218.60.56/~jnz1568/getInfo.php?workbook=20_05.xlsx&amp;sheet=U0&amp;row=5415&amp;col=6&amp;number=4.1&amp;sourceID=14","4.1")</f>
        <v>4.1</v>
      </c>
      <c r="G5415" s="4" t="str">
        <f>HYPERLINK("http://141.218.60.56/~jnz1568/getInfo.php?workbook=20_05.xlsx&amp;sheet=U0&amp;row=5415&amp;col=7&amp;number=0.000388&amp;sourceID=14","0.000388")</f>
        <v>0.000388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HYPERLINK("http://141.218.60.56/~jnz1568/getInfo.php?workbook=20_05.xlsx&amp;sheet=U0&amp;row=5416&amp;col=6&amp;number=4.2&amp;sourceID=14","4.2")</f>
        <v>4.2</v>
      </c>
      <c r="G5416" s="4" t="str">
        <f>HYPERLINK("http://141.218.60.56/~jnz1568/getInfo.php?workbook=20_05.xlsx&amp;sheet=U0&amp;row=5416&amp;col=7&amp;number=0.000387&amp;sourceID=14","0.000387")</f>
        <v>0.000387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HYPERLINK("http://141.218.60.56/~jnz1568/getInfo.php?workbook=20_05.xlsx&amp;sheet=U0&amp;row=5417&amp;col=6&amp;number=4.3&amp;sourceID=14","4.3")</f>
        <v>4.3</v>
      </c>
      <c r="G5417" s="4" t="str">
        <f>HYPERLINK("http://141.218.60.56/~jnz1568/getInfo.php?workbook=20_05.xlsx&amp;sheet=U0&amp;row=5417&amp;col=7&amp;number=0.000387&amp;sourceID=14","0.000387")</f>
        <v>0.000387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HYPERLINK("http://141.218.60.56/~jnz1568/getInfo.php?workbook=20_05.xlsx&amp;sheet=U0&amp;row=5418&amp;col=6&amp;number=4.4&amp;sourceID=14","4.4")</f>
        <v>4.4</v>
      </c>
      <c r="G5418" s="4" t="str">
        <f>HYPERLINK("http://141.218.60.56/~jnz1568/getInfo.php?workbook=20_05.xlsx&amp;sheet=U0&amp;row=5418&amp;col=7&amp;number=0.000387&amp;sourceID=14","0.000387")</f>
        <v>0.000387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HYPERLINK("http://141.218.60.56/~jnz1568/getInfo.php?workbook=20_05.xlsx&amp;sheet=U0&amp;row=5419&amp;col=6&amp;number=4.5&amp;sourceID=14","4.5")</f>
        <v>4.5</v>
      </c>
      <c r="G5419" s="4" t="str">
        <f>HYPERLINK("http://141.218.60.56/~jnz1568/getInfo.php?workbook=20_05.xlsx&amp;sheet=U0&amp;row=5419&amp;col=7&amp;number=0.000386&amp;sourceID=14","0.000386")</f>
        <v>0.000386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HYPERLINK("http://141.218.60.56/~jnz1568/getInfo.php?workbook=20_05.xlsx&amp;sheet=U0&amp;row=5420&amp;col=6&amp;number=4.6&amp;sourceID=14","4.6")</f>
        <v>4.6</v>
      </c>
      <c r="G5420" s="4" t="str">
        <f>HYPERLINK("http://141.218.60.56/~jnz1568/getInfo.php?workbook=20_05.xlsx&amp;sheet=U0&amp;row=5420&amp;col=7&amp;number=0.000386&amp;sourceID=14","0.000386")</f>
        <v>0.000386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HYPERLINK("http://141.218.60.56/~jnz1568/getInfo.php?workbook=20_05.xlsx&amp;sheet=U0&amp;row=5421&amp;col=6&amp;number=4.7&amp;sourceID=14","4.7")</f>
        <v>4.7</v>
      </c>
      <c r="G5421" s="4" t="str">
        <f>HYPERLINK("http://141.218.60.56/~jnz1568/getInfo.php?workbook=20_05.xlsx&amp;sheet=U0&amp;row=5421&amp;col=7&amp;number=0.000385&amp;sourceID=14","0.000385")</f>
        <v>0.000385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HYPERLINK("http://141.218.60.56/~jnz1568/getInfo.php?workbook=20_05.xlsx&amp;sheet=U0&amp;row=5422&amp;col=6&amp;number=4.8&amp;sourceID=14","4.8")</f>
        <v>4.8</v>
      </c>
      <c r="G5422" s="4" t="str">
        <f>HYPERLINK("http://141.218.60.56/~jnz1568/getInfo.php?workbook=20_05.xlsx&amp;sheet=U0&amp;row=5422&amp;col=7&amp;number=0.000384&amp;sourceID=14","0.000384")</f>
        <v>0.000384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HYPERLINK("http://141.218.60.56/~jnz1568/getInfo.php?workbook=20_05.xlsx&amp;sheet=U0&amp;row=5423&amp;col=6&amp;number=4.9&amp;sourceID=14","4.9")</f>
        <v>4.9</v>
      </c>
      <c r="G5423" s="4" t="str">
        <f>HYPERLINK("http://141.218.60.56/~jnz1568/getInfo.php?workbook=20_05.xlsx&amp;sheet=U0&amp;row=5423&amp;col=7&amp;number=0.000383&amp;sourceID=14","0.000383")</f>
        <v>0.000383</v>
      </c>
    </row>
    <row r="5424" spans="1:7">
      <c r="A5424" s="3">
        <v>20</v>
      </c>
      <c r="B5424" s="3">
        <v>5</v>
      </c>
      <c r="C5424" s="3">
        <v>2</v>
      </c>
      <c r="D5424" s="3">
        <v>118</v>
      </c>
      <c r="E5424" s="3">
        <v>1</v>
      </c>
      <c r="F5424" s="4" t="str">
        <f>HYPERLINK("http://141.218.60.56/~jnz1568/getInfo.php?workbook=20_05.xlsx&amp;sheet=U0&amp;row=5424&amp;col=6&amp;number=3&amp;sourceID=14","3")</f>
        <v>3</v>
      </c>
      <c r="G5424" s="4" t="str">
        <f>HYPERLINK("http://141.218.60.56/~jnz1568/getInfo.php?workbook=20_05.xlsx&amp;sheet=U0&amp;row=5424&amp;col=7&amp;number=0.000212&amp;sourceID=14","0.000212")</f>
        <v>0.000212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HYPERLINK("http://141.218.60.56/~jnz1568/getInfo.php?workbook=20_05.xlsx&amp;sheet=U0&amp;row=5425&amp;col=6&amp;number=3.1&amp;sourceID=14","3.1")</f>
        <v>3.1</v>
      </c>
      <c r="G5425" s="4" t="str">
        <f>HYPERLINK("http://141.218.60.56/~jnz1568/getInfo.php?workbook=20_05.xlsx&amp;sheet=U0&amp;row=5425&amp;col=7&amp;number=0.000212&amp;sourceID=14","0.000212")</f>
        <v>0.000212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HYPERLINK("http://141.218.60.56/~jnz1568/getInfo.php?workbook=20_05.xlsx&amp;sheet=U0&amp;row=5426&amp;col=6&amp;number=3.2&amp;sourceID=14","3.2")</f>
        <v>3.2</v>
      </c>
      <c r="G5426" s="4" t="str">
        <f>HYPERLINK("http://141.218.60.56/~jnz1568/getInfo.php?workbook=20_05.xlsx&amp;sheet=U0&amp;row=5426&amp;col=7&amp;number=0.000212&amp;sourceID=14","0.000212")</f>
        <v>0.000212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HYPERLINK("http://141.218.60.56/~jnz1568/getInfo.php?workbook=20_05.xlsx&amp;sheet=U0&amp;row=5427&amp;col=6&amp;number=3.3&amp;sourceID=14","3.3")</f>
        <v>3.3</v>
      </c>
      <c r="G5427" s="4" t="str">
        <f>HYPERLINK("http://141.218.60.56/~jnz1568/getInfo.php?workbook=20_05.xlsx&amp;sheet=U0&amp;row=5427&amp;col=7&amp;number=0.000212&amp;sourceID=14","0.000212")</f>
        <v>0.000212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HYPERLINK("http://141.218.60.56/~jnz1568/getInfo.php?workbook=20_05.xlsx&amp;sheet=U0&amp;row=5428&amp;col=6&amp;number=3.4&amp;sourceID=14","3.4")</f>
        <v>3.4</v>
      </c>
      <c r="G5428" s="4" t="str">
        <f>HYPERLINK("http://141.218.60.56/~jnz1568/getInfo.php?workbook=20_05.xlsx&amp;sheet=U0&amp;row=5428&amp;col=7&amp;number=0.000212&amp;sourceID=14","0.000212")</f>
        <v>0.000212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HYPERLINK("http://141.218.60.56/~jnz1568/getInfo.php?workbook=20_05.xlsx&amp;sheet=U0&amp;row=5429&amp;col=6&amp;number=3.5&amp;sourceID=14","3.5")</f>
        <v>3.5</v>
      </c>
      <c r="G5429" s="4" t="str">
        <f>HYPERLINK("http://141.218.60.56/~jnz1568/getInfo.php?workbook=20_05.xlsx&amp;sheet=U0&amp;row=5429&amp;col=7&amp;number=0.000212&amp;sourceID=14","0.000212")</f>
        <v>0.000212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HYPERLINK("http://141.218.60.56/~jnz1568/getInfo.php?workbook=20_05.xlsx&amp;sheet=U0&amp;row=5430&amp;col=6&amp;number=3.6&amp;sourceID=14","3.6")</f>
        <v>3.6</v>
      </c>
      <c r="G5430" s="4" t="str">
        <f>HYPERLINK("http://141.218.60.56/~jnz1568/getInfo.php?workbook=20_05.xlsx&amp;sheet=U0&amp;row=5430&amp;col=7&amp;number=0.000212&amp;sourceID=14","0.000212")</f>
        <v>0.000212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HYPERLINK("http://141.218.60.56/~jnz1568/getInfo.php?workbook=20_05.xlsx&amp;sheet=U0&amp;row=5431&amp;col=6&amp;number=3.7&amp;sourceID=14","3.7")</f>
        <v>3.7</v>
      </c>
      <c r="G5431" s="4" t="str">
        <f>HYPERLINK("http://141.218.60.56/~jnz1568/getInfo.php?workbook=20_05.xlsx&amp;sheet=U0&amp;row=5431&amp;col=7&amp;number=0.000212&amp;sourceID=14","0.000212")</f>
        <v>0.000212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HYPERLINK("http://141.218.60.56/~jnz1568/getInfo.php?workbook=20_05.xlsx&amp;sheet=U0&amp;row=5432&amp;col=6&amp;number=3.8&amp;sourceID=14","3.8")</f>
        <v>3.8</v>
      </c>
      <c r="G5432" s="4" t="str">
        <f>HYPERLINK("http://141.218.60.56/~jnz1568/getInfo.php?workbook=20_05.xlsx&amp;sheet=U0&amp;row=5432&amp;col=7&amp;number=0.000212&amp;sourceID=14","0.000212")</f>
        <v>0.000212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HYPERLINK("http://141.218.60.56/~jnz1568/getInfo.php?workbook=20_05.xlsx&amp;sheet=U0&amp;row=5433&amp;col=6&amp;number=3.9&amp;sourceID=14","3.9")</f>
        <v>3.9</v>
      </c>
      <c r="G5433" s="4" t="str">
        <f>HYPERLINK("http://141.218.60.56/~jnz1568/getInfo.php?workbook=20_05.xlsx&amp;sheet=U0&amp;row=5433&amp;col=7&amp;number=0.000212&amp;sourceID=14","0.000212")</f>
        <v>0.000212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HYPERLINK("http://141.218.60.56/~jnz1568/getInfo.php?workbook=20_05.xlsx&amp;sheet=U0&amp;row=5434&amp;col=6&amp;number=4&amp;sourceID=14","4")</f>
        <v>4</v>
      </c>
      <c r="G5434" s="4" t="str">
        <f>HYPERLINK("http://141.218.60.56/~jnz1568/getInfo.php?workbook=20_05.xlsx&amp;sheet=U0&amp;row=5434&amp;col=7&amp;number=0.000212&amp;sourceID=14","0.000212")</f>
        <v>0.000212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HYPERLINK("http://141.218.60.56/~jnz1568/getInfo.php?workbook=20_05.xlsx&amp;sheet=U0&amp;row=5435&amp;col=6&amp;number=4.1&amp;sourceID=14","4.1")</f>
        <v>4.1</v>
      </c>
      <c r="G5435" s="4" t="str">
        <f>HYPERLINK("http://141.218.60.56/~jnz1568/getInfo.php?workbook=20_05.xlsx&amp;sheet=U0&amp;row=5435&amp;col=7&amp;number=0.000212&amp;sourceID=14","0.000212")</f>
        <v>0.000212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HYPERLINK("http://141.218.60.56/~jnz1568/getInfo.php?workbook=20_05.xlsx&amp;sheet=U0&amp;row=5436&amp;col=6&amp;number=4.2&amp;sourceID=14","4.2")</f>
        <v>4.2</v>
      </c>
      <c r="G5436" s="4" t="str">
        <f>HYPERLINK("http://141.218.60.56/~jnz1568/getInfo.php?workbook=20_05.xlsx&amp;sheet=U0&amp;row=5436&amp;col=7&amp;number=0.000212&amp;sourceID=14","0.000212")</f>
        <v>0.000212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HYPERLINK("http://141.218.60.56/~jnz1568/getInfo.php?workbook=20_05.xlsx&amp;sheet=U0&amp;row=5437&amp;col=6&amp;number=4.3&amp;sourceID=14","4.3")</f>
        <v>4.3</v>
      </c>
      <c r="G5437" s="4" t="str">
        <f>HYPERLINK("http://141.218.60.56/~jnz1568/getInfo.php?workbook=20_05.xlsx&amp;sheet=U0&amp;row=5437&amp;col=7&amp;number=0.000212&amp;sourceID=14","0.000212")</f>
        <v>0.000212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HYPERLINK("http://141.218.60.56/~jnz1568/getInfo.php?workbook=20_05.xlsx&amp;sheet=U0&amp;row=5438&amp;col=6&amp;number=4.4&amp;sourceID=14","4.4")</f>
        <v>4.4</v>
      </c>
      <c r="G5438" s="4" t="str">
        <f>HYPERLINK("http://141.218.60.56/~jnz1568/getInfo.php?workbook=20_05.xlsx&amp;sheet=U0&amp;row=5438&amp;col=7&amp;number=0.000213&amp;sourceID=14","0.000213")</f>
        <v>0.000213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HYPERLINK("http://141.218.60.56/~jnz1568/getInfo.php?workbook=20_05.xlsx&amp;sheet=U0&amp;row=5439&amp;col=6&amp;number=4.5&amp;sourceID=14","4.5")</f>
        <v>4.5</v>
      </c>
      <c r="G5439" s="4" t="str">
        <f>HYPERLINK("http://141.218.60.56/~jnz1568/getInfo.php?workbook=20_05.xlsx&amp;sheet=U0&amp;row=5439&amp;col=7&amp;number=0.000213&amp;sourceID=14","0.000213")</f>
        <v>0.000213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HYPERLINK("http://141.218.60.56/~jnz1568/getInfo.php?workbook=20_05.xlsx&amp;sheet=U0&amp;row=5440&amp;col=6&amp;number=4.6&amp;sourceID=14","4.6")</f>
        <v>4.6</v>
      </c>
      <c r="G5440" s="4" t="str">
        <f>HYPERLINK("http://141.218.60.56/~jnz1568/getInfo.php?workbook=20_05.xlsx&amp;sheet=U0&amp;row=5440&amp;col=7&amp;number=0.000213&amp;sourceID=14","0.000213")</f>
        <v>0.000213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HYPERLINK("http://141.218.60.56/~jnz1568/getInfo.php?workbook=20_05.xlsx&amp;sheet=U0&amp;row=5441&amp;col=6&amp;number=4.7&amp;sourceID=14","4.7")</f>
        <v>4.7</v>
      </c>
      <c r="G5441" s="4" t="str">
        <f>HYPERLINK("http://141.218.60.56/~jnz1568/getInfo.php?workbook=20_05.xlsx&amp;sheet=U0&amp;row=5441&amp;col=7&amp;number=0.000213&amp;sourceID=14","0.000213")</f>
        <v>0.000213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HYPERLINK("http://141.218.60.56/~jnz1568/getInfo.php?workbook=20_05.xlsx&amp;sheet=U0&amp;row=5442&amp;col=6&amp;number=4.8&amp;sourceID=14","4.8")</f>
        <v>4.8</v>
      </c>
      <c r="G5442" s="4" t="str">
        <f>HYPERLINK("http://141.218.60.56/~jnz1568/getInfo.php?workbook=20_05.xlsx&amp;sheet=U0&amp;row=5442&amp;col=7&amp;number=0.000213&amp;sourceID=14","0.000213")</f>
        <v>0.000213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HYPERLINK("http://141.218.60.56/~jnz1568/getInfo.php?workbook=20_05.xlsx&amp;sheet=U0&amp;row=5443&amp;col=6&amp;number=4.9&amp;sourceID=14","4.9")</f>
        <v>4.9</v>
      </c>
      <c r="G5443" s="4" t="str">
        <f>HYPERLINK("http://141.218.60.56/~jnz1568/getInfo.php?workbook=20_05.xlsx&amp;sheet=U0&amp;row=5443&amp;col=7&amp;number=0.000214&amp;sourceID=14","0.000214")</f>
        <v>0.000214</v>
      </c>
    </row>
    <row r="5444" spans="1:7">
      <c r="A5444" s="3">
        <v>20</v>
      </c>
      <c r="B5444" s="3">
        <v>5</v>
      </c>
      <c r="C5444" s="3">
        <v>2</v>
      </c>
      <c r="D5444" s="3">
        <v>119</v>
      </c>
      <c r="E5444" s="3">
        <v>1</v>
      </c>
      <c r="F5444" s="4" t="str">
        <f>HYPERLINK("http://141.218.60.56/~jnz1568/getInfo.php?workbook=20_05.xlsx&amp;sheet=U0&amp;row=5444&amp;col=6&amp;number=3&amp;sourceID=14","3")</f>
        <v>3</v>
      </c>
      <c r="G5444" s="4" t="str">
        <f>HYPERLINK("http://141.218.60.56/~jnz1568/getInfo.php?workbook=20_05.xlsx&amp;sheet=U0&amp;row=5444&amp;col=7&amp;number=0.00401&amp;sourceID=14","0.00401")</f>
        <v>0.00401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HYPERLINK("http://141.218.60.56/~jnz1568/getInfo.php?workbook=20_05.xlsx&amp;sheet=U0&amp;row=5445&amp;col=6&amp;number=3.1&amp;sourceID=14","3.1")</f>
        <v>3.1</v>
      </c>
      <c r="G5445" s="4" t="str">
        <f>HYPERLINK("http://141.218.60.56/~jnz1568/getInfo.php?workbook=20_05.xlsx&amp;sheet=U0&amp;row=5445&amp;col=7&amp;number=0.00401&amp;sourceID=14","0.00401")</f>
        <v>0.00401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HYPERLINK("http://141.218.60.56/~jnz1568/getInfo.php?workbook=20_05.xlsx&amp;sheet=U0&amp;row=5446&amp;col=6&amp;number=3.2&amp;sourceID=14","3.2")</f>
        <v>3.2</v>
      </c>
      <c r="G5446" s="4" t="str">
        <f>HYPERLINK("http://141.218.60.56/~jnz1568/getInfo.php?workbook=20_05.xlsx&amp;sheet=U0&amp;row=5446&amp;col=7&amp;number=0.00401&amp;sourceID=14","0.00401")</f>
        <v>0.00401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HYPERLINK("http://141.218.60.56/~jnz1568/getInfo.php?workbook=20_05.xlsx&amp;sheet=U0&amp;row=5447&amp;col=6&amp;number=3.3&amp;sourceID=14","3.3")</f>
        <v>3.3</v>
      </c>
      <c r="G5447" s="4" t="str">
        <f>HYPERLINK("http://141.218.60.56/~jnz1568/getInfo.php?workbook=20_05.xlsx&amp;sheet=U0&amp;row=5447&amp;col=7&amp;number=0.00401&amp;sourceID=14","0.00401")</f>
        <v>0.00401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HYPERLINK("http://141.218.60.56/~jnz1568/getInfo.php?workbook=20_05.xlsx&amp;sheet=U0&amp;row=5448&amp;col=6&amp;number=3.4&amp;sourceID=14","3.4")</f>
        <v>3.4</v>
      </c>
      <c r="G5448" s="4" t="str">
        <f>HYPERLINK("http://141.218.60.56/~jnz1568/getInfo.php?workbook=20_05.xlsx&amp;sheet=U0&amp;row=5448&amp;col=7&amp;number=0.00401&amp;sourceID=14","0.00401")</f>
        <v>0.00401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HYPERLINK("http://141.218.60.56/~jnz1568/getInfo.php?workbook=20_05.xlsx&amp;sheet=U0&amp;row=5449&amp;col=6&amp;number=3.5&amp;sourceID=14","3.5")</f>
        <v>3.5</v>
      </c>
      <c r="G5449" s="4" t="str">
        <f>HYPERLINK("http://141.218.60.56/~jnz1568/getInfo.php?workbook=20_05.xlsx&amp;sheet=U0&amp;row=5449&amp;col=7&amp;number=0.00401&amp;sourceID=14","0.00401")</f>
        <v>0.00401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HYPERLINK("http://141.218.60.56/~jnz1568/getInfo.php?workbook=20_05.xlsx&amp;sheet=U0&amp;row=5450&amp;col=6&amp;number=3.6&amp;sourceID=14","3.6")</f>
        <v>3.6</v>
      </c>
      <c r="G5450" s="4" t="str">
        <f>HYPERLINK("http://141.218.60.56/~jnz1568/getInfo.php?workbook=20_05.xlsx&amp;sheet=U0&amp;row=5450&amp;col=7&amp;number=0.00401&amp;sourceID=14","0.00401")</f>
        <v>0.00401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HYPERLINK("http://141.218.60.56/~jnz1568/getInfo.php?workbook=20_05.xlsx&amp;sheet=U0&amp;row=5451&amp;col=6&amp;number=3.7&amp;sourceID=14","3.7")</f>
        <v>3.7</v>
      </c>
      <c r="G5451" s="4" t="str">
        <f>HYPERLINK("http://141.218.60.56/~jnz1568/getInfo.php?workbook=20_05.xlsx&amp;sheet=U0&amp;row=5451&amp;col=7&amp;number=0.00401&amp;sourceID=14","0.00401")</f>
        <v>0.00401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HYPERLINK("http://141.218.60.56/~jnz1568/getInfo.php?workbook=20_05.xlsx&amp;sheet=U0&amp;row=5452&amp;col=6&amp;number=3.8&amp;sourceID=14","3.8")</f>
        <v>3.8</v>
      </c>
      <c r="G5452" s="4" t="str">
        <f>HYPERLINK("http://141.218.60.56/~jnz1568/getInfo.php?workbook=20_05.xlsx&amp;sheet=U0&amp;row=5452&amp;col=7&amp;number=0.004&amp;sourceID=14","0.004")</f>
        <v>0.004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HYPERLINK("http://141.218.60.56/~jnz1568/getInfo.php?workbook=20_05.xlsx&amp;sheet=U0&amp;row=5453&amp;col=6&amp;number=3.9&amp;sourceID=14","3.9")</f>
        <v>3.9</v>
      </c>
      <c r="G5453" s="4" t="str">
        <f>HYPERLINK("http://141.218.60.56/~jnz1568/getInfo.php?workbook=20_05.xlsx&amp;sheet=U0&amp;row=5453&amp;col=7&amp;number=0.004&amp;sourceID=14","0.004")</f>
        <v>0.004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HYPERLINK("http://141.218.60.56/~jnz1568/getInfo.php?workbook=20_05.xlsx&amp;sheet=U0&amp;row=5454&amp;col=6&amp;number=4&amp;sourceID=14","4")</f>
        <v>4</v>
      </c>
      <c r="G5454" s="4" t="str">
        <f>HYPERLINK("http://141.218.60.56/~jnz1568/getInfo.php?workbook=20_05.xlsx&amp;sheet=U0&amp;row=5454&amp;col=7&amp;number=0.004&amp;sourceID=14","0.004")</f>
        <v>0.004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HYPERLINK("http://141.218.60.56/~jnz1568/getInfo.php?workbook=20_05.xlsx&amp;sheet=U0&amp;row=5455&amp;col=6&amp;number=4.1&amp;sourceID=14","4.1")</f>
        <v>4.1</v>
      </c>
      <c r="G5455" s="4" t="str">
        <f>HYPERLINK("http://141.218.60.56/~jnz1568/getInfo.php?workbook=20_05.xlsx&amp;sheet=U0&amp;row=5455&amp;col=7&amp;number=0.004&amp;sourceID=14","0.004")</f>
        <v>0.004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HYPERLINK("http://141.218.60.56/~jnz1568/getInfo.php?workbook=20_05.xlsx&amp;sheet=U0&amp;row=5456&amp;col=6&amp;number=4.2&amp;sourceID=14","4.2")</f>
        <v>4.2</v>
      </c>
      <c r="G5456" s="4" t="str">
        <f>HYPERLINK("http://141.218.60.56/~jnz1568/getInfo.php?workbook=20_05.xlsx&amp;sheet=U0&amp;row=5456&amp;col=7&amp;number=0.00399&amp;sourceID=14","0.00399")</f>
        <v>0.00399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HYPERLINK("http://141.218.60.56/~jnz1568/getInfo.php?workbook=20_05.xlsx&amp;sheet=U0&amp;row=5457&amp;col=6&amp;number=4.3&amp;sourceID=14","4.3")</f>
        <v>4.3</v>
      </c>
      <c r="G5457" s="4" t="str">
        <f>HYPERLINK("http://141.218.60.56/~jnz1568/getInfo.php?workbook=20_05.xlsx&amp;sheet=U0&amp;row=5457&amp;col=7&amp;number=0.00399&amp;sourceID=14","0.00399")</f>
        <v>0.00399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HYPERLINK("http://141.218.60.56/~jnz1568/getInfo.php?workbook=20_05.xlsx&amp;sheet=U0&amp;row=5458&amp;col=6&amp;number=4.4&amp;sourceID=14","4.4")</f>
        <v>4.4</v>
      </c>
      <c r="G5458" s="4" t="str">
        <f>HYPERLINK("http://141.218.60.56/~jnz1568/getInfo.php?workbook=20_05.xlsx&amp;sheet=U0&amp;row=5458&amp;col=7&amp;number=0.00398&amp;sourceID=14","0.00398")</f>
        <v>0.00398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HYPERLINK("http://141.218.60.56/~jnz1568/getInfo.php?workbook=20_05.xlsx&amp;sheet=U0&amp;row=5459&amp;col=6&amp;number=4.5&amp;sourceID=14","4.5")</f>
        <v>4.5</v>
      </c>
      <c r="G5459" s="4" t="str">
        <f>HYPERLINK("http://141.218.60.56/~jnz1568/getInfo.php?workbook=20_05.xlsx&amp;sheet=U0&amp;row=5459&amp;col=7&amp;number=0.00398&amp;sourceID=14","0.00398")</f>
        <v>0.00398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HYPERLINK("http://141.218.60.56/~jnz1568/getInfo.php?workbook=20_05.xlsx&amp;sheet=U0&amp;row=5460&amp;col=6&amp;number=4.6&amp;sourceID=14","4.6")</f>
        <v>4.6</v>
      </c>
      <c r="G5460" s="4" t="str">
        <f>HYPERLINK("http://141.218.60.56/~jnz1568/getInfo.php?workbook=20_05.xlsx&amp;sheet=U0&amp;row=5460&amp;col=7&amp;number=0.00397&amp;sourceID=14","0.00397")</f>
        <v>0.00397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HYPERLINK("http://141.218.60.56/~jnz1568/getInfo.php?workbook=20_05.xlsx&amp;sheet=U0&amp;row=5461&amp;col=6&amp;number=4.7&amp;sourceID=14","4.7")</f>
        <v>4.7</v>
      </c>
      <c r="G5461" s="4" t="str">
        <f>HYPERLINK("http://141.218.60.56/~jnz1568/getInfo.php?workbook=20_05.xlsx&amp;sheet=U0&amp;row=5461&amp;col=7&amp;number=0.00395&amp;sourceID=14","0.00395")</f>
        <v>0.00395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HYPERLINK("http://141.218.60.56/~jnz1568/getInfo.php?workbook=20_05.xlsx&amp;sheet=U0&amp;row=5462&amp;col=6&amp;number=4.8&amp;sourceID=14","4.8")</f>
        <v>4.8</v>
      </c>
      <c r="G5462" s="4" t="str">
        <f>HYPERLINK("http://141.218.60.56/~jnz1568/getInfo.php?workbook=20_05.xlsx&amp;sheet=U0&amp;row=5462&amp;col=7&amp;number=0.00394&amp;sourceID=14","0.00394")</f>
        <v>0.00394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HYPERLINK("http://141.218.60.56/~jnz1568/getInfo.php?workbook=20_05.xlsx&amp;sheet=U0&amp;row=5463&amp;col=6&amp;number=4.9&amp;sourceID=14","4.9")</f>
        <v>4.9</v>
      </c>
      <c r="G5463" s="4" t="str">
        <f>HYPERLINK("http://141.218.60.56/~jnz1568/getInfo.php?workbook=20_05.xlsx&amp;sheet=U0&amp;row=5463&amp;col=7&amp;number=0.00392&amp;sourceID=14","0.00392")</f>
        <v>0.00392</v>
      </c>
    </row>
    <row r="5464" spans="1:7">
      <c r="A5464" s="3">
        <v>20</v>
      </c>
      <c r="B5464" s="3">
        <v>5</v>
      </c>
      <c r="C5464" s="3">
        <v>2</v>
      </c>
      <c r="D5464" s="3">
        <v>120</v>
      </c>
      <c r="E5464" s="3">
        <v>1</v>
      </c>
      <c r="F5464" s="4" t="str">
        <f>HYPERLINK("http://141.218.60.56/~jnz1568/getInfo.php?workbook=20_05.xlsx&amp;sheet=U0&amp;row=5464&amp;col=6&amp;number=3&amp;sourceID=14","3")</f>
        <v>3</v>
      </c>
      <c r="G5464" s="4" t="str">
        <f>HYPERLINK("http://141.218.60.56/~jnz1568/getInfo.php?workbook=20_05.xlsx&amp;sheet=U0&amp;row=5464&amp;col=7&amp;number=0.00759&amp;sourceID=14","0.00759")</f>
        <v>0.00759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HYPERLINK("http://141.218.60.56/~jnz1568/getInfo.php?workbook=20_05.xlsx&amp;sheet=U0&amp;row=5465&amp;col=6&amp;number=3.1&amp;sourceID=14","3.1")</f>
        <v>3.1</v>
      </c>
      <c r="G5465" s="4" t="str">
        <f>HYPERLINK("http://141.218.60.56/~jnz1568/getInfo.php?workbook=20_05.xlsx&amp;sheet=U0&amp;row=5465&amp;col=7&amp;number=0.00759&amp;sourceID=14","0.00759")</f>
        <v>0.00759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HYPERLINK("http://141.218.60.56/~jnz1568/getInfo.php?workbook=20_05.xlsx&amp;sheet=U0&amp;row=5466&amp;col=6&amp;number=3.2&amp;sourceID=14","3.2")</f>
        <v>3.2</v>
      </c>
      <c r="G5466" s="4" t="str">
        <f>HYPERLINK("http://141.218.60.56/~jnz1568/getInfo.php?workbook=20_05.xlsx&amp;sheet=U0&amp;row=5466&amp;col=7&amp;number=0.00759&amp;sourceID=14","0.00759")</f>
        <v>0.00759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HYPERLINK("http://141.218.60.56/~jnz1568/getInfo.php?workbook=20_05.xlsx&amp;sheet=U0&amp;row=5467&amp;col=6&amp;number=3.3&amp;sourceID=14","3.3")</f>
        <v>3.3</v>
      </c>
      <c r="G5467" s="4" t="str">
        <f>HYPERLINK("http://141.218.60.56/~jnz1568/getInfo.php?workbook=20_05.xlsx&amp;sheet=U0&amp;row=5467&amp;col=7&amp;number=0.00759&amp;sourceID=14","0.00759")</f>
        <v>0.00759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HYPERLINK("http://141.218.60.56/~jnz1568/getInfo.php?workbook=20_05.xlsx&amp;sheet=U0&amp;row=5468&amp;col=6&amp;number=3.4&amp;sourceID=14","3.4")</f>
        <v>3.4</v>
      </c>
      <c r="G5468" s="4" t="str">
        <f>HYPERLINK("http://141.218.60.56/~jnz1568/getInfo.php?workbook=20_05.xlsx&amp;sheet=U0&amp;row=5468&amp;col=7&amp;number=0.00759&amp;sourceID=14","0.00759")</f>
        <v>0.00759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HYPERLINK("http://141.218.60.56/~jnz1568/getInfo.php?workbook=20_05.xlsx&amp;sheet=U0&amp;row=5469&amp;col=6&amp;number=3.5&amp;sourceID=14","3.5")</f>
        <v>3.5</v>
      </c>
      <c r="G5469" s="4" t="str">
        <f>HYPERLINK("http://141.218.60.56/~jnz1568/getInfo.php?workbook=20_05.xlsx&amp;sheet=U0&amp;row=5469&amp;col=7&amp;number=0.00759&amp;sourceID=14","0.00759")</f>
        <v>0.00759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HYPERLINK("http://141.218.60.56/~jnz1568/getInfo.php?workbook=20_05.xlsx&amp;sheet=U0&amp;row=5470&amp;col=6&amp;number=3.6&amp;sourceID=14","3.6")</f>
        <v>3.6</v>
      </c>
      <c r="G5470" s="4" t="str">
        <f>HYPERLINK("http://141.218.60.56/~jnz1568/getInfo.php?workbook=20_05.xlsx&amp;sheet=U0&amp;row=5470&amp;col=7&amp;number=0.00759&amp;sourceID=14","0.00759")</f>
        <v>0.00759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HYPERLINK("http://141.218.60.56/~jnz1568/getInfo.php?workbook=20_05.xlsx&amp;sheet=U0&amp;row=5471&amp;col=6&amp;number=3.7&amp;sourceID=14","3.7")</f>
        <v>3.7</v>
      </c>
      <c r="G5471" s="4" t="str">
        <f>HYPERLINK("http://141.218.60.56/~jnz1568/getInfo.php?workbook=20_05.xlsx&amp;sheet=U0&amp;row=5471&amp;col=7&amp;number=0.00758&amp;sourceID=14","0.00758")</f>
        <v>0.00758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HYPERLINK("http://141.218.60.56/~jnz1568/getInfo.php?workbook=20_05.xlsx&amp;sheet=U0&amp;row=5472&amp;col=6&amp;number=3.8&amp;sourceID=14","3.8")</f>
        <v>3.8</v>
      </c>
      <c r="G5472" s="4" t="str">
        <f>HYPERLINK("http://141.218.60.56/~jnz1568/getInfo.php?workbook=20_05.xlsx&amp;sheet=U0&amp;row=5472&amp;col=7&amp;number=0.00758&amp;sourceID=14","0.00758")</f>
        <v>0.00758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HYPERLINK("http://141.218.60.56/~jnz1568/getInfo.php?workbook=20_05.xlsx&amp;sheet=U0&amp;row=5473&amp;col=6&amp;number=3.9&amp;sourceID=14","3.9")</f>
        <v>3.9</v>
      </c>
      <c r="G5473" s="4" t="str">
        <f>HYPERLINK("http://141.218.60.56/~jnz1568/getInfo.php?workbook=20_05.xlsx&amp;sheet=U0&amp;row=5473&amp;col=7&amp;number=0.00758&amp;sourceID=14","0.00758")</f>
        <v>0.00758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HYPERLINK("http://141.218.60.56/~jnz1568/getInfo.php?workbook=20_05.xlsx&amp;sheet=U0&amp;row=5474&amp;col=6&amp;number=4&amp;sourceID=14","4")</f>
        <v>4</v>
      </c>
      <c r="G5474" s="4" t="str">
        <f>HYPERLINK("http://141.218.60.56/~jnz1568/getInfo.php?workbook=20_05.xlsx&amp;sheet=U0&amp;row=5474&amp;col=7&amp;number=0.00757&amp;sourceID=14","0.00757")</f>
        <v>0.00757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HYPERLINK("http://141.218.60.56/~jnz1568/getInfo.php?workbook=20_05.xlsx&amp;sheet=U0&amp;row=5475&amp;col=6&amp;number=4.1&amp;sourceID=14","4.1")</f>
        <v>4.1</v>
      </c>
      <c r="G5475" s="4" t="str">
        <f>HYPERLINK("http://141.218.60.56/~jnz1568/getInfo.php?workbook=20_05.xlsx&amp;sheet=U0&amp;row=5475&amp;col=7&amp;number=0.00757&amp;sourceID=14","0.00757")</f>
        <v>0.00757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HYPERLINK("http://141.218.60.56/~jnz1568/getInfo.php?workbook=20_05.xlsx&amp;sheet=U0&amp;row=5476&amp;col=6&amp;number=4.2&amp;sourceID=14","4.2")</f>
        <v>4.2</v>
      </c>
      <c r="G5476" s="4" t="str">
        <f>HYPERLINK("http://141.218.60.56/~jnz1568/getInfo.php?workbook=20_05.xlsx&amp;sheet=U0&amp;row=5476&amp;col=7&amp;number=0.00756&amp;sourceID=14","0.00756")</f>
        <v>0.00756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HYPERLINK("http://141.218.60.56/~jnz1568/getInfo.php?workbook=20_05.xlsx&amp;sheet=U0&amp;row=5477&amp;col=6&amp;number=4.3&amp;sourceID=14","4.3")</f>
        <v>4.3</v>
      </c>
      <c r="G5477" s="4" t="str">
        <f>HYPERLINK("http://141.218.60.56/~jnz1568/getInfo.php?workbook=20_05.xlsx&amp;sheet=U0&amp;row=5477&amp;col=7&amp;number=0.00755&amp;sourceID=14","0.00755")</f>
        <v>0.00755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HYPERLINK("http://141.218.60.56/~jnz1568/getInfo.php?workbook=20_05.xlsx&amp;sheet=U0&amp;row=5478&amp;col=6&amp;number=4.4&amp;sourceID=14","4.4")</f>
        <v>4.4</v>
      </c>
      <c r="G5478" s="4" t="str">
        <f>HYPERLINK("http://141.218.60.56/~jnz1568/getInfo.php?workbook=20_05.xlsx&amp;sheet=U0&amp;row=5478&amp;col=7&amp;number=0.00754&amp;sourceID=14","0.00754")</f>
        <v>0.00754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HYPERLINK("http://141.218.60.56/~jnz1568/getInfo.php?workbook=20_05.xlsx&amp;sheet=U0&amp;row=5479&amp;col=6&amp;number=4.5&amp;sourceID=14","4.5")</f>
        <v>4.5</v>
      </c>
      <c r="G5479" s="4" t="str">
        <f>HYPERLINK("http://141.218.60.56/~jnz1568/getInfo.php?workbook=20_05.xlsx&amp;sheet=U0&amp;row=5479&amp;col=7&amp;number=0.00753&amp;sourceID=14","0.00753")</f>
        <v>0.00753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HYPERLINK("http://141.218.60.56/~jnz1568/getInfo.php?workbook=20_05.xlsx&amp;sheet=U0&amp;row=5480&amp;col=6&amp;number=4.6&amp;sourceID=14","4.6")</f>
        <v>4.6</v>
      </c>
      <c r="G5480" s="4" t="str">
        <f>HYPERLINK("http://141.218.60.56/~jnz1568/getInfo.php?workbook=20_05.xlsx&amp;sheet=U0&amp;row=5480&amp;col=7&amp;number=0.00751&amp;sourceID=14","0.00751")</f>
        <v>0.00751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HYPERLINK("http://141.218.60.56/~jnz1568/getInfo.php?workbook=20_05.xlsx&amp;sheet=U0&amp;row=5481&amp;col=6&amp;number=4.7&amp;sourceID=14","4.7")</f>
        <v>4.7</v>
      </c>
      <c r="G5481" s="4" t="str">
        <f>HYPERLINK("http://141.218.60.56/~jnz1568/getInfo.php?workbook=20_05.xlsx&amp;sheet=U0&amp;row=5481&amp;col=7&amp;number=0.00749&amp;sourceID=14","0.00749")</f>
        <v>0.00749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HYPERLINK("http://141.218.60.56/~jnz1568/getInfo.php?workbook=20_05.xlsx&amp;sheet=U0&amp;row=5482&amp;col=6&amp;number=4.8&amp;sourceID=14","4.8")</f>
        <v>4.8</v>
      </c>
      <c r="G5482" s="4" t="str">
        <f>HYPERLINK("http://141.218.60.56/~jnz1568/getInfo.php?workbook=20_05.xlsx&amp;sheet=U0&amp;row=5482&amp;col=7&amp;number=0.00746&amp;sourceID=14","0.00746")</f>
        <v>0.00746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HYPERLINK("http://141.218.60.56/~jnz1568/getInfo.php?workbook=20_05.xlsx&amp;sheet=U0&amp;row=5483&amp;col=6&amp;number=4.9&amp;sourceID=14","4.9")</f>
        <v>4.9</v>
      </c>
      <c r="G5483" s="4" t="str">
        <f>HYPERLINK("http://141.218.60.56/~jnz1568/getInfo.php?workbook=20_05.xlsx&amp;sheet=U0&amp;row=5483&amp;col=7&amp;number=0.00742&amp;sourceID=14","0.00742")</f>
        <v>0.00742</v>
      </c>
    </row>
    <row r="5484" spans="1:7">
      <c r="A5484" s="3">
        <v>20</v>
      </c>
      <c r="B5484" s="3">
        <v>5</v>
      </c>
      <c r="C5484" s="3">
        <v>2</v>
      </c>
      <c r="D5484" s="3">
        <v>121</v>
      </c>
      <c r="E5484" s="3">
        <v>1</v>
      </c>
      <c r="F5484" s="4" t="str">
        <f>HYPERLINK("http://141.218.60.56/~jnz1568/getInfo.php?workbook=20_05.xlsx&amp;sheet=U0&amp;row=5484&amp;col=6&amp;number=3&amp;sourceID=14","3")</f>
        <v>3</v>
      </c>
      <c r="G5484" s="4" t="str">
        <f>HYPERLINK("http://141.218.60.56/~jnz1568/getInfo.php?workbook=20_05.xlsx&amp;sheet=U0&amp;row=5484&amp;col=7&amp;number=0.0376&amp;sourceID=14","0.0376")</f>
        <v>0.0376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HYPERLINK("http://141.218.60.56/~jnz1568/getInfo.php?workbook=20_05.xlsx&amp;sheet=U0&amp;row=5485&amp;col=6&amp;number=3.1&amp;sourceID=14","3.1")</f>
        <v>3.1</v>
      </c>
      <c r="G5485" s="4" t="str">
        <f>HYPERLINK("http://141.218.60.56/~jnz1568/getInfo.php?workbook=20_05.xlsx&amp;sheet=U0&amp;row=5485&amp;col=7&amp;number=0.0376&amp;sourceID=14","0.0376")</f>
        <v>0.0376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HYPERLINK("http://141.218.60.56/~jnz1568/getInfo.php?workbook=20_05.xlsx&amp;sheet=U0&amp;row=5486&amp;col=6&amp;number=3.2&amp;sourceID=14","3.2")</f>
        <v>3.2</v>
      </c>
      <c r="G5486" s="4" t="str">
        <f>HYPERLINK("http://141.218.60.56/~jnz1568/getInfo.php?workbook=20_05.xlsx&amp;sheet=U0&amp;row=5486&amp;col=7&amp;number=0.0376&amp;sourceID=14","0.0376")</f>
        <v>0.0376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HYPERLINK("http://141.218.60.56/~jnz1568/getInfo.php?workbook=20_05.xlsx&amp;sheet=U0&amp;row=5487&amp;col=6&amp;number=3.3&amp;sourceID=14","3.3")</f>
        <v>3.3</v>
      </c>
      <c r="G5487" s="4" t="str">
        <f>HYPERLINK("http://141.218.60.56/~jnz1568/getInfo.php?workbook=20_05.xlsx&amp;sheet=U0&amp;row=5487&amp;col=7&amp;number=0.0376&amp;sourceID=14","0.0376")</f>
        <v>0.0376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HYPERLINK("http://141.218.60.56/~jnz1568/getInfo.php?workbook=20_05.xlsx&amp;sheet=U0&amp;row=5488&amp;col=6&amp;number=3.4&amp;sourceID=14","3.4")</f>
        <v>3.4</v>
      </c>
      <c r="G5488" s="4" t="str">
        <f>HYPERLINK("http://141.218.60.56/~jnz1568/getInfo.php?workbook=20_05.xlsx&amp;sheet=U0&amp;row=5488&amp;col=7&amp;number=0.0376&amp;sourceID=14","0.0376")</f>
        <v>0.0376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HYPERLINK("http://141.218.60.56/~jnz1568/getInfo.php?workbook=20_05.xlsx&amp;sheet=U0&amp;row=5489&amp;col=6&amp;number=3.5&amp;sourceID=14","3.5")</f>
        <v>3.5</v>
      </c>
      <c r="G5489" s="4" t="str">
        <f>HYPERLINK("http://141.218.60.56/~jnz1568/getInfo.php?workbook=20_05.xlsx&amp;sheet=U0&amp;row=5489&amp;col=7&amp;number=0.0376&amp;sourceID=14","0.0376")</f>
        <v>0.0376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HYPERLINK("http://141.218.60.56/~jnz1568/getInfo.php?workbook=20_05.xlsx&amp;sheet=U0&amp;row=5490&amp;col=6&amp;number=3.6&amp;sourceID=14","3.6")</f>
        <v>3.6</v>
      </c>
      <c r="G5490" s="4" t="str">
        <f>HYPERLINK("http://141.218.60.56/~jnz1568/getInfo.php?workbook=20_05.xlsx&amp;sheet=U0&amp;row=5490&amp;col=7&amp;number=0.0376&amp;sourceID=14","0.0376")</f>
        <v>0.0376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HYPERLINK("http://141.218.60.56/~jnz1568/getInfo.php?workbook=20_05.xlsx&amp;sheet=U0&amp;row=5491&amp;col=6&amp;number=3.7&amp;sourceID=14","3.7")</f>
        <v>3.7</v>
      </c>
      <c r="G5491" s="4" t="str">
        <f>HYPERLINK("http://141.218.60.56/~jnz1568/getInfo.php?workbook=20_05.xlsx&amp;sheet=U0&amp;row=5491&amp;col=7&amp;number=0.0376&amp;sourceID=14","0.0376")</f>
        <v>0.0376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HYPERLINK("http://141.218.60.56/~jnz1568/getInfo.php?workbook=20_05.xlsx&amp;sheet=U0&amp;row=5492&amp;col=6&amp;number=3.8&amp;sourceID=14","3.8")</f>
        <v>3.8</v>
      </c>
      <c r="G5492" s="4" t="str">
        <f>HYPERLINK("http://141.218.60.56/~jnz1568/getInfo.php?workbook=20_05.xlsx&amp;sheet=U0&amp;row=5492&amp;col=7&amp;number=0.0377&amp;sourceID=14","0.0377")</f>
        <v>0.0377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HYPERLINK("http://141.218.60.56/~jnz1568/getInfo.php?workbook=20_05.xlsx&amp;sheet=U0&amp;row=5493&amp;col=6&amp;number=3.9&amp;sourceID=14","3.9")</f>
        <v>3.9</v>
      </c>
      <c r="G5493" s="4" t="str">
        <f>HYPERLINK("http://141.218.60.56/~jnz1568/getInfo.php?workbook=20_05.xlsx&amp;sheet=U0&amp;row=5493&amp;col=7&amp;number=0.0377&amp;sourceID=14","0.0377")</f>
        <v>0.0377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HYPERLINK("http://141.218.60.56/~jnz1568/getInfo.php?workbook=20_05.xlsx&amp;sheet=U0&amp;row=5494&amp;col=6&amp;number=4&amp;sourceID=14","4")</f>
        <v>4</v>
      </c>
      <c r="G5494" s="4" t="str">
        <f>HYPERLINK("http://141.218.60.56/~jnz1568/getInfo.php?workbook=20_05.xlsx&amp;sheet=U0&amp;row=5494&amp;col=7&amp;number=0.0377&amp;sourceID=14","0.0377")</f>
        <v>0.0377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HYPERLINK("http://141.218.60.56/~jnz1568/getInfo.php?workbook=20_05.xlsx&amp;sheet=U0&amp;row=5495&amp;col=6&amp;number=4.1&amp;sourceID=14","4.1")</f>
        <v>4.1</v>
      </c>
      <c r="G5495" s="4" t="str">
        <f>HYPERLINK("http://141.218.60.56/~jnz1568/getInfo.php?workbook=20_05.xlsx&amp;sheet=U0&amp;row=5495&amp;col=7&amp;number=0.0377&amp;sourceID=14","0.0377")</f>
        <v>0.0377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HYPERLINK("http://141.218.60.56/~jnz1568/getInfo.php?workbook=20_05.xlsx&amp;sheet=U0&amp;row=5496&amp;col=6&amp;number=4.2&amp;sourceID=14","4.2")</f>
        <v>4.2</v>
      </c>
      <c r="G5496" s="4" t="str">
        <f>HYPERLINK("http://141.218.60.56/~jnz1568/getInfo.php?workbook=20_05.xlsx&amp;sheet=U0&amp;row=5496&amp;col=7&amp;number=0.0377&amp;sourceID=14","0.0377")</f>
        <v>0.0377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HYPERLINK("http://141.218.60.56/~jnz1568/getInfo.php?workbook=20_05.xlsx&amp;sheet=U0&amp;row=5497&amp;col=6&amp;number=4.3&amp;sourceID=14","4.3")</f>
        <v>4.3</v>
      </c>
      <c r="G5497" s="4" t="str">
        <f>HYPERLINK("http://141.218.60.56/~jnz1568/getInfo.php?workbook=20_05.xlsx&amp;sheet=U0&amp;row=5497&amp;col=7&amp;number=0.0377&amp;sourceID=14","0.0377")</f>
        <v>0.0377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HYPERLINK("http://141.218.60.56/~jnz1568/getInfo.php?workbook=20_05.xlsx&amp;sheet=U0&amp;row=5498&amp;col=6&amp;number=4.4&amp;sourceID=14","4.4")</f>
        <v>4.4</v>
      </c>
      <c r="G5498" s="4" t="str">
        <f>HYPERLINK("http://141.218.60.56/~jnz1568/getInfo.php?workbook=20_05.xlsx&amp;sheet=U0&amp;row=5498&amp;col=7&amp;number=0.0378&amp;sourceID=14","0.0378")</f>
        <v>0.0378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HYPERLINK("http://141.218.60.56/~jnz1568/getInfo.php?workbook=20_05.xlsx&amp;sheet=U0&amp;row=5499&amp;col=6&amp;number=4.5&amp;sourceID=14","4.5")</f>
        <v>4.5</v>
      </c>
      <c r="G5499" s="4" t="str">
        <f>HYPERLINK("http://141.218.60.56/~jnz1568/getInfo.php?workbook=20_05.xlsx&amp;sheet=U0&amp;row=5499&amp;col=7&amp;number=0.0378&amp;sourceID=14","0.0378")</f>
        <v>0.0378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HYPERLINK("http://141.218.60.56/~jnz1568/getInfo.php?workbook=20_05.xlsx&amp;sheet=U0&amp;row=5500&amp;col=6&amp;number=4.6&amp;sourceID=14","4.6")</f>
        <v>4.6</v>
      </c>
      <c r="G5500" s="4" t="str">
        <f>HYPERLINK("http://141.218.60.56/~jnz1568/getInfo.php?workbook=20_05.xlsx&amp;sheet=U0&amp;row=5500&amp;col=7&amp;number=0.0379&amp;sourceID=14","0.0379")</f>
        <v>0.0379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HYPERLINK("http://141.218.60.56/~jnz1568/getInfo.php?workbook=20_05.xlsx&amp;sheet=U0&amp;row=5501&amp;col=6&amp;number=4.7&amp;sourceID=14","4.7")</f>
        <v>4.7</v>
      </c>
      <c r="G5501" s="4" t="str">
        <f>HYPERLINK("http://141.218.60.56/~jnz1568/getInfo.php?workbook=20_05.xlsx&amp;sheet=U0&amp;row=5501&amp;col=7&amp;number=0.038&amp;sourceID=14","0.038")</f>
        <v>0.038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HYPERLINK("http://141.218.60.56/~jnz1568/getInfo.php?workbook=20_05.xlsx&amp;sheet=U0&amp;row=5502&amp;col=6&amp;number=4.8&amp;sourceID=14","4.8")</f>
        <v>4.8</v>
      </c>
      <c r="G5502" s="4" t="str">
        <f>HYPERLINK("http://141.218.60.56/~jnz1568/getInfo.php?workbook=20_05.xlsx&amp;sheet=U0&amp;row=5502&amp;col=7&amp;number=0.038&amp;sourceID=14","0.038")</f>
        <v>0.038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HYPERLINK("http://141.218.60.56/~jnz1568/getInfo.php?workbook=20_05.xlsx&amp;sheet=U0&amp;row=5503&amp;col=6&amp;number=4.9&amp;sourceID=14","4.9")</f>
        <v>4.9</v>
      </c>
      <c r="G5503" s="4" t="str">
        <f>HYPERLINK("http://141.218.60.56/~jnz1568/getInfo.php?workbook=20_05.xlsx&amp;sheet=U0&amp;row=5503&amp;col=7&amp;number=0.0382&amp;sourceID=14","0.0382")</f>
        <v>0.0382</v>
      </c>
    </row>
    <row r="5504" spans="1:7">
      <c r="A5504" s="3">
        <v>20</v>
      </c>
      <c r="B5504" s="3">
        <v>5</v>
      </c>
      <c r="C5504" s="3">
        <v>2</v>
      </c>
      <c r="D5504" s="3">
        <v>122</v>
      </c>
      <c r="E5504" s="3">
        <v>1</v>
      </c>
      <c r="F5504" s="4" t="str">
        <f>HYPERLINK("http://141.218.60.56/~jnz1568/getInfo.php?workbook=20_05.xlsx&amp;sheet=U0&amp;row=5504&amp;col=6&amp;number=3&amp;sourceID=14","3")</f>
        <v>3</v>
      </c>
      <c r="G5504" s="4" t="str">
        <f>HYPERLINK("http://141.218.60.56/~jnz1568/getInfo.php?workbook=20_05.xlsx&amp;sheet=U0&amp;row=5504&amp;col=7&amp;number=0.0109&amp;sourceID=14","0.0109")</f>
        <v>0.0109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HYPERLINK("http://141.218.60.56/~jnz1568/getInfo.php?workbook=20_05.xlsx&amp;sheet=U0&amp;row=5505&amp;col=6&amp;number=3.1&amp;sourceID=14","3.1")</f>
        <v>3.1</v>
      </c>
      <c r="G5505" s="4" t="str">
        <f>HYPERLINK("http://141.218.60.56/~jnz1568/getInfo.php?workbook=20_05.xlsx&amp;sheet=U0&amp;row=5505&amp;col=7&amp;number=0.0109&amp;sourceID=14","0.0109")</f>
        <v>0.0109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HYPERLINK("http://141.218.60.56/~jnz1568/getInfo.php?workbook=20_05.xlsx&amp;sheet=U0&amp;row=5506&amp;col=6&amp;number=3.2&amp;sourceID=14","3.2")</f>
        <v>3.2</v>
      </c>
      <c r="G5506" s="4" t="str">
        <f>HYPERLINK("http://141.218.60.56/~jnz1568/getInfo.php?workbook=20_05.xlsx&amp;sheet=U0&amp;row=5506&amp;col=7&amp;number=0.0109&amp;sourceID=14","0.0109")</f>
        <v>0.0109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HYPERLINK("http://141.218.60.56/~jnz1568/getInfo.php?workbook=20_05.xlsx&amp;sheet=U0&amp;row=5507&amp;col=6&amp;number=3.3&amp;sourceID=14","3.3")</f>
        <v>3.3</v>
      </c>
      <c r="G5507" s="4" t="str">
        <f>HYPERLINK("http://141.218.60.56/~jnz1568/getInfo.php?workbook=20_05.xlsx&amp;sheet=U0&amp;row=5507&amp;col=7&amp;number=0.0109&amp;sourceID=14","0.0109")</f>
        <v>0.0109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HYPERLINK("http://141.218.60.56/~jnz1568/getInfo.php?workbook=20_05.xlsx&amp;sheet=U0&amp;row=5508&amp;col=6&amp;number=3.4&amp;sourceID=14","3.4")</f>
        <v>3.4</v>
      </c>
      <c r="G5508" s="4" t="str">
        <f>HYPERLINK("http://141.218.60.56/~jnz1568/getInfo.php?workbook=20_05.xlsx&amp;sheet=U0&amp;row=5508&amp;col=7&amp;number=0.0109&amp;sourceID=14","0.0109")</f>
        <v>0.0109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HYPERLINK("http://141.218.60.56/~jnz1568/getInfo.php?workbook=20_05.xlsx&amp;sheet=U0&amp;row=5509&amp;col=6&amp;number=3.5&amp;sourceID=14","3.5")</f>
        <v>3.5</v>
      </c>
      <c r="G5509" s="4" t="str">
        <f>HYPERLINK("http://141.218.60.56/~jnz1568/getInfo.php?workbook=20_05.xlsx&amp;sheet=U0&amp;row=5509&amp;col=7&amp;number=0.0109&amp;sourceID=14","0.0109")</f>
        <v>0.0109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HYPERLINK("http://141.218.60.56/~jnz1568/getInfo.php?workbook=20_05.xlsx&amp;sheet=U0&amp;row=5510&amp;col=6&amp;number=3.6&amp;sourceID=14","3.6")</f>
        <v>3.6</v>
      </c>
      <c r="G5510" s="4" t="str">
        <f>HYPERLINK("http://141.218.60.56/~jnz1568/getInfo.php?workbook=20_05.xlsx&amp;sheet=U0&amp;row=5510&amp;col=7&amp;number=0.0109&amp;sourceID=14","0.0109")</f>
        <v>0.0109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HYPERLINK("http://141.218.60.56/~jnz1568/getInfo.php?workbook=20_05.xlsx&amp;sheet=U0&amp;row=5511&amp;col=6&amp;number=3.7&amp;sourceID=14","3.7")</f>
        <v>3.7</v>
      </c>
      <c r="G5511" s="4" t="str">
        <f>HYPERLINK("http://141.218.60.56/~jnz1568/getInfo.php?workbook=20_05.xlsx&amp;sheet=U0&amp;row=5511&amp;col=7&amp;number=0.0109&amp;sourceID=14","0.0109")</f>
        <v>0.0109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HYPERLINK("http://141.218.60.56/~jnz1568/getInfo.php?workbook=20_05.xlsx&amp;sheet=U0&amp;row=5512&amp;col=6&amp;number=3.8&amp;sourceID=14","3.8")</f>
        <v>3.8</v>
      </c>
      <c r="G5512" s="4" t="str">
        <f>HYPERLINK("http://141.218.60.56/~jnz1568/getInfo.php?workbook=20_05.xlsx&amp;sheet=U0&amp;row=5512&amp;col=7&amp;number=0.0109&amp;sourceID=14","0.0109")</f>
        <v>0.0109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HYPERLINK("http://141.218.60.56/~jnz1568/getInfo.php?workbook=20_05.xlsx&amp;sheet=U0&amp;row=5513&amp;col=6&amp;number=3.9&amp;sourceID=14","3.9")</f>
        <v>3.9</v>
      </c>
      <c r="G5513" s="4" t="str">
        <f>HYPERLINK("http://141.218.60.56/~jnz1568/getInfo.php?workbook=20_05.xlsx&amp;sheet=U0&amp;row=5513&amp;col=7&amp;number=0.0109&amp;sourceID=14","0.0109")</f>
        <v>0.0109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HYPERLINK("http://141.218.60.56/~jnz1568/getInfo.php?workbook=20_05.xlsx&amp;sheet=U0&amp;row=5514&amp;col=6&amp;number=4&amp;sourceID=14","4")</f>
        <v>4</v>
      </c>
      <c r="G5514" s="4" t="str">
        <f>HYPERLINK("http://141.218.60.56/~jnz1568/getInfo.php?workbook=20_05.xlsx&amp;sheet=U0&amp;row=5514&amp;col=7&amp;number=0.0109&amp;sourceID=14","0.0109")</f>
        <v>0.0109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HYPERLINK("http://141.218.60.56/~jnz1568/getInfo.php?workbook=20_05.xlsx&amp;sheet=U0&amp;row=5515&amp;col=6&amp;number=4.1&amp;sourceID=14","4.1")</f>
        <v>4.1</v>
      </c>
      <c r="G5515" s="4" t="str">
        <f>HYPERLINK("http://141.218.60.56/~jnz1568/getInfo.php?workbook=20_05.xlsx&amp;sheet=U0&amp;row=5515&amp;col=7&amp;number=0.0109&amp;sourceID=14","0.0109")</f>
        <v>0.0109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HYPERLINK("http://141.218.60.56/~jnz1568/getInfo.php?workbook=20_05.xlsx&amp;sheet=U0&amp;row=5516&amp;col=6&amp;number=4.2&amp;sourceID=14","4.2")</f>
        <v>4.2</v>
      </c>
      <c r="G5516" s="4" t="str">
        <f>HYPERLINK("http://141.218.60.56/~jnz1568/getInfo.php?workbook=20_05.xlsx&amp;sheet=U0&amp;row=5516&amp;col=7&amp;number=0.0109&amp;sourceID=14","0.0109")</f>
        <v>0.0109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HYPERLINK("http://141.218.60.56/~jnz1568/getInfo.php?workbook=20_05.xlsx&amp;sheet=U0&amp;row=5517&amp;col=6&amp;number=4.3&amp;sourceID=14","4.3")</f>
        <v>4.3</v>
      </c>
      <c r="G5517" s="4" t="str">
        <f>HYPERLINK("http://141.218.60.56/~jnz1568/getInfo.php?workbook=20_05.xlsx&amp;sheet=U0&amp;row=5517&amp;col=7&amp;number=0.0109&amp;sourceID=14","0.0109")</f>
        <v>0.0109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HYPERLINK("http://141.218.60.56/~jnz1568/getInfo.php?workbook=20_05.xlsx&amp;sheet=U0&amp;row=5518&amp;col=6&amp;number=4.4&amp;sourceID=14","4.4")</f>
        <v>4.4</v>
      </c>
      <c r="G5518" s="4" t="str">
        <f>HYPERLINK("http://141.218.60.56/~jnz1568/getInfo.php?workbook=20_05.xlsx&amp;sheet=U0&amp;row=5518&amp;col=7&amp;number=0.0109&amp;sourceID=14","0.0109")</f>
        <v>0.0109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HYPERLINK("http://141.218.60.56/~jnz1568/getInfo.php?workbook=20_05.xlsx&amp;sheet=U0&amp;row=5519&amp;col=6&amp;number=4.5&amp;sourceID=14","4.5")</f>
        <v>4.5</v>
      </c>
      <c r="G5519" s="4" t="str">
        <f>HYPERLINK("http://141.218.60.56/~jnz1568/getInfo.php?workbook=20_05.xlsx&amp;sheet=U0&amp;row=5519&amp;col=7&amp;number=0.011&amp;sourceID=14","0.011")</f>
        <v>0.011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HYPERLINK("http://141.218.60.56/~jnz1568/getInfo.php?workbook=20_05.xlsx&amp;sheet=U0&amp;row=5520&amp;col=6&amp;number=4.6&amp;sourceID=14","4.6")</f>
        <v>4.6</v>
      </c>
      <c r="G5520" s="4" t="str">
        <f>HYPERLINK("http://141.218.60.56/~jnz1568/getInfo.php?workbook=20_05.xlsx&amp;sheet=U0&amp;row=5520&amp;col=7&amp;number=0.011&amp;sourceID=14","0.011")</f>
        <v>0.011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HYPERLINK("http://141.218.60.56/~jnz1568/getInfo.php?workbook=20_05.xlsx&amp;sheet=U0&amp;row=5521&amp;col=6&amp;number=4.7&amp;sourceID=14","4.7")</f>
        <v>4.7</v>
      </c>
      <c r="G5521" s="4" t="str">
        <f>HYPERLINK("http://141.218.60.56/~jnz1568/getInfo.php?workbook=20_05.xlsx&amp;sheet=U0&amp;row=5521&amp;col=7&amp;number=0.011&amp;sourceID=14","0.011")</f>
        <v>0.011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HYPERLINK("http://141.218.60.56/~jnz1568/getInfo.php?workbook=20_05.xlsx&amp;sheet=U0&amp;row=5522&amp;col=6&amp;number=4.8&amp;sourceID=14","4.8")</f>
        <v>4.8</v>
      </c>
      <c r="G5522" s="4" t="str">
        <f>HYPERLINK("http://141.218.60.56/~jnz1568/getInfo.php?workbook=20_05.xlsx&amp;sheet=U0&amp;row=5522&amp;col=7&amp;number=0.011&amp;sourceID=14","0.011")</f>
        <v>0.011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HYPERLINK("http://141.218.60.56/~jnz1568/getInfo.php?workbook=20_05.xlsx&amp;sheet=U0&amp;row=5523&amp;col=6&amp;number=4.9&amp;sourceID=14","4.9")</f>
        <v>4.9</v>
      </c>
      <c r="G5523" s="4" t="str">
        <f>HYPERLINK("http://141.218.60.56/~jnz1568/getInfo.php?workbook=20_05.xlsx&amp;sheet=U0&amp;row=5523&amp;col=7&amp;number=0.011&amp;sourceID=14","0.011")</f>
        <v>0.011</v>
      </c>
    </row>
    <row r="5524" spans="1:7">
      <c r="A5524" s="3">
        <v>20</v>
      </c>
      <c r="B5524" s="3">
        <v>5</v>
      </c>
      <c r="C5524" s="3">
        <v>2</v>
      </c>
      <c r="D5524" s="3">
        <v>123</v>
      </c>
      <c r="E5524" s="3">
        <v>1</v>
      </c>
      <c r="F5524" s="4" t="str">
        <f>HYPERLINK("http://141.218.60.56/~jnz1568/getInfo.php?workbook=20_05.xlsx&amp;sheet=U0&amp;row=5524&amp;col=6&amp;number=3&amp;sourceID=14","3")</f>
        <v>3</v>
      </c>
      <c r="G5524" s="4" t="str">
        <f>HYPERLINK("http://141.218.60.56/~jnz1568/getInfo.php?workbook=20_05.xlsx&amp;sheet=U0&amp;row=5524&amp;col=7&amp;number=0.000244&amp;sourceID=14","0.000244")</f>
        <v>0.000244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HYPERLINK("http://141.218.60.56/~jnz1568/getInfo.php?workbook=20_05.xlsx&amp;sheet=U0&amp;row=5525&amp;col=6&amp;number=3.1&amp;sourceID=14","3.1")</f>
        <v>3.1</v>
      </c>
      <c r="G5525" s="4" t="str">
        <f>HYPERLINK("http://141.218.60.56/~jnz1568/getInfo.php?workbook=20_05.xlsx&amp;sheet=U0&amp;row=5525&amp;col=7&amp;number=0.000244&amp;sourceID=14","0.000244")</f>
        <v>0.000244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HYPERLINK("http://141.218.60.56/~jnz1568/getInfo.php?workbook=20_05.xlsx&amp;sheet=U0&amp;row=5526&amp;col=6&amp;number=3.2&amp;sourceID=14","3.2")</f>
        <v>3.2</v>
      </c>
      <c r="G5526" s="4" t="str">
        <f>HYPERLINK("http://141.218.60.56/~jnz1568/getInfo.php?workbook=20_05.xlsx&amp;sheet=U0&amp;row=5526&amp;col=7&amp;number=0.000244&amp;sourceID=14","0.000244")</f>
        <v>0.000244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HYPERLINK("http://141.218.60.56/~jnz1568/getInfo.php?workbook=20_05.xlsx&amp;sheet=U0&amp;row=5527&amp;col=6&amp;number=3.3&amp;sourceID=14","3.3")</f>
        <v>3.3</v>
      </c>
      <c r="G5527" s="4" t="str">
        <f>HYPERLINK("http://141.218.60.56/~jnz1568/getInfo.php?workbook=20_05.xlsx&amp;sheet=U0&amp;row=5527&amp;col=7&amp;number=0.000244&amp;sourceID=14","0.000244")</f>
        <v>0.000244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HYPERLINK("http://141.218.60.56/~jnz1568/getInfo.php?workbook=20_05.xlsx&amp;sheet=U0&amp;row=5528&amp;col=6&amp;number=3.4&amp;sourceID=14","3.4")</f>
        <v>3.4</v>
      </c>
      <c r="G5528" s="4" t="str">
        <f>HYPERLINK("http://141.218.60.56/~jnz1568/getInfo.php?workbook=20_05.xlsx&amp;sheet=U0&amp;row=5528&amp;col=7&amp;number=0.000244&amp;sourceID=14","0.000244")</f>
        <v>0.000244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HYPERLINK("http://141.218.60.56/~jnz1568/getInfo.php?workbook=20_05.xlsx&amp;sheet=U0&amp;row=5529&amp;col=6&amp;number=3.5&amp;sourceID=14","3.5")</f>
        <v>3.5</v>
      </c>
      <c r="G5529" s="4" t="str">
        <f>HYPERLINK("http://141.218.60.56/~jnz1568/getInfo.php?workbook=20_05.xlsx&amp;sheet=U0&amp;row=5529&amp;col=7&amp;number=0.000244&amp;sourceID=14","0.000244")</f>
        <v>0.000244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HYPERLINK("http://141.218.60.56/~jnz1568/getInfo.php?workbook=20_05.xlsx&amp;sheet=U0&amp;row=5530&amp;col=6&amp;number=3.6&amp;sourceID=14","3.6")</f>
        <v>3.6</v>
      </c>
      <c r="G5530" s="4" t="str">
        <f>HYPERLINK("http://141.218.60.56/~jnz1568/getInfo.php?workbook=20_05.xlsx&amp;sheet=U0&amp;row=5530&amp;col=7&amp;number=0.000244&amp;sourceID=14","0.000244")</f>
        <v>0.000244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HYPERLINK("http://141.218.60.56/~jnz1568/getInfo.php?workbook=20_05.xlsx&amp;sheet=U0&amp;row=5531&amp;col=6&amp;number=3.7&amp;sourceID=14","3.7")</f>
        <v>3.7</v>
      </c>
      <c r="G5531" s="4" t="str">
        <f>HYPERLINK("http://141.218.60.56/~jnz1568/getInfo.php?workbook=20_05.xlsx&amp;sheet=U0&amp;row=5531&amp;col=7&amp;number=0.000244&amp;sourceID=14","0.000244")</f>
        <v>0.000244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HYPERLINK("http://141.218.60.56/~jnz1568/getInfo.php?workbook=20_05.xlsx&amp;sheet=U0&amp;row=5532&amp;col=6&amp;number=3.8&amp;sourceID=14","3.8")</f>
        <v>3.8</v>
      </c>
      <c r="G5532" s="4" t="str">
        <f>HYPERLINK("http://141.218.60.56/~jnz1568/getInfo.php?workbook=20_05.xlsx&amp;sheet=U0&amp;row=5532&amp;col=7&amp;number=0.000243&amp;sourceID=14","0.000243")</f>
        <v>0.000243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HYPERLINK("http://141.218.60.56/~jnz1568/getInfo.php?workbook=20_05.xlsx&amp;sheet=U0&amp;row=5533&amp;col=6&amp;number=3.9&amp;sourceID=14","3.9")</f>
        <v>3.9</v>
      </c>
      <c r="G5533" s="4" t="str">
        <f>HYPERLINK("http://141.218.60.56/~jnz1568/getInfo.php?workbook=20_05.xlsx&amp;sheet=U0&amp;row=5533&amp;col=7&amp;number=0.000243&amp;sourceID=14","0.000243")</f>
        <v>0.000243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HYPERLINK("http://141.218.60.56/~jnz1568/getInfo.php?workbook=20_05.xlsx&amp;sheet=U0&amp;row=5534&amp;col=6&amp;number=4&amp;sourceID=14","4")</f>
        <v>4</v>
      </c>
      <c r="G5534" s="4" t="str">
        <f>HYPERLINK("http://141.218.60.56/~jnz1568/getInfo.php?workbook=20_05.xlsx&amp;sheet=U0&amp;row=5534&amp;col=7&amp;number=0.000243&amp;sourceID=14","0.000243")</f>
        <v>0.000243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HYPERLINK("http://141.218.60.56/~jnz1568/getInfo.php?workbook=20_05.xlsx&amp;sheet=U0&amp;row=5535&amp;col=6&amp;number=4.1&amp;sourceID=14","4.1")</f>
        <v>4.1</v>
      </c>
      <c r="G5535" s="4" t="str">
        <f>HYPERLINK("http://141.218.60.56/~jnz1568/getInfo.php?workbook=20_05.xlsx&amp;sheet=U0&amp;row=5535&amp;col=7&amp;number=0.000243&amp;sourceID=14","0.000243")</f>
        <v>0.000243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HYPERLINK("http://141.218.60.56/~jnz1568/getInfo.php?workbook=20_05.xlsx&amp;sheet=U0&amp;row=5536&amp;col=6&amp;number=4.2&amp;sourceID=14","4.2")</f>
        <v>4.2</v>
      </c>
      <c r="G5536" s="4" t="str">
        <f>HYPERLINK("http://141.218.60.56/~jnz1568/getInfo.php?workbook=20_05.xlsx&amp;sheet=U0&amp;row=5536&amp;col=7&amp;number=0.000243&amp;sourceID=14","0.000243")</f>
        <v>0.000243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HYPERLINK("http://141.218.60.56/~jnz1568/getInfo.php?workbook=20_05.xlsx&amp;sheet=U0&amp;row=5537&amp;col=6&amp;number=4.3&amp;sourceID=14","4.3")</f>
        <v>4.3</v>
      </c>
      <c r="G5537" s="4" t="str">
        <f>HYPERLINK("http://141.218.60.56/~jnz1568/getInfo.php?workbook=20_05.xlsx&amp;sheet=U0&amp;row=5537&amp;col=7&amp;number=0.000243&amp;sourceID=14","0.000243")</f>
        <v>0.000243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HYPERLINK("http://141.218.60.56/~jnz1568/getInfo.php?workbook=20_05.xlsx&amp;sheet=U0&amp;row=5538&amp;col=6&amp;number=4.4&amp;sourceID=14","4.4")</f>
        <v>4.4</v>
      </c>
      <c r="G5538" s="4" t="str">
        <f>HYPERLINK("http://141.218.60.56/~jnz1568/getInfo.php?workbook=20_05.xlsx&amp;sheet=U0&amp;row=5538&amp;col=7&amp;number=0.000243&amp;sourceID=14","0.000243")</f>
        <v>0.000243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HYPERLINK("http://141.218.60.56/~jnz1568/getInfo.php?workbook=20_05.xlsx&amp;sheet=U0&amp;row=5539&amp;col=6&amp;number=4.5&amp;sourceID=14","4.5")</f>
        <v>4.5</v>
      </c>
      <c r="G5539" s="4" t="str">
        <f>HYPERLINK("http://141.218.60.56/~jnz1568/getInfo.php?workbook=20_05.xlsx&amp;sheet=U0&amp;row=5539&amp;col=7&amp;number=0.000243&amp;sourceID=14","0.000243")</f>
        <v>0.000243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HYPERLINK("http://141.218.60.56/~jnz1568/getInfo.php?workbook=20_05.xlsx&amp;sheet=U0&amp;row=5540&amp;col=6&amp;number=4.6&amp;sourceID=14","4.6")</f>
        <v>4.6</v>
      </c>
      <c r="G5540" s="4" t="str">
        <f>HYPERLINK("http://141.218.60.56/~jnz1568/getInfo.php?workbook=20_05.xlsx&amp;sheet=U0&amp;row=5540&amp;col=7&amp;number=0.000242&amp;sourceID=14","0.000242")</f>
        <v>0.000242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HYPERLINK("http://141.218.60.56/~jnz1568/getInfo.php?workbook=20_05.xlsx&amp;sheet=U0&amp;row=5541&amp;col=6&amp;number=4.7&amp;sourceID=14","4.7")</f>
        <v>4.7</v>
      </c>
      <c r="G5541" s="4" t="str">
        <f>HYPERLINK("http://141.218.60.56/~jnz1568/getInfo.php?workbook=20_05.xlsx&amp;sheet=U0&amp;row=5541&amp;col=7&amp;number=0.000242&amp;sourceID=14","0.000242")</f>
        <v>0.000242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HYPERLINK("http://141.218.60.56/~jnz1568/getInfo.php?workbook=20_05.xlsx&amp;sheet=U0&amp;row=5542&amp;col=6&amp;number=4.8&amp;sourceID=14","4.8")</f>
        <v>4.8</v>
      </c>
      <c r="G5542" s="4" t="str">
        <f>HYPERLINK("http://141.218.60.56/~jnz1568/getInfo.php?workbook=20_05.xlsx&amp;sheet=U0&amp;row=5542&amp;col=7&amp;number=0.000242&amp;sourceID=14","0.000242")</f>
        <v>0.000242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HYPERLINK("http://141.218.60.56/~jnz1568/getInfo.php?workbook=20_05.xlsx&amp;sheet=U0&amp;row=5543&amp;col=6&amp;number=4.9&amp;sourceID=14","4.9")</f>
        <v>4.9</v>
      </c>
      <c r="G5543" s="4" t="str">
        <f>HYPERLINK("http://141.218.60.56/~jnz1568/getInfo.php?workbook=20_05.xlsx&amp;sheet=U0&amp;row=5543&amp;col=7&amp;number=0.000241&amp;sourceID=14","0.000241")</f>
        <v>0.000241</v>
      </c>
    </row>
    <row r="5544" spans="1:7">
      <c r="A5544" s="3">
        <v>20</v>
      </c>
      <c r="B5544" s="3">
        <v>5</v>
      </c>
      <c r="C5544" s="3">
        <v>2</v>
      </c>
      <c r="D5544" s="3">
        <v>124</v>
      </c>
      <c r="E5544" s="3">
        <v>1</v>
      </c>
      <c r="F5544" s="4" t="str">
        <f>HYPERLINK("http://141.218.60.56/~jnz1568/getInfo.php?workbook=20_05.xlsx&amp;sheet=U0&amp;row=5544&amp;col=6&amp;number=3&amp;sourceID=14","3")</f>
        <v>3</v>
      </c>
      <c r="G5544" s="4" t="str">
        <f>HYPERLINK("http://141.218.60.56/~jnz1568/getInfo.php?workbook=20_05.xlsx&amp;sheet=U0&amp;row=5544&amp;col=7&amp;number=0.000641&amp;sourceID=14","0.000641")</f>
        <v>0.000641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HYPERLINK("http://141.218.60.56/~jnz1568/getInfo.php?workbook=20_05.xlsx&amp;sheet=U0&amp;row=5545&amp;col=6&amp;number=3.1&amp;sourceID=14","3.1")</f>
        <v>3.1</v>
      </c>
      <c r="G5545" s="4" t="str">
        <f>HYPERLINK("http://141.218.60.56/~jnz1568/getInfo.php?workbook=20_05.xlsx&amp;sheet=U0&amp;row=5545&amp;col=7&amp;number=0.000641&amp;sourceID=14","0.000641")</f>
        <v>0.000641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HYPERLINK("http://141.218.60.56/~jnz1568/getInfo.php?workbook=20_05.xlsx&amp;sheet=U0&amp;row=5546&amp;col=6&amp;number=3.2&amp;sourceID=14","3.2")</f>
        <v>3.2</v>
      </c>
      <c r="G5546" s="4" t="str">
        <f>HYPERLINK("http://141.218.60.56/~jnz1568/getInfo.php?workbook=20_05.xlsx&amp;sheet=U0&amp;row=5546&amp;col=7&amp;number=0.000641&amp;sourceID=14","0.000641")</f>
        <v>0.000641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HYPERLINK("http://141.218.60.56/~jnz1568/getInfo.php?workbook=20_05.xlsx&amp;sheet=U0&amp;row=5547&amp;col=6&amp;number=3.3&amp;sourceID=14","3.3")</f>
        <v>3.3</v>
      </c>
      <c r="G5547" s="4" t="str">
        <f>HYPERLINK("http://141.218.60.56/~jnz1568/getInfo.php?workbook=20_05.xlsx&amp;sheet=U0&amp;row=5547&amp;col=7&amp;number=0.000641&amp;sourceID=14","0.000641")</f>
        <v>0.000641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HYPERLINK("http://141.218.60.56/~jnz1568/getInfo.php?workbook=20_05.xlsx&amp;sheet=U0&amp;row=5548&amp;col=6&amp;number=3.4&amp;sourceID=14","3.4")</f>
        <v>3.4</v>
      </c>
      <c r="G5548" s="4" t="str">
        <f>HYPERLINK("http://141.218.60.56/~jnz1568/getInfo.php?workbook=20_05.xlsx&amp;sheet=U0&amp;row=5548&amp;col=7&amp;number=0.000641&amp;sourceID=14","0.000641")</f>
        <v>0.000641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HYPERLINK("http://141.218.60.56/~jnz1568/getInfo.php?workbook=20_05.xlsx&amp;sheet=U0&amp;row=5549&amp;col=6&amp;number=3.5&amp;sourceID=14","3.5")</f>
        <v>3.5</v>
      </c>
      <c r="G5549" s="4" t="str">
        <f>HYPERLINK("http://141.218.60.56/~jnz1568/getInfo.php?workbook=20_05.xlsx&amp;sheet=U0&amp;row=5549&amp;col=7&amp;number=0.000641&amp;sourceID=14","0.000641")</f>
        <v>0.000641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HYPERLINK("http://141.218.60.56/~jnz1568/getInfo.php?workbook=20_05.xlsx&amp;sheet=U0&amp;row=5550&amp;col=6&amp;number=3.6&amp;sourceID=14","3.6")</f>
        <v>3.6</v>
      </c>
      <c r="G5550" s="4" t="str">
        <f>HYPERLINK("http://141.218.60.56/~jnz1568/getInfo.php?workbook=20_05.xlsx&amp;sheet=U0&amp;row=5550&amp;col=7&amp;number=0.000641&amp;sourceID=14","0.000641")</f>
        <v>0.000641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HYPERLINK("http://141.218.60.56/~jnz1568/getInfo.php?workbook=20_05.xlsx&amp;sheet=U0&amp;row=5551&amp;col=6&amp;number=3.7&amp;sourceID=14","3.7")</f>
        <v>3.7</v>
      </c>
      <c r="G5551" s="4" t="str">
        <f>HYPERLINK("http://141.218.60.56/~jnz1568/getInfo.php?workbook=20_05.xlsx&amp;sheet=U0&amp;row=5551&amp;col=7&amp;number=0.000641&amp;sourceID=14","0.000641")</f>
        <v>0.000641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HYPERLINK("http://141.218.60.56/~jnz1568/getInfo.php?workbook=20_05.xlsx&amp;sheet=U0&amp;row=5552&amp;col=6&amp;number=3.8&amp;sourceID=14","3.8")</f>
        <v>3.8</v>
      </c>
      <c r="G5552" s="4" t="str">
        <f>HYPERLINK("http://141.218.60.56/~jnz1568/getInfo.php?workbook=20_05.xlsx&amp;sheet=U0&amp;row=5552&amp;col=7&amp;number=0.000641&amp;sourceID=14","0.000641")</f>
        <v>0.000641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HYPERLINK("http://141.218.60.56/~jnz1568/getInfo.php?workbook=20_05.xlsx&amp;sheet=U0&amp;row=5553&amp;col=6&amp;number=3.9&amp;sourceID=14","3.9")</f>
        <v>3.9</v>
      </c>
      <c r="G5553" s="4" t="str">
        <f>HYPERLINK("http://141.218.60.56/~jnz1568/getInfo.php?workbook=20_05.xlsx&amp;sheet=U0&amp;row=5553&amp;col=7&amp;number=0.000641&amp;sourceID=14","0.000641")</f>
        <v>0.000641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HYPERLINK("http://141.218.60.56/~jnz1568/getInfo.php?workbook=20_05.xlsx&amp;sheet=U0&amp;row=5554&amp;col=6&amp;number=4&amp;sourceID=14","4")</f>
        <v>4</v>
      </c>
      <c r="G5554" s="4" t="str">
        <f>HYPERLINK("http://141.218.60.56/~jnz1568/getInfo.php?workbook=20_05.xlsx&amp;sheet=U0&amp;row=5554&amp;col=7&amp;number=0.000641&amp;sourceID=14","0.000641")</f>
        <v>0.000641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HYPERLINK("http://141.218.60.56/~jnz1568/getInfo.php?workbook=20_05.xlsx&amp;sheet=U0&amp;row=5555&amp;col=6&amp;number=4.1&amp;sourceID=14","4.1")</f>
        <v>4.1</v>
      </c>
      <c r="G5555" s="4" t="str">
        <f>HYPERLINK("http://141.218.60.56/~jnz1568/getInfo.php?workbook=20_05.xlsx&amp;sheet=U0&amp;row=5555&amp;col=7&amp;number=0.000641&amp;sourceID=14","0.000641")</f>
        <v>0.000641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HYPERLINK("http://141.218.60.56/~jnz1568/getInfo.php?workbook=20_05.xlsx&amp;sheet=U0&amp;row=5556&amp;col=6&amp;number=4.2&amp;sourceID=14","4.2")</f>
        <v>4.2</v>
      </c>
      <c r="G5556" s="4" t="str">
        <f>HYPERLINK("http://141.218.60.56/~jnz1568/getInfo.php?workbook=20_05.xlsx&amp;sheet=U0&amp;row=5556&amp;col=7&amp;number=0.000641&amp;sourceID=14","0.000641")</f>
        <v>0.000641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HYPERLINK("http://141.218.60.56/~jnz1568/getInfo.php?workbook=20_05.xlsx&amp;sheet=U0&amp;row=5557&amp;col=6&amp;number=4.3&amp;sourceID=14","4.3")</f>
        <v>4.3</v>
      </c>
      <c r="G5557" s="4" t="str">
        <f>HYPERLINK("http://141.218.60.56/~jnz1568/getInfo.php?workbook=20_05.xlsx&amp;sheet=U0&amp;row=5557&amp;col=7&amp;number=0.000641&amp;sourceID=14","0.000641")</f>
        <v>0.000641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HYPERLINK("http://141.218.60.56/~jnz1568/getInfo.php?workbook=20_05.xlsx&amp;sheet=U0&amp;row=5558&amp;col=6&amp;number=4.4&amp;sourceID=14","4.4")</f>
        <v>4.4</v>
      </c>
      <c r="G5558" s="4" t="str">
        <f>HYPERLINK("http://141.218.60.56/~jnz1568/getInfo.php?workbook=20_05.xlsx&amp;sheet=U0&amp;row=5558&amp;col=7&amp;number=0.000641&amp;sourceID=14","0.000641")</f>
        <v>0.000641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HYPERLINK("http://141.218.60.56/~jnz1568/getInfo.php?workbook=20_05.xlsx&amp;sheet=U0&amp;row=5559&amp;col=6&amp;number=4.5&amp;sourceID=14","4.5")</f>
        <v>4.5</v>
      </c>
      <c r="G5559" s="4" t="str">
        <f>HYPERLINK("http://141.218.60.56/~jnz1568/getInfo.php?workbook=20_05.xlsx&amp;sheet=U0&amp;row=5559&amp;col=7&amp;number=0.000641&amp;sourceID=14","0.000641")</f>
        <v>0.000641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HYPERLINK("http://141.218.60.56/~jnz1568/getInfo.php?workbook=20_05.xlsx&amp;sheet=U0&amp;row=5560&amp;col=6&amp;number=4.6&amp;sourceID=14","4.6")</f>
        <v>4.6</v>
      </c>
      <c r="G5560" s="4" t="str">
        <f>HYPERLINK("http://141.218.60.56/~jnz1568/getInfo.php?workbook=20_05.xlsx&amp;sheet=U0&amp;row=5560&amp;col=7&amp;number=0.000642&amp;sourceID=14","0.000642")</f>
        <v>0.000642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HYPERLINK("http://141.218.60.56/~jnz1568/getInfo.php?workbook=20_05.xlsx&amp;sheet=U0&amp;row=5561&amp;col=6&amp;number=4.7&amp;sourceID=14","4.7")</f>
        <v>4.7</v>
      </c>
      <c r="G5561" s="4" t="str">
        <f>HYPERLINK("http://141.218.60.56/~jnz1568/getInfo.php?workbook=20_05.xlsx&amp;sheet=U0&amp;row=5561&amp;col=7&amp;number=0.000642&amp;sourceID=14","0.000642")</f>
        <v>0.000642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HYPERLINK("http://141.218.60.56/~jnz1568/getInfo.php?workbook=20_05.xlsx&amp;sheet=U0&amp;row=5562&amp;col=6&amp;number=4.8&amp;sourceID=14","4.8")</f>
        <v>4.8</v>
      </c>
      <c r="G5562" s="4" t="str">
        <f>HYPERLINK("http://141.218.60.56/~jnz1568/getInfo.php?workbook=20_05.xlsx&amp;sheet=U0&amp;row=5562&amp;col=7&amp;number=0.000642&amp;sourceID=14","0.000642")</f>
        <v>0.000642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HYPERLINK("http://141.218.60.56/~jnz1568/getInfo.php?workbook=20_05.xlsx&amp;sheet=U0&amp;row=5563&amp;col=6&amp;number=4.9&amp;sourceID=14","4.9")</f>
        <v>4.9</v>
      </c>
      <c r="G5563" s="4" t="str">
        <f>HYPERLINK("http://141.218.60.56/~jnz1568/getInfo.php?workbook=20_05.xlsx&amp;sheet=U0&amp;row=5563&amp;col=7&amp;number=0.000642&amp;sourceID=14","0.000642")</f>
        <v>0.000642</v>
      </c>
    </row>
    <row r="5564" spans="1:7">
      <c r="A5564" s="3">
        <v>20</v>
      </c>
      <c r="B5564" s="3">
        <v>5</v>
      </c>
      <c r="C5564" s="3">
        <v>3</v>
      </c>
      <c r="D5564" s="3">
        <v>16</v>
      </c>
      <c r="E5564" s="3">
        <v>1</v>
      </c>
      <c r="F5564" s="4" t="str">
        <f>HYPERLINK("http://141.218.60.56/~jnz1568/getInfo.php?workbook=20_05.xlsx&amp;sheet=U0&amp;row=5564&amp;col=6&amp;number=3&amp;sourceID=14","3")</f>
        <v>3</v>
      </c>
      <c r="G5564" s="4" t="str">
        <f>HYPERLINK("http://141.218.60.56/~jnz1568/getInfo.php?workbook=20_05.xlsx&amp;sheet=U0&amp;row=5564&amp;col=7&amp;number=3.17e-06&amp;sourceID=14","3.17e-06")</f>
        <v>3.17e-06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HYPERLINK("http://141.218.60.56/~jnz1568/getInfo.php?workbook=20_05.xlsx&amp;sheet=U0&amp;row=5565&amp;col=6&amp;number=3.1&amp;sourceID=14","3.1")</f>
        <v>3.1</v>
      </c>
      <c r="G5565" s="4" t="str">
        <f>HYPERLINK("http://141.218.60.56/~jnz1568/getInfo.php?workbook=20_05.xlsx&amp;sheet=U0&amp;row=5565&amp;col=7&amp;number=3.17e-06&amp;sourceID=14","3.17e-06")</f>
        <v>3.17e-06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HYPERLINK("http://141.218.60.56/~jnz1568/getInfo.php?workbook=20_05.xlsx&amp;sheet=U0&amp;row=5566&amp;col=6&amp;number=3.2&amp;sourceID=14","3.2")</f>
        <v>3.2</v>
      </c>
      <c r="G5566" s="4" t="str">
        <f>HYPERLINK("http://141.218.60.56/~jnz1568/getInfo.php?workbook=20_05.xlsx&amp;sheet=U0&amp;row=5566&amp;col=7&amp;number=3.17e-06&amp;sourceID=14","3.17e-06")</f>
        <v>3.17e-06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HYPERLINK("http://141.218.60.56/~jnz1568/getInfo.php?workbook=20_05.xlsx&amp;sheet=U0&amp;row=5567&amp;col=6&amp;number=3.3&amp;sourceID=14","3.3")</f>
        <v>3.3</v>
      </c>
      <c r="G5567" s="4" t="str">
        <f>HYPERLINK("http://141.218.60.56/~jnz1568/getInfo.php?workbook=20_05.xlsx&amp;sheet=U0&amp;row=5567&amp;col=7&amp;number=3.17e-06&amp;sourceID=14","3.17e-06")</f>
        <v>3.17e-06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HYPERLINK("http://141.218.60.56/~jnz1568/getInfo.php?workbook=20_05.xlsx&amp;sheet=U0&amp;row=5568&amp;col=6&amp;number=3.4&amp;sourceID=14","3.4")</f>
        <v>3.4</v>
      </c>
      <c r="G5568" s="4" t="str">
        <f>HYPERLINK("http://141.218.60.56/~jnz1568/getInfo.php?workbook=20_05.xlsx&amp;sheet=U0&amp;row=5568&amp;col=7&amp;number=3.17e-06&amp;sourceID=14","3.17e-06")</f>
        <v>3.17e-06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HYPERLINK("http://141.218.60.56/~jnz1568/getInfo.php?workbook=20_05.xlsx&amp;sheet=U0&amp;row=5569&amp;col=6&amp;number=3.5&amp;sourceID=14","3.5")</f>
        <v>3.5</v>
      </c>
      <c r="G5569" s="4" t="str">
        <f>HYPERLINK("http://141.218.60.56/~jnz1568/getInfo.php?workbook=20_05.xlsx&amp;sheet=U0&amp;row=5569&amp;col=7&amp;number=3.17e-06&amp;sourceID=14","3.17e-06")</f>
        <v>3.17e-06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HYPERLINK("http://141.218.60.56/~jnz1568/getInfo.php?workbook=20_05.xlsx&amp;sheet=U0&amp;row=5570&amp;col=6&amp;number=3.6&amp;sourceID=14","3.6")</f>
        <v>3.6</v>
      </c>
      <c r="G5570" s="4" t="str">
        <f>HYPERLINK("http://141.218.60.56/~jnz1568/getInfo.php?workbook=20_05.xlsx&amp;sheet=U0&amp;row=5570&amp;col=7&amp;number=3.17e-06&amp;sourceID=14","3.17e-06")</f>
        <v>3.17e-06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HYPERLINK("http://141.218.60.56/~jnz1568/getInfo.php?workbook=20_05.xlsx&amp;sheet=U0&amp;row=5571&amp;col=6&amp;number=3.7&amp;sourceID=14","3.7")</f>
        <v>3.7</v>
      </c>
      <c r="G5571" s="4" t="str">
        <f>HYPERLINK("http://141.218.60.56/~jnz1568/getInfo.php?workbook=20_05.xlsx&amp;sheet=U0&amp;row=5571&amp;col=7&amp;number=3.17e-06&amp;sourceID=14","3.17e-06")</f>
        <v>3.17e-06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HYPERLINK("http://141.218.60.56/~jnz1568/getInfo.php?workbook=20_05.xlsx&amp;sheet=U0&amp;row=5572&amp;col=6&amp;number=3.8&amp;sourceID=14","3.8")</f>
        <v>3.8</v>
      </c>
      <c r="G5572" s="4" t="str">
        <f>HYPERLINK("http://141.218.60.56/~jnz1568/getInfo.php?workbook=20_05.xlsx&amp;sheet=U0&amp;row=5572&amp;col=7&amp;number=3.17e-06&amp;sourceID=14","3.17e-06")</f>
        <v>3.17e-06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HYPERLINK("http://141.218.60.56/~jnz1568/getInfo.php?workbook=20_05.xlsx&amp;sheet=U0&amp;row=5573&amp;col=6&amp;number=3.9&amp;sourceID=14","3.9")</f>
        <v>3.9</v>
      </c>
      <c r="G5573" s="4" t="str">
        <f>HYPERLINK("http://141.218.60.56/~jnz1568/getInfo.php?workbook=20_05.xlsx&amp;sheet=U0&amp;row=5573&amp;col=7&amp;number=3.17e-06&amp;sourceID=14","3.17e-06")</f>
        <v>3.17e-06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HYPERLINK("http://141.218.60.56/~jnz1568/getInfo.php?workbook=20_05.xlsx&amp;sheet=U0&amp;row=5574&amp;col=6&amp;number=4&amp;sourceID=14","4")</f>
        <v>4</v>
      </c>
      <c r="G5574" s="4" t="str">
        <f>HYPERLINK("http://141.218.60.56/~jnz1568/getInfo.php?workbook=20_05.xlsx&amp;sheet=U0&amp;row=5574&amp;col=7&amp;number=3.17e-06&amp;sourceID=14","3.17e-06")</f>
        <v>3.17e-06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HYPERLINK("http://141.218.60.56/~jnz1568/getInfo.php?workbook=20_05.xlsx&amp;sheet=U0&amp;row=5575&amp;col=6&amp;number=4.1&amp;sourceID=14","4.1")</f>
        <v>4.1</v>
      </c>
      <c r="G5575" s="4" t="str">
        <f>HYPERLINK("http://141.218.60.56/~jnz1568/getInfo.php?workbook=20_05.xlsx&amp;sheet=U0&amp;row=5575&amp;col=7&amp;number=3.17e-06&amp;sourceID=14","3.17e-06")</f>
        <v>3.17e-06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HYPERLINK("http://141.218.60.56/~jnz1568/getInfo.php?workbook=20_05.xlsx&amp;sheet=U0&amp;row=5576&amp;col=6&amp;number=4.2&amp;sourceID=14","4.2")</f>
        <v>4.2</v>
      </c>
      <c r="G5576" s="4" t="str">
        <f>HYPERLINK("http://141.218.60.56/~jnz1568/getInfo.php?workbook=20_05.xlsx&amp;sheet=U0&amp;row=5576&amp;col=7&amp;number=3.17e-06&amp;sourceID=14","3.17e-06")</f>
        <v>3.17e-06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HYPERLINK("http://141.218.60.56/~jnz1568/getInfo.php?workbook=20_05.xlsx&amp;sheet=U0&amp;row=5577&amp;col=6&amp;number=4.3&amp;sourceID=14","4.3")</f>
        <v>4.3</v>
      </c>
      <c r="G5577" s="4" t="str">
        <f>HYPERLINK("http://141.218.60.56/~jnz1568/getInfo.php?workbook=20_05.xlsx&amp;sheet=U0&amp;row=5577&amp;col=7&amp;number=3.17e-06&amp;sourceID=14","3.17e-06")</f>
        <v>3.17e-06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HYPERLINK("http://141.218.60.56/~jnz1568/getInfo.php?workbook=20_05.xlsx&amp;sheet=U0&amp;row=5578&amp;col=6&amp;number=4.4&amp;sourceID=14","4.4")</f>
        <v>4.4</v>
      </c>
      <c r="G5578" s="4" t="str">
        <f>HYPERLINK("http://141.218.60.56/~jnz1568/getInfo.php?workbook=20_05.xlsx&amp;sheet=U0&amp;row=5578&amp;col=7&amp;number=3.17e-06&amp;sourceID=14","3.17e-06")</f>
        <v>3.17e-06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HYPERLINK("http://141.218.60.56/~jnz1568/getInfo.php?workbook=20_05.xlsx&amp;sheet=U0&amp;row=5579&amp;col=6&amp;number=4.5&amp;sourceID=14","4.5")</f>
        <v>4.5</v>
      </c>
      <c r="G5579" s="4" t="str">
        <f>HYPERLINK("http://141.218.60.56/~jnz1568/getInfo.php?workbook=20_05.xlsx&amp;sheet=U0&amp;row=5579&amp;col=7&amp;number=3.16e-06&amp;sourceID=14","3.16e-06")</f>
        <v>3.16e-06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HYPERLINK("http://141.218.60.56/~jnz1568/getInfo.php?workbook=20_05.xlsx&amp;sheet=U0&amp;row=5580&amp;col=6&amp;number=4.6&amp;sourceID=14","4.6")</f>
        <v>4.6</v>
      </c>
      <c r="G5580" s="4" t="str">
        <f>HYPERLINK("http://141.218.60.56/~jnz1568/getInfo.php?workbook=20_05.xlsx&amp;sheet=U0&amp;row=5580&amp;col=7&amp;number=3.16e-06&amp;sourceID=14","3.16e-06")</f>
        <v>3.16e-06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HYPERLINK("http://141.218.60.56/~jnz1568/getInfo.php?workbook=20_05.xlsx&amp;sheet=U0&amp;row=5581&amp;col=6&amp;number=4.7&amp;sourceID=14","4.7")</f>
        <v>4.7</v>
      </c>
      <c r="G5581" s="4" t="str">
        <f>HYPERLINK("http://141.218.60.56/~jnz1568/getInfo.php?workbook=20_05.xlsx&amp;sheet=U0&amp;row=5581&amp;col=7&amp;number=3.16e-06&amp;sourceID=14","3.16e-06")</f>
        <v>3.16e-06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HYPERLINK("http://141.218.60.56/~jnz1568/getInfo.php?workbook=20_05.xlsx&amp;sheet=U0&amp;row=5582&amp;col=6&amp;number=4.8&amp;sourceID=14","4.8")</f>
        <v>4.8</v>
      </c>
      <c r="G5582" s="4" t="str">
        <f>HYPERLINK("http://141.218.60.56/~jnz1568/getInfo.php?workbook=20_05.xlsx&amp;sheet=U0&amp;row=5582&amp;col=7&amp;number=3.15e-06&amp;sourceID=14","3.15e-06")</f>
        <v>3.15e-06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HYPERLINK("http://141.218.60.56/~jnz1568/getInfo.php?workbook=20_05.xlsx&amp;sheet=U0&amp;row=5583&amp;col=6&amp;number=4.9&amp;sourceID=14","4.9")</f>
        <v>4.9</v>
      </c>
      <c r="G5583" s="4" t="str">
        <f>HYPERLINK("http://141.218.60.56/~jnz1568/getInfo.php?workbook=20_05.xlsx&amp;sheet=U0&amp;row=5583&amp;col=7&amp;number=3.15e-06&amp;sourceID=14","3.15e-06")</f>
        <v>3.15e-06</v>
      </c>
    </row>
    <row r="5584" spans="1:7">
      <c r="A5584" s="3">
        <v>20</v>
      </c>
      <c r="B5584" s="3">
        <v>5</v>
      </c>
      <c r="C5584" s="3">
        <v>3</v>
      </c>
      <c r="D5584" s="3">
        <v>17</v>
      </c>
      <c r="E5584" s="3">
        <v>1</v>
      </c>
      <c r="F5584" s="4" t="str">
        <f>HYPERLINK("http://141.218.60.56/~jnz1568/getInfo.php?workbook=20_05.xlsx&amp;sheet=U0&amp;row=5584&amp;col=6&amp;number=3&amp;sourceID=14","3")</f>
        <v>3</v>
      </c>
      <c r="G5584" s="4" t="str">
        <f>HYPERLINK("http://141.218.60.56/~jnz1568/getInfo.php?workbook=20_05.xlsx&amp;sheet=U0&amp;row=5584&amp;col=7&amp;number=0.00147&amp;sourceID=14","0.00147")</f>
        <v>0.00147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HYPERLINK("http://141.218.60.56/~jnz1568/getInfo.php?workbook=20_05.xlsx&amp;sheet=U0&amp;row=5585&amp;col=6&amp;number=3.1&amp;sourceID=14","3.1")</f>
        <v>3.1</v>
      </c>
      <c r="G5585" s="4" t="str">
        <f>HYPERLINK("http://141.218.60.56/~jnz1568/getInfo.php?workbook=20_05.xlsx&amp;sheet=U0&amp;row=5585&amp;col=7&amp;number=0.00147&amp;sourceID=14","0.00147")</f>
        <v>0.00147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HYPERLINK("http://141.218.60.56/~jnz1568/getInfo.php?workbook=20_05.xlsx&amp;sheet=U0&amp;row=5586&amp;col=6&amp;number=3.2&amp;sourceID=14","3.2")</f>
        <v>3.2</v>
      </c>
      <c r="G5586" s="4" t="str">
        <f>HYPERLINK("http://141.218.60.56/~jnz1568/getInfo.php?workbook=20_05.xlsx&amp;sheet=U0&amp;row=5586&amp;col=7&amp;number=0.00147&amp;sourceID=14","0.00147")</f>
        <v>0.00147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HYPERLINK("http://141.218.60.56/~jnz1568/getInfo.php?workbook=20_05.xlsx&amp;sheet=U0&amp;row=5587&amp;col=6&amp;number=3.3&amp;sourceID=14","3.3")</f>
        <v>3.3</v>
      </c>
      <c r="G5587" s="4" t="str">
        <f>HYPERLINK("http://141.218.60.56/~jnz1568/getInfo.php?workbook=20_05.xlsx&amp;sheet=U0&amp;row=5587&amp;col=7&amp;number=0.00147&amp;sourceID=14","0.00147")</f>
        <v>0.00147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HYPERLINK("http://141.218.60.56/~jnz1568/getInfo.php?workbook=20_05.xlsx&amp;sheet=U0&amp;row=5588&amp;col=6&amp;number=3.4&amp;sourceID=14","3.4")</f>
        <v>3.4</v>
      </c>
      <c r="G5588" s="4" t="str">
        <f>HYPERLINK("http://141.218.60.56/~jnz1568/getInfo.php?workbook=20_05.xlsx&amp;sheet=U0&amp;row=5588&amp;col=7&amp;number=0.00147&amp;sourceID=14","0.00147")</f>
        <v>0.00147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HYPERLINK("http://141.218.60.56/~jnz1568/getInfo.php?workbook=20_05.xlsx&amp;sheet=U0&amp;row=5589&amp;col=6&amp;number=3.5&amp;sourceID=14","3.5")</f>
        <v>3.5</v>
      </c>
      <c r="G5589" s="4" t="str">
        <f>HYPERLINK("http://141.218.60.56/~jnz1568/getInfo.php?workbook=20_05.xlsx&amp;sheet=U0&amp;row=5589&amp;col=7&amp;number=0.00147&amp;sourceID=14","0.00147")</f>
        <v>0.00147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HYPERLINK("http://141.218.60.56/~jnz1568/getInfo.php?workbook=20_05.xlsx&amp;sheet=U0&amp;row=5590&amp;col=6&amp;number=3.6&amp;sourceID=14","3.6")</f>
        <v>3.6</v>
      </c>
      <c r="G5590" s="4" t="str">
        <f>HYPERLINK("http://141.218.60.56/~jnz1568/getInfo.php?workbook=20_05.xlsx&amp;sheet=U0&amp;row=5590&amp;col=7&amp;number=0.00147&amp;sourceID=14","0.00147")</f>
        <v>0.00147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HYPERLINK("http://141.218.60.56/~jnz1568/getInfo.php?workbook=20_05.xlsx&amp;sheet=U0&amp;row=5591&amp;col=6&amp;number=3.7&amp;sourceID=14","3.7")</f>
        <v>3.7</v>
      </c>
      <c r="G5591" s="4" t="str">
        <f>HYPERLINK("http://141.218.60.56/~jnz1568/getInfo.php?workbook=20_05.xlsx&amp;sheet=U0&amp;row=5591&amp;col=7&amp;number=0.00147&amp;sourceID=14","0.00147")</f>
        <v>0.00147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HYPERLINK("http://141.218.60.56/~jnz1568/getInfo.php?workbook=20_05.xlsx&amp;sheet=U0&amp;row=5592&amp;col=6&amp;number=3.8&amp;sourceID=14","3.8")</f>
        <v>3.8</v>
      </c>
      <c r="G5592" s="4" t="str">
        <f>HYPERLINK("http://141.218.60.56/~jnz1568/getInfo.php?workbook=20_05.xlsx&amp;sheet=U0&amp;row=5592&amp;col=7&amp;number=0.00147&amp;sourceID=14","0.00147")</f>
        <v>0.00147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HYPERLINK("http://141.218.60.56/~jnz1568/getInfo.php?workbook=20_05.xlsx&amp;sheet=U0&amp;row=5593&amp;col=6&amp;number=3.9&amp;sourceID=14","3.9")</f>
        <v>3.9</v>
      </c>
      <c r="G5593" s="4" t="str">
        <f>HYPERLINK("http://141.218.60.56/~jnz1568/getInfo.php?workbook=20_05.xlsx&amp;sheet=U0&amp;row=5593&amp;col=7&amp;number=0.00147&amp;sourceID=14","0.00147")</f>
        <v>0.00147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HYPERLINK("http://141.218.60.56/~jnz1568/getInfo.php?workbook=20_05.xlsx&amp;sheet=U0&amp;row=5594&amp;col=6&amp;number=4&amp;sourceID=14","4")</f>
        <v>4</v>
      </c>
      <c r="G5594" s="4" t="str">
        <f>HYPERLINK("http://141.218.60.56/~jnz1568/getInfo.php?workbook=20_05.xlsx&amp;sheet=U0&amp;row=5594&amp;col=7&amp;number=0.00147&amp;sourceID=14","0.00147")</f>
        <v>0.00147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HYPERLINK("http://141.218.60.56/~jnz1568/getInfo.php?workbook=20_05.xlsx&amp;sheet=U0&amp;row=5595&amp;col=6&amp;number=4.1&amp;sourceID=14","4.1")</f>
        <v>4.1</v>
      </c>
      <c r="G5595" s="4" t="str">
        <f>HYPERLINK("http://141.218.60.56/~jnz1568/getInfo.php?workbook=20_05.xlsx&amp;sheet=U0&amp;row=5595&amp;col=7&amp;number=0.00147&amp;sourceID=14","0.00147")</f>
        <v>0.00147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HYPERLINK("http://141.218.60.56/~jnz1568/getInfo.php?workbook=20_05.xlsx&amp;sheet=U0&amp;row=5596&amp;col=6&amp;number=4.2&amp;sourceID=14","4.2")</f>
        <v>4.2</v>
      </c>
      <c r="G5596" s="4" t="str">
        <f>HYPERLINK("http://141.218.60.56/~jnz1568/getInfo.php?workbook=20_05.xlsx&amp;sheet=U0&amp;row=5596&amp;col=7&amp;number=0.00147&amp;sourceID=14","0.00147")</f>
        <v>0.00147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HYPERLINK("http://141.218.60.56/~jnz1568/getInfo.php?workbook=20_05.xlsx&amp;sheet=U0&amp;row=5597&amp;col=6&amp;number=4.3&amp;sourceID=14","4.3")</f>
        <v>4.3</v>
      </c>
      <c r="G5597" s="4" t="str">
        <f>HYPERLINK("http://141.218.60.56/~jnz1568/getInfo.php?workbook=20_05.xlsx&amp;sheet=U0&amp;row=5597&amp;col=7&amp;number=0.00147&amp;sourceID=14","0.00147")</f>
        <v>0.00147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HYPERLINK("http://141.218.60.56/~jnz1568/getInfo.php?workbook=20_05.xlsx&amp;sheet=U0&amp;row=5598&amp;col=6&amp;number=4.4&amp;sourceID=14","4.4")</f>
        <v>4.4</v>
      </c>
      <c r="G5598" s="4" t="str">
        <f>HYPERLINK("http://141.218.60.56/~jnz1568/getInfo.php?workbook=20_05.xlsx&amp;sheet=U0&amp;row=5598&amp;col=7&amp;number=0.00147&amp;sourceID=14","0.00147")</f>
        <v>0.00147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HYPERLINK("http://141.218.60.56/~jnz1568/getInfo.php?workbook=20_05.xlsx&amp;sheet=U0&amp;row=5599&amp;col=6&amp;number=4.5&amp;sourceID=14","4.5")</f>
        <v>4.5</v>
      </c>
      <c r="G5599" s="4" t="str">
        <f>HYPERLINK("http://141.218.60.56/~jnz1568/getInfo.php?workbook=20_05.xlsx&amp;sheet=U0&amp;row=5599&amp;col=7&amp;number=0.00146&amp;sourceID=14","0.00146")</f>
        <v>0.00146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HYPERLINK("http://141.218.60.56/~jnz1568/getInfo.php?workbook=20_05.xlsx&amp;sheet=U0&amp;row=5600&amp;col=6&amp;number=4.6&amp;sourceID=14","4.6")</f>
        <v>4.6</v>
      </c>
      <c r="G5600" s="4" t="str">
        <f>HYPERLINK("http://141.218.60.56/~jnz1568/getInfo.php?workbook=20_05.xlsx&amp;sheet=U0&amp;row=5600&amp;col=7&amp;number=0.00146&amp;sourceID=14","0.00146")</f>
        <v>0.00146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HYPERLINK("http://141.218.60.56/~jnz1568/getInfo.php?workbook=20_05.xlsx&amp;sheet=U0&amp;row=5601&amp;col=6&amp;number=4.7&amp;sourceID=14","4.7")</f>
        <v>4.7</v>
      </c>
      <c r="G5601" s="4" t="str">
        <f>HYPERLINK("http://141.218.60.56/~jnz1568/getInfo.php?workbook=20_05.xlsx&amp;sheet=U0&amp;row=5601&amp;col=7&amp;number=0.00146&amp;sourceID=14","0.00146")</f>
        <v>0.00146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HYPERLINK("http://141.218.60.56/~jnz1568/getInfo.php?workbook=20_05.xlsx&amp;sheet=U0&amp;row=5602&amp;col=6&amp;number=4.8&amp;sourceID=14","4.8")</f>
        <v>4.8</v>
      </c>
      <c r="G5602" s="4" t="str">
        <f>HYPERLINK("http://141.218.60.56/~jnz1568/getInfo.php?workbook=20_05.xlsx&amp;sheet=U0&amp;row=5602&amp;col=7&amp;number=0.00145&amp;sourceID=14","0.00145")</f>
        <v>0.00145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HYPERLINK("http://141.218.60.56/~jnz1568/getInfo.php?workbook=20_05.xlsx&amp;sheet=U0&amp;row=5603&amp;col=6&amp;number=4.9&amp;sourceID=14","4.9")</f>
        <v>4.9</v>
      </c>
      <c r="G5603" s="4" t="str">
        <f>HYPERLINK("http://141.218.60.56/~jnz1568/getInfo.php?workbook=20_05.xlsx&amp;sheet=U0&amp;row=5603&amp;col=7&amp;number=0.00145&amp;sourceID=14","0.00145")</f>
        <v>0.00145</v>
      </c>
    </row>
    <row r="5604" spans="1:7">
      <c r="A5604" s="3">
        <v>20</v>
      </c>
      <c r="B5604" s="3">
        <v>5</v>
      </c>
      <c r="C5604" s="3">
        <v>3</v>
      </c>
      <c r="D5604" s="3">
        <v>18</v>
      </c>
      <c r="E5604" s="3">
        <v>1</v>
      </c>
      <c r="F5604" s="4" t="str">
        <f>HYPERLINK("http://141.218.60.56/~jnz1568/getInfo.php?workbook=20_05.xlsx&amp;sheet=U0&amp;row=5604&amp;col=6&amp;number=3&amp;sourceID=14","3")</f>
        <v>3</v>
      </c>
      <c r="G5604" s="4" t="str">
        <f>HYPERLINK("http://141.218.60.56/~jnz1568/getInfo.php?workbook=20_05.xlsx&amp;sheet=U0&amp;row=5604&amp;col=7&amp;number=0.00274&amp;sourceID=14","0.00274")</f>
        <v>0.00274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HYPERLINK("http://141.218.60.56/~jnz1568/getInfo.php?workbook=20_05.xlsx&amp;sheet=U0&amp;row=5605&amp;col=6&amp;number=3.1&amp;sourceID=14","3.1")</f>
        <v>3.1</v>
      </c>
      <c r="G5605" s="4" t="str">
        <f>HYPERLINK("http://141.218.60.56/~jnz1568/getInfo.php?workbook=20_05.xlsx&amp;sheet=U0&amp;row=5605&amp;col=7&amp;number=0.00274&amp;sourceID=14","0.00274")</f>
        <v>0.00274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HYPERLINK("http://141.218.60.56/~jnz1568/getInfo.php?workbook=20_05.xlsx&amp;sheet=U0&amp;row=5606&amp;col=6&amp;number=3.2&amp;sourceID=14","3.2")</f>
        <v>3.2</v>
      </c>
      <c r="G5606" s="4" t="str">
        <f>HYPERLINK("http://141.218.60.56/~jnz1568/getInfo.php?workbook=20_05.xlsx&amp;sheet=U0&amp;row=5606&amp;col=7&amp;number=0.00274&amp;sourceID=14","0.00274")</f>
        <v>0.00274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HYPERLINK("http://141.218.60.56/~jnz1568/getInfo.php?workbook=20_05.xlsx&amp;sheet=U0&amp;row=5607&amp;col=6&amp;number=3.3&amp;sourceID=14","3.3")</f>
        <v>3.3</v>
      </c>
      <c r="G5607" s="4" t="str">
        <f>HYPERLINK("http://141.218.60.56/~jnz1568/getInfo.php?workbook=20_05.xlsx&amp;sheet=U0&amp;row=5607&amp;col=7&amp;number=0.00273&amp;sourceID=14","0.00273")</f>
        <v>0.00273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HYPERLINK("http://141.218.60.56/~jnz1568/getInfo.php?workbook=20_05.xlsx&amp;sheet=U0&amp;row=5608&amp;col=6&amp;number=3.4&amp;sourceID=14","3.4")</f>
        <v>3.4</v>
      </c>
      <c r="G5608" s="4" t="str">
        <f>HYPERLINK("http://141.218.60.56/~jnz1568/getInfo.php?workbook=20_05.xlsx&amp;sheet=U0&amp;row=5608&amp;col=7&amp;number=0.00273&amp;sourceID=14","0.00273")</f>
        <v>0.00273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HYPERLINK("http://141.218.60.56/~jnz1568/getInfo.php?workbook=20_05.xlsx&amp;sheet=U0&amp;row=5609&amp;col=6&amp;number=3.5&amp;sourceID=14","3.5")</f>
        <v>3.5</v>
      </c>
      <c r="G5609" s="4" t="str">
        <f>HYPERLINK("http://141.218.60.56/~jnz1568/getInfo.php?workbook=20_05.xlsx&amp;sheet=U0&amp;row=5609&amp;col=7&amp;number=0.00273&amp;sourceID=14","0.00273")</f>
        <v>0.00273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HYPERLINK("http://141.218.60.56/~jnz1568/getInfo.php?workbook=20_05.xlsx&amp;sheet=U0&amp;row=5610&amp;col=6&amp;number=3.6&amp;sourceID=14","3.6")</f>
        <v>3.6</v>
      </c>
      <c r="G5610" s="4" t="str">
        <f>HYPERLINK("http://141.218.60.56/~jnz1568/getInfo.php?workbook=20_05.xlsx&amp;sheet=U0&amp;row=5610&amp;col=7&amp;number=0.00273&amp;sourceID=14","0.00273")</f>
        <v>0.00273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HYPERLINK("http://141.218.60.56/~jnz1568/getInfo.php?workbook=20_05.xlsx&amp;sheet=U0&amp;row=5611&amp;col=6&amp;number=3.7&amp;sourceID=14","3.7")</f>
        <v>3.7</v>
      </c>
      <c r="G5611" s="4" t="str">
        <f>HYPERLINK("http://141.218.60.56/~jnz1568/getInfo.php?workbook=20_05.xlsx&amp;sheet=U0&amp;row=5611&amp;col=7&amp;number=0.00273&amp;sourceID=14","0.00273")</f>
        <v>0.00273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HYPERLINK("http://141.218.60.56/~jnz1568/getInfo.php?workbook=20_05.xlsx&amp;sheet=U0&amp;row=5612&amp;col=6&amp;number=3.8&amp;sourceID=14","3.8")</f>
        <v>3.8</v>
      </c>
      <c r="G5612" s="4" t="str">
        <f>HYPERLINK("http://141.218.60.56/~jnz1568/getInfo.php?workbook=20_05.xlsx&amp;sheet=U0&amp;row=5612&amp;col=7&amp;number=0.00273&amp;sourceID=14","0.00273")</f>
        <v>0.00273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HYPERLINK("http://141.218.60.56/~jnz1568/getInfo.php?workbook=20_05.xlsx&amp;sheet=U0&amp;row=5613&amp;col=6&amp;number=3.9&amp;sourceID=14","3.9")</f>
        <v>3.9</v>
      </c>
      <c r="G5613" s="4" t="str">
        <f>HYPERLINK("http://141.218.60.56/~jnz1568/getInfo.php?workbook=20_05.xlsx&amp;sheet=U0&amp;row=5613&amp;col=7&amp;number=0.00273&amp;sourceID=14","0.00273")</f>
        <v>0.00273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HYPERLINK("http://141.218.60.56/~jnz1568/getInfo.php?workbook=20_05.xlsx&amp;sheet=U0&amp;row=5614&amp;col=6&amp;number=4&amp;sourceID=14","4")</f>
        <v>4</v>
      </c>
      <c r="G5614" s="4" t="str">
        <f>HYPERLINK("http://141.218.60.56/~jnz1568/getInfo.php?workbook=20_05.xlsx&amp;sheet=U0&amp;row=5614&amp;col=7&amp;number=0.00273&amp;sourceID=14","0.00273")</f>
        <v>0.00273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HYPERLINK("http://141.218.60.56/~jnz1568/getInfo.php?workbook=20_05.xlsx&amp;sheet=U0&amp;row=5615&amp;col=6&amp;number=4.1&amp;sourceID=14","4.1")</f>
        <v>4.1</v>
      </c>
      <c r="G5615" s="4" t="str">
        <f>HYPERLINK("http://141.218.60.56/~jnz1568/getInfo.php?workbook=20_05.xlsx&amp;sheet=U0&amp;row=5615&amp;col=7&amp;number=0.00273&amp;sourceID=14","0.00273")</f>
        <v>0.00273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HYPERLINK("http://141.218.60.56/~jnz1568/getInfo.php?workbook=20_05.xlsx&amp;sheet=U0&amp;row=5616&amp;col=6&amp;number=4.2&amp;sourceID=14","4.2")</f>
        <v>4.2</v>
      </c>
      <c r="G5616" s="4" t="str">
        <f>HYPERLINK("http://141.218.60.56/~jnz1568/getInfo.php?workbook=20_05.xlsx&amp;sheet=U0&amp;row=5616&amp;col=7&amp;number=0.00273&amp;sourceID=14","0.00273")</f>
        <v>0.00273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HYPERLINK("http://141.218.60.56/~jnz1568/getInfo.php?workbook=20_05.xlsx&amp;sheet=U0&amp;row=5617&amp;col=6&amp;number=4.3&amp;sourceID=14","4.3")</f>
        <v>4.3</v>
      </c>
      <c r="G5617" s="4" t="str">
        <f>HYPERLINK("http://141.218.60.56/~jnz1568/getInfo.php?workbook=20_05.xlsx&amp;sheet=U0&amp;row=5617&amp;col=7&amp;number=0.00272&amp;sourceID=14","0.00272")</f>
        <v>0.00272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HYPERLINK("http://141.218.60.56/~jnz1568/getInfo.php?workbook=20_05.xlsx&amp;sheet=U0&amp;row=5618&amp;col=6&amp;number=4.4&amp;sourceID=14","4.4")</f>
        <v>4.4</v>
      </c>
      <c r="G5618" s="4" t="str">
        <f>HYPERLINK("http://141.218.60.56/~jnz1568/getInfo.php?workbook=20_05.xlsx&amp;sheet=U0&amp;row=5618&amp;col=7&amp;number=0.00272&amp;sourceID=14","0.00272")</f>
        <v>0.00272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HYPERLINK("http://141.218.60.56/~jnz1568/getInfo.php?workbook=20_05.xlsx&amp;sheet=U0&amp;row=5619&amp;col=6&amp;number=4.5&amp;sourceID=14","4.5")</f>
        <v>4.5</v>
      </c>
      <c r="G5619" s="4" t="str">
        <f>HYPERLINK("http://141.218.60.56/~jnz1568/getInfo.php?workbook=20_05.xlsx&amp;sheet=U0&amp;row=5619&amp;col=7&amp;number=0.00272&amp;sourceID=14","0.00272")</f>
        <v>0.00272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HYPERLINK("http://141.218.60.56/~jnz1568/getInfo.php?workbook=20_05.xlsx&amp;sheet=U0&amp;row=5620&amp;col=6&amp;number=4.6&amp;sourceID=14","4.6")</f>
        <v>4.6</v>
      </c>
      <c r="G5620" s="4" t="str">
        <f>HYPERLINK("http://141.218.60.56/~jnz1568/getInfo.php?workbook=20_05.xlsx&amp;sheet=U0&amp;row=5620&amp;col=7&amp;number=0.00271&amp;sourceID=14","0.00271")</f>
        <v>0.00271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HYPERLINK("http://141.218.60.56/~jnz1568/getInfo.php?workbook=20_05.xlsx&amp;sheet=U0&amp;row=5621&amp;col=6&amp;number=4.7&amp;sourceID=14","4.7")</f>
        <v>4.7</v>
      </c>
      <c r="G5621" s="4" t="str">
        <f>HYPERLINK("http://141.218.60.56/~jnz1568/getInfo.php?workbook=20_05.xlsx&amp;sheet=U0&amp;row=5621&amp;col=7&amp;number=0.00271&amp;sourceID=14","0.00271")</f>
        <v>0.00271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HYPERLINK("http://141.218.60.56/~jnz1568/getInfo.php?workbook=20_05.xlsx&amp;sheet=U0&amp;row=5622&amp;col=6&amp;number=4.8&amp;sourceID=14","4.8")</f>
        <v>4.8</v>
      </c>
      <c r="G5622" s="4" t="str">
        <f>HYPERLINK("http://141.218.60.56/~jnz1568/getInfo.php?workbook=20_05.xlsx&amp;sheet=U0&amp;row=5622&amp;col=7&amp;number=0.0027&amp;sourceID=14","0.0027")</f>
        <v>0.0027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HYPERLINK("http://141.218.60.56/~jnz1568/getInfo.php?workbook=20_05.xlsx&amp;sheet=U0&amp;row=5623&amp;col=6&amp;number=4.9&amp;sourceID=14","4.9")</f>
        <v>4.9</v>
      </c>
      <c r="G5623" s="4" t="str">
        <f>HYPERLINK("http://141.218.60.56/~jnz1568/getInfo.php?workbook=20_05.xlsx&amp;sheet=U0&amp;row=5623&amp;col=7&amp;number=0.00269&amp;sourceID=14","0.00269")</f>
        <v>0.00269</v>
      </c>
    </row>
    <row r="5624" spans="1:7">
      <c r="A5624" s="3">
        <v>20</v>
      </c>
      <c r="B5624" s="3">
        <v>5</v>
      </c>
      <c r="C5624" s="3">
        <v>3</v>
      </c>
      <c r="D5624" s="3">
        <v>19</v>
      </c>
      <c r="E5624" s="3">
        <v>1</v>
      </c>
      <c r="F5624" s="4" t="str">
        <f>HYPERLINK("http://141.218.60.56/~jnz1568/getInfo.php?workbook=20_05.xlsx&amp;sheet=U0&amp;row=5624&amp;col=6&amp;number=3&amp;sourceID=14","3")</f>
        <v>3</v>
      </c>
      <c r="G5624" s="4" t="str">
        <f>HYPERLINK("http://141.218.60.56/~jnz1568/getInfo.php?workbook=20_05.xlsx&amp;sheet=U0&amp;row=5624&amp;col=7&amp;number=0.0545&amp;sourceID=14","0.0545")</f>
        <v>0.0545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HYPERLINK("http://141.218.60.56/~jnz1568/getInfo.php?workbook=20_05.xlsx&amp;sheet=U0&amp;row=5625&amp;col=6&amp;number=3.1&amp;sourceID=14","3.1")</f>
        <v>3.1</v>
      </c>
      <c r="G5625" s="4" t="str">
        <f>HYPERLINK("http://141.218.60.56/~jnz1568/getInfo.php?workbook=20_05.xlsx&amp;sheet=U0&amp;row=5625&amp;col=7&amp;number=0.0545&amp;sourceID=14","0.0545")</f>
        <v>0.0545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HYPERLINK("http://141.218.60.56/~jnz1568/getInfo.php?workbook=20_05.xlsx&amp;sheet=U0&amp;row=5626&amp;col=6&amp;number=3.2&amp;sourceID=14","3.2")</f>
        <v>3.2</v>
      </c>
      <c r="G5626" s="4" t="str">
        <f>HYPERLINK("http://141.218.60.56/~jnz1568/getInfo.php?workbook=20_05.xlsx&amp;sheet=U0&amp;row=5626&amp;col=7&amp;number=0.0545&amp;sourceID=14","0.0545")</f>
        <v>0.0545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HYPERLINK("http://141.218.60.56/~jnz1568/getInfo.php?workbook=20_05.xlsx&amp;sheet=U0&amp;row=5627&amp;col=6&amp;number=3.3&amp;sourceID=14","3.3")</f>
        <v>3.3</v>
      </c>
      <c r="G5627" s="4" t="str">
        <f>HYPERLINK("http://141.218.60.56/~jnz1568/getInfo.php?workbook=20_05.xlsx&amp;sheet=U0&amp;row=5627&amp;col=7&amp;number=0.0545&amp;sourceID=14","0.0545")</f>
        <v>0.0545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HYPERLINK("http://141.218.60.56/~jnz1568/getInfo.php?workbook=20_05.xlsx&amp;sheet=U0&amp;row=5628&amp;col=6&amp;number=3.4&amp;sourceID=14","3.4")</f>
        <v>3.4</v>
      </c>
      <c r="G5628" s="4" t="str">
        <f>HYPERLINK("http://141.218.60.56/~jnz1568/getInfo.php?workbook=20_05.xlsx&amp;sheet=U0&amp;row=5628&amp;col=7&amp;number=0.0545&amp;sourceID=14","0.0545")</f>
        <v>0.0545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HYPERLINK("http://141.218.60.56/~jnz1568/getInfo.php?workbook=20_05.xlsx&amp;sheet=U0&amp;row=5629&amp;col=6&amp;number=3.5&amp;sourceID=14","3.5")</f>
        <v>3.5</v>
      </c>
      <c r="G5629" s="4" t="str">
        <f>HYPERLINK("http://141.218.60.56/~jnz1568/getInfo.php?workbook=20_05.xlsx&amp;sheet=U0&amp;row=5629&amp;col=7&amp;number=0.0545&amp;sourceID=14","0.0545")</f>
        <v>0.0545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HYPERLINK("http://141.218.60.56/~jnz1568/getInfo.php?workbook=20_05.xlsx&amp;sheet=U0&amp;row=5630&amp;col=6&amp;number=3.6&amp;sourceID=14","3.6")</f>
        <v>3.6</v>
      </c>
      <c r="G5630" s="4" t="str">
        <f>HYPERLINK("http://141.218.60.56/~jnz1568/getInfo.php?workbook=20_05.xlsx&amp;sheet=U0&amp;row=5630&amp;col=7&amp;number=0.0545&amp;sourceID=14","0.0545")</f>
        <v>0.0545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HYPERLINK("http://141.218.60.56/~jnz1568/getInfo.php?workbook=20_05.xlsx&amp;sheet=U0&amp;row=5631&amp;col=6&amp;number=3.7&amp;sourceID=14","3.7")</f>
        <v>3.7</v>
      </c>
      <c r="G5631" s="4" t="str">
        <f>HYPERLINK("http://141.218.60.56/~jnz1568/getInfo.php?workbook=20_05.xlsx&amp;sheet=U0&amp;row=5631&amp;col=7&amp;number=0.0545&amp;sourceID=14","0.0545")</f>
        <v>0.0545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HYPERLINK("http://141.218.60.56/~jnz1568/getInfo.php?workbook=20_05.xlsx&amp;sheet=U0&amp;row=5632&amp;col=6&amp;number=3.8&amp;sourceID=14","3.8")</f>
        <v>3.8</v>
      </c>
      <c r="G5632" s="4" t="str">
        <f>HYPERLINK("http://141.218.60.56/~jnz1568/getInfo.php?workbook=20_05.xlsx&amp;sheet=U0&amp;row=5632&amp;col=7&amp;number=0.0545&amp;sourceID=14","0.0545")</f>
        <v>0.0545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HYPERLINK("http://141.218.60.56/~jnz1568/getInfo.php?workbook=20_05.xlsx&amp;sheet=U0&amp;row=5633&amp;col=6&amp;number=3.9&amp;sourceID=14","3.9")</f>
        <v>3.9</v>
      </c>
      <c r="G5633" s="4" t="str">
        <f>HYPERLINK("http://141.218.60.56/~jnz1568/getInfo.php?workbook=20_05.xlsx&amp;sheet=U0&amp;row=5633&amp;col=7&amp;number=0.0545&amp;sourceID=14","0.0545")</f>
        <v>0.0545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HYPERLINK("http://141.218.60.56/~jnz1568/getInfo.php?workbook=20_05.xlsx&amp;sheet=U0&amp;row=5634&amp;col=6&amp;number=4&amp;sourceID=14","4")</f>
        <v>4</v>
      </c>
      <c r="G5634" s="4" t="str">
        <f>HYPERLINK("http://141.218.60.56/~jnz1568/getInfo.php?workbook=20_05.xlsx&amp;sheet=U0&amp;row=5634&amp;col=7&amp;number=0.0545&amp;sourceID=14","0.0545")</f>
        <v>0.0545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HYPERLINK("http://141.218.60.56/~jnz1568/getInfo.php?workbook=20_05.xlsx&amp;sheet=U0&amp;row=5635&amp;col=6&amp;number=4.1&amp;sourceID=14","4.1")</f>
        <v>4.1</v>
      </c>
      <c r="G5635" s="4" t="str">
        <f>HYPERLINK("http://141.218.60.56/~jnz1568/getInfo.php?workbook=20_05.xlsx&amp;sheet=U0&amp;row=5635&amp;col=7&amp;number=0.0545&amp;sourceID=14","0.0545")</f>
        <v>0.0545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HYPERLINK("http://141.218.60.56/~jnz1568/getInfo.php?workbook=20_05.xlsx&amp;sheet=U0&amp;row=5636&amp;col=6&amp;number=4.2&amp;sourceID=14","4.2")</f>
        <v>4.2</v>
      </c>
      <c r="G5636" s="4" t="str">
        <f>HYPERLINK("http://141.218.60.56/~jnz1568/getInfo.php?workbook=20_05.xlsx&amp;sheet=U0&amp;row=5636&amp;col=7&amp;number=0.0545&amp;sourceID=14","0.0545")</f>
        <v>0.0545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HYPERLINK("http://141.218.60.56/~jnz1568/getInfo.php?workbook=20_05.xlsx&amp;sheet=U0&amp;row=5637&amp;col=6&amp;number=4.3&amp;sourceID=14","4.3")</f>
        <v>4.3</v>
      </c>
      <c r="G5637" s="4" t="str">
        <f>HYPERLINK("http://141.218.60.56/~jnz1568/getInfo.php?workbook=20_05.xlsx&amp;sheet=U0&amp;row=5637&amp;col=7&amp;number=0.0545&amp;sourceID=14","0.0545")</f>
        <v>0.0545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HYPERLINK("http://141.218.60.56/~jnz1568/getInfo.php?workbook=20_05.xlsx&amp;sheet=U0&amp;row=5638&amp;col=6&amp;number=4.4&amp;sourceID=14","4.4")</f>
        <v>4.4</v>
      </c>
      <c r="G5638" s="4" t="str">
        <f>HYPERLINK("http://141.218.60.56/~jnz1568/getInfo.php?workbook=20_05.xlsx&amp;sheet=U0&amp;row=5638&amp;col=7&amp;number=0.0545&amp;sourceID=14","0.0545")</f>
        <v>0.0545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HYPERLINK("http://141.218.60.56/~jnz1568/getInfo.php?workbook=20_05.xlsx&amp;sheet=U0&amp;row=5639&amp;col=6&amp;number=4.5&amp;sourceID=14","4.5")</f>
        <v>4.5</v>
      </c>
      <c r="G5639" s="4" t="str">
        <f>HYPERLINK("http://141.218.60.56/~jnz1568/getInfo.php?workbook=20_05.xlsx&amp;sheet=U0&amp;row=5639&amp;col=7&amp;number=0.0545&amp;sourceID=14","0.0545")</f>
        <v>0.0545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HYPERLINK("http://141.218.60.56/~jnz1568/getInfo.php?workbook=20_05.xlsx&amp;sheet=U0&amp;row=5640&amp;col=6&amp;number=4.6&amp;sourceID=14","4.6")</f>
        <v>4.6</v>
      </c>
      <c r="G5640" s="4" t="str">
        <f>HYPERLINK("http://141.218.60.56/~jnz1568/getInfo.php?workbook=20_05.xlsx&amp;sheet=U0&amp;row=5640&amp;col=7&amp;number=0.0545&amp;sourceID=14","0.0545")</f>
        <v>0.0545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HYPERLINK("http://141.218.60.56/~jnz1568/getInfo.php?workbook=20_05.xlsx&amp;sheet=U0&amp;row=5641&amp;col=6&amp;number=4.7&amp;sourceID=14","4.7")</f>
        <v>4.7</v>
      </c>
      <c r="G5641" s="4" t="str">
        <f>HYPERLINK("http://141.218.60.56/~jnz1568/getInfo.php?workbook=20_05.xlsx&amp;sheet=U0&amp;row=5641&amp;col=7&amp;number=0.0546&amp;sourceID=14","0.0546")</f>
        <v>0.0546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HYPERLINK("http://141.218.60.56/~jnz1568/getInfo.php?workbook=20_05.xlsx&amp;sheet=U0&amp;row=5642&amp;col=6&amp;number=4.8&amp;sourceID=14","4.8")</f>
        <v>4.8</v>
      </c>
      <c r="G5642" s="4" t="str">
        <f>HYPERLINK("http://141.218.60.56/~jnz1568/getInfo.php?workbook=20_05.xlsx&amp;sheet=U0&amp;row=5642&amp;col=7&amp;number=0.0546&amp;sourceID=14","0.0546")</f>
        <v>0.0546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HYPERLINK("http://141.218.60.56/~jnz1568/getInfo.php?workbook=20_05.xlsx&amp;sheet=U0&amp;row=5643&amp;col=6&amp;number=4.9&amp;sourceID=14","4.9")</f>
        <v>4.9</v>
      </c>
      <c r="G5643" s="4" t="str">
        <f>HYPERLINK("http://141.218.60.56/~jnz1568/getInfo.php?workbook=20_05.xlsx&amp;sheet=U0&amp;row=5643&amp;col=7&amp;number=0.0546&amp;sourceID=14","0.0546")</f>
        <v>0.0546</v>
      </c>
    </row>
    <row r="5644" spans="1:7">
      <c r="A5644" s="3">
        <v>20</v>
      </c>
      <c r="B5644" s="3">
        <v>5</v>
      </c>
      <c r="C5644" s="3">
        <v>3</v>
      </c>
      <c r="D5644" s="3">
        <v>20</v>
      </c>
      <c r="E5644" s="3">
        <v>1</v>
      </c>
      <c r="F5644" s="4" t="str">
        <f>HYPERLINK("http://141.218.60.56/~jnz1568/getInfo.php?workbook=20_05.xlsx&amp;sheet=U0&amp;row=5644&amp;col=6&amp;number=3&amp;sourceID=14","3")</f>
        <v>3</v>
      </c>
      <c r="G5644" s="4" t="str">
        <f>HYPERLINK("http://141.218.60.56/~jnz1568/getInfo.php?workbook=20_05.xlsx&amp;sheet=U0&amp;row=5644&amp;col=7&amp;number=0.000718&amp;sourceID=14","0.000718")</f>
        <v>0.000718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HYPERLINK("http://141.218.60.56/~jnz1568/getInfo.php?workbook=20_05.xlsx&amp;sheet=U0&amp;row=5645&amp;col=6&amp;number=3.1&amp;sourceID=14","3.1")</f>
        <v>3.1</v>
      </c>
      <c r="G5645" s="4" t="str">
        <f>HYPERLINK("http://141.218.60.56/~jnz1568/getInfo.php?workbook=20_05.xlsx&amp;sheet=U0&amp;row=5645&amp;col=7&amp;number=0.000718&amp;sourceID=14","0.000718")</f>
        <v>0.000718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HYPERLINK("http://141.218.60.56/~jnz1568/getInfo.php?workbook=20_05.xlsx&amp;sheet=U0&amp;row=5646&amp;col=6&amp;number=3.2&amp;sourceID=14","3.2")</f>
        <v>3.2</v>
      </c>
      <c r="G5646" s="4" t="str">
        <f>HYPERLINK("http://141.218.60.56/~jnz1568/getInfo.php?workbook=20_05.xlsx&amp;sheet=U0&amp;row=5646&amp;col=7&amp;number=0.000717&amp;sourceID=14","0.000717")</f>
        <v>0.000717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HYPERLINK("http://141.218.60.56/~jnz1568/getInfo.php?workbook=20_05.xlsx&amp;sheet=U0&amp;row=5647&amp;col=6&amp;number=3.3&amp;sourceID=14","3.3")</f>
        <v>3.3</v>
      </c>
      <c r="G5647" s="4" t="str">
        <f>HYPERLINK("http://141.218.60.56/~jnz1568/getInfo.php?workbook=20_05.xlsx&amp;sheet=U0&amp;row=5647&amp;col=7&amp;number=0.000717&amp;sourceID=14","0.000717")</f>
        <v>0.000717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HYPERLINK("http://141.218.60.56/~jnz1568/getInfo.php?workbook=20_05.xlsx&amp;sheet=U0&amp;row=5648&amp;col=6&amp;number=3.4&amp;sourceID=14","3.4")</f>
        <v>3.4</v>
      </c>
      <c r="G5648" s="4" t="str">
        <f>HYPERLINK("http://141.218.60.56/~jnz1568/getInfo.php?workbook=20_05.xlsx&amp;sheet=U0&amp;row=5648&amp;col=7&amp;number=0.000717&amp;sourceID=14","0.000717")</f>
        <v>0.000717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HYPERLINK("http://141.218.60.56/~jnz1568/getInfo.php?workbook=20_05.xlsx&amp;sheet=U0&amp;row=5649&amp;col=6&amp;number=3.5&amp;sourceID=14","3.5")</f>
        <v>3.5</v>
      </c>
      <c r="G5649" s="4" t="str">
        <f>HYPERLINK("http://141.218.60.56/~jnz1568/getInfo.php?workbook=20_05.xlsx&amp;sheet=U0&amp;row=5649&amp;col=7&amp;number=0.000717&amp;sourceID=14","0.000717")</f>
        <v>0.000717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HYPERLINK("http://141.218.60.56/~jnz1568/getInfo.php?workbook=20_05.xlsx&amp;sheet=U0&amp;row=5650&amp;col=6&amp;number=3.6&amp;sourceID=14","3.6")</f>
        <v>3.6</v>
      </c>
      <c r="G5650" s="4" t="str">
        <f>HYPERLINK("http://141.218.60.56/~jnz1568/getInfo.php?workbook=20_05.xlsx&amp;sheet=U0&amp;row=5650&amp;col=7&amp;number=0.000717&amp;sourceID=14","0.000717")</f>
        <v>0.000717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HYPERLINK("http://141.218.60.56/~jnz1568/getInfo.php?workbook=20_05.xlsx&amp;sheet=U0&amp;row=5651&amp;col=6&amp;number=3.7&amp;sourceID=14","3.7")</f>
        <v>3.7</v>
      </c>
      <c r="G5651" s="4" t="str">
        <f>HYPERLINK("http://141.218.60.56/~jnz1568/getInfo.php?workbook=20_05.xlsx&amp;sheet=U0&amp;row=5651&amp;col=7&amp;number=0.000717&amp;sourceID=14","0.000717")</f>
        <v>0.000717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HYPERLINK("http://141.218.60.56/~jnz1568/getInfo.php?workbook=20_05.xlsx&amp;sheet=U0&amp;row=5652&amp;col=6&amp;number=3.8&amp;sourceID=14","3.8")</f>
        <v>3.8</v>
      </c>
      <c r="G5652" s="4" t="str">
        <f>HYPERLINK("http://141.218.60.56/~jnz1568/getInfo.php?workbook=20_05.xlsx&amp;sheet=U0&amp;row=5652&amp;col=7&amp;number=0.000717&amp;sourceID=14","0.000717")</f>
        <v>0.000717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HYPERLINK("http://141.218.60.56/~jnz1568/getInfo.php?workbook=20_05.xlsx&amp;sheet=U0&amp;row=5653&amp;col=6&amp;number=3.9&amp;sourceID=14","3.9")</f>
        <v>3.9</v>
      </c>
      <c r="G5653" s="4" t="str">
        <f>HYPERLINK("http://141.218.60.56/~jnz1568/getInfo.php?workbook=20_05.xlsx&amp;sheet=U0&amp;row=5653&amp;col=7&amp;number=0.000717&amp;sourceID=14","0.000717")</f>
        <v>0.000717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HYPERLINK("http://141.218.60.56/~jnz1568/getInfo.php?workbook=20_05.xlsx&amp;sheet=U0&amp;row=5654&amp;col=6&amp;number=4&amp;sourceID=14","4")</f>
        <v>4</v>
      </c>
      <c r="G5654" s="4" t="str">
        <f>HYPERLINK("http://141.218.60.56/~jnz1568/getInfo.php?workbook=20_05.xlsx&amp;sheet=U0&amp;row=5654&amp;col=7&amp;number=0.000717&amp;sourceID=14","0.000717")</f>
        <v>0.000717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HYPERLINK("http://141.218.60.56/~jnz1568/getInfo.php?workbook=20_05.xlsx&amp;sheet=U0&amp;row=5655&amp;col=6&amp;number=4.1&amp;sourceID=14","4.1")</f>
        <v>4.1</v>
      </c>
      <c r="G5655" s="4" t="str">
        <f>HYPERLINK("http://141.218.60.56/~jnz1568/getInfo.php?workbook=20_05.xlsx&amp;sheet=U0&amp;row=5655&amp;col=7&amp;number=0.000717&amp;sourceID=14","0.000717")</f>
        <v>0.000717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HYPERLINK("http://141.218.60.56/~jnz1568/getInfo.php?workbook=20_05.xlsx&amp;sheet=U0&amp;row=5656&amp;col=6&amp;number=4.2&amp;sourceID=14","4.2")</f>
        <v>4.2</v>
      </c>
      <c r="G5656" s="4" t="str">
        <f>HYPERLINK("http://141.218.60.56/~jnz1568/getInfo.php?workbook=20_05.xlsx&amp;sheet=U0&amp;row=5656&amp;col=7&amp;number=0.000716&amp;sourceID=14","0.000716")</f>
        <v>0.000716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HYPERLINK("http://141.218.60.56/~jnz1568/getInfo.php?workbook=20_05.xlsx&amp;sheet=U0&amp;row=5657&amp;col=6&amp;number=4.3&amp;sourceID=14","4.3")</f>
        <v>4.3</v>
      </c>
      <c r="G5657" s="4" t="str">
        <f>HYPERLINK("http://141.218.60.56/~jnz1568/getInfo.php?workbook=20_05.xlsx&amp;sheet=U0&amp;row=5657&amp;col=7&amp;number=0.000716&amp;sourceID=14","0.000716")</f>
        <v>0.000716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HYPERLINK("http://141.218.60.56/~jnz1568/getInfo.php?workbook=20_05.xlsx&amp;sheet=U0&amp;row=5658&amp;col=6&amp;number=4.4&amp;sourceID=14","4.4")</f>
        <v>4.4</v>
      </c>
      <c r="G5658" s="4" t="str">
        <f>HYPERLINK("http://141.218.60.56/~jnz1568/getInfo.php?workbook=20_05.xlsx&amp;sheet=U0&amp;row=5658&amp;col=7&amp;number=0.000716&amp;sourceID=14","0.000716")</f>
        <v>0.000716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HYPERLINK("http://141.218.60.56/~jnz1568/getInfo.php?workbook=20_05.xlsx&amp;sheet=U0&amp;row=5659&amp;col=6&amp;number=4.5&amp;sourceID=14","4.5")</f>
        <v>4.5</v>
      </c>
      <c r="G5659" s="4" t="str">
        <f>HYPERLINK("http://141.218.60.56/~jnz1568/getInfo.php?workbook=20_05.xlsx&amp;sheet=U0&amp;row=5659&amp;col=7&amp;number=0.000715&amp;sourceID=14","0.000715")</f>
        <v>0.000715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HYPERLINK("http://141.218.60.56/~jnz1568/getInfo.php?workbook=20_05.xlsx&amp;sheet=U0&amp;row=5660&amp;col=6&amp;number=4.6&amp;sourceID=14","4.6")</f>
        <v>4.6</v>
      </c>
      <c r="G5660" s="4" t="str">
        <f>HYPERLINK("http://141.218.60.56/~jnz1568/getInfo.php?workbook=20_05.xlsx&amp;sheet=U0&amp;row=5660&amp;col=7&amp;number=0.000715&amp;sourceID=14","0.000715")</f>
        <v>0.000715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HYPERLINK("http://141.218.60.56/~jnz1568/getInfo.php?workbook=20_05.xlsx&amp;sheet=U0&amp;row=5661&amp;col=6&amp;number=4.7&amp;sourceID=14","4.7")</f>
        <v>4.7</v>
      </c>
      <c r="G5661" s="4" t="str">
        <f>HYPERLINK("http://141.218.60.56/~jnz1568/getInfo.php?workbook=20_05.xlsx&amp;sheet=U0&amp;row=5661&amp;col=7&amp;number=0.000714&amp;sourceID=14","0.000714")</f>
        <v>0.000714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HYPERLINK("http://141.218.60.56/~jnz1568/getInfo.php?workbook=20_05.xlsx&amp;sheet=U0&amp;row=5662&amp;col=6&amp;number=4.8&amp;sourceID=14","4.8")</f>
        <v>4.8</v>
      </c>
      <c r="G5662" s="4" t="str">
        <f>HYPERLINK("http://141.218.60.56/~jnz1568/getInfo.php?workbook=20_05.xlsx&amp;sheet=U0&amp;row=5662&amp;col=7&amp;number=0.000713&amp;sourceID=14","0.000713")</f>
        <v>0.000713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HYPERLINK("http://141.218.60.56/~jnz1568/getInfo.php?workbook=20_05.xlsx&amp;sheet=U0&amp;row=5663&amp;col=6&amp;number=4.9&amp;sourceID=14","4.9")</f>
        <v>4.9</v>
      </c>
      <c r="G5663" s="4" t="str">
        <f>HYPERLINK("http://141.218.60.56/~jnz1568/getInfo.php?workbook=20_05.xlsx&amp;sheet=U0&amp;row=5663&amp;col=7&amp;number=0.000712&amp;sourceID=14","0.000712")</f>
        <v>0.000712</v>
      </c>
    </row>
    <row r="5664" spans="1:7">
      <c r="A5664" s="3">
        <v>20</v>
      </c>
      <c r="B5664" s="3">
        <v>5</v>
      </c>
      <c r="C5664" s="3">
        <v>3</v>
      </c>
      <c r="D5664" s="3">
        <v>21</v>
      </c>
      <c r="E5664" s="3">
        <v>1</v>
      </c>
      <c r="F5664" s="4" t="str">
        <f>HYPERLINK("http://141.218.60.56/~jnz1568/getInfo.php?workbook=20_05.xlsx&amp;sheet=U0&amp;row=5664&amp;col=6&amp;number=3&amp;sourceID=14","3")</f>
        <v>3</v>
      </c>
      <c r="G5664" s="4" t="str">
        <f>HYPERLINK("http://141.218.60.56/~jnz1568/getInfo.php?workbook=20_05.xlsx&amp;sheet=U0&amp;row=5664&amp;col=7&amp;number=0.000193&amp;sourceID=14","0.000193")</f>
        <v>0.000193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HYPERLINK("http://141.218.60.56/~jnz1568/getInfo.php?workbook=20_05.xlsx&amp;sheet=U0&amp;row=5665&amp;col=6&amp;number=3.1&amp;sourceID=14","3.1")</f>
        <v>3.1</v>
      </c>
      <c r="G5665" s="4" t="str">
        <f>HYPERLINK("http://141.218.60.56/~jnz1568/getInfo.php?workbook=20_05.xlsx&amp;sheet=U0&amp;row=5665&amp;col=7&amp;number=0.000193&amp;sourceID=14","0.000193")</f>
        <v>0.000193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HYPERLINK("http://141.218.60.56/~jnz1568/getInfo.php?workbook=20_05.xlsx&amp;sheet=U0&amp;row=5666&amp;col=6&amp;number=3.2&amp;sourceID=14","3.2")</f>
        <v>3.2</v>
      </c>
      <c r="G5666" s="4" t="str">
        <f>HYPERLINK("http://141.218.60.56/~jnz1568/getInfo.php?workbook=20_05.xlsx&amp;sheet=U0&amp;row=5666&amp;col=7&amp;number=0.000193&amp;sourceID=14","0.000193")</f>
        <v>0.000193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HYPERLINK("http://141.218.60.56/~jnz1568/getInfo.php?workbook=20_05.xlsx&amp;sheet=U0&amp;row=5667&amp;col=6&amp;number=3.3&amp;sourceID=14","3.3")</f>
        <v>3.3</v>
      </c>
      <c r="G5667" s="4" t="str">
        <f>HYPERLINK("http://141.218.60.56/~jnz1568/getInfo.php?workbook=20_05.xlsx&amp;sheet=U0&amp;row=5667&amp;col=7&amp;number=0.000193&amp;sourceID=14","0.000193")</f>
        <v>0.000193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HYPERLINK("http://141.218.60.56/~jnz1568/getInfo.php?workbook=20_05.xlsx&amp;sheet=U0&amp;row=5668&amp;col=6&amp;number=3.4&amp;sourceID=14","3.4")</f>
        <v>3.4</v>
      </c>
      <c r="G5668" s="4" t="str">
        <f>HYPERLINK("http://141.218.60.56/~jnz1568/getInfo.php?workbook=20_05.xlsx&amp;sheet=U0&amp;row=5668&amp;col=7&amp;number=0.000193&amp;sourceID=14","0.000193")</f>
        <v>0.000193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HYPERLINK("http://141.218.60.56/~jnz1568/getInfo.php?workbook=20_05.xlsx&amp;sheet=U0&amp;row=5669&amp;col=6&amp;number=3.5&amp;sourceID=14","3.5")</f>
        <v>3.5</v>
      </c>
      <c r="G5669" s="4" t="str">
        <f>HYPERLINK("http://141.218.60.56/~jnz1568/getInfo.php?workbook=20_05.xlsx&amp;sheet=U0&amp;row=5669&amp;col=7&amp;number=0.000193&amp;sourceID=14","0.000193")</f>
        <v>0.000193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HYPERLINK("http://141.218.60.56/~jnz1568/getInfo.php?workbook=20_05.xlsx&amp;sheet=U0&amp;row=5670&amp;col=6&amp;number=3.6&amp;sourceID=14","3.6")</f>
        <v>3.6</v>
      </c>
      <c r="G5670" s="4" t="str">
        <f>HYPERLINK("http://141.218.60.56/~jnz1568/getInfo.php?workbook=20_05.xlsx&amp;sheet=U0&amp;row=5670&amp;col=7&amp;number=0.000193&amp;sourceID=14","0.000193")</f>
        <v>0.000193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HYPERLINK("http://141.218.60.56/~jnz1568/getInfo.php?workbook=20_05.xlsx&amp;sheet=U0&amp;row=5671&amp;col=6&amp;number=3.7&amp;sourceID=14","3.7")</f>
        <v>3.7</v>
      </c>
      <c r="G5671" s="4" t="str">
        <f>HYPERLINK("http://141.218.60.56/~jnz1568/getInfo.php?workbook=20_05.xlsx&amp;sheet=U0&amp;row=5671&amp;col=7&amp;number=0.000193&amp;sourceID=14","0.000193")</f>
        <v>0.000193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HYPERLINK("http://141.218.60.56/~jnz1568/getInfo.php?workbook=20_05.xlsx&amp;sheet=U0&amp;row=5672&amp;col=6&amp;number=3.8&amp;sourceID=14","3.8")</f>
        <v>3.8</v>
      </c>
      <c r="G5672" s="4" t="str">
        <f>HYPERLINK("http://141.218.60.56/~jnz1568/getInfo.php?workbook=20_05.xlsx&amp;sheet=U0&amp;row=5672&amp;col=7&amp;number=0.000193&amp;sourceID=14","0.000193")</f>
        <v>0.000193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HYPERLINK("http://141.218.60.56/~jnz1568/getInfo.php?workbook=20_05.xlsx&amp;sheet=U0&amp;row=5673&amp;col=6&amp;number=3.9&amp;sourceID=14","3.9")</f>
        <v>3.9</v>
      </c>
      <c r="G5673" s="4" t="str">
        <f>HYPERLINK("http://141.218.60.56/~jnz1568/getInfo.php?workbook=20_05.xlsx&amp;sheet=U0&amp;row=5673&amp;col=7&amp;number=0.000193&amp;sourceID=14","0.000193")</f>
        <v>0.000193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HYPERLINK("http://141.218.60.56/~jnz1568/getInfo.php?workbook=20_05.xlsx&amp;sheet=U0&amp;row=5674&amp;col=6&amp;number=4&amp;sourceID=14","4")</f>
        <v>4</v>
      </c>
      <c r="G5674" s="4" t="str">
        <f>HYPERLINK("http://141.218.60.56/~jnz1568/getInfo.php?workbook=20_05.xlsx&amp;sheet=U0&amp;row=5674&amp;col=7&amp;number=0.000193&amp;sourceID=14","0.000193")</f>
        <v>0.000193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HYPERLINK("http://141.218.60.56/~jnz1568/getInfo.php?workbook=20_05.xlsx&amp;sheet=U0&amp;row=5675&amp;col=6&amp;number=4.1&amp;sourceID=14","4.1")</f>
        <v>4.1</v>
      </c>
      <c r="G5675" s="4" t="str">
        <f>HYPERLINK("http://141.218.60.56/~jnz1568/getInfo.php?workbook=20_05.xlsx&amp;sheet=U0&amp;row=5675&amp;col=7&amp;number=0.000193&amp;sourceID=14","0.000193")</f>
        <v>0.000193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HYPERLINK("http://141.218.60.56/~jnz1568/getInfo.php?workbook=20_05.xlsx&amp;sheet=U0&amp;row=5676&amp;col=6&amp;number=4.2&amp;sourceID=14","4.2")</f>
        <v>4.2</v>
      </c>
      <c r="G5676" s="4" t="str">
        <f>HYPERLINK("http://141.218.60.56/~jnz1568/getInfo.php?workbook=20_05.xlsx&amp;sheet=U0&amp;row=5676&amp;col=7&amp;number=0.000192&amp;sourceID=14","0.000192")</f>
        <v>0.000192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HYPERLINK("http://141.218.60.56/~jnz1568/getInfo.php?workbook=20_05.xlsx&amp;sheet=U0&amp;row=5677&amp;col=6&amp;number=4.3&amp;sourceID=14","4.3")</f>
        <v>4.3</v>
      </c>
      <c r="G5677" s="4" t="str">
        <f>HYPERLINK("http://141.218.60.56/~jnz1568/getInfo.php?workbook=20_05.xlsx&amp;sheet=U0&amp;row=5677&amp;col=7&amp;number=0.000192&amp;sourceID=14","0.000192")</f>
        <v>0.000192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HYPERLINK("http://141.218.60.56/~jnz1568/getInfo.php?workbook=20_05.xlsx&amp;sheet=U0&amp;row=5678&amp;col=6&amp;number=4.4&amp;sourceID=14","4.4")</f>
        <v>4.4</v>
      </c>
      <c r="G5678" s="4" t="str">
        <f>HYPERLINK("http://141.218.60.56/~jnz1568/getInfo.php?workbook=20_05.xlsx&amp;sheet=U0&amp;row=5678&amp;col=7&amp;number=0.000192&amp;sourceID=14","0.000192")</f>
        <v>0.000192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HYPERLINK("http://141.218.60.56/~jnz1568/getInfo.php?workbook=20_05.xlsx&amp;sheet=U0&amp;row=5679&amp;col=6&amp;number=4.5&amp;sourceID=14","4.5")</f>
        <v>4.5</v>
      </c>
      <c r="G5679" s="4" t="str">
        <f>HYPERLINK("http://141.218.60.56/~jnz1568/getInfo.php?workbook=20_05.xlsx&amp;sheet=U0&amp;row=5679&amp;col=7&amp;number=0.000192&amp;sourceID=14","0.000192")</f>
        <v>0.000192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HYPERLINK("http://141.218.60.56/~jnz1568/getInfo.php?workbook=20_05.xlsx&amp;sheet=U0&amp;row=5680&amp;col=6&amp;number=4.6&amp;sourceID=14","4.6")</f>
        <v>4.6</v>
      </c>
      <c r="G5680" s="4" t="str">
        <f>HYPERLINK("http://141.218.60.56/~jnz1568/getInfo.php?workbook=20_05.xlsx&amp;sheet=U0&amp;row=5680&amp;col=7&amp;number=0.000192&amp;sourceID=14","0.000192")</f>
        <v>0.000192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HYPERLINK("http://141.218.60.56/~jnz1568/getInfo.php?workbook=20_05.xlsx&amp;sheet=U0&amp;row=5681&amp;col=6&amp;number=4.7&amp;sourceID=14","4.7")</f>
        <v>4.7</v>
      </c>
      <c r="G5681" s="4" t="str">
        <f>HYPERLINK("http://141.218.60.56/~jnz1568/getInfo.php?workbook=20_05.xlsx&amp;sheet=U0&amp;row=5681&amp;col=7&amp;number=0.000192&amp;sourceID=14","0.000192")</f>
        <v>0.000192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HYPERLINK("http://141.218.60.56/~jnz1568/getInfo.php?workbook=20_05.xlsx&amp;sheet=U0&amp;row=5682&amp;col=6&amp;number=4.8&amp;sourceID=14","4.8")</f>
        <v>4.8</v>
      </c>
      <c r="G5682" s="4" t="str">
        <f>HYPERLINK("http://141.218.60.56/~jnz1568/getInfo.php?workbook=20_05.xlsx&amp;sheet=U0&amp;row=5682&amp;col=7&amp;number=0.000191&amp;sourceID=14","0.000191")</f>
        <v>0.000191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HYPERLINK("http://141.218.60.56/~jnz1568/getInfo.php?workbook=20_05.xlsx&amp;sheet=U0&amp;row=5683&amp;col=6&amp;number=4.9&amp;sourceID=14","4.9")</f>
        <v>4.9</v>
      </c>
      <c r="G5683" s="4" t="str">
        <f>HYPERLINK("http://141.218.60.56/~jnz1568/getInfo.php?workbook=20_05.xlsx&amp;sheet=U0&amp;row=5683&amp;col=7&amp;number=0.000191&amp;sourceID=14","0.000191")</f>
        <v>0.000191</v>
      </c>
    </row>
    <row r="5684" spans="1:7">
      <c r="A5684" s="3">
        <v>20</v>
      </c>
      <c r="B5684" s="3">
        <v>5</v>
      </c>
      <c r="C5684" s="3">
        <v>3</v>
      </c>
      <c r="D5684" s="3">
        <v>22</v>
      </c>
      <c r="E5684" s="3">
        <v>1</v>
      </c>
      <c r="F5684" s="4" t="str">
        <f>HYPERLINK("http://141.218.60.56/~jnz1568/getInfo.php?workbook=20_05.xlsx&amp;sheet=U0&amp;row=5684&amp;col=6&amp;number=3&amp;sourceID=14","3")</f>
        <v>3</v>
      </c>
      <c r="G5684" s="4" t="str">
        <f>HYPERLINK("http://141.218.60.56/~jnz1568/getInfo.php?workbook=20_05.xlsx&amp;sheet=U0&amp;row=5684&amp;col=7&amp;number=0.00102&amp;sourceID=14","0.00102")</f>
        <v>0.00102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HYPERLINK("http://141.218.60.56/~jnz1568/getInfo.php?workbook=20_05.xlsx&amp;sheet=U0&amp;row=5685&amp;col=6&amp;number=3.1&amp;sourceID=14","3.1")</f>
        <v>3.1</v>
      </c>
      <c r="G5685" s="4" t="str">
        <f>HYPERLINK("http://141.218.60.56/~jnz1568/getInfo.php?workbook=20_05.xlsx&amp;sheet=U0&amp;row=5685&amp;col=7&amp;number=0.00102&amp;sourceID=14","0.00102")</f>
        <v>0.00102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HYPERLINK("http://141.218.60.56/~jnz1568/getInfo.php?workbook=20_05.xlsx&amp;sheet=U0&amp;row=5686&amp;col=6&amp;number=3.2&amp;sourceID=14","3.2")</f>
        <v>3.2</v>
      </c>
      <c r="G5686" s="4" t="str">
        <f>HYPERLINK("http://141.218.60.56/~jnz1568/getInfo.php?workbook=20_05.xlsx&amp;sheet=U0&amp;row=5686&amp;col=7&amp;number=0.00102&amp;sourceID=14","0.00102")</f>
        <v>0.00102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HYPERLINK("http://141.218.60.56/~jnz1568/getInfo.php?workbook=20_05.xlsx&amp;sheet=U0&amp;row=5687&amp;col=6&amp;number=3.3&amp;sourceID=14","3.3")</f>
        <v>3.3</v>
      </c>
      <c r="G5687" s="4" t="str">
        <f>HYPERLINK("http://141.218.60.56/~jnz1568/getInfo.php?workbook=20_05.xlsx&amp;sheet=U0&amp;row=5687&amp;col=7&amp;number=0.00102&amp;sourceID=14","0.00102")</f>
        <v>0.00102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HYPERLINK("http://141.218.60.56/~jnz1568/getInfo.php?workbook=20_05.xlsx&amp;sheet=U0&amp;row=5688&amp;col=6&amp;number=3.4&amp;sourceID=14","3.4")</f>
        <v>3.4</v>
      </c>
      <c r="G5688" s="4" t="str">
        <f>HYPERLINK("http://141.218.60.56/~jnz1568/getInfo.php?workbook=20_05.xlsx&amp;sheet=U0&amp;row=5688&amp;col=7&amp;number=0.00102&amp;sourceID=14","0.00102")</f>
        <v>0.00102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HYPERLINK("http://141.218.60.56/~jnz1568/getInfo.php?workbook=20_05.xlsx&amp;sheet=U0&amp;row=5689&amp;col=6&amp;number=3.5&amp;sourceID=14","3.5")</f>
        <v>3.5</v>
      </c>
      <c r="G5689" s="4" t="str">
        <f>HYPERLINK("http://141.218.60.56/~jnz1568/getInfo.php?workbook=20_05.xlsx&amp;sheet=U0&amp;row=5689&amp;col=7&amp;number=0.00102&amp;sourceID=14","0.00102")</f>
        <v>0.00102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HYPERLINK("http://141.218.60.56/~jnz1568/getInfo.php?workbook=20_05.xlsx&amp;sheet=U0&amp;row=5690&amp;col=6&amp;number=3.6&amp;sourceID=14","3.6")</f>
        <v>3.6</v>
      </c>
      <c r="G5690" s="4" t="str">
        <f>HYPERLINK("http://141.218.60.56/~jnz1568/getInfo.php?workbook=20_05.xlsx&amp;sheet=U0&amp;row=5690&amp;col=7&amp;number=0.00102&amp;sourceID=14","0.00102")</f>
        <v>0.00102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HYPERLINK("http://141.218.60.56/~jnz1568/getInfo.php?workbook=20_05.xlsx&amp;sheet=U0&amp;row=5691&amp;col=6&amp;number=3.7&amp;sourceID=14","3.7")</f>
        <v>3.7</v>
      </c>
      <c r="G5691" s="4" t="str">
        <f>HYPERLINK("http://141.218.60.56/~jnz1568/getInfo.php?workbook=20_05.xlsx&amp;sheet=U0&amp;row=5691&amp;col=7&amp;number=0.00102&amp;sourceID=14","0.00102")</f>
        <v>0.00102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HYPERLINK("http://141.218.60.56/~jnz1568/getInfo.php?workbook=20_05.xlsx&amp;sheet=U0&amp;row=5692&amp;col=6&amp;number=3.8&amp;sourceID=14","3.8")</f>
        <v>3.8</v>
      </c>
      <c r="G5692" s="4" t="str">
        <f>HYPERLINK("http://141.218.60.56/~jnz1568/getInfo.php?workbook=20_05.xlsx&amp;sheet=U0&amp;row=5692&amp;col=7&amp;number=0.00102&amp;sourceID=14","0.00102")</f>
        <v>0.00102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HYPERLINK("http://141.218.60.56/~jnz1568/getInfo.php?workbook=20_05.xlsx&amp;sheet=U0&amp;row=5693&amp;col=6&amp;number=3.9&amp;sourceID=14","3.9")</f>
        <v>3.9</v>
      </c>
      <c r="G5693" s="4" t="str">
        <f>HYPERLINK("http://141.218.60.56/~jnz1568/getInfo.php?workbook=20_05.xlsx&amp;sheet=U0&amp;row=5693&amp;col=7&amp;number=0.00102&amp;sourceID=14","0.00102")</f>
        <v>0.00102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HYPERLINK("http://141.218.60.56/~jnz1568/getInfo.php?workbook=20_05.xlsx&amp;sheet=U0&amp;row=5694&amp;col=6&amp;number=4&amp;sourceID=14","4")</f>
        <v>4</v>
      </c>
      <c r="G5694" s="4" t="str">
        <f>HYPERLINK("http://141.218.60.56/~jnz1568/getInfo.php?workbook=20_05.xlsx&amp;sheet=U0&amp;row=5694&amp;col=7&amp;number=0.00102&amp;sourceID=14","0.00102")</f>
        <v>0.00102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HYPERLINK("http://141.218.60.56/~jnz1568/getInfo.php?workbook=20_05.xlsx&amp;sheet=U0&amp;row=5695&amp;col=6&amp;number=4.1&amp;sourceID=14","4.1")</f>
        <v>4.1</v>
      </c>
      <c r="G5695" s="4" t="str">
        <f>HYPERLINK("http://141.218.60.56/~jnz1568/getInfo.php?workbook=20_05.xlsx&amp;sheet=U0&amp;row=5695&amp;col=7&amp;number=0.00102&amp;sourceID=14","0.00102")</f>
        <v>0.00102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HYPERLINK("http://141.218.60.56/~jnz1568/getInfo.php?workbook=20_05.xlsx&amp;sheet=U0&amp;row=5696&amp;col=6&amp;number=4.2&amp;sourceID=14","4.2")</f>
        <v>4.2</v>
      </c>
      <c r="G5696" s="4" t="str">
        <f>HYPERLINK("http://141.218.60.56/~jnz1568/getInfo.php?workbook=20_05.xlsx&amp;sheet=U0&amp;row=5696&amp;col=7&amp;number=0.00102&amp;sourceID=14","0.00102")</f>
        <v>0.00102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HYPERLINK("http://141.218.60.56/~jnz1568/getInfo.php?workbook=20_05.xlsx&amp;sheet=U0&amp;row=5697&amp;col=6&amp;number=4.3&amp;sourceID=14","4.3")</f>
        <v>4.3</v>
      </c>
      <c r="G5697" s="4" t="str">
        <f>HYPERLINK("http://141.218.60.56/~jnz1568/getInfo.php?workbook=20_05.xlsx&amp;sheet=U0&amp;row=5697&amp;col=7&amp;number=0.00102&amp;sourceID=14","0.00102")</f>
        <v>0.00102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HYPERLINK("http://141.218.60.56/~jnz1568/getInfo.php?workbook=20_05.xlsx&amp;sheet=U0&amp;row=5698&amp;col=6&amp;number=4.4&amp;sourceID=14","4.4")</f>
        <v>4.4</v>
      </c>
      <c r="G5698" s="4" t="str">
        <f>HYPERLINK("http://141.218.60.56/~jnz1568/getInfo.php?workbook=20_05.xlsx&amp;sheet=U0&amp;row=5698&amp;col=7&amp;number=0.00102&amp;sourceID=14","0.00102")</f>
        <v>0.00102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HYPERLINK("http://141.218.60.56/~jnz1568/getInfo.php?workbook=20_05.xlsx&amp;sheet=U0&amp;row=5699&amp;col=6&amp;number=4.5&amp;sourceID=14","4.5")</f>
        <v>4.5</v>
      </c>
      <c r="G5699" s="4" t="str">
        <f>HYPERLINK("http://141.218.60.56/~jnz1568/getInfo.php?workbook=20_05.xlsx&amp;sheet=U0&amp;row=5699&amp;col=7&amp;number=0.00102&amp;sourceID=14","0.00102")</f>
        <v>0.00102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HYPERLINK("http://141.218.60.56/~jnz1568/getInfo.php?workbook=20_05.xlsx&amp;sheet=U0&amp;row=5700&amp;col=6&amp;number=4.6&amp;sourceID=14","4.6")</f>
        <v>4.6</v>
      </c>
      <c r="G5700" s="4" t="str">
        <f>HYPERLINK("http://141.218.60.56/~jnz1568/getInfo.php?workbook=20_05.xlsx&amp;sheet=U0&amp;row=5700&amp;col=7&amp;number=0.00102&amp;sourceID=14","0.00102")</f>
        <v>0.00102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HYPERLINK("http://141.218.60.56/~jnz1568/getInfo.php?workbook=20_05.xlsx&amp;sheet=U0&amp;row=5701&amp;col=6&amp;number=4.7&amp;sourceID=14","4.7")</f>
        <v>4.7</v>
      </c>
      <c r="G5701" s="4" t="str">
        <f>HYPERLINK("http://141.218.60.56/~jnz1568/getInfo.php?workbook=20_05.xlsx&amp;sheet=U0&amp;row=5701&amp;col=7&amp;number=0.00102&amp;sourceID=14","0.00102")</f>
        <v>0.00102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HYPERLINK("http://141.218.60.56/~jnz1568/getInfo.php?workbook=20_05.xlsx&amp;sheet=U0&amp;row=5702&amp;col=6&amp;number=4.8&amp;sourceID=14","4.8")</f>
        <v>4.8</v>
      </c>
      <c r="G5702" s="4" t="str">
        <f>HYPERLINK("http://141.218.60.56/~jnz1568/getInfo.php?workbook=20_05.xlsx&amp;sheet=U0&amp;row=5702&amp;col=7&amp;number=0.00102&amp;sourceID=14","0.00102")</f>
        <v>0.00102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HYPERLINK("http://141.218.60.56/~jnz1568/getInfo.php?workbook=20_05.xlsx&amp;sheet=U0&amp;row=5703&amp;col=6&amp;number=4.9&amp;sourceID=14","4.9")</f>
        <v>4.9</v>
      </c>
      <c r="G5703" s="4" t="str">
        <f>HYPERLINK("http://141.218.60.56/~jnz1568/getInfo.php?workbook=20_05.xlsx&amp;sheet=U0&amp;row=5703&amp;col=7&amp;number=0.00102&amp;sourceID=14","0.00102")</f>
        <v>0.00102</v>
      </c>
    </row>
    <row r="5704" spans="1:7">
      <c r="A5704" s="3">
        <v>20</v>
      </c>
      <c r="B5704" s="3">
        <v>5</v>
      </c>
      <c r="C5704" s="3">
        <v>3</v>
      </c>
      <c r="D5704" s="3">
        <v>23</v>
      </c>
      <c r="E5704" s="3">
        <v>1</v>
      </c>
      <c r="F5704" s="4" t="str">
        <f>HYPERLINK("http://141.218.60.56/~jnz1568/getInfo.php?workbook=20_05.xlsx&amp;sheet=U0&amp;row=5704&amp;col=6&amp;number=3&amp;sourceID=14","3")</f>
        <v>3</v>
      </c>
      <c r="G5704" s="4" t="str">
        <f>HYPERLINK("http://141.218.60.56/~jnz1568/getInfo.php?workbook=20_05.xlsx&amp;sheet=U0&amp;row=5704&amp;col=7&amp;number=0.0175&amp;sourceID=14","0.0175")</f>
        <v>0.0175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HYPERLINK("http://141.218.60.56/~jnz1568/getInfo.php?workbook=20_05.xlsx&amp;sheet=U0&amp;row=5705&amp;col=6&amp;number=3.1&amp;sourceID=14","3.1")</f>
        <v>3.1</v>
      </c>
      <c r="G5705" s="4" t="str">
        <f>HYPERLINK("http://141.218.60.56/~jnz1568/getInfo.php?workbook=20_05.xlsx&amp;sheet=U0&amp;row=5705&amp;col=7&amp;number=0.0175&amp;sourceID=14","0.0175")</f>
        <v>0.0175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HYPERLINK("http://141.218.60.56/~jnz1568/getInfo.php?workbook=20_05.xlsx&amp;sheet=U0&amp;row=5706&amp;col=6&amp;number=3.2&amp;sourceID=14","3.2")</f>
        <v>3.2</v>
      </c>
      <c r="G5706" s="4" t="str">
        <f>HYPERLINK("http://141.218.60.56/~jnz1568/getInfo.php?workbook=20_05.xlsx&amp;sheet=U0&amp;row=5706&amp;col=7&amp;number=0.0175&amp;sourceID=14","0.0175")</f>
        <v>0.0175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HYPERLINK("http://141.218.60.56/~jnz1568/getInfo.php?workbook=20_05.xlsx&amp;sheet=U0&amp;row=5707&amp;col=6&amp;number=3.3&amp;sourceID=14","3.3")</f>
        <v>3.3</v>
      </c>
      <c r="G5707" s="4" t="str">
        <f>HYPERLINK("http://141.218.60.56/~jnz1568/getInfo.php?workbook=20_05.xlsx&amp;sheet=U0&amp;row=5707&amp;col=7&amp;number=0.0175&amp;sourceID=14","0.0175")</f>
        <v>0.0175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HYPERLINK("http://141.218.60.56/~jnz1568/getInfo.php?workbook=20_05.xlsx&amp;sheet=U0&amp;row=5708&amp;col=6&amp;number=3.4&amp;sourceID=14","3.4")</f>
        <v>3.4</v>
      </c>
      <c r="G5708" s="4" t="str">
        <f>HYPERLINK("http://141.218.60.56/~jnz1568/getInfo.php?workbook=20_05.xlsx&amp;sheet=U0&amp;row=5708&amp;col=7&amp;number=0.0175&amp;sourceID=14","0.0175")</f>
        <v>0.0175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HYPERLINK("http://141.218.60.56/~jnz1568/getInfo.php?workbook=20_05.xlsx&amp;sheet=U0&amp;row=5709&amp;col=6&amp;number=3.5&amp;sourceID=14","3.5")</f>
        <v>3.5</v>
      </c>
      <c r="G5709" s="4" t="str">
        <f>HYPERLINK("http://141.218.60.56/~jnz1568/getInfo.php?workbook=20_05.xlsx&amp;sheet=U0&amp;row=5709&amp;col=7&amp;number=0.0175&amp;sourceID=14","0.0175")</f>
        <v>0.0175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HYPERLINK("http://141.218.60.56/~jnz1568/getInfo.php?workbook=20_05.xlsx&amp;sheet=U0&amp;row=5710&amp;col=6&amp;number=3.6&amp;sourceID=14","3.6")</f>
        <v>3.6</v>
      </c>
      <c r="G5710" s="4" t="str">
        <f>HYPERLINK("http://141.218.60.56/~jnz1568/getInfo.php?workbook=20_05.xlsx&amp;sheet=U0&amp;row=5710&amp;col=7&amp;number=0.0175&amp;sourceID=14","0.0175")</f>
        <v>0.0175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HYPERLINK("http://141.218.60.56/~jnz1568/getInfo.php?workbook=20_05.xlsx&amp;sheet=U0&amp;row=5711&amp;col=6&amp;number=3.7&amp;sourceID=14","3.7")</f>
        <v>3.7</v>
      </c>
      <c r="G5711" s="4" t="str">
        <f>HYPERLINK("http://141.218.60.56/~jnz1568/getInfo.php?workbook=20_05.xlsx&amp;sheet=U0&amp;row=5711&amp;col=7&amp;number=0.0175&amp;sourceID=14","0.0175")</f>
        <v>0.0175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HYPERLINK("http://141.218.60.56/~jnz1568/getInfo.php?workbook=20_05.xlsx&amp;sheet=U0&amp;row=5712&amp;col=6&amp;number=3.8&amp;sourceID=14","3.8")</f>
        <v>3.8</v>
      </c>
      <c r="G5712" s="4" t="str">
        <f>HYPERLINK("http://141.218.60.56/~jnz1568/getInfo.php?workbook=20_05.xlsx&amp;sheet=U0&amp;row=5712&amp;col=7&amp;number=0.0175&amp;sourceID=14","0.0175")</f>
        <v>0.0175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HYPERLINK("http://141.218.60.56/~jnz1568/getInfo.php?workbook=20_05.xlsx&amp;sheet=U0&amp;row=5713&amp;col=6&amp;number=3.9&amp;sourceID=14","3.9")</f>
        <v>3.9</v>
      </c>
      <c r="G5713" s="4" t="str">
        <f>HYPERLINK("http://141.218.60.56/~jnz1568/getInfo.php?workbook=20_05.xlsx&amp;sheet=U0&amp;row=5713&amp;col=7&amp;number=0.0175&amp;sourceID=14","0.0175")</f>
        <v>0.0175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HYPERLINK("http://141.218.60.56/~jnz1568/getInfo.php?workbook=20_05.xlsx&amp;sheet=U0&amp;row=5714&amp;col=6&amp;number=4&amp;sourceID=14","4")</f>
        <v>4</v>
      </c>
      <c r="G5714" s="4" t="str">
        <f>HYPERLINK("http://141.218.60.56/~jnz1568/getInfo.php?workbook=20_05.xlsx&amp;sheet=U0&amp;row=5714&amp;col=7&amp;number=0.0175&amp;sourceID=14","0.0175")</f>
        <v>0.0175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HYPERLINK("http://141.218.60.56/~jnz1568/getInfo.php?workbook=20_05.xlsx&amp;sheet=U0&amp;row=5715&amp;col=6&amp;number=4.1&amp;sourceID=14","4.1")</f>
        <v>4.1</v>
      </c>
      <c r="G5715" s="4" t="str">
        <f>HYPERLINK("http://141.218.60.56/~jnz1568/getInfo.php?workbook=20_05.xlsx&amp;sheet=U0&amp;row=5715&amp;col=7&amp;number=0.0175&amp;sourceID=14","0.0175")</f>
        <v>0.0175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HYPERLINK("http://141.218.60.56/~jnz1568/getInfo.php?workbook=20_05.xlsx&amp;sheet=U0&amp;row=5716&amp;col=6&amp;number=4.2&amp;sourceID=14","4.2")</f>
        <v>4.2</v>
      </c>
      <c r="G5716" s="4" t="str">
        <f>HYPERLINK("http://141.218.60.56/~jnz1568/getInfo.php?workbook=20_05.xlsx&amp;sheet=U0&amp;row=5716&amp;col=7&amp;number=0.0175&amp;sourceID=14","0.0175")</f>
        <v>0.0175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HYPERLINK("http://141.218.60.56/~jnz1568/getInfo.php?workbook=20_05.xlsx&amp;sheet=U0&amp;row=5717&amp;col=6&amp;number=4.3&amp;sourceID=14","4.3")</f>
        <v>4.3</v>
      </c>
      <c r="G5717" s="4" t="str">
        <f>HYPERLINK("http://141.218.60.56/~jnz1568/getInfo.php?workbook=20_05.xlsx&amp;sheet=U0&amp;row=5717&amp;col=7&amp;number=0.0175&amp;sourceID=14","0.0175")</f>
        <v>0.0175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HYPERLINK("http://141.218.60.56/~jnz1568/getInfo.php?workbook=20_05.xlsx&amp;sheet=U0&amp;row=5718&amp;col=6&amp;number=4.4&amp;sourceID=14","4.4")</f>
        <v>4.4</v>
      </c>
      <c r="G5718" s="4" t="str">
        <f>HYPERLINK("http://141.218.60.56/~jnz1568/getInfo.php?workbook=20_05.xlsx&amp;sheet=U0&amp;row=5718&amp;col=7&amp;number=0.0175&amp;sourceID=14","0.0175")</f>
        <v>0.0175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HYPERLINK("http://141.218.60.56/~jnz1568/getInfo.php?workbook=20_05.xlsx&amp;sheet=U0&amp;row=5719&amp;col=6&amp;number=4.5&amp;sourceID=14","4.5")</f>
        <v>4.5</v>
      </c>
      <c r="G5719" s="4" t="str">
        <f>HYPERLINK("http://141.218.60.56/~jnz1568/getInfo.php?workbook=20_05.xlsx&amp;sheet=U0&amp;row=5719&amp;col=7&amp;number=0.0175&amp;sourceID=14","0.0175")</f>
        <v>0.0175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HYPERLINK("http://141.218.60.56/~jnz1568/getInfo.php?workbook=20_05.xlsx&amp;sheet=U0&amp;row=5720&amp;col=6&amp;number=4.6&amp;sourceID=14","4.6")</f>
        <v>4.6</v>
      </c>
      <c r="G5720" s="4" t="str">
        <f>HYPERLINK("http://141.218.60.56/~jnz1568/getInfo.php?workbook=20_05.xlsx&amp;sheet=U0&amp;row=5720&amp;col=7&amp;number=0.0175&amp;sourceID=14","0.0175")</f>
        <v>0.0175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HYPERLINK("http://141.218.60.56/~jnz1568/getInfo.php?workbook=20_05.xlsx&amp;sheet=U0&amp;row=5721&amp;col=6&amp;number=4.7&amp;sourceID=14","4.7")</f>
        <v>4.7</v>
      </c>
      <c r="G5721" s="4" t="str">
        <f>HYPERLINK("http://141.218.60.56/~jnz1568/getInfo.php?workbook=20_05.xlsx&amp;sheet=U0&amp;row=5721&amp;col=7&amp;number=0.0175&amp;sourceID=14","0.0175")</f>
        <v>0.0175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HYPERLINK("http://141.218.60.56/~jnz1568/getInfo.php?workbook=20_05.xlsx&amp;sheet=U0&amp;row=5722&amp;col=6&amp;number=4.8&amp;sourceID=14","4.8")</f>
        <v>4.8</v>
      </c>
      <c r="G5722" s="4" t="str">
        <f>HYPERLINK("http://141.218.60.56/~jnz1568/getInfo.php?workbook=20_05.xlsx&amp;sheet=U0&amp;row=5722&amp;col=7&amp;number=0.0176&amp;sourceID=14","0.0176")</f>
        <v>0.0176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HYPERLINK("http://141.218.60.56/~jnz1568/getInfo.php?workbook=20_05.xlsx&amp;sheet=U0&amp;row=5723&amp;col=6&amp;number=4.9&amp;sourceID=14","4.9")</f>
        <v>4.9</v>
      </c>
      <c r="G5723" s="4" t="str">
        <f>HYPERLINK("http://141.218.60.56/~jnz1568/getInfo.php?workbook=20_05.xlsx&amp;sheet=U0&amp;row=5723&amp;col=7&amp;number=0.0176&amp;sourceID=14","0.0176")</f>
        <v>0.0176</v>
      </c>
    </row>
    <row r="5724" spans="1:7">
      <c r="A5724" s="3">
        <v>20</v>
      </c>
      <c r="B5724" s="3">
        <v>5</v>
      </c>
      <c r="C5724" s="3">
        <v>3</v>
      </c>
      <c r="D5724" s="3">
        <v>24</v>
      </c>
      <c r="E5724" s="3">
        <v>1</v>
      </c>
      <c r="F5724" s="4" t="str">
        <f>HYPERLINK("http://141.218.60.56/~jnz1568/getInfo.php?workbook=20_05.xlsx&amp;sheet=U0&amp;row=5724&amp;col=6&amp;number=3&amp;sourceID=14","3")</f>
        <v>3</v>
      </c>
      <c r="G5724" s="4" t="str">
        <f>HYPERLINK("http://141.218.60.56/~jnz1568/getInfo.php?workbook=20_05.xlsx&amp;sheet=U0&amp;row=5724&amp;col=7&amp;number=0.000398&amp;sourceID=14","0.000398")</f>
        <v>0.000398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HYPERLINK("http://141.218.60.56/~jnz1568/getInfo.php?workbook=20_05.xlsx&amp;sheet=U0&amp;row=5725&amp;col=6&amp;number=3.1&amp;sourceID=14","3.1")</f>
        <v>3.1</v>
      </c>
      <c r="G5725" s="4" t="str">
        <f>HYPERLINK("http://141.218.60.56/~jnz1568/getInfo.php?workbook=20_05.xlsx&amp;sheet=U0&amp;row=5725&amp;col=7&amp;number=0.000398&amp;sourceID=14","0.000398")</f>
        <v>0.000398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HYPERLINK("http://141.218.60.56/~jnz1568/getInfo.php?workbook=20_05.xlsx&amp;sheet=U0&amp;row=5726&amp;col=6&amp;number=3.2&amp;sourceID=14","3.2")</f>
        <v>3.2</v>
      </c>
      <c r="G5726" s="4" t="str">
        <f>HYPERLINK("http://141.218.60.56/~jnz1568/getInfo.php?workbook=20_05.xlsx&amp;sheet=U0&amp;row=5726&amp;col=7&amp;number=0.000398&amp;sourceID=14","0.000398")</f>
        <v>0.000398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HYPERLINK("http://141.218.60.56/~jnz1568/getInfo.php?workbook=20_05.xlsx&amp;sheet=U0&amp;row=5727&amp;col=6&amp;number=3.3&amp;sourceID=14","3.3")</f>
        <v>3.3</v>
      </c>
      <c r="G5727" s="4" t="str">
        <f>HYPERLINK("http://141.218.60.56/~jnz1568/getInfo.php?workbook=20_05.xlsx&amp;sheet=U0&amp;row=5727&amp;col=7&amp;number=0.000398&amp;sourceID=14","0.000398")</f>
        <v>0.000398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HYPERLINK("http://141.218.60.56/~jnz1568/getInfo.php?workbook=20_05.xlsx&amp;sheet=U0&amp;row=5728&amp;col=6&amp;number=3.4&amp;sourceID=14","3.4")</f>
        <v>3.4</v>
      </c>
      <c r="G5728" s="4" t="str">
        <f>HYPERLINK("http://141.218.60.56/~jnz1568/getInfo.php?workbook=20_05.xlsx&amp;sheet=U0&amp;row=5728&amp;col=7&amp;number=0.000398&amp;sourceID=14","0.000398")</f>
        <v>0.000398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HYPERLINK("http://141.218.60.56/~jnz1568/getInfo.php?workbook=20_05.xlsx&amp;sheet=U0&amp;row=5729&amp;col=6&amp;number=3.5&amp;sourceID=14","3.5")</f>
        <v>3.5</v>
      </c>
      <c r="G5729" s="4" t="str">
        <f>HYPERLINK("http://141.218.60.56/~jnz1568/getInfo.php?workbook=20_05.xlsx&amp;sheet=U0&amp;row=5729&amp;col=7&amp;number=0.000398&amp;sourceID=14","0.000398")</f>
        <v>0.000398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HYPERLINK("http://141.218.60.56/~jnz1568/getInfo.php?workbook=20_05.xlsx&amp;sheet=U0&amp;row=5730&amp;col=6&amp;number=3.6&amp;sourceID=14","3.6")</f>
        <v>3.6</v>
      </c>
      <c r="G5730" s="4" t="str">
        <f>HYPERLINK("http://141.218.60.56/~jnz1568/getInfo.php?workbook=20_05.xlsx&amp;sheet=U0&amp;row=5730&amp;col=7&amp;number=0.000398&amp;sourceID=14","0.000398")</f>
        <v>0.000398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HYPERLINK("http://141.218.60.56/~jnz1568/getInfo.php?workbook=20_05.xlsx&amp;sheet=U0&amp;row=5731&amp;col=6&amp;number=3.7&amp;sourceID=14","3.7")</f>
        <v>3.7</v>
      </c>
      <c r="G5731" s="4" t="str">
        <f>HYPERLINK("http://141.218.60.56/~jnz1568/getInfo.php?workbook=20_05.xlsx&amp;sheet=U0&amp;row=5731&amp;col=7&amp;number=0.000398&amp;sourceID=14","0.000398")</f>
        <v>0.000398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HYPERLINK("http://141.218.60.56/~jnz1568/getInfo.php?workbook=20_05.xlsx&amp;sheet=U0&amp;row=5732&amp;col=6&amp;number=3.8&amp;sourceID=14","3.8")</f>
        <v>3.8</v>
      </c>
      <c r="G5732" s="4" t="str">
        <f>HYPERLINK("http://141.218.60.56/~jnz1568/getInfo.php?workbook=20_05.xlsx&amp;sheet=U0&amp;row=5732&amp;col=7&amp;number=0.000398&amp;sourceID=14","0.000398")</f>
        <v>0.000398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HYPERLINK("http://141.218.60.56/~jnz1568/getInfo.php?workbook=20_05.xlsx&amp;sheet=U0&amp;row=5733&amp;col=6&amp;number=3.9&amp;sourceID=14","3.9")</f>
        <v>3.9</v>
      </c>
      <c r="G5733" s="4" t="str">
        <f>HYPERLINK("http://141.218.60.56/~jnz1568/getInfo.php?workbook=20_05.xlsx&amp;sheet=U0&amp;row=5733&amp;col=7&amp;number=0.000397&amp;sourceID=14","0.000397")</f>
        <v>0.000397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HYPERLINK("http://141.218.60.56/~jnz1568/getInfo.php?workbook=20_05.xlsx&amp;sheet=U0&amp;row=5734&amp;col=6&amp;number=4&amp;sourceID=14","4")</f>
        <v>4</v>
      </c>
      <c r="G5734" s="4" t="str">
        <f>HYPERLINK("http://141.218.60.56/~jnz1568/getInfo.php?workbook=20_05.xlsx&amp;sheet=U0&amp;row=5734&amp;col=7&amp;number=0.000397&amp;sourceID=14","0.000397")</f>
        <v>0.000397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HYPERLINK("http://141.218.60.56/~jnz1568/getInfo.php?workbook=20_05.xlsx&amp;sheet=U0&amp;row=5735&amp;col=6&amp;number=4.1&amp;sourceID=14","4.1")</f>
        <v>4.1</v>
      </c>
      <c r="G5735" s="4" t="str">
        <f>HYPERLINK("http://141.218.60.56/~jnz1568/getInfo.php?workbook=20_05.xlsx&amp;sheet=U0&amp;row=5735&amp;col=7&amp;number=0.000397&amp;sourceID=14","0.000397")</f>
        <v>0.000397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HYPERLINK("http://141.218.60.56/~jnz1568/getInfo.php?workbook=20_05.xlsx&amp;sheet=U0&amp;row=5736&amp;col=6&amp;number=4.2&amp;sourceID=14","4.2")</f>
        <v>4.2</v>
      </c>
      <c r="G5736" s="4" t="str">
        <f>HYPERLINK("http://141.218.60.56/~jnz1568/getInfo.php?workbook=20_05.xlsx&amp;sheet=U0&amp;row=5736&amp;col=7&amp;number=0.000397&amp;sourceID=14","0.000397")</f>
        <v>0.000397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HYPERLINK("http://141.218.60.56/~jnz1568/getInfo.php?workbook=20_05.xlsx&amp;sheet=U0&amp;row=5737&amp;col=6&amp;number=4.3&amp;sourceID=14","4.3")</f>
        <v>4.3</v>
      </c>
      <c r="G5737" s="4" t="str">
        <f>HYPERLINK("http://141.218.60.56/~jnz1568/getInfo.php?workbook=20_05.xlsx&amp;sheet=U0&amp;row=5737&amp;col=7&amp;number=0.000397&amp;sourceID=14","0.000397")</f>
        <v>0.000397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HYPERLINK("http://141.218.60.56/~jnz1568/getInfo.php?workbook=20_05.xlsx&amp;sheet=U0&amp;row=5738&amp;col=6&amp;number=4.4&amp;sourceID=14","4.4")</f>
        <v>4.4</v>
      </c>
      <c r="G5738" s="4" t="str">
        <f>HYPERLINK("http://141.218.60.56/~jnz1568/getInfo.php?workbook=20_05.xlsx&amp;sheet=U0&amp;row=5738&amp;col=7&amp;number=0.000396&amp;sourceID=14","0.000396")</f>
        <v>0.000396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HYPERLINK("http://141.218.60.56/~jnz1568/getInfo.php?workbook=20_05.xlsx&amp;sheet=U0&amp;row=5739&amp;col=6&amp;number=4.5&amp;sourceID=14","4.5")</f>
        <v>4.5</v>
      </c>
      <c r="G5739" s="4" t="str">
        <f>HYPERLINK("http://141.218.60.56/~jnz1568/getInfo.php?workbook=20_05.xlsx&amp;sheet=U0&amp;row=5739&amp;col=7&amp;number=0.000396&amp;sourceID=14","0.000396")</f>
        <v>0.000396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HYPERLINK("http://141.218.60.56/~jnz1568/getInfo.php?workbook=20_05.xlsx&amp;sheet=U0&amp;row=5740&amp;col=6&amp;number=4.6&amp;sourceID=14","4.6")</f>
        <v>4.6</v>
      </c>
      <c r="G5740" s="4" t="str">
        <f>HYPERLINK("http://141.218.60.56/~jnz1568/getInfo.php?workbook=20_05.xlsx&amp;sheet=U0&amp;row=5740&amp;col=7&amp;number=0.000395&amp;sourceID=14","0.000395")</f>
        <v>0.000395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HYPERLINK("http://141.218.60.56/~jnz1568/getInfo.php?workbook=20_05.xlsx&amp;sheet=U0&amp;row=5741&amp;col=6&amp;number=4.7&amp;sourceID=14","4.7")</f>
        <v>4.7</v>
      </c>
      <c r="G5741" s="4" t="str">
        <f>HYPERLINK("http://141.218.60.56/~jnz1568/getInfo.php?workbook=20_05.xlsx&amp;sheet=U0&amp;row=5741&amp;col=7&amp;number=0.000394&amp;sourceID=14","0.000394")</f>
        <v>0.000394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HYPERLINK("http://141.218.60.56/~jnz1568/getInfo.php?workbook=20_05.xlsx&amp;sheet=U0&amp;row=5742&amp;col=6&amp;number=4.8&amp;sourceID=14","4.8")</f>
        <v>4.8</v>
      </c>
      <c r="G5742" s="4" t="str">
        <f>HYPERLINK("http://141.218.60.56/~jnz1568/getInfo.php?workbook=20_05.xlsx&amp;sheet=U0&amp;row=5742&amp;col=7&amp;number=0.000393&amp;sourceID=14","0.000393")</f>
        <v>0.000393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HYPERLINK("http://141.218.60.56/~jnz1568/getInfo.php?workbook=20_05.xlsx&amp;sheet=U0&amp;row=5743&amp;col=6&amp;number=4.9&amp;sourceID=14","4.9")</f>
        <v>4.9</v>
      </c>
      <c r="G5743" s="4" t="str">
        <f>HYPERLINK("http://141.218.60.56/~jnz1568/getInfo.php?workbook=20_05.xlsx&amp;sheet=U0&amp;row=5743&amp;col=7&amp;number=0.000392&amp;sourceID=14","0.000392")</f>
        <v>0.000392</v>
      </c>
    </row>
    <row r="5744" spans="1:7">
      <c r="A5744" s="3">
        <v>20</v>
      </c>
      <c r="B5744" s="3">
        <v>5</v>
      </c>
      <c r="C5744" s="3">
        <v>3</v>
      </c>
      <c r="D5744" s="3">
        <v>25</v>
      </c>
      <c r="E5744" s="3">
        <v>1</v>
      </c>
      <c r="F5744" s="4" t="str">
        <f>HYPERLINK("http://141.218.60.56/~jnz1568/getInfo.php?workbook=20_05.xlsx&amp;sheet=U0&amp;row=5744&amp;col=6&amp;number=3&amp;sourceID=14","3")</f>
        <v>3</v>
      </c>
      <c r="G5744" s="4" t="str">
        <f>HYPERLINK("http://141.218.60.56/~jnz1568/getInfo.php?workbook=20_05.xlsx&amp;sheet=U0&amp;row=5744&amp;col=7&amp;number=0.000429&amp;sourceID=14","0.000429")</f>
        <v>0.000429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HYPERLINK("http://141.218.60.56/~jnz1568/getInfo.php?workbook=20_05.xlsx&amp;sheet=U0&amp;row=5745&amp;col=6&amp;number=3.1&amp;sourceID=14","3.1")</f>
        <v>3.1</v>
      </c>
      <c r="G5745" s="4" t="str">
        <f>HYPERLINK("http://141.218.60.56/~jnz1568/getInfo.php?workbook=20_05.xlsx&amp;sheet=U0&amp;row=5745&amp;col=7&amp;number=0.000429&amp;sourceID=14","0.000429")</f>
        <v>0.000429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HYPERLINK("http://141.218.60.56/~jnz1568/getInfo.php?workbook=20_05.xlsx&amp;sheet=U0&amp;row=5746&amp;col=6&amp;number=3.2&amp;sourceID=14","3.2")</f>
        <v>3.2</v>
      </c>
      <c r="G5746" s="4" t="str">
        <f>HYPERLINK("http://141.218.60.56/~jnz1568/getInfo.php?workbook=20_05.xlsx&amp;sheet=U0&amp;row=5746&amp;col=7&amp;number=0.000429&amp;sourceID=14","0.000429")</f>
        <v>0.000429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HYPERLINK("http://141.218.60.56/~jnz1568/getInfo.php?workbook=20_05.xlsx&amp;sheet=U0&amp;row=5747&amp;col=6&amp;number=3.3&amp;sourceID=14","3.3")</f>
        <v>3.3</v>
      </c>
      <c r="G5747" s="4" t="str">
        <f>HYPERLINK("http://141.218.60.56/~jnz1568/getInfo.php?workbook=20_05.xlsx&amp;sheet=U0&amp;row=5747&amp;col=7&amp;number=0.000429&amp;sourceID=14","0.000429")</f>
        <v>0.000429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HYPERLINK("http://141.218.60.56/~jnz1568/getInfo.php?workbook=20_05.xlsx&amp;sheet=U0&amp;row=5748&amp;col=6&amp;number=3.4&amp;sourceID=14","3.4")</f>
        <v>3.4</v>
      </c>
      <c r="G5748" s="4" t="str">
        <f>HYPERLINK("http://141.218.60.56/~jnz1568/getInfo.php?workbook=20_05.xlsx&amp;sheet=U0&amp;row=5748&amp;col=7&amp;number=0.000429&amp;sourceID=14","0.000429")</f>
        <v>0.000429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HYPERLINK("http://141.218.60.56/~jnz1568/getInfo.php?workbook=20_05.xlsx&amp;sheet=U0&amp;row=5749&amp;col=6&amp;number=3.5&amp;sourceID=14","3.5")</f>
        <v>3.5</v>
      </c>
      <c r="G5749" s="4" t="str">
        <f>HYPERLINK("http://141.218.60.56/~jnz1568/getInfo.php?workbook=20_05.xlsx&amp;sheet=U0&amp;row=5749&amp;col=7&amp;number=0.000429&amp;sourceID=14","0.000429")</f>
        <v>0.000429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HYPERLINK("http://141.218.60.56/~jnz1568/getInfo.php?workbook=20_05.xlsx&amp;sheet=U0&amp;row=5750&amp;col=6&amp;number=3.6&amp;sourceID=14","3.6")</f>
        <v>3.6</v>
      </c>
      <c r="G5750" s="4" t="str">
        <f>HYPERLINK("http://141.218.60.56/~jnz1568/getInfo.php?workbook=20_05.xlsx&amp;sheet=U0&amp;row=5750&amp;col=7&amp;number=0.000429&amp;sourceID=14","0.000429")</f>
        <v>0.000429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HYPERLINK("http://141.218.60.56/~jnz1568/getInfo.php?workbook=20_05.xlsx&amp;sheet=U0&amp;row=5751&amp;col=6&amp;number=3.7&amp;sourceID=14","3.7")</f>
        <v>3.7</v>
      </c>
      <c r="G5751" s="4" t="str">
        <f>HYPERLINK("http://141.218.60.56/~jnz1568/getInfo.php?workbook=20_05.xlsx&amp;sheet=U0&amp;row=5751&amp;col=7&amp;number=0.000429&amp;sourceID=14","0.000429")</f>
        <v>0.000429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HYPERLINK("http://141.218.60.56/~jnz1568/getInfo.php?workbook=20_05.xlsx&amp;sheet=U0&amp;row=5752&amp;col=6&amp;number=3.8&amp;sourceID=14","3.8")</f>
        <v>3.8</v>
      </c>
      <c r="G5752" s="4" t="str">
        <f>HYPERLINK("http://141.218.60.56/~jnz1568/getInfo.php?workbook=20_05.xlsx&amp;sheet=U0&amp;row=5752&amp;col=7&amp;number=0.000428&amp;sourceID=14","0.000428")</f>
        <v>0.000428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HYPERLINK("http://141.218.60.56/~jnz1568/getInfo.php?workbook=20_05.xlsx&amp;sheet=U0&amp;row=5753&amp;col=6&amp;number=3.9&amp;sourceID=14","3.9")</f>
        <v>3.9</v>
      </c>
      <c r="G5753" s="4" t="str">
        <f>HYPERLINK("http://141.218.60.56/~jnz1568/getInfo.php?workbook=20_05.xlsx&amp;sheet=U0&amp;row=5753&amp;col=7&amp;number=0.000428&amp;sourceID=14","0.000428")</f>
        <v>0.000428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HYPERLINK("http://141.218.60.56/~jnz1568/getInfo.php?workbook=20_05.xlsx&amp;sheet=U0&amp;row=5754&amp;col=6&amp;number=4&amp;sourceID=14","4")</f>
        <v>4</v>
      </c>
      <c r="G5754" s="4" t="str">
        <f>HYPERLINK("http://141.218.60.56/~jnz1568/getInfo.php?workbook=20_05.xlsx&amp;sheet=U0&amp;row=5754&amp;col=7&amp;number=0.000428&amp;sourceID=14","0.000428")</f>
        <v>0.000428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HYPERLINK("http://141.218.60.56/~jnz1568/getInfo.php?workbook=20_05.xlsx&amp;sheet=U0&amp;row=5755&amp;col=6&amp;number=4.1&amp;sourceID=14","4.1")</f>
        <v>4.1</v>
      </c>
      <c r="G5755" s="4" t="str">
        <f>HYPERLINK("http://141.218.60.56/~jnz1568/getInfo.php?workbook=20_05.xlsx&amp;sheet=U0&amp;row=5755&amp;col=7&amp;number=0.000428&amp;sourceID=14","0.000428")</f>
        <v>0.000428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HYPERLINK("http://141.218.60.56/~jnz1568/getInfo.php?workbook=20_05.xlsx&amp;sheet=U0&amp;row=5756&amp;col=6&amp;number=4.2&amp;sourceID=14","4.2")</f>
        <v>4.2</v>
      </c>
      <c r="G5756" s="4" t="str">
        <f>HYPERLINK("http://141.218.60.56/~jnz1568/getInfo.php?workbook=20_05.xlsx&amp;sheet=U0&amp;row=5756&amp;col=7&amp;number=0.000427&amp;sourceID=14","0.000427")</f>
        <v>0.000427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HYPERLINK("http://141.218.60.56/~jnz1568/getInfo.php?workbook=20_05.xlsx&amp;sheet=U0&amp;row=5757&amp;col=6&amp;number=4.3&amp;sourceID=14","4.3")</f>
        <v>4.3</v>
      </c>
      <c r="G5757" s="4" t="str">
        <f>HYPERLINK("http://141.218.60.56/~jnz1568/getInfo.php?workbook=20_05.xlsx&amp;sheet=U0&amp;row=5757&amp;col=7&amp;number=0.000427&amp;sourceID=14","0.000427")</f>
        <v>0.000427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HYPERLINK("http://141.218.60.56/~jnz1568/getInfo.php?workbook=20_05.xlsx&amp;sheet=U0&amp;row=5758&amp;col=6&amp;number=4.4&amp;sourceID=14","4.4")</f>
        <v>4.4</v>
      </c>
      <c r="G5758" s="4" t="str">
        <f>HYPERLINK("http://141.218.60.56/~jnz1568/getInfo.php?workbook=20_05.xlsx&amp;sheet=U0&amp;row=5758&amp;col=7&amp;number=0.000426&amp;sourceID=14","0.000426")</f>
        <v>0.000426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HYPERLINK("http://141.218.60.56/~jnz1568/getInfo.php?workbook=20_05.xlsx&amp;sheet=U0&amp;row=5759&amp;col=6&amp;number=4.5&amp;sourceID=14","4.5")</f>
        <v>4.5</v>
      </c>
      <c r="G5759" s="4" t="str">
        <f>HYPERLINK("http://141.218.60.56/~jnz1568/getInfo.php?workbook=20_05.xlsx&amp;sheet=U0&amp;row=5759&amp;col=7&amp;number=0.000425&amp;sourceID=14","0.000425")</f>
        <v>0.000425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HYPERLINK("http://141.218.60.56/~jnz1568/getInfo.php?workbook=20_05.xlsx&amp;sheet=U0&amp;row=5760&amp;col=6&amp;number=4.6&amp;sourceID=14","4.6")</f>
        <v>4.6</v>
      </c>
      <c r="G5760" s="4" t="str">
        <f>HYPERLINK("http://141.218.60.56/~jnz1568/getInfo.php?workbook=20_05.xlsx&amp;sheet=U0&amp;row=5760&amp;col=7&amp;number=0.000424&amp;sourceID=14","0.000424")</f>
        <v>0.000424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HYPERLINK("http://141.218.60.56/~jnz1568/getInfo.php?workbook=20_05.xlsx&amp;sheet=U0&amp;row=5761&amp;col=6&amp;number=4.7&amp;sourceID=14","4.7")</f>
        <v>4.7</v>
      </c>
      <c r="G5761" s="4" t="str">
        <f>HYPERLINK("http://141.218.60.56/~jnz1568/getInfo.php?workbook=20_05.xlsx&amp;sheet=U0&amp;row=5761&amp;col=7&amp;number=0.000423&amp;sourceID=14","0.000423")</f>
        <v>0.000423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HYPERLINK("http://141.218.60.56/~jnz1568/getInfo.php?workbook=20_05.xlsx&amp;sheet=U0&amp;row=5762&amp;col=6&amp;number=4.8&amp;sourceID=14","4.8")</f>
        <v>4.8</v>
      </c>
      <c r="G5762" s="4" t="str">
        <f>HYPERLINK("http://141.218.60.56/~jnz1568/getInfo.php?workbook=20_05.xlsx&amp;sheet=U0&amp;row=5762&amp;col=7&amp;number=0.000422&amp;sourceID=14","0.000422")</f>
        <v>0.000422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HYPERLINK("http://141.218.60.56/~jnz1568/getInfo.php?workbook=20_05.xlsx&amp;sheet=U0&amp;row=5763&amp;col=6&amp;number=4.9&amp;sourceID=14","4.9")</f>
        <v>4.9</v>
      </c>
      <c r="G5763" s="4" t="str">
        <f>HYPERLINK("http://141.218.60.56/~jnz1568/getInfo.php?workbook=20_05.xlsx&amp;sheet=U0&amp;row=5763&amp;col=7&amp;number=0.00042&amp;sourceID=14","0.00042")</f>
        <v>0.00042</v>
      </c>
    </row>
    <row r="5764" spans="1:7">
      <c r="A5764" s="3">
        <v>20</v>
      </c>
      <c r="B5764" s="3">
        <v>5</v>
      </c>
      <c r="C5764" s="3">
        <v>3</v>
      </c>
      <c r="D5764" s="3">
        <v>27</v>
      </c>
      <c r="E5764" s="3">
        <v>1</v>
      </c>
      <c r="F5764" s="4" t="str">
        <f>HYPERLINK("http://141.218.60.56/~jnz1568/getInfo.php?workbook=20_05.xlsx&amp;sheet=U0&amp;row=5764&amp;col=6&amp;number=3&amp;sourceID=14","3")</f>
        <v>3</v>
      </c>
      <c r="G5764" s="4" t="str">
        <f>HYPERLINK("http://141.218.60.56/~jnz1568/getInfo.php?workbook=20_05.xlsx&amp;sheet=U0&amp;row=5764&amp;col=7&amp;number=1.79e-05&amp;sourceID=14","1.79e-05")</f>
        <v>1.79e-05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HYPERLINK("http://141.218.60.56/~jnz1568/getInfo.php?workbook=20_05.xlsx&amp;sheet=U0&amp;row=5765&amp;col=6&amp;number=3.1&amp;sourceID=14","3.1")</f>
        <v>3.1</v>
      </c>
      <c r="G5765" s="4" t="str">
        <f>HYPERLINK("http://141.218.60.56/~jnz1568/getInfo.php?workbook=20_05.xlsx&amp;sheet=U0&amp;row=5765&amp;col=7&amp;number=1.79e-05&amp;sourceID=14","1.79e-05")</f>
        <v>1.79e-05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HYPERLINK("http://141.218.60.56/~jnz1568/getInfo.php?workbook=20_05.xlsx&amp;sheet=U0&amp;row=5766&amp;col=6&amp;number=3.2&amp;sourceID=14","3.2")</f>
        <v>3.2</v>
      </c>
      <c r="G5766" s="4" t="str">
        <f>HYPERLINK("http://141.218.60.56/~jnz1568/getInfo.php?workbook=20_05.xlsx&amp;sheet=U0&amp;row=5766&amp;col=7&amp;number=1.79e-05&amp;sourceID=14","1.79e-05")</f>
        <v>1.79e-05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HYPERLINK("http://141.218.60.56/~jnz1568/getInfo.php?workbook=20_05.xlsx&amp;sheet=U0&amp;row=5767&amp;col=6&amp;number=3.3&amp;sourceID=14","3.3")</f>
        <v>3.3</v>
      </c>
      <c r="G5767" s="4" t="str">
        <f>HYPERLINK("http://141.218.60.56/~jnz1568/getInfo.php?workbook=20_05.xlsx&amp;sheet=U0&amp;row=5767&amp;col=7&amp;number=1.79e-05&amp;sourceID=14","1.79e-05")</f>
        <v>1.79e-05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HYPERLINK("http://141.218.60.56/~jnz1568/getInfo.php?workbook=20_05.xlsx&amp;sheet=U0&amp;row=5768&amp;col=6&amp;number=3.4&amp;sourceID=14","3.4")</f>
        <v>3.4</v>
      </c>
      <c r="G5768" s="4" t="str">
        <f>HYPERLINK("http://141.218.60.56/~jnz1568/getInfo.php?workbook=20_05.xlsx&amp;sheet=U0&amp;row=5768&amp;col=7&amp;number=1.78e-05&amp;sourceID=14","1.78e-05")</f>
        <v>1.78e-05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HYPERLINK("http://141.218.60.56/~jnz1568/getInfo.php?workbook=20_05.xlsx&amp;sheet=U0&amp;row=5769&amp;col=6&amp;number=3.5&amp;sourceID=14","3.5")</f>
        <v>3.5</v>
      </c>
      <c r="G5769" s="4" t="str">
        <f>HYPERLINK("http://141.218.60.56/~jnz1568/getInfo.php?workbook=20_05.xlsx&amp;sheet=U0&amp;row=5769&amp;col=7&amp;number=1.78e-05&amp;sourceID=14","1.78e-05")</f>
        <v>1.78e-05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HYPERLINK("http://141.218.60.56/~jnz1568/getInfo.php?workbook=20_05.xlsx&amp;sheet=U0&amp;row=5770&amp;col=6&amp;number=3.6&amp;sourceID=14","3.6")</f>
        <v>3.6</v>
      </c>
      <c r="G5770" s="4" t="str">
        <f>HYPERLINK("http://141.218.60.56/~jnz1568/getInfo.php?workbook=20_05.xlsx&amp;sheet=U0&amp;row=5770&amp;col=7&amp;number=1.78e-05&amp;sourceID=14","1.78e-05")</f>
        <v>1.78e-05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HYPERLINK("http://141.218.60.56/~jnz1568/getInfo.php?workbook=20_05.xlsx&amp;sheet=U0&amp;row=5771&amp;col=6&amp;number=3.7&amp;sourceID=14","3.7")</f>
        <v>3.7</v>
      </c>
      <c r="G5771" s="4" t="str">
        <f>HYPERLINK("http://141.218.60.56/~jnz1568/getInfo.php?workbook=20_05.xlsx&amp;sheet=U0&amp;row=5771&amp;col=7&amp;number=1.78e-05&amp;sourceID=14","1.78e-05")</f>
        <v>1.78e-05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HYPERLINK("http://141.218.60.56/~jnz1568/getInfo.php?workbook=20_05.xlsx&amp;sheet=U0&amp;row=5772&amp;col=6&amp;number=3.8&amp;sourceID=14","3.8")</f>
        <v>3.8</v>
      </c>
      <c r="G5772" s="4" t="str">
        <f>HYPERLINK("http://141.218.60.56/~jnz1568/getInfo.php?workbook=20_05.xlsx&amp;sheet=U0&amp;row=5772&amp;col=7&amp;number=1.78e-05&amp;sourceID=14","1.78e-05")</f>
        <v>1.78e-05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HYPERLINK("http://141.218.60.56/~jnz1568/getInfo.php?workbook=20_05.xlsx&amp;sheet=U0&amp;row=5773&amp;col=6&amp;number=3.9&amp;sourceID=14","3.9")</f>
        <v>3.9</v>
      </c>
      <c r="G5773" s="4" t="str">
        <f>HYPERLINK("http://141.218.60.56/~jnz1568/getInfo.php?workbook=20_05.xlsx&amp;sheet=U0&amp;row=5773&amp;col=7&amp;number=1.78e-05&amp;sourceID=14","1.78e-05")</f>
        <v>1.78e-05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HYPERLINK("http://141.218.60.56/~jnz1568/getInfo.php?workbook=20_05.xlsx&amp;sheet=U0&amp;row=5774&amp;col=6&amp;number=4&amp;sourceID=14","4")</f>
        <v>4</v>
      </c>
      <c r="G5774" s="4" t="str">
        <f>HYPERLINK("http://141.218.60.56/~jnz1568/getInfo.php?workbook=20_05.xlsx&amp;sheet=U0&amp;row=5774&amp;col=7&amp;number=1.78e-05&amp;sourceID=14","1.78e-05")</f>
        <v>1.78e-05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HYPERLINK("http://141.218.60.56/~jnz1568/getInfo.php?workbook=20_05.xlsx&amp;sheet=U0&amp;row=5775&amp;col=6&amp;number=4.1&amp;sourceID=14","4.1")</f>
        <v>4.1</v>
      </c>
      <c r="G5775" s="4" t="str">
        <f>HYPERLINK("http://141.218.60.56/~jnz1568/getInfo.php?workbook=20_05.xlsx&amp;sheet=U0&amp;row=5775&amp;col=7&amp;number=1.78e-05&amp;sourceID=14","1.78e-05")</f>
        <v>1.78e-05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HYPERLINK("http://141.218.60.56/~jnz1568/getInfo.php?workbook=20_05.xlsx&amp;sheet=U0&amp;row=5776&amp;col=6&amp;number=4.2&amp;sourceID=14","4.2")</f>
        <v>4.2</v>
      </c>
      <c r="G5776" s="4" t="str">
        <f>HYPERLINK("http://141.218.60.56/~jnz1568/getInfo.php?workbook=20_05.xlsx&amp;sheet=U0&amp;row=5776&amp;col=7&amp;number=1.78e-05&amp;sourceID=14","1.78e-05")</f>
        <v>1.78e-05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HYPERLINK("http://141.218.60.56/~jnz1568/getInfo.php?workbook=20_05.xlsx&amp;sheet=U0&amp;row=5777&amp;col=6&amp;number=4.3&amp;sourceID=14","4.3")</f>
        <v>4.3</v>
      </c>
      <c r="G5777" s="4" t="str">
        <f>HYPERLINK("http://141.218.60.56/~jnz1568/getInfo.php?workbook=20_05.xlsx&amp;sheet=U0&amp;row=5777&amp;col=7&amp;number=1.78e-05&amp;sourceID=14","1.78e-05")</f>
        <v>1.78e-05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HYPERLINK("http://141.218.60.56/~jnz1568/getInfo.php?workbook=20_05.xlsx&amp;sheet=U0&amp;row=5778&amp;col=6&amp;number=4.4&amp;sourceID=14","4.4")</f>
        <v>4.4</v>
      </c>
      <c r="G5778" s="4" t="str">
        <f>HYPERLINK("http://141.218.60.56/~jnz1568/getInfo.php?workbook=20_05.xlsx&amp;sheet=U0&amp;row=5778&amp;col=7&amp;number=1.78e-05&amp;sourceID=14","1.78e-05")</f>
        <v>1.78e-05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HYPERLINK("http://141.218.60.56/~jnz1568/getInfo.php?workbook=20_05.xlsx&amp;sheet=U0&amp;row=5779&amp;col=6&amp;number=4.5&amp;sourceID=14","4.5")</f>
        <v>4.5</v>
      </c>
      <c r="G5779" s="4" t="str">
        <f>HYPERLINK("http://141.218.60.56/~jnz1568/getInfo.php?workbook=20_05.xlsx&amp;sheet=U0&amp;row=5779&amp;col=7&amp;number=1.77e-05&amp;sourceID=14","1.77e-05")</f>
        <v>1.77e-05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HYPERLINK("http://141.218.60.56/~jnz1568/getInfo.php?workbook=20_05.xlsx&amp;sheet=U0&amp;row=5780&amp;col=6&amp;number=4.6&amp;sourceID=14","4.6")</f>
        <v>4.6</v>
      </c>
      <c r="G5780" s="4" t="str">
        <f>HYPERLINK("http://141.218.60.56/~jnz1568/getInfo.php?workbook=20_05.xlsx&amp;sheet=U0&amp;row=5780&amp;col=7&amp;number=1.77e-05&amp;sourceID=14","1.77e-05")</f>
        <v>1.77e-05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HYPERLINK("http://141.218.60.56/~jnz1568/getInfo.php?workbook=20_05.xlsx&amp;sheet=U0&amp;row=5781&amp;col=6&amp;number=4.7&amp;sourceID=14","4.7")</f>
        <v>4.7</v>
      </c>
      <c r="G5781" s="4" t="str">
        <f>HYPERLINK("http://141.218.60.56/~jnz1568/getInfo.php?workbook=20_05.xlsx&amp;sheet=U0&amp;row=5781&amp;col=7&amp;number=1.76e-05&amp;sourceID=14","1.76e-05")</f>
        <v>1.76e-05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HYPERLINK("http://141.218.60.56/~jnz1568/getInfo.php?workbook=20_05.xlsx&amp;sheet=U0&amp;row=5782&amp;col=6&amp;number=4.8&amp;sourceID=14","4.8")</f>
        <v>4.8</v>
      </c>
      <c r="G5782" s="4" t="str">
        <f>HYPERLINK("http://141.218.60.56/~jnz1568/getInfo.php?workbook=20_05.xlsx&amp;sheet=U0&amp;row=5782&amp;col=7&amp;number=1.76e-05&amp;sourceID=14","1.76e-05")</f>
        <v>1.76e-05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HYPERLINK("http://141.218.60.56/~jnz1568/getInfo.php?workbook=20_05.xlsx&amp;sheet=U0&amp;row=5783&amp;col=6&amp;number=4.9&amp;sourceID=14","4.9")</f>
        <v>4.9</v>
      </c>
      <c r="G5783" s="4" t="str">
        <f>HYPERLINK("http://141.218.60.56/~jnz1568/getInfo.php?workbook=20_05.xlsx&amp;sheet=U0&amp;row=5783&amp;col=7&amp;number=1.75e-05&amp;sourceID=14","1.75e-05")</f>
        <v>1.75e-05</v>
      </c>
    </row>
    <row r="5784" spans="1:7">
      <c r="A5784" s="3">
        <v>20</v>
      </c>
      <c r="B5784" s="3">
        <v>5</v>
      </c>
      <c r="C5784" s="3">
        <v>3</v>
      </c>
      <c r="D5784" s="3">
        <v>31</v>
      </c>
      <c r="E5784" s="3">
        <v>1</v>
      </c>
      <c r="F5784" s="4" t="str">
        <f>HYPERLINK("http://141.218.60.56/~jnz1568/getInfo.php?workbook=20_05.xlsx&amp;sheet=U0&amp;row=5784&amp;col=6&amp;number=3&amp;sourceID=14","3")</f>
        <v>3</v>
      </c>
      <c r="G5784" s="4" t="str">
        <f>HYPERLINK("http://141.218.60.56/~jnz1568/getInfo.php?workbook=20_05.xlsx&amp;sheet=U0&amp;row=5784&amp;col=7&amp;number=1.38e-05&amp;sourceID=14","1.38e-05")</f>
        <v>1.38e-05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HYPERLINK("http://141.218.60.56/~jnz1568/getInfo.php?workbook=20_05.xlsx&amp;sheet=U0&amp;row=5785&amp;col=6&amp;number=3.1&amp;sourceID=14","3.1")</f>
        <v>3.1</v>
      </c>
      <c r="G5785" s="4" t="str">
        <f>HYPERLINK("http://141.218.60.56/~jnz1568/getInfo.php?workbook=20_05.xlsx&amp;sheet=U0&amp;row=5785&amp;col=7&amp;number=1.38e-05&amp;sourceID=14","1.38e-05")</f>
        <v>1.38e-05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HYPERLINK("http://141.218.60.56/~jnz1568/getInfo.php?workbook=20_05.xlsx&amp;sheet=U0&amp;row=5786&amp;col=6&amp;number=3.2&amp;sourceID=14","3.2")</f>
        <v>3.2</v>
      </c>
      <c r="G5786" s="4" t="str">
        <f>HYPERLINK("http://141.218.60.56/~jnz1568/getInfo.php?workbook=20_05.xlsx&amp;sheet=U0&amp;row=5786&amp;col=7&amp;number=1.38e-05&amp;sourceID=14","1.38e-05")</f>
        <v>1.38e-05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HYPERLINK("http://141.218.60.56/~jnz1568/getInfo.php?workbook=20_05.xlsx&amp;sheet=U0&amp;row=5787&amp;col=6&amp;number=3.3&amp;sourceID=14","3.3")</f>
        <v>3.3</v>
      </c>
      <c r="G5787" s="4" t="str">
        <f>HYPERLINK("http://141.218.60.56/~jnz1568/getInfo.php?workbook=20_05.xlsx&amp;sheet=U0&amp;row=5787&amp;col=7&amp;number=1.38e-05&amp;sourceID=14","1.38e-05")</f>
        <v>1.38e-05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HYPERLINK("http://141.218.60.56/~jnz1568/getInfo.php?workbook=20_05.xlsx&amp;sheet=U0&amp;row=5788&amp;col=6&amp;number=3.4&amp;sourceID=14","3.4")</f>
        <v>3.4</v>
      </c>
      <c r="G5788" s="4" t="str">
        <f>HYPERLINK("http://141.218.60.56/~jnz1568/getInfo.php?workbook=20_05.xlsx&amp;sheet=U0&amp;row=5788&amp;col=7&amp;number=1.38e-05&amp;sourceID=14","1.38e-05")</f>
        <v>1.38e-05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HYPERLINK("http://141.218.60.56/~jnz1568/getInfo.php?workbook=20_05.xlsx&amp;sheet=U0&amp;row=5789&amp;col=6&amp;number=3.5&amp;sourceID=14","3.5")</f>
        <v>3.5</v>
      </c>
      <c r="G5789" s="4" t="str">
        <f>HYPERLINK("http://141.218.60.56/~jnz1568/getInfo.php?workbook=20_05.xlsx&amp;sheet=U0&amp;row=5789&amp;col=7&amp;number=1.38e-05&amp;sourceID=14","1.38e-05")</f>
        <v>1.38e-05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HYPERLINK("http://141.218.60.56/~jnz1568/getInfo.php?workbook=20_05.xlsx&amp;sheet=U0&amp;row=5790&amp;col=6&amp;number=3.6&amp;sourceID=14","3.6")</f>
        <v>3.6</v>
      </c>
      <c r="G5790" s="4" t="str">
        <f>HYPERLINK("http://141.218.60.56/~jnz1568/getInfo.php?workbook=20_05.xlsx&amp;sheet=U0&amp;row=5790&amp;col=7&amp;number=1.38e-05&amp;sourceID=14","1.38e-05")</f>
        <v>1.38e-05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HYPERLINK("http://141.218.60.56/~jnz1568/getInfo.php?workbook=20_05.xlsx&amp;sheet=U0&amp;row=5791&amp;col=6&amp;number=3.7&amp;sourceID=14","3.7")</f>
        <v>3.7</v>
      </c>
      <c r="G5791" s="4" t="str">
        <f>HYPERLINK("http://141.218.60.56/~jnz1568/getInfo.php?workbook=20_05.xlsx&amp;sheet=U0&amp;row=5791&amp;col=7&amp;number=1.38e-05&amp;sourceID=14","1.38e-05")</f>
        <v>1.38e-05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HYPERLINK("http://141.218.60.56/~jnz1568/getInfo.php?workbook=20_05.xlsx&amp;sheet=U0&amp;row=5792&amp;col=6&amp;number=3.8&amp;sourceID=14","3.8")</f>
        <v>3.8</v>
      </c>
      <c r="G5792" s="4" t="str">
        <f>HYPERLINK("http://141.218.60.56/~jnz1568/getInfo.php?workbook=20_05.xlsx&amp;sheet=U0&amp;row=5792&amp;col=7&amp;number=1.38e-05&amp;sourceID=14","1.38e-05")</f>
        <v>1.38e-05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HYPERLINK("http://141.218.60.56/~jnz1568/getInfo.php?workbook=20_05.xlsx&amp;sheet=U0&amp;row=5793&amp;col=6&amp;number=3.9&amp;sourceID=14","3.9")</f>
        <v>3.9</v>
      </c>
      <c r="G5793" s="4" t="str">
        <f>HYPERLINK("http://141.218.60.56/~jnz1568/getInfo.php?workbook=20_05.xlsx&amp;sheet=U0&amp;row=5793&amp;col=7&amp;number=1.38e-05&amp;sourceID=14","1.38e-05")</f>
        <v>1.38e-05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HYPERLINK("http://141.218.60.56/~jnz1568/getInfo.php?workbook=20_05.xlsx&amp;sheet=U0&amp;row=5794&amp;col=6&amp;number=4&amp;sourceID=14","4")</f>
        <v>4</v>
      </c>
      <c r="G5794" s="4" t="str">
        <f>HYPERLINK("http://141.218.60.56/~jnz1568/getInfo.php?workbook=20_05.xlsx&amp;sheet=U0&amp;row=5794&amp;col=7&amp;number=1.38e-05&amp;sourceID=14","1.38e-05")</f>
        <v>1.38e-05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HYPERLINK("http://141.218.60.56/~jnz1568/getInfo.php?workbook=20_05.xlsx&amp;sheet=U0&amp;row=5795&amp;col=6&amp;number=4.1&amp;sourceID=14","4.1")</f>
        <v>4.1</v>
      </c>
      <c r="G5795" s="4" t="str">
        <f>HYPERLINK("http://141.218.60.56/~jnz1568/getInfo.php?workbook=20_05.xlsx&amp;sheet=U0&amp;row=5795&amp;col=7&amp;number=1.38e-05&amp;sourceID=14","1.38e-05")</f>
        <v>1.38e-05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HYPERLINK("http://141.218.60.56/~jnz1568/getInfo.php?workbook=20_05.xlsx&amp;sheet=U0&amp;row=5796&amp;col=6&amp;number=4.2&amp;sourceID=14","4.2")</f>
        <v>4.2</v>
      </c>
      <c r="G5796" s="4" t="str">
        <f>HYPERLINK("http://141.218.60.56/~jnz1568/getInfo.php?workbook=20_05.xlsx&amp;sheet=U0&amp;row=5796&amp;col=7&amp;number=1.38e-05&amp;sourceID=14","1.38e-05")</f>
        <v>1.38e-05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HYPERLINK("http://141.218.60.56/~jnz1568/getInfo.php?workbook=20_05.xlsx&amp;sheet=U0&amp;row=5797&amp;col=6&amp;number=4.3&amp;sourceID=14","4.3")</f>
        <v>4.3</v>
      </c>
      <c r="G5797" s="4" t="str">
        <f>HYPERLINK("http://141.218.60.56/~jnz1568/getInfo.php?workbook=20_05.xlsx&amp;sheet=U0&amp;row=5797&amp;col=7&amp;number=1.38e-05&amp;sourceID=14","1.38e-05")</f>
        <v>1.38e-05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HYPERLINK("http://141.218.60.56/~jnz1568/getInfo.php?workbook=20_05.xlsx&amp;sheet=U0&amp;row=5798&amp;col=6&amp;number=4.4&amp;sourceID=14","4.4")</f>
        <v>4.4</v>
      </c>
      <c r="G5798" s="4" t="str">
        <f>HYPERLINK("http://141.218.60.56/~jnz1568/getInfo.php?workbook=20_05.xlsx&amp;sheet=U0&amp;row=5798&amp;col=7&amp;number=1.38e-05&amp;sourceID=14","1.38e-05")</f>
        <v>1.38e-05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HYPERLINK("http://141.218.60.56/~jnz1568/getInfo.php?workbook=20_05.xlsx&amp;sheet=U0&amp;row=5799&amp;col=6&amp;number=4.5&amp;sourceID=14","4.5")</f>
        <v>4.5</v>
      </c>
      <c r="G5799" s="4" t="str">
        <f>HYPERLINK("http://141.218.60.56/~jnz1568/getInfo.php?workbook=20_05.xlsx&amp;sheet=U0&amp;row=5799&amp;col=7&amp;number=1.38e-05&amp;sourceID=14","1.38e-05")</f>
        <v>1.38e-05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HYPERLINK("http://141.218.60.56/~jnz1568/getInfo.php?workbook=20_05.xlsx&amp;sheet=U0&amp;row=5800&amp;col=6&amp;number=4.6&amp;sourceID=14","4.6")</f>
        <v>4.6</v>
      </c>
      <c r="G5800" s="4" t="str">
        <f>HYPERLINK("http://141.218.60.56/~jnz1568/getInfo.php?workbook=20_05.xlsx&amp;sheet=U0&amp;row=5800&amp;col=7&amp;number=1.38e-05&amp;sourceID=14","1.38e-05")</f>
        <v>1.38e-05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HYPERLINK("http://141.218.60.56/~jnz1568/getInfo.php?workbook=20_05.xlsx&amp;sheet=U0&amp;row=5801&amp;col=6&amp;number=4.7&amp;sourceID=14","4.7")</f>
        <v>4.7</v>
      </c>
      <c r="G5801" s="4" t="str">
        <f>HYPERLINK("http://141.218.60.56/~jnz1568/getInfo.php?workbook=20_05.xlsx&amp;sheet=U0&amp;row=5801&amp;col=7&amp;number=1.38e-05&amp;sourceID=14","1.38e-05")</f>
        <v>1.38e-05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HYPERLINK("http://141.218.60.56/~jnz1568/getInfo.php?workbook=20_05.xlsx&amp;sheet=U0&amp;row=5802&amp;col=6&amp;number=4.8&amp;sourceID=14","4.8")</f>
        <v>4.8</v>
      </c>
      <c r="G5802" s="4" t="str">
        <f>HYPERLINK("http://141.218.60.56/~jnz1568/getInfo.php?workbook=20_05.xlsx&amp;sheet=U0&amp;row=5802&amp;col=7&amp;number=1.38e-05&amp;sourceID=14","1.38e-05")</f>
        <v>1.38e-05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HYPERLINK("http://141.218.60.56/~jnz1568/getInfo.php?workbook=20_05.xlsx&amp;sheet=U0&amp;row=5803&amp;col=6&amp;number=4.9&amp;sourceID=14","4.9")</f>
        <v>4.9</v>
      </c>
      <c r="G5803" s="4" t="str">
        <f>HYPERLINK("http://141.218.60.56/~jnz1568/getInfo.php?workbook=20_05.xlsx&amp;sheet=U0&amp;row=5803&amp;col=7&amp;number=1.38e-05&amp;sourceID=14","1.38e-05")</f>
        <v>1.38e-05</v>
      </c>
    </row>
    <row r="5804" spans="1:7">
      <c r="A5804" s="3">
        <v>20</v>
      </c>
      <c r="B5804" s="3">
        <v>5</v>
      </c>
      <c r="C5804" s="3">
        <v>3</v>
      </c>
      <c r="D5804" s="3">
        <v>32</v>
      </c>
      <c r="E5804" s="3">
        <v>1</v>
      </c>
      <c r="F5804" s="4" t="str">
        <f>HYPERLINK("http://141.218.60.56/~jnz1568/getInfo.php?workbook=20_05.xlsx&amp;sheet=U0&amp;row=5804&amp;col=6&amp;number=3&amp;sourceID=14","3")</f>
        <v>3</v>
      </c>
      <c r="G5804" s="4" t="str">
        <f>HYPERLINK("http://141.218.60.56/~jnz1568/getInfo.php?workbook=20_05.xlsx&amp;sheet=U0&amp;row=5804&amp;col=7&amp;number=0.00387&amp;sourceID=14","0.00387")</f>
        <v>0.00387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HYPERLINK("http://141.218.60.56/~jnz1568/getInfo.php?workbook=20_05.xlsx&amp;sheet=U0&amp;row=5805&amp;col=6&amp;number=3.1&amp;sourceID=14","3.1")</f>
        <v>3.1</v>
      </c>
      <c r="G5805" s="4" t="str">
        <f>HYPERLINK("http://141.218.60.56/~jnz1568/getInfo.php?workbook=20_05.xlsx&amp;sheet=U0&amp;row=5805&amp;col=7&amp;number=0.00387&amp;sourceID=14","0.00387")</f>
        <v>0.00387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HYPERLINK("http://141.218.60.56/~jnz1568/getInfo.php?workbook=20_05.xlsx&amp;sheet=U0&amp;row=5806&amp;col=6&amp;number=3.2&amp;sourceID=14","3.2")</f>
        <v>3.2</v>
      </c>
      <c r="G5806" s="4" t="str">
        <f>HYPERLINK("http://141.218.60.56/~jnz1568/getInfo.php?workbook=20_05.xlsx&amp;sheet=U0&amp;row=5806&amp;col=7&amp;number=0.00387&amp;sourceID=14","0.00387")</f>
        <v>0.00387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HYPERLINK("http://141.218.60.56/~jnz1568/getInfo.php?workbook=20_05.xlsx&amp;sheet=U0&amp;row=5807&amp;col=6&amp;number=3.3&amp;sourceID=14","3.3")</f>
        <v>3.3</v>
      </c>
      <c r="G5807" s="4" t="str">
        <f>HYPERLINK("http://141.218.60.56/~jnz1568/getInfo.php?workbook=20_05.xlsx&amp;sheet=U0&amp;row=5807&amp;col=7&amp;number=0.00387&amp;sourceID=14","0.00387")</f>
        <v>0.00387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HYPERLINK("http://141.218.60.56/~jnz1568/getInfo.php?workbook=20_05.xlsx&amp;sheet=U0&amp;row=5808&amp;col=6&amp;number=3.4&amp;sourceID=14","3.4")</f>
        <v>3.4</v>
      </c>
      <c r="G5808" s="4" t="str">
        <f>HYPERLINK("http://141.218.60.56/~jnz1568/getInfo.php?workbook=20_05.xlsx&amp;sheet=U0&amp;row=5808&amp;col=7&amp;number=0.00387&amp;sourceID=14","0.00387")</f>
        <v>0.00387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HYPERLINK("http://141.218.60.56/~jnz1568/getInfo.php?workbook=20_05.xlsx&amp;sheet=U0&amp;row=5809&amp;col=6&amp;number=3.5&amp;sourceID=14","3.5")</f>
        <v>3.5</v>
      </c>
      <c r="G5809" s="4" t="str">
        <f>HYPERLINK("http://141.218.60.56/~jnz1568/getInfo.php?workbook=20_05.xlsx&amp;sheet=U0&amp;row=5809&amp;col=7&amp;number=0.00387&amp;sourceID=14","0.00387")</f>
        <v>0.00387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HYPERLINK("http://141.218.60.56/~jnz1568/getInfo.php?workbook=20_05.xlsx&amp;sheet=U0&amp;row=5810&amp;col=6&amp;number=3.6&amp;sourceID=14","3.6")</f>
        <v>3.6</v>
      </c>
      <c r="G5810" s="4" t="str">
        <f>HYPERLINK("http://141.218.60.56/~jnz1568/getInfo.php?workbook=20_05.xlsx&amp;sheet=U0&amp;row=5810&amp;col=7&amp;number=0.00387&amp;sourceID=14","0.00387")</f>
        <v>0.00387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HYPERLINK("http://141.218.60.56/~jnz1568/getInfo.php?workbook=20_05.xlsx&amp;sheet=U0&amp;row=5811&amp;col=6&amp;number=3.7&amp;sourceID=14","3.7")</f>
        <v>3.7</v>
      </c>
      <c r="G5811" s="4" t="str">
        <f>HYPERLINK("http://141.218.60.56/~jnz1568/getInfo.php?workbook=20_05.xlsx&amp;sheet=U0&amp;row=5811&amp;col=7&amp;number=0.00387&amp;sourceID=14","0.00387")</f>
        <v>0.00387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HYPERLINK("http://141.218.60.56/~jnz1568/getInfo.php?workbook=20_05.xlsx&amp;sheet=U0&amp;row=5812&amp;col=6&amp;number=3.8&amp;sourceID=14","3.8")</f>
        <v>3.8</v>
      </c>
      <c r="G5812" s="4" t="str">
        <f>HYPERLINK("http://141.218.60.56/~jnz1568/getInfo.php?workbook=20_05.xlsx&amp;sheet=U0&amp;row=5812&amp;col=7&amp;number=0.00387&amp;sourceID=14","0.00387")</f>
        <v>0.00387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HYPERLINK("http://141.218.60.56/~jnz1568/getInfo.php?workbook=20_05.xlsx&amp;sheet=U0&amp;row=5813&amp;col=6&amp;number=3.9&amp;sourceID=14","3.9")</f>
        <v>3.9</v>
      </c>
      <c r="G5813" s="4" t="str">
        <f>HYPERLINK("http://141.218.60.56/~jnz1568/getInfo.php?workbook=20_05.xlsx&amp;sheet=U0&amp;row=5813&amp;col=7&amp;number=0.00387&amp;sourceID=14","0.00387")</f>
        <v>0.00387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HYPERLINK("http://141.218.60.56/~jnz1568/getInfo.php?workbook=20_05.xlsx&amp;sheet=U0&amp;row=5814&amp;col=6&amp;number=4&amp;sourceID=14","4")</f>
        <v>4</v>
      </c>
      <c r="G5814" s="4" t="str">
        <f>HYPERLINK("http://141.218.60.56/~jnz1568/getInfo.php?workbook=20_05.xlsx&amp;sheet=U0&amp;row=5814&amp;col=7&amp;number=0.00387&amp;sourceID=14","0.00387")</f>
        <v>0.00387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HYPERLINK("http://141.218.60.56/~jnz1568/getInfo.php?workbook=20_05.xlsx&amp;sheet=U0&amp;row=5815&amp;col=6&amp;number=4.1&amp;sourceID=14","4.1")</f>
        <v>4.1</v>
      </c>
      <c r="G5815" s="4" t="str">
        <f>HYPERLINK("http://141.218.60.56/~jnz1568/getInfo.php?workbook=20_05.xlsx&amp;sheet=U0&amp;row=5815&amp;col=7&amp;number=0.00386&amp;sourceID=14","0.00386")</f>
        <v>0.00386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HYPERLINK("http://141.218.60.56/~jnz1568/getInfo.php?workbook=20_05.xlsx&amp;sheet=U0&amp;row=5816&amp;col=6&amp;number=4.2&amp;sourceID=14","4.2")</f>
        <v>4.2</v>
      </c>
      <c r="G5816" s="4" t="str">
        <f>HYPERLINK("http://141.218.60.56/~jnz1568/getInfo.php?workbook=20_05.xlsx&amp;sheet=U0&amp;row=5816&amp;col=7&amp;number=0.00386&amp;sourceID=14","0.00386")</f>
        <v>0.00386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HYPERLINK("http://141.218.60.56/~jnz1568/getInfo.php?workbook=20_05.xlsx&amp;sheet=U0&amp;row=5817&amp;col=6&amp;number=4.3&amp;sourceID=14","4.3")</f>
        <v>4.3</v>
      </c>
      <c r="G5817" s="4" t="str">
        <f>HYPERLINK("http://141.218.60.56/~jnz1568/getInfo.php?workbook=20_05.xlsx&amp;sheet=U0&amp;row=5817&amp;col=7&amp;number=0.00386&amp;sourceID=14","0.00386")</f>
        <v>0.00386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HYPERLINK("http://141.218.60.56/~jnz1568/getInfo.php?workbook=20_05.xlsx&amp;sheet=U0&amp;row=5818&amp;col=6&amp;number=4.4&amp;sourceID=14","4.4")</f>
        <v>4.4</v>
      </c>
      <c r="G5818" s="4" t="str">
        <f>HYPERLINK("http://141.218.60.56/~jnz1568/getInfo.php?workbook=20_05.xlsx&amp;sheet=U0&amp;row=5818&amp;col=7&amp;number=0.00386&amp;sourceID=14","0.00386")</f>
        <v>0.00386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HYPERLINK("http://141.218.60.56/~jnz1568/getInfo.php?workbook=20_05.xlsx&amp;sheet=U0&amp;row=5819&amp;col=6&amp;number=4.5&amp;sourceID=14","4.5")</f>
        <v>4.5</v>
      </c>
      <c r="G5819" s="4" t="str">
        <f>HYPERLINK("http://141.218.60.56/~jnz1568/getInfo.php?workbook=20_05.xlsx&amp;sheet=U0&amp;row=5819&amp;col=7&amp;number=0.00385&amp;sourceID=14","0.00385")</f>
        <v>0.00385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HYPERLINK("http://141.218.60.56/~jnz1568/getInfo.php?workbook=20_05.xlsx&amp;sheet=U0&amp;row=5820&amp;col=6&amp;number=4.6&amp;sourceID=14","4.6")</f>
        <v>4.6</v>
      </c>
      <c r="G5820" s="4" t="str">
        <f>HYPERLINK("http://141.218.60.56/~jnz1568/getInfo.php?workbook=20_05.xlsx&amp;sheet=U0&amp;row=5820&amp;col=7&amp;number=0.00385&amp;sourceID=14","0.00385")</f>
        <v>0.00385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HYPERLINK("http://141.218.60.56/~jnz1568/getInfo.php?workbook=20_05.xlsx&amp;sheet=U0&amp;row=5821&amp;col=6&amp;number=4.7&amp;sourceID=14","4.7")</f>
        <v>4.7</v>
      </c>
      <c r="G5821" s="4" t="str">
        <f>HYPERLINK("http://141.218.60.56/~jnz1568/getInfo.php?workbook=20_05.xlsx&amp;sheet=U0&amp;row=5821&amp;col=7&amp;number=0.00384&amp;sourceID=14","0.00384")</f>
        <v>0.00384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HYPERLINK("http://141.218.60.56/~jnz1568/getInfo.php?workbook=20_05.xlsx&amp;sheet=U0&amp;row=5822&amp;col=6&amp;number=4.8&amp;sourceID=14","4.8")</f>
        <v>4.8</v>
      </c>
      <c r="G5822" s="4" t="str">
        <f>HYPERLINK("http://141.218.60.56/~jnz1568/getInfo.php?workbook=20_05.xlsx&amp;sheet=U0&amp;row=5822&amp;col=7&amp;number=0.00383&amp;sourceID=14","0.00383")</f>
        <v>0.00383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HYPERLINK("http://141.218.60.56/~jnz1568/getInfo.php?workbook=20_05.xlsx&amp;sheet=U0&amp;row=5823&amp;col=6&amp;number=4.9&amp;sourceID=14","4.9")</f>
        <v>4.9</v>
      </c>
      <c r="G5823" s="4" t="str">
        <f>HYPERLINK("http://141.218.60.56/~jnz1568/getInfo.php?workbook=20_05.xlsx&amp;sheet=U0&amp;row=5823&amp;col=7&amp;number=0.00382&amp;sourceID=14","0.00382")</f>
        <v>0.00382</v>
      </c>
    </row>
    <row r="5824" spans="1:7">
      <c r="A5824" s="3">
        <v>20</v>
      </c>
      <c r="B5824" s="3">
        <v>5</v>
      </c>
      <c r="C5824" s="3">
        <v>3</v>
      </c>
      <c r="D5824" s="3">
        <v>33</v>
      </c>
      <c r="E5824" s="3">
        <v>1</v>
      </c>
      <c r="F5824" s="4" t="str">
        <f>HYPERLINK("http://141.218.60.56/~jnz1568/getInfo.php?workbook=20_05.xlsx&amp;sheet=U0&amp;row=5824&amp;col=6&amp;number=3&amp;sourceID=14","3")</f>
        <v>3</v>
      </c>
      <c r="G5824" s="4" t="str">
        <f>HYPERLINK("http://141.218.60.56/~jnz1568/getInfo.php?workbook=20_05.xlsx&amp;sheet=U0&amp;row=5824&amp;col=7&amp;number=0.00168&amp;sourceID=14","0.00168")</f>
        <v>0.00168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HYPERLINK("http://141.218.60.56/~jnz1568/getInfo.php?workbook=20_05.xlsx&amp;sheet=U0&amp;row=5825&amp;col=6&amp;number=3.1&amp;sourceID=14","3.1")</f>
        <v>3.1</v>
      </c>
      <c r="G5825" s="4" t="str">
        <f>HYPERLINK("http://141.218.60.56/~jnz1568/getInfo.php?workbook=20_05.xlsx&amp;sheet=U0&amp;row=5825&amp;col=7&amp;number=0.00168&amp;sourceID=14","0.00168")</f>
        <v>0.00168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HYPERLINK("http://141.218.60.56/~jnz1568/getInfo.php?workbook=20_05.xlsx&amp;sheet=U0&amp;row=5826&amp;col=6&amp;number=3.2&amp;sourceID=14","3.2")</f>
        <v>3.2</v>
      </c>
      <c r="G5826" s="4" t="str">
        <f>HYPERLINK("http://141.218.60.56/~jnz1568/getInfo.php?workbook=20_05.xlsx&amp;sheet=U0&amp;row=5826&amp;col=7&amp;number=0.00168&amp;sourceID=14","0.00168")</f>
        <v>0.00168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HYPERLINK("http://141.218.60.56/~jnz1568/getInfo.php?workbook=20_05.xlsx&amp;sheet=U0&amp;row=5827&amp;col=6&amp;number=3.3&amp;sourceID=14","3.3")</f>
        <v>3.3</v>
      </c>
      <c r="G5827" s="4" t="str">
        <f>HYPERLINK("http://141.218.60.56/~jnz1568/getInfo.php?workbook=20_05.xlsx&amp;sheet=U0&amp;row=5827&amp;col=7&amp;number=0.00168&amp;sourceID=14","0.00168")</f>
        <v>0.00168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HYPERLINK("http://141.218.60.56/~jnz1568/getInfo.php?workbook=20_05.xlsx&amp;sheet=U0&amp;row=5828&amp;col=6&amp;number=3.4&amp;sourceID=14","3.4")</f>
        <v>3.4</v>
      </c>
      <c r="G5828" s="4" t="str">
        <f>HYPERLINK("http://141.218.60.56/~jnz1568/getInfo.php?workbook=20_05.xlsx&amp;sheet=U0&amp;row=5828&amp;col=7&amp;number=0.00168&amp;sourceID=14","0.00168")</f>
        <v>0.00168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HYPERLINK("http://141.218.60.56/~jnz1568/getInfo.php?workbook=20_05.xlsx&amp;sheet=U0&amp;row=5829&amp;col=6&amp;number=3.5&amp;sourceID=14","3.5")</f>
        <v>3.5</v>
      </c>
      <c r="G5829" s="4" t="str">
        <f>HYPERLINK("http://141.218.60.56/~jnz1568/getInfo.php?workbook=20_05.xlsx&amp;sheet=U0&amp;row=5829&amp;col=7&amp;number=0.00168&amp;sourceID=14","0.00168")</f>
        <v>0.00168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HYPERLINK("http://141.218.60.56/~jnz1568/getInfo.php?workbook=20_05.xlsx&amp;sheet=U0&amp;row=5830&amp;col=6&amp;number=3.6&amp;sourceID=14","3.6")</f>
        <v>3.6</v>
      </c>
      <c r="G5830" s="4" t="str">
        <f>HYPERLINK("http://141.218.60.56/~jnz1568/getInfo.php?workbook=20_05.xlsx&amp;sheet=U0&amp;row=5830&amp;col=7&amp;number=0.00167&amp;sourceID=14","0.00167")</f>
        <v>0.00167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HYPERLINK("http://141.218.60.56/~jnz1568/getInfo.php?workbook=20_05.xlsx&amp;sheet=U0&amp;row=5831&amp;col=6&amp;number=3.7&amp;sourceID=14","3.7")</f>
        <v>3.7</v>
      </c>
      <c r="G5831" s="4" t="str">
        <f>HYPERLINK("http://141.218.60.56/~jnz1568/getInfo.php?workbook=20_05.xlsx&amp;sheet=U0&amp;row=5831&amp;col=7&amp;number=0.00167&amp;sourceID=14","0.00167")</f>
        <v>0.00167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HYPERLINK("http://141.218.60.56/~jnz1568/getInfo.php?workbook=20_05.xlsx&amp;sheet=U0&amp;row=5832&amp;col=6&amp;number=3.8&amp;sourceID=14","3.8")</f>
        <v>3.8</v>
      </c>
      <c r="G5832" s="4" t="str">
        <f>HYPERLINK("http://141.218.60.56/~jnz1568/getInfo.php?workbook=20_05.xlsx&amp;sheet=U0&amp;row=5832&amp;col=7&amp;number=0.00167&amp;sourceID=14","0.00167")</f>
        <v>0.00167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HYPERLINK("http://141.218.60.56/~jnz1568/getInfo.php?workbook=20_05.xlsx&amp;sheet=U0&amp;row=5833&amp;col=6&amp;number=3.9&amp;sourceID=14","3.9")</f>
        <v>3.9</v>
      </c>
      <c r="G5833" s="4" t="str">
        <f>HYPERLINK("http://141.218.60.56/~jnz1568/getInfo.php?workbook=20_05.xlsx&amp;sheet=U0&amp;row=5833&amp;col=7&amp;number=0.00167&amp;sourceID=14","0.00167")</f>
        <v>0.00167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HYPERLINK("http://141.218.60.56/~jnz1568/getInfo.php?workbook=20_05.xlsx&amp;sheet=U0&amp;row=5834&amp;col=6&amp;number=4&amp;sourceID=14","4")</f>
        <v>4</v>
      </c>
      <c r="G5834" s="4" t="str">
        <f>HYPERLINK("http://141.218.60.56/~jnz1568/getInfo.php?workbook=20_05.xlsx&amp;sheet=U0&amp;row=5834&amp;col=7&amp;number=0.00167&amp;sourceID=14","0.00167")</f>
        <v>0.00167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HYPERLINK("http://141.218.60.56/~jnz1568/getInfo.php?workbook=20_05.xlsx&amp;sheet=U0&amp;row=5835&amp;col=6&amp;number=4.1&amp;sourceID=14","4.1")</f>
        <v>4.1</v>
      </c>
      <c r="G5835" s="4" t="str">
        <f>HYPERLINK("http://141.218.60.56/~jnz1568/getInfo.php?workbook=20_05.xlsx&amp;sheet=U0&amp;row=5835&amp;col=7&amp;number=0.00167&amp;sourceID=14","0.00167")</f>
        <v>0.00167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HYPERLINK("http://141.218.60.56/~jnz1568/getInfo.php?workbook=20_05.xlsx&amp;sheet=U0&amp;row=5836&amp;col=6&amp;number=4.2&amp;sourceID=14","4.2")</f>
        <v>4.2</v>
      </c>
      <c r="G5836" s="4" t="str">
        <f>HYPERLINK("http://141.218.60.56/~jnz1568/getInfo.php?workbook=20_05.xlsx&amp;sheet=U0&amp;row=5836&amp;col=7&amp;number=0.00167&amp;sourceID=14","0.00167")</f>
        <v>0.00167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HYPERLINK("http://141.218.60.56/~jnz1568/getInfo.php?workbook=20_05.xlsx&amp;sheet=U0&amp;row=5837&amp;col=6&amp;number=4.3&amp;sourceID=14","4.3")</f>
        <v>4.3</v>
      </c>
      <c r="G5837" s="4" t="str">
        <f>HYPERLINK("http://141.218.60.56/~jnz1568/getInfo.php?workbook=20_05.xlsx&amp;sheet=U0&amp;row=5837&amp;col=7&amp;number=0.00167&amp;sourceID=14","0.00167")</f>
        <v>0.00167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HYPERLINK("http://141.218.60.56/~jnz1568/getInfo.php?workbook=20_05.xlsx&amp;sheet=U0&amp;row=5838&amp;col=6&amp;number=4.4&amp;sourceID=14","4.4")</f>
        <v>4.4</v>
      </c>
      <c r="G5838" s="4" t="str">
        <f>HYPERLINK("http://141.218.60.56/~jnz1568/getInfo.php?workbook=20_05.xlsx&amp;sheet=U0&amp;row=5838&amp;col=7&amp;number=0.00167&amp;sourceID=14","0.00167")</f>
        <v>0.00167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HYPERLINK("http://141.218.60.56/~jnz1568/getInfo.php?workbook=20_05.xlsx&amp;sheet=U0&amp;row=5839&amp;col=6&amp;number=4.5&amp;sourceID=14","4.5")</f>
        <v>4.5</v>
      </c>
      <c r="G5839" s="4" t="str">
        <f>HYPERLINK("http://141.218.60.56/~jnz1568/getInfo.php?workbook=20_05.xlsx&amp;sheet=U0&amp;row=5839&amp;col=7&amp;number=0.00167&amp;sourceID=14","0.00167")</f>
        <v>0.00167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HYPERLINK("http://141.218.60.56/~jnz1568/getInfo.php?workbook=20_05.xlsx&amp;sheet=U0&amp;row=5840&amp;col=6&amp;number=4.6&amp;sourceID=14","4.6")</f>
        <v>4.6</v>
      </c>
      <c r="G5840" s="4" t="str">
        <f>HYPERLINK("http://141.218.60.56/~jnz1568/getInfo.php?workbook=20_05.xlsx&amp;sheet=U0&amp;row=5840&amp;col=7&amp;number=0.00166&amp;sourceID=14","0.00166")</f>
        <v>0.00166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HYPERLINK("http://141.218.60.56/~jnz1568/getInfo.php?workbook=20_05.xlsx&amp;sheet=U0&amp;row=5841&amp;col=6&amp;number=4.7&amp;sourceID=14","4.7")</f>
        <v>4.7</v>
      </c>
      <c r="G5841" s="4" t="str">
        <f>HYPERLINK("http://141.218.60.56/~jnz1568/getInfo.php?workbook=20_05.xlsx&amp;sheet=U0&amp;row=5841&amp;col=7&amp;number=0.00166&amp;sourceID=14","0.00166")</f>
        <v>0.00166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HYPERLINK("http://141.218.60.56/~jnz1568/getInfo.php?workbook=20_05.xlsx&amp;sheet=U0&amp;row=5842&amp;col=6&amp;number=4.8&amp;sourceID=14","4.8")</f>
        <v>4.8</v>
      </c>
      <c r="G5842" s="4" t="str">
        <f>HYPERLINK("http://141.218.60.56/~jnz1568/getInfo.php?workbook=20_05.xlsx&amp;sheet=U0&amp;row=5842&amp;col=7&amp;number=0.00166&amp;sourceID=14","0.00166")</f>
        <v>0.00166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HYPERLINK("http://141.218.60.56/~jnz1568/getInfo.php?workbook=20_05.xlsx&amp;sheet=U0&amp;row=5843&amp;col=6&amp;number=4.9&amp;sourceID=14","4.9")</f>
        <v>4.9</v>
      </c>
      <c r="G5843" s="4" t="str">
        <f>HYPERLINK("http://141.218.60.56/~jnz1568/getInfo.php?workbook=20_05.xlsx&amp;sheet=U0&amp;row=5843&amp;col=7&amp;number=0.00165&amp;sourceID=14","0.00165")</f>
        <v>0.00165</v>
      </c>
    </row>
    <row r="5844" spans="1:7">
      <c r="A5844" s="3">
        <v>20</v>
      </c>
      <c r="B5844" s="3">
        <v>5</v>
      </c>
      <c r="C5844" s="3">
        <v>3</v>
      </c>
      <c r="D5844" s="3">
        <v>34</v>
      </c>
      <c r="E5844" s="3">
        <v>1</v>
      </c>
      <c r="F5844" s="4" t="str">
        <f>HYPERLINK("http://141.218.60.56/~jnz1568/getInfo.php?workbook=20_05.xlsx&amp;sheet=U0&amp;row=5844&amp;col=6&amp;number=3&amp;sourceID=14","3")</f>
        <v>3</v>
      </c>
      <c r="G5844" s="4" t="str">
        <f>HYPERLINK("http://141.218.60.56/~jnz1568/getInfo.php?workbook=20_05.xlsx&amp;sheet=U0&amp;row=5844&amp;col=7&amp;number=0.00182&amp;sourceID=14","0.00182")</f>
        <v>0.00182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HYPERLINK("http://141.218.60.56/~jnz1568/getInfo.php?workbook=20_05.xlsx&amp;sheet=U0&amp;row=5845&amp;col=6&amp;number=3.1&amp;sourceID=14","3.1")</f>
        <v>3.1</v>
      </c>
      <c r="G5845" s="4" t="str">
        <f>HYPERLINK("http://141.218.60.56/~jnz1568/getInfo.php?workbook=20_05.xlsx&amp;sheet=U0&amp;row=5845&amp;col=7&amp;number=0.00182&amp;sourceID=14","0.00182")</f>
        <v>0.00182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HYPERLINK("http://141.218.60.56/~jnz1568/getInfo.php?workbook=20_05.xlsx&amp;sheet=U0&amp;row=5846&amp;col=6&amp;number=3.2&amp;sourceID=14","3.2")</f>
        <v>3.2</v>
      </c>
      <c r="G5846" s="4" t="str">
        <f>HYPERLINK("http://141.218.60.56/~jnz1568/getInfo.php?workbook=20_05.xlsx&amp;sheet=U0&amp;row=5846&amp;col=7&amp;number=0.00182&amp;sourceID=14","0.00182")</f>
        <v>0.00182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HYPERLINK("http://141.218.60.56/~jnz1568/getInfo.php?workbook=20_05.xlsx&amp;sheet=U0&amp;row=5847&amp;col=6&amp;number=3.3&amp;sourceID=14","3.3")</f>
        <v>3.3</v>
      </c>
      <c r="G5847" s="4" t="str">
        <f>HYPERLINK("http://141.218.60.56/~jnz1568/getInfo.php?workbook=20_05.xlsx&amp;sheet=U0&amp;row=5847&amp;col=7&amp;number=0.00182&amp;sourceID=14","0.00182")</f>
        <v>0.00182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HYPERLINK("http://141.218.60.56/~jnz1568/getInfo.php?workbook=20_05.xlsx&amp;sheet=U0&amp;row=5848&amp;col=6&amp;number=3.4&amp;sourceID=14","3.4")</f>
        <v>3.4</v>
      </c>
      <c r="G5848" s="4" t="str">
        <f>HYPERLINK("http://141.218.60.56/~jnz1568/getInfo.php?workbook=20_05.xlsx&amp;sheet=U0&amp;row=5848&amp;col=7&amp;number=0.00182&amp;sourceID=14","0.00182")</f>
        <v>0.00182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HYPERLINK("http://141.218.60.56/~jnz1568/getInfo.php?workbook=20_05.xlsx&amp;sheet=U0&amp;row=5849&amp;col=6&amp;number=3.5&amp;sourceID=14","3.5")</f>
        <v>3.5</v>
      </c>
      <c r="G5849" s="4" t="str">
        <f>HYPERLINK("http://141.218.60.56/~jnz1568/getInfo.php?workbook=20_05.xlsx&amp;sheet=U0&amp;row=5849&amp;col=7&amp;number=0.00182&amp;sourceID=14","0.00182")</f>
        <v>0.00182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HYPERLINK("http://141.218.60.56/~jnz1568/getInfo.php?workbook=20_05.xlsx&amp;sheet=U0&amp;row=5850&amp;col=6&amp;number=3.6&amp;sourceID=14","3.6")</f>
        <v>3.6</v>
      </c>
      <c r="G5850" s="4" t="str">
        <f>HYPERLINK("http://141.218.60.56/~jnz1568/getInfo.php?workbook=20_05.xlsx&amp;sheet=U0&amp;row=5850&amp;col=7&amp;number=0.00182&amp;sourceID=14","0.00182")</f>
        <v>0.00182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HYPERLINK("http://141.218.60.56/~jnz1568/getInfo.php?workbook=20_05.xlsx&amp;sheet=U0&amp;row=5851&amp;col=6&amp;number=3.7&amp;sourceID=14","3.7")</f>
        <v>3.7</v>
      </c>
      <c r="G5851" s="4" t="str">
        <f>HYPERLINK("http://141.218.60.56/~jnz1568/getInfo.php?workbook=20_05.xlsx&amp;sheet=U0&amp;row=5851&amp;col=7&amp;number=0.00182&amp;sourceID=14","0.00182")</f>
        <v>0.00182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HYPERLINK("http://141.218.60.56/~jnz1568/getInfo.php?workbook=20_05.xlsx&amp;sheet=U0&amp;row=5852&amp;col=6&amp;number=3.8&amp;sourceID=14","3.8")</f>
        <v>3.8</v>
      </c>
      <c r="G5852" s="4" t="str">
        <f>HYPERLINK("http://141.218.60.56/~jnz1568/getInfo.php?workbook=20_05.xlsx&amp;sheet=U0&amp;row=5852&amp;col=7&amp;number=0.00182&amp;sourceID=14","0.00182")</f>
        <v>0.00182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HYPERLINK("http://141.218.60.56/~jnz1568/getInfo.php?workbook=20_05.xlsx&amp;sheet=U0&amp;row=5853&amp;col=6&amp;number=3.9&amp;sourceID=14","3.9")</f>
        <v>3.9</v>
      </c>
      <c r="G5853" s="4" t="str">
        <f>HYPERLINK("http://141.218.60.56/~jnz1568/getInfo.php?workbook=20_05.xlsx&amp;sheet=U0&amp;row=5853&amp;col=7&amp;number=0.00181&amp;sourceID=14","0.00181")</f>
        <v>0.00181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HYPERLINK("http://141.218.60.56/~jnz1568/getInfo.php?workbook=20_05.xlsx&amp;sheet=U0&amp;row=5854&amp;col=6&amp;number=4&amp;sourceID=14","4")</f>
        <v>4</v>
      </c>
      <c r="G5854" s="4" t="str">
        <f>HYPERLINK("http://141.218.60.56/~jnz1568/getInfo.php?workbook=20_05.xlsx&amp;sheet=U0&amp;row=5854&amp;col=7&amp;number=0.00181&amp;sourceID=14","0.00181")</f>
        <v>0.00181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HYPERLINK("http://141.218.60.56/~jnz1568/getInfo.php?workbook=20_05.xlsx&amp;sheet=U0&amp;row=5855&amp;col=6&amp;number=4.1&amp;sourceID=14","4.1")</f>
        <v>4.1</v>
      </c>
      <c r="G5855" s="4" t="str">
        <f>HYPERLINK("http://141.218.60.56/~jnz1568/getInfo.php?workbook=20_05.xlsx&amp;sheet=U0&amp;row=5855&amp;col=7&amp;number=0.00181&amp;sourceID=14","0.00181")</f>
        <v>0.00181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HYPERLINK("http://141.218.60.56/~jnz1568/getInfo.php?workbook=20_05.xlsx&amp;sheet=U0&amp;row=5856&amp;col=6&amp;number=4.2&amp;sourceID=14","4.2")</f>
        <v>4.2</v>
      </c>
      <c r="G5856" s="4" t="str">
        <f>HYPERLINK("http://141.218.60.56/~jnz1568/getInfo.php?workbook=20_05.xlsx&amp;sheet=U0&amp;row=5856&amp;col=7&amp;number=0.00181&amp;sourceID=14","0.00181")</f>
        <v>0.00181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HYPERLINK("http://141.218.60.56/~jnz1568/getInfo.php?workbook=20_05.xlsx&amp;sheet=U0&amp;row=5857&amp;col=6&amp;number=4.3&amp;sourceID=14","4.3")</f>
        <v>4.3</v>
      </c>
      <c r="G5857" s="4" t="str">
        <f>HYPERLINK("http://141.218.60.56/~jnz1568/getInfo.php?workbook=20_05.xlsx&amp;sheet=U0&amp;row=5857&amp;col=7&amp;number=0.00181&amp;sourceID=14","0.00181")</f>
        <v>0.00181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HYPERLINK("http://141.218.60.56/~jnz1568/getInfo.php?workbook=20_05.xlsx&amp;sheet=U0&amp;row=5858&amp;col=6&amp;number=4.4&amp;sourceID=14","4.4")</f>
        <v>4.4</v>
      </c>
      <c r="G5858" s="4" t="str">
        <f>HYPERLINK("http://141.218.60.56/~jnz1568/getInfo.php?workbook=20_05.xlsx&amp;sheet=U0&amp;row=5858&amp;col=7&amp;number=0.00181&amp;sourceID=14","0.00181")</f>
        <v>0.00181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HYPERLINK("http://141.218.60.56/~jnz1568/getInfo.php?workbook=20_05.xlsx&amp;sheet=U0&amp;row=5859&amp;col=6&amp;number=4.5&amp;sourceID=14","4.5")</f>
        <v>4.5</v>
      </c>
      <c r="G5859" s="4" t="str">
        <f>HYPERLINK("http://141.218.60.56/~jnz1568/getInfo.php?workbook=20_05.xlsx&amp;sheet=U0&amp;row=5859&amp;col=7&amp;number=0.0018&amp;sourceID=14","0.0018")</f>
        <v>0.0018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HYPERLINK("http://141.218.60.56/~jnz1568/getInfo.php?workbook=20_05.xlsx&amp;sheet=U0&amp;row=5860&amp;col=6&amp;number=4.6&amp;sourceID=14","4.6")</f>
        <v>4.6</v>
      </c>
      <c r="G5860" s="4" t="str">
        <f>HYPERLINK("http://141.218.60.56/~jnz1568/getInfo.php?workbook=20_05.xlsx&amp;sheet=U0&amp;row=5860&amp;col=7&amp;number=0.0018&amp;sourceID=14","0.0018")</f>
        <v>0.0018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HYPERLINK("http://141.218.60.56/~jnz1568/getInfo.php?workbook=20_05.xlsx&amp;sheet=U0&amp;row=5861&amp;col=6&amp;number=4.7&amp;sourceID=14","4.7")</f>
        <v>4.7</v>
      </c>
      <c r="G5861" s="4" t="str">
        <f>HYPERLINK("http://141.218.60.56/~jnz1568/getInfo.php?workbook=20_05.xlsx&amp;sheet=U0&amp;row=5861&amp;col=7&amp;number=0.00179&amp;sourceID=14","0.00179")</f>
        <v>0.00179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HYPERLINK("http://141.218.60.56/~jnz1568/getInfo.php?workbook=20_05.xlsx&amp;sheet=U0&amp;row=5862&amp;col=6&amp;number=4.8&amp;sourceID=14","4.8")</f>
        <v>4.8</v>
      </c>
      <c r="G5862" s="4" t="str">
        <f>HYPERLINK("http://141.218.60.56/~jnz1568/getInfo.php?workbook=20_05.xlsx&amp;sheet=U0&amp;row=5862&amp;col=7&amp;number=0.00179&amp;sourceID=14","0.00179")</f>
        <v>0.00179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HYPERLINK("http://141.218.60.56/~jnz1568/getInfo.php?workbook=20_05.xlsx&amp;sheet=U0&amp;row=5863&amp;col=6&amp;number=4.9&amp;sourceID=14","4.9")</f>
        <v>4.9</v>
      </c>
      <c r="G5863" s="4" t="str">
        <f>HYPERLINK("http://141.218.60.56/~jnz1568/getInfo.php?workbook=20_05.xlsx&amp;sheet=U0&amp;row=5863&amp;col=7&amp;number=0.00178&amp;sourceID=14","0.00178")</f>
        <v>0.00178</v>
      </c>
    </row>
    <row r="5864" spans="1:7">
      <c r="A5864" s="3">
        <v>20</v>
      </c>
      <c r="B5864" s="3">
        <v>5</v>
      </c>
      <c r="C5864" s="3">
        <v>3</v>
      </c>
      <c r="D5864" s="3">
        <v>35</v>
      </c>
      <c r="E5864" s="3">
        <v>1</v>
      </c>
      <c r="F5864" s="4" t="str">
        <f>HYPERLINK("http://141.218.60.56/~jnz1568/getInfo.php?workbook=20_05.xlsx&amp;sheet=U0&amp;row=5864&amp;col=6&amp;number=3&amp;sourceID=14","3")</f>
        <v>3</v>
      </c>
      <c r="G5864" s="4" t="str">
        <f>HYPERLINK("http://141.218.60.56/~jnz1568/getInfo.php?workbook=20_05.xlsx&amp;sheet=U0&amp;row=5864&amp;col=7&amp;number=0.00104&amp;sourceID=14","0.00104")</f>
        <v>0.00104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HYPERLINK("http://141.218.60.56/~jnz1568/getInfo.php?workbook=20_05.xlsx&amp;sheet=U0&amp;row=5865&amp;col=6&amp;number=3.1&amp;sourceID=14","3.1")</f>
        <v>3.1</v>
      </c>
      <c r="G5865" s="4" t="str">
        <f>HYPERLINK("http://141.218.60.56/~jnz1568/getInfo.php?workbook=20_05.xlsx&amp;sheet=U0&amp;row=5865&amp;col=7&amp;number=0.00104&amp;sourceID=14","0.00104")</f>
        <v>0.00104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HYPERLINK("http://141.218.60.56/~jnz1568/getInfo.php?workbook=20_05.xlsx&amp;sheet=U0&amp;row=5866&amp;col=6&amp;number=3.2&amp;sourceID=14","3.2")</f>
        <v>3.2</v>
      </c>
      <c r="G5866" s="4" t="str">
        <f>HYPERLINK("http://141.218.60.56/~jnz1568/getInfo.php?workbook=20_05.xlsx&amp;sheet=U0&amp;row=5866&amp;col=7&amp;number=0.00104&amp;sourceID=14","0.00104")</f>
        <v>0.00104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HYPERLINK("http://141.218.60.56/~jnz1568/getInfo.php?workbook=20_05.xlsx&amp;sheet=U0&amp;row=5867&amp;col=6&amp;number=3.3&amp;sourceID=14","3.3")</f>
        <v>3.3</v>
      </c>
      <c r="G5867" s="4" t="str">
        <f>HYPERLINK("http://141.218.60.56/~jnz1568/getInfo.php?workbook=20_05.xlsx&amp;sheet=U0&amp;row=5867&amp;col=7&amp;number=0.00104&amp;sourceID=14","0.00104")</f>
        <v>0.00104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HYPERLINK("http://141.218.60.56/~jnz1568/getInfo.php?workbook=20_05.xlsx&amp;sheet=U0&amp;row=5868&amp;col=6&amp;number=3.4&amp;sourceID=14","3.4")</f>
        <v>3.4</v>
      </c>
      <c r="G5868" s="4" t="str">
        <f>HYPERLINK("http://141.218.60.56/~jnz1568/getInfo.php?workbook=20_05.xlsx&amp;sheet=U0&amp;row=5868&amp;col=7&amp;number=0.00104&amp;sourceID=14","0.00104")</f>
        <v>0.00104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HYPERLINK("http://141.218.60.56/~jnz1568/getInfo.php?workbook=20_05.xlsx&amp;sheet=U0&amp;row=5869&amp;col=6&amp;number=3.5&amp;sourceID=14","3.5")</f>
        <v>3.5</v>
      </c>
      <c r="G5869" s="4" t="str">
        <f>HYPERLINK("http://141.218.60.56/~jnz1568/getInfo.php?workbook=20_05.xlsx&amp;sheet=U0&amp;row=5869&amp;col=7&amp;number=0.00104&amp;sourceID=14","0.00104")</f>
        <v>0.00104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HYPERLINK("http://141.218.60.56/~jnz1568/getInfo.php?workbook=20_05.xlsx&amp;sheet=U0&amp;row=5870&amp;col=6&amp;number=3.6&amp;sourceID=14","3.6")</f>
        <v>3.6</v>
      </c>
      <c r="G5870" s="4" t="str">
        <f>HYPERLINK("http://141.218.60.56/~jnz1568/getInfo.php?workbook=20_05.xlsx&amp;sheet=U0&amp;row=5870&amp;col=7&amp;number=0.00104&amp;sourceID=14","0.00104")</f>
        <v>0.00104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HYPERLINK("http://141.218.60.56/~jnz1568/getInfo.php?workbook=20_05.xlsx&amp;sheet=U0&amp;row=5871&amp;col=6&amp;number=3.7&amp;sourceID=14","3.7")</f>
        <v>3.7</v>
      </c>
      <c r="G5871" s="4" t="str">
        <f>HYPERLINK("http://141.218.60.56/~jnz1568/getInfo.php?workbook=20_05.xlsx&amp;sheet=U0&amp;row=5871&amp;col=7&amp;number=0.00104&amp;sourceID=14","0.00104")</f>
        <v>0.00104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HYPERLINK("http://141.218.60.56/~jnz1568/getInfo.php?workbook=20_05.xlsx&amp;sheet=U0&amp;row=5872&amp;col=6&amp;number=3.8&amp;sourceID=14","3.8")</f>
        <v>3.8</v>
      </c>
      <c r="G5872" s="4" t="str">
        <f>HYPERLINK("http://141.218.60.56/~jnz1568/getInfo.php?workbook=20_05.xlsx&amp;sheet=U0&amp;row=5872&amp;col=7&amp;number=0.00104&amp;sourceID=14","0.00104")</f>
        <v>0.00104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HYPERLINK("http://141.218.60.56/~jnz1568/getInfo.php?workbook=20_05.xlsx&amp;sheet=U0&amp;row=5873&amp;col=6&amp;number=3.9&amp;sourceID=14","3.9")</f>
        <v>3.9</v>
      </c>
      <c r="G5873" s="4" t="str">
        <f>HYPERLINK("http://141.218.60.56/~jnz1568/getInfo.php?workbook=20_05.xlsx&amp;sheet=U0&amp;row=5873&amp;col=7&amp;number=0.00104&amp;sourceID=14","0.00104")</f>
        <v>0.00104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HYPERLINK("http://141.218.60.56/~jnz1568/getInfo.php?workbook=20_05.xlsx&amp;sheet=U0&amp;row=5874&amp;col=6&amp;number=4&amp;sourceID=14","4")</f>
        <v>4</v>
      </c>
      <c r="G5874" s="4" t="str">
        <f>HYPERLINK("http://141.218.60.56/~jnz1568/getInfo.php?workbook=20_05.xlsx&amp;sheet=U0&amp;row=5874&amp;col=7&amp;number=0.00104&amp;sourceID=14","0.00104")</f>
        <v>0.00104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HYPERLINK("http://141.218.60.56/~jnz1568/getInfo.php?workbook=20_05.xlsx&amp;sheet=U0&amp;row=5875&amp;col=6&amp;number=4.1&amp;sourceID=14","4.1")</f>
        <v>4.1</v>
      </c>
      <c r="G5875" s="4" t="str">
        <f>HYPERLINK("http://141.218.60.56/~jnz1568/getInfo.php?workbook=20_05.xlsx&amp;sheet=U0&amp;row=5875&amp;col=7&amp;number=0.00104&amp;sourceID=14","0.00104")</f>
        <v>0.00104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HYPERLINK("http://141.218.60.56/~jnz1568/getInfo.php?workbook=20_05.xlsx&amp;sheet=U0&amp;row=5876&amp;col=6&amp;number=4.2&amp;sourceID=14","4.2")</f>
        <v>4.2</v>
      </c>
      <c r="G5876" s="4" t="str">
        <f>HYPERLINK("http://141.218.60.56/~jnz1568/getInfo.php?workbook=20_05.xlsx&amp;sheet=U0&amp;row=5876&amp;col=7&amp;number=0.00104&amp;sourceID=14","0.00104")</f>
        <v>0.00104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HYPERLINK("http://141.218.60.56/~jnz1568/getInfo.php?workbook=20_05.xlsx&amp;sheet=U0&amp;row=5877&amp;col=6&amp;number=4.3&amp;sourceID=14","4.3")</f>
        <v>4.3</v>
      </c>
      <c r="G5877" s="4" t="str">
        <f>HYPERLINK("http://141.218.60.56/~jnz1568/getInfo.php?workbook=20_05.xlsx&amp;sheet=U0&amp;row=5877&amp;col=7&amp;number=0.00104&amp;sourceID=14","0.00104")</f>
        <v>0.00104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HYPERLINK("http://141.218.60.56/~jnz1568/getInfo.php?workbook=20_05.xlsx&amp;sheet=U0&amp;row=5878&amp;col=6&amp;number=4.4&amp;sourceID=14","4.4")</f>
        <v>4.4</v>
      </c>
      <c r="G5878" s="4" t="str">
        <f>HYPERLINK("http://141.218.60.56/~jnz1568/getInfo.php?workbook=20_05.xlsx&amp;sheet=U0&amp;row=5878&amp;col=7&amp;number=0.00103&amp;sourceID=14","0.00103")</f>
        <v>0.00103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HYPERLINK("http://141.218.60.56/~jnz1568/getInfo.php?workbook=20_05.xlsx&amp;sheet=U0&amp;row=5879&amp;col=6&amp;number=4.5&amp;sourceID=14","4.5")</f>
        <v>4.5</v>
      </c>
      <c r="G5879" s="4" t="str">
        <f>HYPERLINK("http://141.218.60.56/~jnz1568/getInfo.php?workbook=20_05.xlsx&amp;sheet=U0&amp;row=5879&amp;col=7&amp;number=0.00103&amp;sourceID=14","0.00103")</f>
        <v>0.00103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HYPERLINK("http://141.218.60.56/~jnz1568/getInfo.php?workbook=20_05.xlsx&amp;sheet=U0&amp;row=5880&amp;col=6&amp;number=4.6&amp;sourceID=14","4.6")</f>
        <v>4.6</v>
      </c>
      <c r="G5880" s="4" t="str">
        <f>HYPERLINK("http://141.218.60.56/~jnz1568/getInfo.php?workbook=20_05.xlsx&amp;sheet=U0&amp;row=5880&amp;col=7&amp;number=0.00103&amp;sourceID=14","0.00103")</f>
        <v>0.00103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HYPERLINK("http://141.218.60.56/~jnz1568/getInfo.php?workbook=20_05.xlsx&amp;sheet=U0&amp;row=5881&amp;col=6&amp;number=4.7&amp;sourceID=14","4.7")</f>
        <v>4.7</v>
      </c>
      <c r="G5881" s="4" t="str">
        <f>HYPERLINK("http://141.218.60.56/~jnz1568/getInfo.php?workbook=20_05.xlsx&amp;sheet=U0&amp;row=5881&amp;col=7&amp;number=0.00103&amp;sourceID=14","0.00103")</f>
        <v>0.00103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HYPERLINK("http://141.218.60.56/~jnz1568/getInfo.php?workbook=20_05.xlsx&amp;sheet=U0&amp;row=5882&amp;col=6&amp;number=4.8&amp;sourceID=14","4.8")</f>
        <v>4.8</v>
      </c>
      <c r="G5882" s="4" t="str">
        <f>HYPERLINK("http://141.218.60.56/~jnz1568/getInfo.php?workbook=20_05.xlsx&amp;sheet=U0&amp;row=5882&amp;col=7&amp;number=0.00103&amp;sourceID=14","0.00103")</f>
        <v>0.00103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HYPERLINK("http://141.218.60.56/~jnz1568/getInfo.php?workbook=20_05.xlsx&amp;sheet=U0&amp;row=5883&amp;col=6&amp;number=4.9&amp;sourceID=14","4.9")</f>
        <v>4.9</v>
      </c>
      <c r="G5883" s="4" t="str">
        <f>HYPERLINK("http://141.218.60.56/~jnz1568/getInfo.php?workbook=20_05.xlsx&amp;sheet=U0&amp;row=5883&amp;col=7&amp;number=0.00102&amp;sourceID=14","0.00102")</f>
        <v>0.00102</v>
      </c>
    </row>
    <row r="5884" spans="1:7">
      <c r="A5884" s="3">
        <v>20</v>
      </c>
      <c r="B5884" s="3">
        <v>5</v>
      </c>
      <c r="C5884" s="3">
        <v>3</v>
      </c>
      <c r="D5884" s="3">
        <v>36</v>
      </c>
      <c r="E5884" s="3">
        <v>1</v>
      </c>
      <c r="F5884" s="4" t="str">
        <f>HYPERLINK("http://141.218.60.56/~jnz1568/getInfo.php?workbook=20_05.xlsx&amp;sheet=U0&amp;row=5884&amp;col=6&amp;number=3&amp;sourceID=14","3")</f>
        <v>3</v>
      </c>
      <c r="G5884" s="4" t="str">
        <f>HYPERLINK("http://141.218.60.56/~jnz1568/getInfo.php?workbook=20_05.xlsx&amp;sheet=U0&amp;row=5884&amp;col=7&amp;number=0.00206&amp;sourceID=14","0.00206")</f>
        <v>0.00206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HYPERLINK("http://141.218.60.56/~jnz1568/getInfo.php?workbook=20_05.xlsx&amp;sheet=U0&amp;row=5885&amp;col=6&amp;number=3.1&amp;sourceID=14","3.1")</f>
        <v>3.1</v>
      </c>
      <c r="G5885" s="4" t="str">
        <f>HYPERLINK("http://141.218.60.56/~jnz1568/getInfo.php?workbook=20_05.xlsx&amp;sheet=U0&amp;row=5885&amp;col=7&amp;number=0.00206&amp;sourceID=14","0.00206")</f>
        <v>0.00206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HYPERLINK("http://141.218.60.56/~jnz1568/getInfo.php?workbook=20_05.xlsx&amp;sheet=U0&amp;row=5886&amp;col=6&amp;number=3.2&amp;sourceID=14","3.2")</f>
        <v>3.2</v>
      </c>
      <c r="G5886" s="4" t="str">
        <f>HYPERLINK("http://141.218.60.56/~jnz1568/getInfo.php?workbook=20_05.xlsx&amp;sheet=U0&amp;row=5886&amp;col=7&amp;number=0.00206&amp;sourceID=14","0.00206")</f>
        <v>0.00206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HYPERLINK("http://141.218.60.56/~jnz1568/getInfo.php?workbook=20_05.xlsx&amp;sheet=U0&amp;row=5887&amp;col=6&amp;number=3.3&amp;sourceID=14","3.3")</f>
        <v>3.3</v>
      </c>
      <c r="G5887" s="4" t="str">
        <f>HYPERLINK("http://141.218.60.56/~jnz1568/getInfo.php?workbook=20_05.xlsx&amp;sheet=U0&amp;row=5887&amp;col=7&amp;number=0.00206&amp;sourceID=14","0.00206")</f>
        <v>0.00206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HYPERLINK("http://141.218.60.56/~jnz1568/getInfo.php?workbook=20_05.xlsx&amp;sheet=U0&amp;row=5888&amp;col=6&amp;number=3.4&amp;sourceID=14","3.4")</f>
        <v>3.4</v>
      </c>
      <c r="G5888" s="4" t="str">
        <f>HYPERLINK("http://141.218.60.56/~jnz1568/getInfo.php?workbook=20_05.xlsx&amp;sheet=U0&amp;row=5888&amp;col=7&amp;number=0.00206&amp;sourceID=14","0.00206")</f>
        <v>0.00206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HYPERLINK("http://141.218.60.56/~jnz1568/getInfo.php?workbook=20_05.xlsx&amp;sheet=U0&amp;row=5889&amp;col=6&amp;number=3.5&amp;sourceID=14","3.5")</f>
        <v>3.5</v>
      </c>
      <c r="G5889" s="4" t="str">
        <f>HYPERLINK("http://141.218.60.56/~jnz1568/getInfo.php?workbook=20_05.xlsx&amp;sheet=U0&amp;row=5889&amp;col=7&amp;number=0.00206&amp;sourceID=14","0.00206")</f>
        <v>0.00206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HYPERLINK("http://141.218.60.56/~jnz1568/getInfo.php?workbook=20_05.xlsx&amp;sheet=U0&amp;row=5890&amp;col=6&amp;number=3.6&amp;sourceID=14","3.6")</f>
        <v>3.6</v>
      </c>
      <c r="G5890" s="4" t="str">
        <f>HYPERLINK("http://141.218.60.56/~jnz1568/getInfo.php?workbook=20_05.xlsx&amp;sheet=U0&amp;row=5890&amp;col=7&amp;number=0.00205&amp;sourceID=14","0.00205")</f>
        <v>0.00205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HYPERLINK("http://141.218.60.56/~jnz1568/getInfo.php?workbook=20_05.xlsx&amp;sheet=U0&amp;row=5891&amp;col=6&amp;number=3.7&amp;sourceID=14","3.7")</f>
        <v>3.7</v>
      </c>
      <c r="G5891" s="4" t="str">
        <f>HYPERLINK("http://141.218.60.56/~jnz1568/getInfo.php?workbook=20_05.xlsx&amp;sheet=U0&amp;row=5891&amp;col=7&amp;number=0.00205&amp;sourceID=14","0.00205")</f>
        <v>0.00205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HYPERLINK("http://141.218.60.56/~jnz1568/getInfo.php?workbook=20_05.xlsx&amp;sheet=U0&amp;row=5892&amp;col=6&amp;number=3.8&amp;sourceID=14","3.8")</f>
        <v>3.8</v>
      </c>
      <c r="G5892" s="4" t="str">
        <f>HYPERLINK("http://141.218.60.56/~jnz1568/getInfo.php?workbook=20_05.xlsx&amp;sheet=U0&amp;row=5892&amp;col=7&amp;number=0.00205&amp;sourceID=14","0.00205")</f>
        <v>0.00205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HYPERLINK("http://141.218.60.56/~jnz1568/getInfo.php?workbook=20_05.xlsx&amp;sheet=U0&amp;row=5893&amp;col=6&amp;number=3.9&amp;sourceID=14","3.9")</f>
        <v>3.9</v>
      </c>
      <c r="G5893" s="4" t="str">
        <f>HYPERLINK("http://141.218.60.56/~jnz1568/getInfo.php?workbook=20_05.xlsx&amp;sheet=U0&amp;row=5893&amp;col=7&amp;number=0.00205&amp;sourceID=14","0.00205")</f>
        <v>0.00205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HYPERLINK("http://141.218.60.56/~jnz1568/getInfo.php?workbook=20_05.xlsx&amp;sheet=U0&amp;row=5894&amp;col=6&amp;number=4&amp;sourceID=14","4")</f>
        <v>4</v>
      </c>
      <c r="G5894" s="4" t="str">
        <f>HYPERLINK("http://141.218.60.56/~jnz1568/getInfo.php?workbook=20_05.xlsx&amp;sheet=U0&amp;row=5894&amp;col=7&amp;number=0.00205&amp;sourceID=14","0.00205")</f>
        <v>0.00205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HYPERLINK("http://141.218.60.56/~jnz1568/getInfo.php?workbook=20_05.xlsx&amp;sheet=U0&amp;row=5895&amp;col=6&amp;number=4.1&amp;sourceID=14","4.1")</f>
        <v>4.1</v>
      </c>
      <c r="G5895" s="4" t="str">
        <f>HYPERLINK("http://141.218.60.56/~jnz1568/getInfo.php?workbook=20_05.xlsx&amp;sheet=U0&amp;row=5895&amp;col=7&amp;number=0.00205&amp;sourceID=14","0.00205")</f>
        <v>0.00205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HYPERLINK("http://141.218.60.56/~jnz1568/getInfo.php?workbook=20_05.xlsx&amp;sheet=U0&amp;row=5896&amp;col=6&amp;number=4.2&amp;sourceID=14","4.2")</f>
        <v>4.2</v>
      </c>
      <c r="G5896" s="4" t="str">
        <f>HYPERLINK("http://141.218.60.56/~jnz1568/getInfo.php?workbook=20_05.xlsx&amp;sheet=U0&amp;row=5896&amp;col=7&amp;number=0.00205&amp;sourceID=14","0.00205")</f>
        <v>0.00205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HYPERLINK("http://141.218.60.56/~jnz1568/getInfo.php?workbook=20_05.xlsx&amp;sheet=U0&amp;row=5897&amp;col=6&amp;number=4.3&amp;sourceID=14","4.3")</f>
        <v>4.3</v>
      </c>
      <c r="G5897" s="4" t="str">
        <f>HYPERLINK("http://141.218.60.56/~jnz1568/getInfo.php?workbook=20_05.xlsx&amp;sheet=U0&amp;row=5897&amp;col=7&amp;number=0.00205&amp;sourceID=14","0.00205")</f>
        <v>0.00205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HYPERLINK("http://141.218.60.56/~jnz1568/getInfo.php?workbook=20_05.xlsx&amp;sheet=U0&amp;row=5898&amp;col=6&amp;number=4.4&amp;sourceID=14","4.4")</f>
        <v>4.4</v>
      </c>
      <c r="G5898" s="4" t="str">
        <f>HYPERLINK("http://141.218.60.56/~jnz1568/getInfo.php?workbook=20_05.xlsx&amp;sheet=U0&amp;row=5898&amp;col=7&amp;number=0.00204&amp;sourceID=14","0.00204")</f>
        <v>0.00204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HYPERLINK("http://141.218.60.56/~jnz1568/getInfo.php?workbook=20_05.xlsx&amp;sheet=U0&amp;row=5899&amp;col=6&amp;number=4.5&amp;sourceID=14","4.5")</f>
        <v>4.5</v>
      </c>
      <c r="G5899" s="4" t="str">
        <f>HYPERLINK("http://141.218.60.56/~jnz1568/getInfo.php?workbook=20_05.xlsx&amp;sheet=U0&amp;row=5899&amp;col=7&amp;number=0.00204&amp;sourceID=14","0.00204")</f>
        <v>0.00204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HYPERLINK("http://141.218.60.56/~jnz1568/getInfo.php?workbook=20_05.xlsx&amp;sheet=U0&amp;row=5900&amp;col=6&amp;number=4.6&amp;sourceID=14","4.6")</f>
        <v>4.6</v>
      </c>
      <c r="G5900" s="4" t="str">
        <f>HYPERLINK("http://141.218.60.56/~jnz1568/getInfo.php?workbook=20_05.xlsx&amp;sheet=U0&amp;row=5900&amp;col=7&amp;number=0.00203&amp;sourceID=14","0.00203")</f>
        <v>0.00203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HYPERLINK("http://141.218.60.56/~jnz1568/getInfo.php?workbook=20_05.xlsx&amp;sheet=U0&amp;row=5901&amp;col=6&amp;number=4.7&amp;sourceID=14","4.7")</f>
        <v>4.7</v>
      </c>
      <c r="G5901" s="4" t="str">
        <f>HYPERLINK("http://141.218.60.56/~jnz1568/getInfo.php?workbook=20_05.xlsx&amp;sheet=U0&amp;row=5901&amp;col=7&amp;number=0.00203&amp;sourceID=14","0.00203")</f>
        <v>0.00203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HYPERLINK("http://141.218.60.56/~jnz1568/getInfo.php?workbook=20_05.xlsx&amp;sheet=U0&amp;row=5902&amp;col=6&amp;number=4.8&amp;sourceID=14","4.8")</f>
        <v>4.8</v>
      </c>
      <c r="G5902" s="4" t="str">
        <f>HYPERLINK("http://141.218.60.56/~jnz1568/getInfo.php?workbook=20_05.xlsx&amp;sheet=U0&amp;row=5902&amp;col=7&amp;number=0.00202&amp;sourceID=14","0.00202")</f>
        <v>0.00202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HYPERLINK("http://141.218.60.56/~jnz1568/getInfo.php?workbook=20_05.xlsx&amp;sheet=U0&amp;row=5903&amp;col=6&amp;number=4.9&amp;sourceID=14","4.9")</f>
        <v>4.9</v>
      </c>
      <c r="G5903" s="4" t="str">
        <f>HYPERLINK("http://141.218.60.56/~jnz1568/getInfo.php?workbook=20_05.xlsx&amp;sheet=U0&amp;row=5903&amp;col=7&amp;number=0.00201&amp;sourceID=14","0.00201")</f>
        <v>0.00201</v>
      </c>
    </row>
    <row r="5904" spans="1:7">
      <c r="A5904" s="3">
        <v>20</v>
      </c>
      <c r="B5904" s="3">
        <v>5</v>
      </c>
      <c r="C5904" s="3">
        <v>3</v>
      </c>
      <c r="D5904" s="3">
        <v>37</v>
      </c>
      <c r="E5904" s="3">
        <v>1</v>
      </c>
      <c r="F5904" s="4" t="str">
        <f>HYPERLINK("http://141.218.60.56/~jnz1568/getInfo.php?workbook=20_05.xlsx&amp;sheet=U0&amp;row=5904&amp;col=6&amp;number=3&amp;sourceID=14","3")</f>
        <v>3</v>
      </c>
      <c r="G5904" s="4" t="str">
        <f>HYPERLINK("http://141.218.60.56/~jnz1568/getInfo.php?workbook=20_05.xlsx&amp;sheet=U0&amp;row=5904&amp;col=7&amp;number=5.13e-05&amp;sourceID=14","5.13e-05")</f>
        <v>5.13e-05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HYPERLINK("http://141.218.60.56/~jnz1568/getInfo.php?workbook=20_05.xlsx&amp;sheet=U0&amp;row=5905&amp;col=6&amp;number=3.1&amp;sourceID=14","3.1")</f>
        <v>3.1</v>
      </c>
      <c r="G5905" s="4" t="str">
        <f>HYPERLINK("http://141.218.60.56/~jnz1568/getInfo.php?workbook=20_05.xlsx&amp;sheet=U0&amp;row=5905&amp;col=7&amp;number=5.13e-05&amp;sourceID=14","5.13e-05")</f>
        <v>5.13e-05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HYPERLINK("http://141.218.60.56/~jnz1568/getInfo.php?workbook=20_05.xlsx&amp;sheet=U0&amp;row=5906&amp;col=6&amp;number=3.2&amp;sourceID=14","3.2")</f>
        <v>3.2</v>
      </c>
      <c r="G5906" s="4" t="str">
        <f>HYPERLINK("http://141.218.60.56/~jnz1568/getInfo.php?workbook=20_05.xlsx&amp;sheet=U0&amp;row=5906&amp;col=7&amp;number=5.13e-05&amp;sourceID=14","5.13e-05")</f>
        <v>5.13e-05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HYPERLINK("http://141.218.60.56/~jnz1568/getInfo.php?workbook=20_05.xlsx&amp;sheet=U0&amp;row=5907&amp;col=6&amp;number=3.3&amp;sourceID=14","3.3")</f>
        <v>3.3</v>
      </c>
      <c r="G5907" s="4" t="str">
        <f>HYPERLINK("http://141.218.60.56/~jnz1568/getInfo.php?workbook=20_05.xlsx&amp;sheet=U0&amp;row=5907&amp;col=7&amp;number=5.13e-05&amp;sourceID=14","5.13e-05")</f>
        <v>5.13e-05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HYPERLINK("http://141.218.60.56/~jnz1568/getInfo.php?workbook=20_05.xlsx&amp;sheet=U0&amp;row=5908&amp;col=6&amp;number=3.4&amp;sourceID=14","3.4")</f>
        <v>3.4</v>
      </c>
      <c r="G5908" s="4" t="str">
        <f>HYPERLINK("http://141.218.60.56/~jnz1568/getInfo.php?workbook=20_05.xlsx&amp;sheet=U0&amp;row=5908&amp;col=7&amp;number=5.13e-05&amp;sourceID=14","5.13e-05")</f>
        <v>5.13e-05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HYPERLINK("http://141.218.60.56/~jnz1568/getInfo.php?workbook=20_05.xlsx&amp;sheet=U0&amp;row=5909&amp;col=6&amp;number=3.5&amp;sourceID=14","3.5")</f>
        <v>3.5</v>
      </c>
      <c r="G5909" s="4" t="str">
        <f>HYPERLINK("http://141.218.60.56/~jnz1568/getInfo.php?workbook=20_05.xlsx&amp;sheet=U0&amp;row=5909&amp;col=7&amp;number=5.13e-05&amp;sourceID=14","5.13e-05")</f>
        <v>5.13e-05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HYPERLINK("http://141.218.60.56/~jnz1568/getInfo.php?workbook=20_05.xlsx&amp;sheet=U0&amp;row=5910&amp;col=6&amp;number=3.6&amp;sourceID=14","3.6")</f>
        <v>3.6</v>
      </c>
      <c r="G5910" s="4" t="str">
        <f>HYPERLINK("http://141.218.60.56/~jnz1568/getInfo.php?workbook=20_05.xlsx&amp;sheet=U0&amp;row=5910&amp;col=7&amp;number=5.13e-05&amp;sourceID=14","5.13e-05")</f>
        <v>5.13e-05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HYPERLINK("http://141.218.60.56/~jnz1568/getInfo.php?workbook=20_05.xlsx&amp;sheet=U0&amp;row=5911&amp;col=6&amp;number=3.7&amp;sourceID=14","3.7")</f>
        <v>3.7</v>
      </c>
      <c r="G5911" s="4" t="str">
        <f>HYPERLINK("http://141.218.60.56/~jnz1568/getInfo.php?workbook=20_05.xlsx&amp;sheet=U0&amp;row=5911&amp;col=7&amp;number=5.13e-05&amp;sourceID=14","5.13e-05")</f>
        <v>5.13e-05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HYPERLINK("http://141.218.60.56/~jnz1568/getInfo.php?workbook=20_05.xlsx&amp;sheet=U0&amp;row=5912&amp;col=6&amp;number=3.8&amp;sourceID=14","3.8")</f>
        <v>3.8</v>
      </c>
      <c r="G5912" s="4" t="str">
        <f>HYPERLINK("http://141.218.60.56/~jnz1568/getInfo.php?workbook=20_05.xlsx&amp;sheet=U0&amp;row=5912&amp;col=7&amp;number=5.13e-05&amp;sourceID=14","5.13e-05")</f>
        <v>5.13e-05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HYPERLINK("http://141.218.60.56/~jnz1568/getInfo.php?workbook=20_05.xlsx&amp;sheet=U0&amp;row=5913&amp;col=6&amp;number=3.9&amp;sourceID=14","3.9")</f>
        <v>3.9</v>
      </c>
      <c r="G5913" s="4" t="str">
        <f>HYPERLINK("http://141.218.60.56/~jnz1568/getInfo.php?workbook=20_05.xlsx&amp;sheet=U0&amp;row=5913&amp;col=7&amp;number=5.13e-05&amp;sourceID=14","5.13e-05")</f>
        <v>5.13e-05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HYPERLINK("http://141.218.60.56/~jnz1568/getInfo.php?workbook=20_05.xlsx&amp;sheet=U0&amp;row=5914&amp;col=6&amp;number=4&amp;sourceID=14","4")</f>
        <v>4</v>
      </c>
      <c r="G5914" s="4" t="str">
        <f>HYPERLINK("http://141.218.60.56/~jnz1568/getInfo.php?workbook=20_05.xlsx&amp;sheet=U0&amp;row=5914&amp;col=7&amp;number=5.12e-05&amp;sourceID=14","5.12e-05")</f>
        <v>5.12e-05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HYPERLINK("http://141.218.60.56/~jnz1568/getInfo.php?workbook=20_05.xlsx&amp;sheet=U0&amp;row=5915&amp;col=6&amp;number=4.1&amp;sourceID=14","4.1")</f>
        <v>4.1</v>
      </c>
      <c r="G5915" s="4" t="str">
        <f>HYPERLINK("http://141.218.60.56/~jnz1568/getInfo.php?workbook=20_05.xlsx&amp;sheet=U0&amp;row=5915&amp;col=7&amp;number=5.12e-05&amp;sourceID=14","5.12e-05")</f>
        <v>5.12e-05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HYPERLINK("http://141.218.60.56/~jnz1568/getInfo.php?workbook=20_05.xlsx&amp;sheet=U0&amp;row=5916&amp;col=6&amp;number=4.2&amp;sourceID=14","4.2")</f>
        <v>4.2</v>
      </c>
      <c r="G5916" s="4" t="str">
        <f>HYPERLINK("http://141.218.60.56/~jnz1568/getInfo.php?workbook=20_05.xlsx&amp;sheet=U0&amp;row=5916&amp;col=7&amp;number=5.11e-05&amp;sourceID=14","5.11e-05")</f>
        <v>5.11e-05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HYPERLINK("http://141.218.60.56/~jnz1568/getInfo.php?workbook=20_05.xlsx&amp;sheet=U0&amp;row=5917&amp;col=6&amp;number=4.3&amp;sourceID=14","4.3")</f>
        <v>4.3</v>
      </c>
      <c r="G5917" s="4" t="str">
        <f>HYPERLINK("http://141.218.60.56/~jnz1568/getInfo.php?workbook=20_05.xlsx&amp;sheet=U0&amp;row=5917&amp;col=7&amp;number=5.11e-05&amp;sourceID=14","5.11e-05")</f>
        <v>5.11e-05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HYPERLINK("http://141.218.60.56/~jnz1568/getInfo.php?workbook=20_05.xlsx&amp;sheet=U0&amp;row=5918&amp;col=6&amp;number=4.4&amp;sourceID=14","4.4")</f>
        <v>4.4</v>
      </c>
      <c r="G5918" s="4" t="str">
        <f>HYPERLINK("http://141.218.60.56/~jnz1568/getInfo.php?workbook=20_05.xlsx&amp;sheet=U0&amp;row=5918&amp;col=7&amp;number=5.1e-05&amp;sourceID=14","5.1e-05")</f>
        <v>5.1e-05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HYPERLINK("http://141.218.60.56/~jnz1568/getInfo.php?workbook=20_05.xlsx&amp;sheet=U0&amp;row=5919&amp;col=6&amp;number=4.5&amp;sourceID=14","4.5")</f>
        <v>4.5</v>
      </c>
      <c r="G5919" s="4" t="str">
        <f>HYPERLINK("http://141.218.60.56/~jnz1568/getInfo.php?workbook=20_05.xlsx&amp;sheet=U0&amp;row=5919&amp;col=7&amp;number=5.09e-05&amp;sourceID=14","5.09e-05")</f>
        <v>5.09e-05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HYPERLINK("http://141.218.60.56/~jnz1568/getInfo.php?workbook=20_05.xlsx&amp;sheet=U0&amp;row=5920&amp;col=6&amp;number=4.6&amp;sourceID=14","4.6")</f>
        <v>4.6</v>
      </c>
      <c r="G5920" s="4" t="str">
        <f>HYPERLINK("http://141.218.60.56/~jnz1568/getInfo.php?workbook=20_05.xlsx&amp;sheet=U0&amp;row=5920&amp;col=7&amp;number=5.08e-05&amp;sourceID=14","5.08e-05")</f>
        <v>5.08e-05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HYPERLINK("http://141.218.60.56/~jnz1568/getInfo.php?workbook=20_05.xlsx&amp;sheet=U0&amp;row=5921&amp;col=6&amp;number=4.7&amp;sourceID=14","4.7")</f>
        <v>4.7</v>
      </c>
      <c r="G5921" s="4" t="str">
        <f>HYPERLINK("http://141.218.60.56/~jnz1568/getInfo.php?workbook=20_05.xlsx&amp;sheet=U0&amp;row=5921&amp;col=7&amp;number=5.07e-05&amp;sourceID=14","5.07e-05")</f>
        <v>5.07e-05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HYPERLINK("http://141.218.60.56/~jnz1568/getInfo.php?workbook=20_05.xlsx&amp;sheet=U0&amp;row=5922&amp;col=6&amp;number=4.8&amp;sourceID=14","4.8")</f>
        <v>4.8</v>
      </c>
      <c r="G5922" s="4" t="str">
        <f>HYPERLINK("http://141.218.60.56/~jnz1568/getInfo.php?workbook=20_05.xlsx&amp;sheet=U0&amp;row=5922&amp;col=7&amp;number=5.05e-05&amp;sourceID=14","5.05e-05")</f>
        <v>5.05e-05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HYPERLINK("http://141.218.60.56/~jnz1568/getInfo.php?workbook=20_05.xlsx&amp;sheet=U0&amp;row=5923&amp;col=6&amp;number=4.9&amp;sourceID=14","4.9")</f>
        <v>4.9</v>
      </c>
      <c r="G5923" s="4" t="str">
        <f>HYPERLINK("http://141.218.60.56/~jnz1568/getInfo.php?workbook=20_05.xlsx&amp;sheet=U0&amp;row=5923&amp;col=7&amp;number=5.03e-05&amp;sourceID=14","5.03e-05")</f>
        <v>5.03e-05</v>
      </c>
    </row>
    <row r="5924" spans="1:7">
      <c r="A5924" s="3">
        <v>20</v>
      </c>
      <c r="B5924" s="3">
        <v>5</v>
      </c>
      <c r="C5924" s="3">
        <v>3</v>
      </c>
      <c r="D5924" s="3">
        <v>38</v>
      </c>
      <c r="E5924" s="3">
        <v>1</v>
      </c>
      <c r="F5924" s="4" t="str">
        <f>HYPERLINK("http://141.218.60.56/~jnz1568/getInfo.php?workbook=20_05.xlsx&amp;sheet=U0&amp;row=5924&amp;col=6&amp;number=3&amp;sourceID=14","3")</f>
        <v>3</v>
      </c>
      <c r="G5924" s="4" t="str">
        <f>HYPERLINK("http://141.218.60.56/~jnz1568/getInfo.php?workbook=20_05.xlsx&amp;sheet=U0&amp;row=5924&amp;col=7&amp;number=5.24e-05&amp;sourceID=14","5.24e-05")</f>
        <v>5.24e-05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HYPERLINK("http://141.218.60.56/~jnz1568/getInfo.php?workbook=20_05.xlsx&amp;sheet=U0&amp;row=5925&amp;col=6&amp;number=3.1&amp;sourceID=14","3.1")</f>
        <v>3.1</v>
      </c>
      <c r="G5925" s="4" t="str">
        <f>HYPERLINK("http://141.218.60.56/~jnz1568/getInfo.php?workbook=20_05.xlsx&amp;sheet=U0&amp;row=5925&amp;col=7&amp;number=5.24e-05&amp;sourceID=14","5.24e-05")</f>
        <v>5.24e-05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HYPERLINK("http://141.218.60.56/~jnz1568/getInfo.php?workbook=20_05.xlsx&amp;sheet=U0&amp;row=5926&amp;col=6&amp;number=3.2&amp;sourceID=14","3.2")</f>
        <v>3.2</v>
      </c>
      <c r="G5926" s="4" t="str">
        <f>HYPERLINK("http://141.218.60.56/~jnz1568/getInfo.php?workbook=20_05.xlsx&amp;sheet=U0&amp;row=5926&amp;col=7&amp;number=5.24e-05&amp;sourceID=14","5.24e-05")</f>
        <v>5.24e-05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HYPERLINK("http://141.218.60.56/~jnz1568/getInfo.php?workbook=20_05.xlsx&amp;sheet=U0&amp;row=5927&amp;col=6&amp;number=3.3&amp;sourceID=14","3.3")</f>
        <v>3.3</v>
      </c>
      <c r="G5927" s="4" t="str">
        <f>HYPERLINK("http://141.218.60.56/~jnz1568/getInfo.php?workbook=20_05.xlsx&amp;sheet=U0&amp;row=5927&amp;col=7&amp;number=5.24e-05&amp;sourceID=14","5.24e-05")</f>
        <v>5.24e-05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HYPERLINK("http://141.218.60.56/~jnz1568/getInfo.php?workbook=20_05.xlsx&amp;sheet=U0&amp;row=5928&amp;col=6&amp;number=3.4&amp;sourceID=14","3.4")</f>
        <v>3.4</v>
      </c>
      <c r="G5928" s="4" t="str">
        <f>HYPERLINK("http://141.218.60.56/~jnz1568/getInfo.php?workbook=20_05.xlsx&amp;sheet=U0&amp;row=5928&amp;col=7&amp;number=5.24e-05&amp;sourceID=14","5.24e-05")</f>
        <v>5.24e-05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HYPERLINK("http://141.218.60.56/~jnz1568/getInfo.php?workbook=20_05.xlsx&amp;sheet=U0&amp;row=5929&amp;col=6&amp;number=3.5&amp;sourceID=14","3.5")</f>
        <v>3.5</v>
      </c>
      <c r="G5929" s="4" t="str">
        <f>HYPERLINK("http://141.218.60.56/~jnz1568/getInfo.php?workbook=20_05.xlsx&amp;sheet=U0&amp;row=5929&amp;col=7&amp;number=5.24e-05&amp;sourceID=14","5.24e-05")</f>
        <v>5.24e-05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HYPERLINK("http://141.218.60.56/~jnz1568/getInfo.php?workbook=20_05.xlsx&amp;sheet=U0&amp;row=5930&amp;col=6&amp;number=3.6&amp;sourceID=14","3.6")</f>
        <v>3.6</v>
      </c>
      <c r="G5930" s="4" t="str">
        <f>HYPERLINK("http://141.218.60.56/~jnz1568/getInfo.php?workbook=20_05.xlsx&amp;sheet=U0&amp;row=5930&amp;col=7&amp;number=5.24e-05&amp;sourceID=14","5.24e-05")</f>
        <v>5.24e-05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HYPERLINK("http://141.218.60.56/~jnz1568/getInfo.php?workbook=20_05.xlsx&amp;sheet=U0&amp;row=5931&amp;col=6&amp;number=3.7&amp;sourceID=14","3.7")</f>
        <v>3.7</v>
      </c>
      <c r="G5931" s="4" t="str">
        <f>HYPERLINK("http://141.218.60.56/~jnz1568/getInfo.php?workbook=20_05.xlsx&amp;sheet=U0&amp;row=5931&amp;col=7&amp;number=5.24e-05&amp;sourceID=14","5.24e-05")</f>
        <v>5.24e-05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HYPERLINK("http://141.218.60.56/~jnz1568/getInfo.php?workbook=20_05.xlsx&amp;sheet=U0&amp;row=5932&amp;col=6&amp;number=3.8&amp;sourceID=14","3.8")</f>
        <v>3.8</v>
      </c>
      <c r="G5932" s="4" t="str">
        <f>HYPERLINK("http://141.218.60.56/~jnz1568/getInfo.php?workbook=20_05.xlsx&amp;sheet=U0&amp;row=5932&amp;col=7&amp;number=5.24e-05&amp;sourceID=14","5.24e-05")</f>
        <v>5.24e-05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HYPERLINK("http://141.218.60.56/~jnz1568/getInfo.php?workbook=20_05.xlsx&amp;sheet=U0&amp;row=5933&amp;col=6&amp;number=3.9&amp;sourceID=14","3.9")</f>
        <v>3.9</v>
      </c>
      <c r="G5933" s="4" t="str">
        <f>HYPERLINK("http://141.218.60.56/~jnz1568/getInfo.php?workbook=20_05.xlsx&amp;sheet=U0&amp;row=5933&amp;col=7&amp;number=5.23e-05&amp;sourceID=14","5.23e-05")</f>
        <v>5.23e-05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HYPERLINK("http://141.218.60.56/~jnz1568/getInfo.php?workbook=20_05.xlsx&amp;sheet=U0&amp;row=5934&amp;col=6&amp;number=4&amp;sourceID=14","4")</f>
        <v>4</v>
      </c>
      <c r="G5934" s="4" t="str">
        <f>HYPERLINK("http://141.218.60.56/~jnz1568/getInfo.php?workbook=20_05.xlsx&amp;sheet=U0&amp;row=5934&amp;col=7&amp;number=5.23e-05&amp;sourceID=14","5.23e-05")</f>
        <v>5.23e-05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HYPERLINK("http://141.218.60.56/~jnz1568/getInfo.php?workbook=20_05.xlsx&amp;sheet=U0&amp;row=5935&amp;col=6&amp;number=4.1&amp;sourceID=14","4.1")</f>
        <v>4.1</v>
      </c>
      <c r="G5935" s="4" t="str">
        <f>HYPERLINK("http://141.218.60.56/~jnz1568/getInfo.php?workbook=20_05.xlsx&amp;sheet=U0&amp;row=5935&amp;col=7&amp;number=5.23e-05&amp;sourceID=14","5.23e-05")</f>
        <v>5.23e-05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HYPERLINK("http://141.218.60.56/~jnz1568/getInfo.php?workbook=20_05.xlsx&amp;sheet=U0&amp;row=5936&amp;col=6&amp;number=4.2&amp;sourceID=14","4.2")</f>
        <v>4.2</v>
      </c>
      <c r="G5936" s="4" t="str">
        <f>HYPERLINK("http://141.218.60.56/~jnz1568/getInfo.php?workbook=20_05.xlsx&amp;sheet=U0&amp;row=5936&amp;col=7&amp;number=5.22e-05&amp;sourceID=14","5.22e-05")</f>
        <v>5.22e-05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HYPERLINK("http://141.218.60.56/~jnz1568/getInfo.php?workbook=20_05.xlsx&amp;sheet=U0&amp;row=5937&amp;col=6&amp;number=4.3&amp;sourceID=14","4.3")</f>
        <v>4.3</v>
      </c>
      <c r="G5937" s="4" t="str">
        <f>HYPERLINK("http://141.218.60.56/~jnz1568/getInfo.php?workbook=20_05.xlsx&amp;sheet=U0&amp;row=5937&amp;col=7&amp;number=5.22e-05&amp;sourceID=14","5.22e-05")</f>
        <v>5.22e-05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HYPERLINK("http://141.218.60.56/~jnz1568/getInfo.php?workbook=20_05.xlsx&amp;sheet=U0&amp;row=5938&amp;col=6&amp;number=4.4&amp;sourceID=14","4.4")</f>
        <v>4.4</v>
      </c>
      <c r="G5938" s="4" t="str">
        <f>HYPERLINK("http://141.218.60.56/~jnz1568/getInfo.php?workbook=20_05.xlsx&amp;sheet=U0&amp;row=5938&amp;col=7&amp;number=5.21e-05&amp;sourceID=14","5.21e-05")</f>
        <v>5.21e-05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HYPERLINK("http://141.218.60.56/~jnz1568/getInfo.php?workbook=20_05.xlsx&amp;sheet=U0&amp;row=5939&amp;col=6&amp;number=4.5&amp;sourceID=14","4.5")</f>
        <v>4.5</v>
      </c>
      <c r="G5939" s="4" t="str">
        <f>HYPERLINK("http://141.218.60.56/~jnz1568/getInfo.php?workbook=20_05.xlsx&amp;sheet=U0&amp;row=5939&amp;col=7&amp;number=5.2e-05&amp;sourceID=14","5.2e-05")</f>
        <v>5.2e-05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HYPERLINK("http://141.218.60.56/~jnz1568/getInfo.php?workbook=20_05.xlsx&amp;sheet=U0&amp;row=5940&amp;col=6&amp;number=4.6&amp;sourceID=14","4.6")</f>
        <v>4.6</v>
      </c>
      <c r="G5940" s="4" t="str">
        <f>HYPERLINK("http://141.218.60.56/~jnz1568/getInfo.php?workbook=20_05.xlsx&amp;sheet=U0&amp;row=5940&amp;col=7&amp;number=5.19e-05&amp;sourceID=14","5.19e-05")</f>
        <v>5.19e-05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HYPERLINK("http://141.218.60.56/~jnz1568/getInfo.php?workbook=20_05.xlsx&amp;sheet=U0&amp;row=5941&amp;col=6&amp;number=4.7&amp;sourceID=14","4.7")</f>
        <v>4.7</v>
      </c>
      <c r="G5941" s="4" t="str">
        <f>HYPERLINK("http://141.218.60.56/~jnz1568/getInfo.php?workbook=20_05.xlsx&amp;sheet=U0&amp;row=5941&amp;col=7&amp;number=5.17e-05&amp;sourceID=14","5.17e-05")</f>
        <v>5.17e-05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HYPERLINK("http://141.218.60.56/~jnz1568/getInfo.php?workbook=20_05.xlsx&amp;sheet=U0&amp;row=5942&amp;col=6&amp;number=4.8&amp;sourceID=14","4.8")</f>
        <v>4.8</v>
      </c>
      <c r="G5942" s="4" t="str">
        <f>HYPERLINK("http://141.218.60.56/~jnz1568/getInfo.php?workbook=20_05.xlsx&amp;sheet=U0&amp;row=5942&amp;col=7&amp;number=5.16e-05&amp;sourceID=14","5.16e-05")</f>
        <v>5.16e-05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HYPERLINK("http://141.218.60.56/~jnz1568/getInfo.php?workbook=20_05.xlsx&amp;sheet=U0&amp;row=5943&amp;col=6&amp;number=4.9&amp;sourceID=14","4.9")</f>
        <v>4.9</v>
      </c>
      <c r="G5943" s="4" t="str">
        <f>HYPERLINK("http://141.218.60.56/~jnz1568/getInfo.php?workbook=20_05.xlsx&amp;sheet=U0&amp;row=5943&amp;col=7&amp;number=5.13e-05&amp;sourceID=14","5.13e-05")</f>
        <v>5.13e-05</v>
      </c>
    </row>
    <row r="5944" spans="1:7">
      <c r="A5944" s="3">
        <v>20</v>
      </c>
      <c r="B5944" s="3">
        <v>5</v>
      </c>
      <c r="C5944" s="3">
        <v>3</v>
      </c>
      <c r="D5944" s="3">
        <v>39</v>
      </c>
      <c r="E5944" s="3">
        <v>1</v>
      </c>
      <c r="F5944" s="4" t="str">
        <f>HYPERLINK("http://141.218.60.56/~jnz1568/getInfo.php?workbook=20_05.xlsx&amp;sheet=U0&amp;row=5944&amp;col=6&amp;number=3&amp;sourceID=14","3")</f>
        <v>3</v>
      </c>
      <c r="G5944" s="4" t="str">
        <f>HYPERLINK("http://141.218.60.56/~jnz1568/getInfo.php?workbook=20_05.xlsx&amp;sheet=U0&amp;row=5944&amp;col=7&amp;number=0.000457&amp;sourceID=14","0.000457")</f>
        <v>0.000457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HYPERLINK("http://141.218.60.56/~jnz1568/getInfo.php?workbook=20_05.xlsx&amp;sheet=U0&amp;row=5945&amp;col=6&amp;number=3.1&amp;sourceID=14","3.1")</f>
        <v>3.1</v>
      </c>
      <c r="G5945" s="4" t="str">
        <f>HYPERLINK("http://141.218.60.56/~jnz1568/getInfo.php?workbook=20_05.xlsx&amp;sheet=U0&amp;row=5945&amp;col=7&amp;number=0.000457&amp;sourceID=14","0.000457")</f>
        <v>0.000457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HYPERLINK("http://141.218.60.56/~jnz1568/getInfo.php?workbook=20_05.xlsx&amp;sheet=U0&amp;row=5946&amp;col=6&amp;number=3.2&amp;sourceID=14","3.2")</f>
        <v>3.2</v>
      </c>
      <c r="G5946" s="4" t="str">
        <f>HYPERLINK("http://141.218.60.56/~jnz1568/getInfo.php?workbook=20_05.xlsx&amp;sheet=U0&amp;row=5946&amp;col=7&amp;number=0.000457&amp;sourceID=14","0.000457")</f>
        <v>0.000457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HYPERLINK("http://141.218.60.56/~jnz1568/getInfo.php?workbook=20_05.xlsx&amp;sheet=U0&amp;row=5947&amp;col=6&amp;number=3.3&amp;sourceID=14","3.3")</f>
        <v>3.3</v>
      </c>
      <c r="G5947" s="4" t="str">
        <f>HYPERLINK("http://141.218.60.56/~jnz1568/getInfo.php?workbook=20_05.xlsx&amp;sheet=U0&amp;row=5947&amp;col=7&amp;number=0.000457&amp;sourceID=14","0.000457")</f>
        <v>0.000457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HYPERLINK("http://141.218.60.56/~jnz1568/getInfo.php?workbook=20_05.xlsx&amp;sheet=U0&amp;row=5948&amp;col=6&amp;number=3.4&amp;sourceID=14","3.4")</f>
        <v>3.4</v>
      </c>
      <c r="G5948" s="4" t="str">
        <f>HYPERLINK("http://141.218.60.56/~jnz1568/getInfo.php?workbook=20_05.xlsx&amp;sheet=U0&amp;row=5948&amp;col=7&amp;number=0.000457&amp;sourceID=14","0.000457")</f>
        <v>0.000457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HYPERLINK("http://141.218.60.56/~jnz1568/getInfo.php?workbook=20_05.xlsx&amp;sheet=U0&amp;row=5949&amp;col=6&amp;number=3.5&amp;sourceID=14","3.5")</f>
        <v>3.5</v>
      </c>
      <c r="G5949" s="4" t="str">
        <f>HYPERLINK("http://141.218.60.56/~jnz1568/getInfo.php?workbook=20_05.xlsx&amp;sheet=U0&amp;row=5949&amp;col=7&amp;number=0.000456&amp;sourceID=14","0.000456")</f>
        <v>0.000456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HYPERLINK("http://141.218.60.56/~jnz1568/getInfo.php?workbook=20_05.xlsx&amp;sheet=U0&amp;row=5950&amp;col=6&amp;number=3.6&amp;sourceID=14","3.6")</f>
        <v>3.6</v>
      </c>
      <c r="G5950" s="4" t="str">
        <f>HYPERLINK("http://141.218.60.56/~jnz1568/getInfo.php?workbook=20_05.xlsx&amp;sheet=U0&amp;row=5950&amp;col=7&amp;number=0.000456&amp;sourceID=14","0.000456")</f>
        <v>0.000456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HYPERLINK("http://141.218.60.56/~jnz1568/getInfo.php?workbook=20_05.xlsx&amp;sheet=U0&amp;row=5951&amp;col=6&amp;number=3.7&amp;sourceID=14","3.7")</f>
        <v>3.7</v>
      </c>
      <c r="G5951" s="4" t="str">
        <f>HYPERLINK("http://141.218.60.56/~jnz1568/getInfo.php?workbook=20_05.xlsx&amp;sheet=U0&amp;row=5951&amp;col=7&amp;number=0.000456&amp;sourceID=14","0.000456")</f>
        <v>0.000456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HYPERLINK("http://141.218.60.56/~jnz1568/getInfo.php?workbook=20_05.xlsx&amp;sheet=U0&amp;row=5952&amp;col=6&amp;number=3.8&amp;sourceID=14","3.8")</f>
        <v>3.8</v>
      </c>
      <c r="G5952" s="4" t="str">
        <f>HYPERLINK("http://141.218.60.56/~jnz1568/getInfo.php?workbook=20_05.xlsx&amp;sheet=U0&amp;row=5952&amp;col=7&amp;number=0.000456&amp;sourceID=14","0.000456")</f>
        <v>0.000456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HYPERLINK("http://141.218.60.56/~jnz1568/getInfo.php?workbook=20_05.xlsx&amp;sheet=U0&amp;row=5953&amp;col=6&amp;number=3.9&amp;sourceID=14","3.9")</f>
        <v>3.9</v>
      </c>
      <c r="G5953" s="4" t="str">
        <f>HYPERLINK("http://141.218.60.56/~jnz1568/getInfo.php?workbook=20_05.xlsx&amp;sheet=U0&amp;row=5953&amp;col=7&amp;number=0.000456&amp;sourceID=14","0.000456")</f>
        <v>0.000456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HYPERLINK("http://141.218.60.56/~jnz1568/getInfo.php?workbook=20_05.xlsx&amp;sheet=U0&amp;row=5954&amp;col=6&amp;number=4&amp;sourceID=14","4")</f>
        <v>4</v>
      </c>
      <c r="G5954" s="4" t="str">
        <f>HYPERLINK("http://141.218.60.56/~jnz1568/getInfo.php?workbook=20_05.xlsx&amp;sheet=U0&amp;row=5954&amp;col=7&amp;number=0.000456&amp;sourceID=14","0.000456")</f>
        <v>0.000456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HYPERLINK("http://141.218.60.56/~jnz1568/getInfo.php?workbook=20_05.xlsx&amp;sheet=U0&amp;row=5955&amp;col=6&amp;number=4.1&amp;sourceID=14","4.1")</f>
        <v>4.1</v>
      </c>
      <c r="G5955" s="4" t="str">
        <f>HYPERLINK("http://141.218.60.56/~jnz1568/getInfo.php?workbook=20_05.xlsx&amp;sheet=U0&amp;row=5955&amp;col=7&amp;number=0.000455&amp;sourceID=14","0.000455")</f>
        <v>0.000455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HYPERLINK("http://141.218.60.56/~jnz1568/getInfo.php?workbook=20_05.xlsx&amp;sheet=U0&amp;row=5956&amp;col=6&amp;number=4.2&amp;sourceID=14","4.2")</f>
        <v>4.2</v>
      </c>
      <c r="G5956" s="4" t="str">
        <f>HYPERLINK("http://141.218.60.56/~jnz1568/getInfo.php?workbook=20_05.xlsx&amp;sheet=U0&amp;row=5956&amp;col=7&amp;number=0.000455&amp;sourceID=14","0.000455")</f>
        <v>0.000455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HYPERLINK("http://141.218.60.56/~jnz1568/getInfo.php?workbook=20_05.xlsx&amp;sheet=U0&amp;row=5957&amp;col=6&amp;number=4.3&amp;sourceID=14","4.3")</f>
        <v>4.3</v>
      </c>
      <c r="G5957" s="4" t="str">
        <f>HYPERLINK("http://141.218.60.56/~jnz1568/getInfo.php?workbook=20_05.xlsx&amp;sheet=U0&amp;row=5957&amp;col=7&amp;number=0.000454&amp;sourceID=14","0.000454")</f>
        <v>0.000454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HYPERLINK("http://141.218.60.56/~jnz1568/getInfo.php?workbook=20_05.xlsx&amp;sheet=U0&amp;row=5958&amp;col=6&amp;number=4.4&amp;sourceID=14","4.4")</f>
        <v>4.4</v>
      </c>
      <c r="G5958" s="4" t="str">
        <f>HYPERLINK("http://141.218.60.56/~jnz1568/getInfo.php?workbook=20_05.xlsx&amp;sheet=U0&amp;row=5958&amp;col=7&amp;number=0.000454&amp;sourceID=14","0.000454")</f>
        <v>0.000454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HYPERLINK("http://141.218.60.56/~jnz1568/getInfo.php?workbook=20_05.xlsx&amp;sheet=U0&amp;row=5959&amp;col=6&amp;number=4.5&amp;sourceID=14","4.5")</f>
        <v>4.5</v>
      </c>
      <c r="G5959" s="4" t="str">
        <f>HYPERLINK("http://141.218.60.56/~jnz1568/getInfo.php?workbook=20_05.xlsx&amp;sheet=U0&amp;row=5959&amp;col=7&amp;number=0.000453&amp;sourceID=14","0.000453")</f>
        <v>0.000453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HYPERLINK("http://141.218.60.56/~jnz1568/getInfo.php?workbook=20_05.xlsx&amp;sheet=U0&amp;row=5960&amp;col=6&amp;number=4.6&amp;sourceID=14","4.6")</f>
        <v>4.6</v>
      </c>
      <c r="G5960" s="4" t="str">
        <f>HYPERLINK("http://141.218.60.56/~jnz1568/getInfo.php?workbook=20_05.xlsx&amp;sheet=U0&amp;row=5960&amp;col=7&amp;number=0.000452&amp;sourceID=14","0.000452")</f>
        <v>0.000452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HYPERLINK("http://141.218.60.56/~jnz1568/getInfo.php?workbook=20_05.xlsx&amp;sheet=U0&amp;row=5961&amp;col=6&amp;number=4.7&amp;sourceID=14","4.7")</f>
        <v>4.7</v>
      </c>
      <c r="G5961" s="4" t="str">
        <f>HYPERLINK("http://141.218.60.56/~jnz1568/getInfo.php?workbook=20_05.xlsx&amp;sheet=U0&amp;row=5961&amp;col=7&amp;number=0.00045&amp;sourceID=14","0.00045")</f>
        <v>0.00045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HYPERLINK("http://141.218.60.56/~jnz1568/getInfo.php?workbook=20_05.xlsx&amp;sheet=U0&amp;row=5962&amp;col=6&amp;number=4.8&amp;sourceID=14","4.8")</f>
        <v>4.8</v>
      </c>
      <c r="G5962" s="4" t="str">
        <f>HYPERLINK("http://141.218.60.56/~jnz1568/getInfo.php?workbook=20_05.xlsx&amp;sheet=U0&amp;row=5962&amp;col=7&amp;number=0.000449&amp;sourceID=14","0.000449")</f>
        <v>0.000449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HYPERLINK("http://141.218.60.56/~jnz1568/getInfo.php?workbook=20_05.xlsx&amp;sheet=U0&amp;row=5963&amp;col=6&amp;number=4.9&amp;sourceID=14","4.9")</f>
        <v>4.9</v>
      </c>
      <c r="G5963" s="4" t="str">
        <f>HYPERLINK("http://141.218.60.56/~jnz1568/getInfo.php?workbook=20_05.xlsx&amp;sheet=U0&amp;row=5963&amp;col=7&amp;number=0.000447&amp;sourceID=14","0.000447")</f>
        <v>0.000447</v>
      </c>
    </row>
    <row r="5964" spans="1:7">
      <c r="A5964" s="3">
        <v>20</v>
      </c>
      <c r="B5964" s="3">
        <v>5</v>
      </c>
      <c r="C5964" s="3">
        <v>3</v>
      </c>
      <c r="D5964" s="3">
        <v>40</v>
      </c>
      <c r="E5964" s="3">
        <v>1</v>
      </c>
      <c r="F5964" s="4" t="str">
        <f>HYPERLINK("http://141.218.60.56/~jnz1568/getInfo.php?workbook=20_05.xlsx&amp;sheet=U0&amp;row=5964&amp;col=6&amp;number=3&amp;sourceID=14","3")</f>
        <v>3</v>
      </c>
      <c r="G5964" s="4" t="str">
        <f>HYPERLINK("http://141.218.60.56/~jnz1568/getInfo.php?workbook=20_05.xlsx&amp;sheet=U0&amp;row=5964&amp;col=7&amp;number=8.56e-05&amp;sourceID=14","8.56e-05")</f>
        <v>8.56e-05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HYPERLINK("http://141.218.60.56/~jnz1568/getInfo.php?workbook=20_05.xlsx&amp;sheet=U0&amp;row=5965&amp;col=6&amp;number=3.1&amp;sourceID=14","3.1")</f>
        <v>3.1</v>
      </c>
      <c r="G5965" s="4" t="str">
        <f>HYPERLINK("http://141.218.60.56/~jnz1568/getInfo.php?workbook=20_05.xlsx&amp;sheet=U0&amp;row=5965&amp;col=7&amp;number=8.55e-05&amp;sourceID=14","8.55e-05")</f>
        <v>8.55e-05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HYPERLINK("http://141.218.60.56/~jnz1568/getInfo.php?workbook=20_05.xlsx&amp;sheet=U0&amp;row=5966&amp;col=6&amp;number=3.2&amp;sourceID=14","3.2")</f>
        <v>3.2</v>
      </c>
      <c r="G5966" s="4" t="str">
        <f>HYPERLINK("http://141.218.60.56/~jnz1568/getInfo.php?workbook=20_05.xlsx&amp;sheet=U0&amp;row=5966&amp;col=7&amp;number=8.55e-05&amp;sourceID=14","8.55e-05")</f>
        <v>8.55e-05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HYPERLINK("http://141.218.60.56/~jnz1568/getInfo.php?workbook=20_05.xlsx&amp;sheet=U0&amp;row=5967&amp;col=6&amp;number=3.3&amp;sourceID=14","3.3")</f>
        <v>3.3</v>
      </c>
      <c r="G5967" s="4" t="str">
        <f>HYPERLINK("http://141.218.60.56/~jnz1568/getInfo.php?workbook=20_05.xlsx&amp;sheet=U0&amp;row=5967&amp;col=7&amp;number=8.55e-05&amp;sourceID=14","8.55e-05")</f>
        <v>8.55e-05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HYPERLINK("http://141.218.60.56/~jnz1568/getInfo.php?workbook=20_05.xlsx&amp;sheet=U0&amp;row=5968&amp;col=6&amp;number=3.4&amp;sourceID=14","3.4")</f>
        <v>3.4</v>
      </c>
      <c r="G5968" s="4" t="str">
        <f>HYPERLINK("http://141.218.60.56/~jnz1568/getInfo.php?workbook=20_05.xlsx&amp;sheet=U0&amp;row=5968&amp;col=7&amp;number=8.55e-05&amp;sourceID=14","8.55e-05")</f>
        <v>8.55e-05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HYPERLINK("http://141.218.60.56/~jnz1568/getInfo.php?workbook=20_05.xlsx&amp;sheet=U0&amp;row=5969&amp;col=6&amp;number=3.5&amp;sourceID=14","3.5")</f>
        <v>3.5</v>
      </c>
      <c r="G5969" s="4" t="str">
        <f>HYPERLINK("http://141.218.60.56/~jnz1568/getInfo.php?workbook=20_05.xlsx&amp;sheet=U0&amp;row=5969&amp;col=7&amp;number=8.55e-05&amp;sourceID=14","8.55e-05")</f>
        <v>8.55e-05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HYPERLINK("http://141.218.60.56/~jnz1568/getInfo.php?workbook=20_05.xlsx&amp;sheet=U0&amp;row=5970&amp;col=6&amp;number=3.6&amp;sourceID=14","3.6")</f>
        <v>3.6</v>
      </c>
      <c r="G5970" s="4" t="str">
        <f>HYPERLINK("http://141.218.60.56/~jnz1568/getInfo.php?workbook=20_05.xlsx&amp;sheet=U0&amp;row=5970&amp;col=7&amp;number=8.55e-05&amp;sourceID=14","8.55e-05")</f>
        <v>8.55e-05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HYPERLINK("http://141.218.60.56/~jnz1568/getInfo.php?workbook=20_05.xlsx&amp;sheet=U0&amp;row=5971&amp;col=6&amp;number=3.7&amp;sourceID=14","3.7")</f>
        <v>3.7</v>
      </c>
      <c r="G5971" s="4" t="str">
        <f>HYPERLINK("http://141.218.60.56/~jnz1568/getInfo.php?workbook=20_05.xlsx&amp;sheet=U0&amp;row=5971&amp;col=7&amp;number=8.55e-05&amp;sourceID=14","8.55e-05")</f>
        <v>8.55e-05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HYPERLINK("http://141.218.60.56/~jnz1568/getInfo.php?workbook=20_05.xlsx&amp;sheet=U0&amp;row=5972&amp;col=6&amp;number=3.8&amp;sourceID=14","3.8")</f>
        <v>3.8</v>
      </c>
      <c r="G5972" s="4" t="str">
        <f>HYPERLINK("http://141.218.60.56/~jnz1568/getInfo.php?workbook=20_05.xlsx&amp;sheet=U0&amp;row=5972&amp;col=7&amp;number=8.54e-05&amp;sourceID=14","8.54e-05")</f>
        <v>8.54e-05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HYPERLINK("http://141.218.60.56/~jnz1568/getInfo.php?workbook=20_05.xlsx&amp;sheet=U0&amp;row=5973&amp;col=6&amp;number=3.9&amp;sourceID=14","3.9")</f>
        <v>3.9</v>
      </c>
      <c r="G5973" s="4" t="str">
        <f>HYPERLINK("http://141.218.60.56/~jnz1568/getInfo.php?workbook=20_05.xlsx&amp;sheet=U0&amp;row=5973&amp;col=7&amp;number=8.54e-05&amp;sourceID=14","8.54e-05")</f>
        <v>8.54e-05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HYPERLINK("http://141.218.60.56/~jnz1568/getInfo.php?workbook=20_05.xlsx&amp;sheet=U0&amp;row=5974&amp;col=6&amp;number=4&amp;sourceID=14","4")</f>
        <v>4</v>
      </c>
      <c r="G5974" s="4" t="str">
        <f>HYPERLINK("http://141.218.60.56/~jnz1568/getInfo.php?workbook=20_05.xlsx&amp;sheet=U0&amp;row=5974&amp;col=7&amp;number=8.53e-05&amp;sourceID=14","8.53e-05")</f>
        <v>8.53e-05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HYPERLINK("http://141.218.60.56/~jnz1568/getInfo.php?workbook=20_05.xlsx&amp;sheet=U0&amp;row=5975&amp;col=6&amp;number=4.1&amp;sourceID=14","4.1")</f>
        <v>4.1</v>
      </c>
      <c r="G5975" s="4" t="str">
        <f>HYPERLINK("http://141.218.60.56/~jnz1568/getInfo.php?workbook=20_05.xlsx&amp;sheet=U0&amp;row=5975&amp;col=7&amp;number=8.53e-05&amp;sourceID=14","8.53e-05")</f>
        <v>8.53e-05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HYPERLINK("http://141.218.60.56/~jnz1568/getInfo.php?workbook=20_05.xlsx&amp;sheet=U0&amp;row=5976&amp;col=6&amp;number=4.2&amp;sourceID=14","4.2")</f>
        <v>4.2</v>
      </c>
      <c r="G5976" s="4" t="str">
        <f>HYPERLINK("http://141.218.60.56/~jnz1568/getInfo.php?workbook=20_05.xlsx&amp;sheet=U0&amp;row=5976&amp;col=7&amp;number=8.52e-05&amp;sourceID=14","8.52e-05")</f>
        <v>8.52e-05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HYPERLINK("http://141.218.60.56/~jnz1568/getInfo.php?workbook=20_05.xlsx&amp;sheet=U0&amp;row=5977&amp;col=6&amp;number=4.3&amp;sourceID=14","4.3")</f>
        <v>4.3</v>
      </c>
      <c r="G5977" s="4" t="str">
        <f>HYPERLINK("http://141.218.60.56/~jnz1568/getInfo.php?workbook=20_05.xlsx&amp;sheet=U0&amp;row=5977&amp;col=7&amp;number=8.51e-05&amp;sourceID=14","8.51e-05")</f>
        <v>8.51e-05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HYPERLINK("http://141.218.60.56/~jnz1568/getInfo.php?workbook=20_05.xlsx&amp;sheet=U0&amp;row=5978&amp;col=6&amp;number=4.4&amp;sourceID=14","4.4")</f>
        <v>4.4</v>
      </c>
      <c r="G5978" s="4" t="str">
        <f>HYPERLINK("http://141.218.60.56/~jnz1568/getInfo.php?workbook=20_05.xlsx&amp;sheet=U0&amp;row=5978&amp;col=7&amp;number=8.5e-05&amp;sourceID=14","8.5e-05")</f>
        <v>8.5e-05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HYPERLINK("http://141.218.60.56/~jnz1568/getInfo.php?workbook=20_05.xlsx&amp;sheet=U0&amp;row=5979&amp;col=6&amp;number=4.5&amp;sourceID=14","4.5")</f>
        <v>4.5</v>
      </c>
      <c r="G5979" s="4" t="str">
        <f>HYPERLINK("http://141.218.60.56/~jnz1568/getInfo.php?workbook=20_05.xlsx&amp;sheet=U0&amp;row=5979&amp;col=7&amp;number=8.48e-05&amp;sourceID=14","8.48e-05")</f>
        <v>8.48e-05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HYPERLINK("http://141.218.60.56/~jnz1568/getInfo.php?workbook=20_05.xlsx&amp;sheet=U0&amp;row=5980&amp;col=6&amp;number=4.6&amp;sourceID=14","4.6")</f>
        <v>4.6</v>
      </c>
      <c r="G5980" s="4" t="str">
        <f>HYPERLINK("http://141.218.60.56/~jnz1568/getInfo.php?workbook=20_05.xlsx&amp;sheet=U0&amp;row=5980&amp;col=7&amp;number=8.46e-05&amp;sourceID=14","8.46e-05")</f>
        <v>8.46e-05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HYPERLINK("http://141.218.60.56/~jnz1568/getInfo.php?workbook=20_05.xlsx&amp;sheet=U0&amp;row=5981&amp;col=6&amp;number=4.7&amp;sourceID=14","4.7")</f>
        <v>4.7</v>
      </c>
      <c r="G5981" s="4" t="str">
        <f>HYPERLINK("http://141.218.60.56/~jnz1568/getInfo.php?workbook=20_05.xlsx&amp;sheet=U0&amp;row=5981&amp;col=7&amp;number=8.44e-05&amp;sourceID=14","8.44e-05")</f>
        <v>8.44e-05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HYPERLINK("http://141.218.60.56/~jnz1568/getInfo.php?workbook=20_05.xlsx&amp;sheet=U0&amp;row=5982&amp;col=6&amp;number=4.8&amp;sourceID=14","4.8")</f>
        <v>4.8</v>
      </c>
      <c r="G5982" s="4" t="str">
        <f>HYPERLINK("http://141.218.60.56/~jnz1568/getInfo.php?workbook=20_05.xlsx&amp;sheet=U0&amp;row=5982&amp;col=7&amp;number=8.41e-05&amp;sourceID=14","8.41e-05")</f>
        <v>8.41e-05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HYPERLINK("http://141.218.60.56/~jnz1568/getInfo.php?workbook=20_05.xlsx&amp;sheet=U0&amp;row=5983&amp;col=6&amp;number=4.9&amp;sourceID=14","4.9")</f>
        <v>4.9</v>
      </c>
      <c r="G5983" s="4" t="str">
        <f>HYPERLINK("http://141.218.60.56/~jnz1568/getInfo.php?workbook=20_05.xlsx&amp;sheet=U0&amp;row=5983&amp;col=7&amp;number=8.37e-05&amp;sourceID=14","8.37e-05")</f>
        <v>8.37e-05</v>
      </c>
    </row>
    <row r="5984" spans="1:7">
      <c r="A5984" s="3">
        <v>20</v>
      </c>
      <c r="B5984" s="3">
        <v>5</v>
      </c>
      <c r="C5984" s="3">
        <v>3</v>
      </c>
      <c r="D5984" s="3">
        <v>41</v>
      </c>
      <c r="E5984" s="3">
        <v>1</v>
      </c>
      <c r="F5984" s="4" t="str">
        <f>HYPERLINK("http://141.218.60.56/~jnz1568/getInfo.php?workbook=20_05.xlsx&amp;sheet=U0&amp;row=5984&amp;col=6&amp;number=3&amp;sourceID=14","3")</f>
        <v>3</v>
      </c>
      <c r="G5984" s="4" t="str">
        <f>HYPERLINK("http://141.218.60.56/~jnz1568/getInfo.php?workbook=20_05.xlsx&amp;sheet=U0&amp;row=5984&amp;col=7&amp;number=1.56e-05&amp;sourceID=14","1.56e-05")</f>
        <v>1.56e-05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HYPERLINK("http://141.218.60.56/~jnz1568/getInfo.php?workbook=20_05.xlsx&amp;sheet=U0&amp;row=5985&amp;col=6&amp;number=3.1&amp;sourceID=14","3.1")</f>
        <v>3.1</v>
      </c>
      <c r="G5985" s="4" t="str">
        <f>HYPERLINK("http://141.218.60.56/~jnz1568/getInfo.php?workbook=20_05.xlsx&amp;sheet=U0&amp;row=5985&amp;col=7&amp;number=1.56e-05&amp;sourceID=14","1.56e-05")</f>
        <v>1.56e-05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HYPERLINK("http://141.218.60.56/~jnz1568/getInfo.php?workbook=20_05.xlsx&amp;sheet=U0&amp;row=5986&amp;col=6&amp;number=3.2&amp;sourceID=14","3.2")</f>
        <v>3.2</v>
      </c>
      <c r="G5986" s="4" t="str">
        <f>HYPERLINK("http://141.218.60.56/~jnz1568/getInfo.php?workbook=20_05.xlsx&amp;sheet=U0&amp;row=5986&amp;col=7&amp;number=1.56e-05&amp;sourceID=14","1.56e-05")</f>
        <v>1.56e-05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HYPERLINK("http://141.218.60.56/~jnz1568/getInfo.php?workbook=20_05.xlsx&amp;sheet=U0&amp;row=5987&amp;col=6&amp;number=3.3&amp;sourceID=14","3.3")</f>
        <v>3.3</v>
      </c>
      <c r="G5987" s="4" t="str">
        <f>HYPERLINK("http://141.218.60.56/~jnz1568/getInfo.php?workbook=20_05.xlsx&amp;sheet=U0&amp;row=5987&amp;col=7&amp;number=1.56e-05&amp;sourceID=14","1.56e-05")</f>
        <v>1.56e-05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HYPERLINK("http://141.218.60.56/~jnz1568/getInfo.php?workbook=20_05.xlsx&amp;sheet=U0&amp;row=5988&amp;col=6&amp;number=3.4&amp;sourceID=14","3.4")</f>
        <v>3.4</v>
      </c>
      <c r="G5988" s="4" t="str">
        <f>HYPERLINK("http://141.218.60.56/~jnz1568/getInfo.php?workbook=20_05.xlsx&amp;sheet=U0&amp;row=5988&amp;col=7&amp;number=1.56e-05&amp;sourceID=14","1.56e-05")</f>
        <v>1.56e-05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HYPERLINK("http://141.218.60.56/~jnz1568/getInfo.php?workbook=20_05.xlsx&amp;sheet=U0&amp;row=5989&amp;col=6&amp;number=3.5&amp;sourceID=14","3.5")</f>
        <v>3.5</v>
      </c>
      <c r="G5989" s="4" t="str">
        <f>HYPERLINK("http://141.218.60.56/~jnz1568/getInfo.php?workbook=20_05.xlsx&amp;sheet=U0&amp;row=5989&amp;col=7&amp;number=1.56e-05&amp;sourceID=14","1.56e-05")</f>
        <v>1.56e-05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HYPERLINK("http://141.218.60.56/~jnz1568/getInfo.php?workbook=20_05.xlsx&amp;sheet=U0&amp;row=5990&amp;col=6&amp;number=3.6&amp;sourceID=14","3.6")</f>
        <v>3.6</v>
      </c>
      <c r="G5990" s="4" t="str">
        <f>HYPERLINK("http://141.218.60.56/~jnz1568/getInfo.php?workbook=20_05.xlsx&amp;sheet=U0&amp;row=5990&amp;col=7&amp;number=1.56e-05&amp;sourceID=14","1.56e-05")</f>
        <v>1.56e-05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HYPERLINK("http://141.218.60.56/~jnz1568/getInfo.php?workbook=20_05.xlsx&amp;sheet=U0&amp;row=5991&amp;col=6&amp;number=3.7&amp;sourceID=14","3.7")</f>
        <v>3.7</v>
      </c>
      <c r="G5991" s="4" t="str">
        <f>HYPERLINK("http://141.218.60.56/~jnz1568/getInfo.php?workbook=20_05.xlsx&amp;sheet=U0&amp;row=5991&amp;col=7&amp;number=1.56e-05&amp;sourceID=14","1.56e-05")</f>
        <v>1.56e-05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HYPERLINK("http://141.218.60.56/~jnz1568/getInfo.php?workbook=20_05.xlsx&amp;sheet=U0&amp;row=5992&amp;col=6&amp;number=3.8&amp;sourceID=14","3.8")</f>
        <v>3.8</v>
      </c>
      <c r="G5992" s="4" t="str">
        <f>HYPERLINK("http://141.218.60.56/~jnz1568/getInfo.php?workbook=20_05.xlsx&amp;sheet=U0&amp;row=5992&amp;col=7&amp;number=1.56e-05&amp;sourceID=14","1.56e-05")</f>
        <v>1.56e-05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HYPERLINK("http://141.218.60.56/~jnz1568/getInfo.php?workbook=20_05.xlsx&amp;sheet=U0&amp;row=5993&amp;col=6&amp;number=3.9&amp;sourceID=14","3.9")</f>
        <v>3.9</v>
      </c>
      <c r="G5993" s="4" t="str">
        <f>HYPERLINK("http://141.218.60.56/~jnz1568/getInfo.php?workbook=20_05.xlsx&amp;sheet=U0&amp;row=5993&amp;col=7&amp;number=1.56e-05&amp;sourceID=14","1.56e-05")</f>
        <v>1.56e-05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HYPERLINK("http://141.218.60.56/~jnz1568/getInfo.php?workbook=20_05.xlsx&amp;sheet=U0&amp;row=5994&amp;col=6&amp;number=4&amp;sourceID=14","4")</f>
        <v>4</v>
      </c>
      <c r="G5994" s="4" t="str">
        <f>HYPERLINK("http://141.218.60.56/~jnz1568/getInfo.php?workbook=20_05.xlsx&amp;sheet=U0&amp;row=5994&amp;col=7&amp;number=1.56e-05&amp;sourceID=14","1.56e-05")</f>
        <v>1.56e-05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HYPERLINK("http://141.218.60.56/~jnz1568/getInfo.php?workbook=20_05.xlsx&amp;sheet=U0&amp;row=5995&amp;col=6&amp;number=4.1&amp;sourceID=14","4.1")</f>
        <v>4.1</v>
      </c>
      <c r="G5995" s="4" t="str">
        <f>HYPERLINK("http://141.218.60.56/~jnz1568/getInfo.php?workbook=20_05.xlsx&amp;sheet=U0&amp;row=5995&amp;col=7&amp;number=1.56e-05&amp;sourceID=14","1.56e-05")</f>
        <v>1.56e-05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HYPERLINK("http://141.218.60.56/~jnz1568/getInfo.php?workbook=20_05.xlsx&amp;sheet=U0&amp;row=5996&amp;col=6&amp;number=4.2&amp;sourceID=14","4.2")</f>
        <v>4.2</v>
      </c>
      <c r="G5996" s="4" t="str">
        <f>HYPERLINK("http://141.218.60.56/~jnz1568/getInfo.php?workbook=20_05.xlsx&amp;sheet=U0&amp;row=5996&amp;col=7&amp;number=1.55e-05&amp;sourceID=14","1.55e-05")</f>
        <v>1.55e-05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HYPERLINK("http://141.218.60.56/~jnz1568/getInfo.php?workbook=20_05.xlsx&amp;sheet=U0&amp;row=5997&amp;col=6&amp;number=4.3&amp;sourceID=14","4.3")</f>
        <v>4.3</v>
      </c>
      <c r="G5997" s="4" t="str">
        <f>HYPERLINK("http://141.218.60.56/~jnz1568/getInfo.php?workbook=20_05.xlsx&amp;sheet=U0&amp;row=5997&amp;col=7&amp;number=1.55e-05&amp;sourceID=14","1.55e-05")</f>
        <v>1.55e-05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HYPERLINK("http://141.218.60.56/~jnz1568/getInfo.php?workbook=20_05.xlsx&amp;sheet=U0&amp;row=5998&amp;col=6&amp;number=4.4&amp;sourceID=14","4.4")</f>
        <v>4.4</v>
      </c>
      <c r="G5998" s="4" t="str">
        <f>HYPERLINK("http://141.218.60.56/~jnz1568/getInfo.php?workbook=20_05.xlsx&amp;sheet=U0&amp;row=5998&amp;col=7&amp;number=1.55e-05&amp;sourceID=14","1.55e-05")</f>
        <v>1.55e-05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HYPERLINK("http://141.218.60.56/~jnz1568/getInfo.php?workbook=20_05.xlsx&amp;sheet=U0&amp;row=5999&amp;col=6&amp;number=4.5&amp;sourceID=14","4.5")</f>
        <v>4.5</v>
      </c>
      <c r="G5999" s="4" t="str">
        <f>HYPERLINK("http://141.218.60.56/~jnz1568/getInfo.php?workbook=20_05.xlsx&amp;sheet=U0&amp;row=5999&amp;col=7&amp;number=1.55e-05&amp;sourceID=14","1.55e-05")</f>
        <v>1.55e-05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HYPERLINK("http://141.218.60.56/~jnz1568/getInfo.php?workbook=20_05.xlsx&amp;sheet=U0&amp;row=6000&amp;col=6&amp;number=4.6&amp;sourceID=14","4.6")</f>
        <v>4.6</v>
      </c>
      <c r="G6000" s="4" t="str">
        <f>HYPERLINK("http://141.218.60.56/~jnz1568/getInfo.php?workbook=20_05.xlsx&amp;sheet=U0&amp;row=6000&amp;col=7&amp;number=1.55e-05&amp;sourceID=14","1.55e-05")</f>
        <v>1.55e-05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HYPERLINK("http://141.218.60.56/~jnz1568/getInfo.php?workbook=20_05.xlsx&amp;sheet=U0&amp;row=6001&amp;col=6&amp;number=4.7&amp;sourceID=14","4.7")</f>
        <v>4.7</v>
      </c>
      <c r="G6001" s="4" t="str">
        <f>HYPERLINK("http://141.218.60.56/~jnz1568/getInfo.php?workbook=20_05.xlsx&amp;sheet=U0&amp;row=6001&amp;col=7&amp;number=1.54e-05&amp;sourceID=14","1.54e-05")</f>
        <v>1.54e-05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HYPERLINK("http://141.218.60.56/~jnz1568/getInfo.php?workbook=20_05.xlsx&amp;sheet=U0&amp;row=6002&amp;col=6&amp;number=4.8&amp;sourceID=14","4.8")</f>
        <v>4.8</v>
      </c>
      <c r="G6002" s="4" t="str">
        <f>HYPERLINK("http://141.218.60.56/~jnz1568/getInfo.php?workbook=20_05.xlsx&amp;sheet=U0&amp;row=6002&amp;col=7&amp;number=1.54e-05&amp;sourceID=14","1.54e-05")</f>
        <v>1.54e-05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HYPERLINK("http://141.218.60.56/~jnz1568/getInfo.php?workbook=20_05.xlsx&amp;sheet=U0&amp;row=6003&amp;col=6&amp;number=4.9&amp;sourceID=14","4.9")</f>
        <v>4.9</v>
      </c>
      <c r="G6003" s="4" t="str">
        <f>HYPERLINK("http://141.218.60.56/~jnz1568/getInfo.php?workbook=20_05.xlsx&amp;sheet=U0&amp;row=6003&amp;col=7&amp;number=1.53e-05&amp;sourceID=14","1.53e-05")</f>
        <v>1.53e-05</v>
      </c>
    </row>
    <row r="6004" spans="1:7">
      <c r="A6004" s="3">
        <v>20</v>
      </c>
      <c r="B6004" s="3">
        <v>5</v>
      </c>
      <c r="C6004" s="3">
        <v>3</v>
      </c>
      <c r="D6004" s="3">
        <v>42</v>
      </c>
      <c r="E6004" s="3">
        <v>1</v>
      </c>
      <c r="F6004" s="4" t="str">
        <f>HYPERLINK("http://141.218.60.56/~jnz1568/getInfo.php?workbook=20_05.xlsx&amp;sheet=U0&amp;row=6004&amp;col=6&amp;number=3&amp;sourceID=14","3")</f>
        <v>3</v>
      </c>
      <c r="G6004" s="4" t="str">
        <f>HYPERLINK("http://141.218.60.56/~jnz1568/getInfo.php?workbook=20_05.xlsx&amp;sheet=U0&amp;row=6004&amp;col=7&amp;number=0.0121&amp;sourceID=14","0.0121")</f>
        <v>0.0121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HYPERLINK("http://141.218.60.56/~jnz1568/getInfo.php?workbook=20_05.xlsx&amp;sheet=U0&amp;row=6005&amp;col=6&amp;number=3.1&amp;sourceID=14","3.1")</f>
        <v>3.1</v>
      </c>
      <c r="G6005" s="4" t="str">
        <f>HYPERLINK("http://141.218.60.56/~jnz1568/getInfo.php?workbook=20_05.xlsx&amp;sheet=U0&amp;row=6005&amp;col=7&amp;number=0.0121&amp;sourceID=14","0.0121")</f>
        <v>0.0121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HYPERLINK("http://141.218.60.56/~jnz1568/getInfo.php?workbook=20_05.xlsx&amp;sheet=U0&amp;row=6006&amp;col=6&amp;number=3.2&amp;sourceID=14","3.2")</f>
        <v>3.2</v>
      </c>
      <c r="G6006" s="4" t="str">
        <f>HYPERLINK("http://141.218.60.56/~jnz1568/getInfo.php?workbook=20_05.xlsx&amp;sheet=U0&amp;row=6006&amp;col=7&amp;number=0.0121&amp;sourceID=14","0.0121")</f>
        <v>0.0121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HYPERLINK("http://141.218.60.56/~jnz1568/getInfo.php?workbook=20_05.xlsx&amp;sheet=U0&amp;row=6007&amp;col=6&amp;number=3.3&amp;sourceID=14","3.3")</f>
        <v>3.3</v>
      </c>
      <c r="G6007" s="4" t="str">
        <f>HYPERLINK("http://141.218.60.56/~jnz1568/getInfo.php?workbook=20_05.xlsx&amp;sheet=U0&amp;row=6007&amp;col=7&amp;number=0.0121&amp;sourceID=14","0.0121")</f>
        <v>0.0121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HYPERLINK("http://141.218.60.56/~jnz1568/getInfo.php?workbook=20_05.xlsx&amp;sheet=U0&amp;row=6008&amp;col=6&amp;number=3.4&amp;sourceID=14","3.4")</f>
        <v>3.4</v>
      </c>
      <c r="G6008" s="4" t="str">
        <f>HYPERLINK("http://141.218.60.56/~jnz1568/getInfo.php?workbook=20_05.xlsx&amp;sheet=U0&amp;row=6008&amp;col=7&amp;number=0.0121&amp;sourceID=14","0.0121")</f>
        <v>0.0121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HYPERLINK("http://141.218.60.56/~jnz1568/getInfo.php?workbook=20_05.xlsx&amp;sheet=U0&amp;row=6009&amp;col=6&amp;number=3.5&amp;sourceID=14","3.5")</f>
        <v>3.5</v>
      </c>
      <c r="G6009" s="4" t="str">
        <f>HYPERLINK("http://141.218.60.56/~jnz1568/getInfo.php?workbook=20_05.xlsx&amp;sheet=U0&amp;row=6009&amp;col=7&amp;number=0.0121&amp;sourceID=14","0.0121")</f>
        <v>0.0121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HYPERLINK("http://141.218.60.56/~jnz1568/getInfo.php?workbook=20_05.xlsx&amp;sheet=U0&amp;row=6010&amp;col=6&amp;number=3.6&amp;sourceID=14","3.6")</f>
        <v>3.6</v>
      </c>
      <c r="G6010" s="4" t="str">
        <f>HYPERLINK("http://141.218.60.56/~jnz1568/getInfo.php?workbook=20_05.xlsx&amp;sheet=U0&amp;row=6010&amp;col=7&amp;number=0.0121&amp;sourceID=14","0.0121")</f>
        <v>0.0121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HYPERLINK("http://141.218.60.56/~jnz1568/getInfo.php?workbook=20_05.xlsx&amp;sheet=U0&amp;row=6011&amp;col=6&amp;number=3.7&amp;sourceID=14","3.7")</f>
        <v>3.7</v>
      </c>
      <c r="G6011" s="4" t="str">
        <f>HYPERLINK("http://141.218.60.56/~jnz1568/getInfo.php?workbook=20_05.xlsx&amp;sheet=U0&amp;row=6011&amp;col=7&amp;number=0.0121&amp;sourceID=14","0.0121")</f>
        <v>0.0121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HYPERLINK("http://141.218.60.56/~jnz1568/getInfo.php?workbook=20_05.xlsx&amp;sheet=U0&amp;row=6012&amp;col=6&amp;number=3.8&amp;sourceID=14","3.8")</f>
        <v>3.8</v>
      </c>
      <c r="G6012" s="4" t="str">
        <f>HYPERLINK("http://141.218.60.56/~jnz1568/getInfo.php?workbook=20_05.xlsx&amp;sheet=U0&amp;row=6012&amp;col=7&amp;number=0.0121&amp;sourceID=14","0.0121")</f>
        <v>0.0121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HYPERLINK("http://141.218.60.56/~jnz1568/getInfo.php?workbook=20_05.xlsx&amp;sheet=U0&amp;row=6013&amp;col=6&amp;number=3.9&amp;sourceID=14","3.9")</f>
        <v>3.9</v>
      </c>
      <c r="G6013" s="4" t="str">
        <f>HYPERLINK("http://141.218.60.56/~jnz1568/getInfo.php?workbook=20_05.xlsx&amp;sheet=U0&amp;row=6013&amp;col=7&amp;number=0.0121&amp;sourceID=14","0.0121")</f>
        <v>0.0121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HYPERLINK("http://141.218.60.56/~jnz1568/getInfo.php?workbook=20_05.xlsx&amp;sheet=U0&amp;row=6014&amp;col=6&amp;number=4&amp;sourceID=14","4")</f>
        <v>4</v>
      </c>
      <c r="G6014" s="4" t="str">
        <f>HYPERLINK("http://141.218.60.56/~jnz1568/getInfo.php?workbook=20_05.xlsx&amp;sheet=U0&amp;row=6014&amp;col=7&amp;number=0.0121&amp;sourceID=14","0.0121")</f>
        <v>0.0121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HYPERLINK("http://141.218.60.56/~jnz1568/getInfo.php?workbook=20_05.xlsx&amp;sheet=U0&amp;row=6015&amp;col=6&amp;number=4.1&amp;sourceID=14","4.1")</f>
        <v>4.1</v>
      </c>
      <c r="G6015" s="4" t="str">
        <f>HYPERLINK("http://141.218.60.56/~jnz1568/getInfo.php?workbook=20_05.xlsx&amp;sheet=U0&amp;row=6015&amp;col=7&amp;number=0.0121&amp;sourceID=14","0.0121")</f>
        <v>0.0121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HYPERLINK("http://141.218.60.56/~jnz1568/getInfo.php?workbook=20_05.xlsx&amp;sheet=U0&amp;row=6016&amp;col=6&amp;number=4.2&amp;sourceID=14","4.2")</f>
        <v>4.2</v>
      </c>
      <c r="G6016" s="4" t="str">
        <f>HYPERLINK("http://141.218.60.56/~jnz1568/getInfo.php?workbook=20_05.xlsx&amp;sheet=U0&amp;row=6016&amp;col=7&amp;number=0.0121&amp;sourceID=14","0.0121")</f>
        <v>0.0121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HYPERLINK("http://141.218.60.56/~jnz1568/getInfo.php?workbook=20_05.xlsx&amp;sheet=U0&amp;row=6017&amp;col=6&amp;number=4.3&amp;sourceID=14","4.3")</f>
        <v>4.3</v>
      </c>
      <c r="G6017" s="4" t="str">
        <f>HYPERLINK("http://141.218.60.56/~jnz1568/getInfo.php?workbook=20_05.xlsx&amp;sheet=U0&amp;row=6017&amp;col=7&amp;number=0.0121&amp;sourceID=14","0.0121")</f>
        <v>0.0121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HYPERLINK("http://141.218.60.56/~jnz1568/getInfo.php?workbook=20_05.xlsx&amp;sheet=U0&amp;row=6018&amp;col=6&amp;number=4.4&amp;sourceID=14","4.4")</f>
        <v>4.4</v>
      </c>
      <c r="G6018" s="4" t="str">
        <f>HYPERLINK("http://141.218.60.56/~jnz1568/getInfo.php?workbook=20_05.xlsx&amp;sheet=U0&amp;row=6018&amp;col=7&amp;number=0.0121&amp;sourceID=14","0.0121")</f>
        <v>0.0121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HYPERLINK("http://141.218.60.56/~jnz1568/getInfo.php?workbook=20_05.xlsx&amp;sheet=U0&amp;row=6019&amp;col=6&amp;number=4.5&amp;sourceID=14","4.5")</f>
        <v>4.5</v>
      </c>
      <c r="G6019" s="4" t="str">
        <f>HYPERLINK("http://141.218.60.56/~jnz1568/getInfo.php?workbook=20_05.xlsx&amp;sheet=U0&amp;row=6019&amp;col=7&amp;number=0.0121&amp;sourceID=14","0.0121")</f>
        <v>0.0121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HYPERLINK("http://141.218.60.56/~jnz1568/getInfo.php?workbook=20_05.xlsx&amp;sheet=U0&amp;row=6020&amp;col=6&amp;number=4.6&amp;sourceID=14","4.6")</f>
        <v>4.6</v>
      </c>
      <c r="G6020" s="4" t="str">
        <f>HYPERLINK("http://141.218.60.56/~jnz1568/getInfo.php?workbook=20_05.xlsx&amp;sheet=U0&amp;row=6020&amp;col=7&amp;number=0.0121&amp;sourceID=14","0.0121")</f>
        <v>0.0121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HYPERLINK("http://141.218.60.56/~jnz1568/getInfo.php?workbook=20_05.xlsx&amp;sheet=U0&amp;row=6021&amp;col=6&amp;number=4.7&amp;sourceID=14","4.7")</f>
        <v>4.7</v>
      </c>
      <c r="G6021" s="4" t="str">
        <f>HYPERLINK("http://141.218.60.56/~jnz1568/getInfo.php?workbook=20_05.xlsx&amp;sheet=U0&amp;row=6021&amp;col=7&amp;number=0.0122&amp;sourceID=14","0.0122")</f>
        <v>0.0122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HYPERLINK("http://141.218.60.56/~jnz1568/getInfo.php?workbook=20_05.xlsx&amp;sheet=U0&amp;row=6022&amp;col=6&amp;number=4.8&amp;sourceID=14","4.8")</f>
        <v>4.8</v>
      </c>
      <c r="G6022" s="4" t="str">
        <f>HYPERLINK("http://141.218.60.56/~jnz1568/getInfo.php?workbook=20_05.xlsx&amp;sheet=U0&amp;row=6022&amp;col=7&amp;number=0.0122&amp;sourceID=14","0.0122")</f>
        <v>0.0122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HYPERLINK("http://141.218.60.56/~jnz1568/getInfo.php?workbook=20_05.xlsx&amp;sheet=U0&amp;row=6023&amp;col=6&amp;number=4.9&amp;sourceID=14","4.9")</f>
        <v>4.9</v>
      </c>
      <c r="G6023" s="4" t="str">
        <f>HYPERLINK("http://141.218.60.56/~jnz1568/getInfo.php?workbook=20_05.xlsx&amp;sheet=U0&amp;row=6023&amp;col=7&amp;number=0.0122&amp;sourceID=14","0.0122")</f>
        <v>0.0122</v>
      </c>
    </row>
    <row r="6024" spans="1:7">
      <c r="A6024" s="3">
        <v>20</v>
      </c>
      <c r="B6024" s="3">
        <v>5</v>
      </c>
      <c r="C6024" s="3">
        <v>3</v>
      </c>
      <c r="D6024" s="3">
        <v>43</v>
      </c>
      <c r="E6024" s="3">
        <v>1</v>
      </c>
      <c r="F6024" s="4" t="str">
        <f>HYPERLINK("http://141.218.60.56/~jnz1568/getInfo.php?workbook=20_05.xlsx&amp;sheet=U0&amp;row=6024&amp;col=6&amp;number=3&amp;sourceID=14","3")</f>
        <v>3</v>
      </c>
      <c r="G6024" s="4" t="str">
        <f>HYPERLINK("http://141.218.60.56/~jnz1568/getInfo.php?workbook=20_05.xlsx&amp;sheet=U0&amp;row=6024&amp;col=7&amp;number=0.00176&amp;sourceID=14","0.00176")</f>
        <v>0.00176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HYPERLINK("http://141.218.60.56/~jnz1568/getInfo.php?workbook=20_05.xlsx&amp;sheet=U0&amp;row=6025&amp;col=6&amp;number=3.1&amp;sourceID=14","3.1")</f>
        <v>3.1</v>
      </c>
      <c r="G6025" s="4" t="str">
        <f>HYPERLINK("http://141.218.60.56/~jnz1568/getInfo.php?workbook=20_05.xlsx&amp;sheet=U0&amp;row=6025&amp;col=7&amp;number=0.00176&amp;sourceID=14","0.00176")</f>
        <v>0.00176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HYPERLINK("http://141.218.60.56/~jnz1568/getInfo.php?workbook=20_05.xlsx&amp;sheet=U0&amp;row=6026&amp;col=6&amp;number=3.2&amp;sourceID=14","3.2")</f>
        <v>3.2</v>
      </c>
      <c r="G6026" s="4" t="str">
        <f>HYPERLINK("http://141.218.60.56/~jnz1568/getInfo.php?workbook=20_05.xlsx&amp;sheet=U0&amp;row=6026&amp;col=7&amp;number=0.00176&amp;sourceID=14","0.00176")</f>
        <v>0.00176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HYPERLINK("http://141.218.60.56/~jnz1568/getInfo.php?workbook=20_05.xlsx&amp;sheet=U0&amp;row=6027&amp;col=6&amp;number=3.3&amp;sourceID=14","3.3")</f>
        <v>3.3</v>
      </c>
      <c r="G6027" s="4" t="str">
        <f>HYPERLINK("http://141.218.60.56/~jnz1568/getInfo.php?workbook=20_05.xlsx&amp;sheet=U0&amp;row=6027&amp;col=7&amp;number=0.00176&amp;sourceID=14","0.00176")</f>
        <v>0.00176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HYPERLINK("http://141.218.60.56/~jnz1568/getInfo.php?workbook=20_05.xlsx&amp;sheet=U0&amp;row=6028&amp;col=6&amp;number=3.4&amp;sourceID=14","3.4")</f>
        <v>3.4</v>
      </c>
      <c r="G6028" s="4" t="str">
        <f>HYPERLINK("http://141.218.60.56/~jnz1568/getInfo.php?workbook=20_05.xlsx&amp;sheet=U0&amp;row=6028&amp;col=7&amp;number=0.00176&amp;sourceID=14","0.00176")</f>
        <v>0.00176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HYPERLINK("http://141.218.60.56/~jnz1568/getInfo.php?workbook=20_05.xlsx&amp;sheet=U0&amp;row=6029&amp;col=6&amp;number=3.5&amp;sourceID=14","3.5")</f>
        <v>3.5</v>
      </c>
      <c r="G6029" s="4" t="str">
        <f>HYPERLINK("http://141.218.60.56/~jnz1568/getInfo.php?workbook=20_05.xlsx&amp;sheet=U0&amp;row=6029&amp;col=7&amp;number=0.00176&amp;sourceID=14","0.00176")</f>
        <v>0.00176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HYPERLINK("http://141.218.60.56/~jnz1568/getInfo.php?workbook=20_05.xlsx&amp;sheet=U0&amp;row=6030&amp;col=6&amp;number=3.6&amp;sourceID=14","3.6")</f>
        <v>3.6</v>
      </c>
      <c r="G6030" s="4" t="str">
        <f>HYPERLINK("http://141.218.60.56/~jnz1568/getInfo.php?workbook=20_05.xlsx&amp;sheet=U0&amp;row=6030&amp;col=7&amp;number=0.00176&amp;sourceID=14","0.00176")</f>
        <v>0.00176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HYPERLINK("http://141.218.60.56/~jnz1568/getInfo.php?workbook=20_05.xlsx&amp;sheet=U0&amp;row=6031&amp;col=6&amp;number=3.7&amp;sourceID=14","3.7")</f>
        <v>3.7</v>
      </c>
      <c r="G6031" s="4" t="str">
        <f>HYPERLINK("http://141.218.60.56/~jnz1568/getInfo.php?workbook=20_05.xlsx&amp;sheet=U0&amp;row=6031&amp;col=7&amp;number=0.00176&amp;sourceID=14","0.00176")</f>
        <v>0.00176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HYPERLINK("http://141.218.60.56/~jnz1568/getInfo.php?workbook=20_05.xlsx&amp;sheet=U0&amp;row=6032&amp;col=6&amp;number=3.8&amp;sourceID=14","3.8")</f>
        <v>3.8</v>
      </c>
      <c r="G6032" s="4" t="str">
        <f>HYPERLINK("http://141.218.60.56/~jnz1568/getInfo.php?workbook=20_05.xlsx&amp;sheet=U0&amp;row=6032&amp;col=7&amp;number=0.00176&amp;sourceID=14","0.00176")</f>
        <v>0.00176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HYPERLINK("http://141.218.60.56/~jnz1568/getInfo.php?workbook=20_05.xlsx&amp;sheet=U0&amp;row=6033&amp;col=6&amp;number=3.9&amp;sourceID=14","3.9")</f>
        <v>3.9</v>
      </c>
      <c r="G6033" s="4" t="str">
        <f>HYPERLINK("http://141.218.60.56/~jnz1568/getInfo.php?workbook=20_05.xlsx&amp;sheet=U0&amp;row=6033&amp;col=7&amp;number=0.00176&amp;sourceID=14","0.00176")</f>
        <v>0.00176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HYPERLINK("http://141.218.60.56/~jnz1568/getInfo.php?workbook=20_05.xlsx&amp;sheet=U0&amp;row=6034&amp;col=6&amp;number=4&amp;sourceID=14","4")</f>
        <v>4</v>
      </c>
      <c r="G6034" s="4" t="str">
        <f>HYPERLINK("http://141.218.60.56/~jnz1568/getInfo.php?workbook=20_05.xlsx&amp;sheet=U0&amp;row=6034&amp;col=7&amp;number=0.00176&amp;sourceID=14","0.00176")</f>
        <v>0.00176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HYPERLINK("http://141.218.60.56/~jnz1568/getInfo.php?workbook=20_05.xlsx&amp;sheet=U0&amp;row=6035&amp;col=6&amp;number=4.1&amp;sourceID=14","4.1")</f>
        <v>4.1</v>
      </c>
      <c r="G6035" s="4" t="str">
        <f>HYPERLINK("http://141.218.60.56/~jnz1568/getInfo.php?workbook=20_05.xlsx&amp;sheet=U0&amp;row=6035&amp;col=7&amp;number=0.00176&amp;sourceID=14","0.00176")</f>
        <v>0.00176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HYPERLINK("http://141.218.60.56/~jnz1568/getInfo.php?workbook=20_05.xlsx&amp;sheet=U0&amp;row=6036&amp;col=6&amp;number=4.2&amp;sourceID=14","4.2")</f>
        <v>4.2</v>
      </c>
      <c r="G6036" s="4" t="str">
        <f>HYPERLINK("http://141.218.60.56/~jnz1568/getInfo.php?workbook=20_05.xlsx&amp;sheet=U0&amp;row=6036&amp;col=7&amp;number=0.00176&amp;sourceID=14","0.00176")</f>
        <v>0.00176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HYPERLINK("http://141.218.60.56/~jnz1568/getInfo.php?workbook=20_05.xlsx&amp;sheet=U0&amp;row=6037&amp;col=6&amp;number=4.3&amp;sourceID=14","4.3")</f>
        <v>4.3</v>
      </c>
      <c r="G6037" s="4" t="str">
        <f>HYPERLINK("http://141.218.60.56/~jnz1568/getInfo.php?workbook=20_05.xlsx&amp;sheet=U0&amp;row=6037&amp;col=7&amp;number=0.00176&amp;sourceID=14","0.00176")</f>
        <v>0.00176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HYPERLINK("http://141.218.60.56/~jnz1568/getInfo.php?workbook=20_05.xlsx&amp;sheet=U0&amp;row=6038&amp;col=6&amp;number=4.4&amp;sourceID=14","4.4")</f>
        <v>4.4</v>
      </c>
      <c r="G6038" s="4" t="str">
        <f>HYPERLINK("http://141.218.60.56/~jnz1568/getInfo.php?workbook=20_05.xlsx&amp;sheet=U0&amp;row=6038&amp;col=7&amp;number=0.00176&amp;sourceID=14","0.00176")</f>
        <v>0.00176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HYPERLINK("http://141.218.60.56/~jnz1568/getInfo.php?workbook=20_05.xlsx&amp;sheet=U0&amp;row=6039&amp;col=6&amp;number=4.5&amp;sourceID=14","4.5")</f>
        <v>4.5</v>
      </c>
      <c r="G6039" s="4" t="str">
        <f>HYPERLINK("http://141.218.60.56/~jnz1568/getInfo.php?workbook=20_05.xlsx&amp;sheet=U0&amp;row=6039&amp;col=7&amp;number=0.00175&amp;sourceID=14","0.00175")</f>
        <v>0.00175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HYPERLINK("http://141.218.60.56/~jnz1568/getInfo.php?workbook=20_05.xlsx&amp;sheet=U0&amp;row=6040&amp;col=6&amp;number=4.6&amp;sourceID=14","4.6")</f>
        <v>4.6</v>
      </c>
      <c r="G6040" s="4" t="str">
        <f>HYPERLINK("http://141.218.60.56/~jnz1568/getInfo.php?workbook=20_05.xlsx&amp;sheet=U0&amp;row=6040&amp;col=7&amp;number=0.00175&amp;sourceID=14","0.00175")</f>
        <v>0.00175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HYPERLINK("http://141.218.60.56/~jnz1568/getInfo.php?workbook=20_05.xlsx&amp;sheet=U0&amp;row=6041&amp;col=6&amp;number=4.7&amp;sourceID=14","4.7")</f>
        <v>4.7</v>
      </c>
      <c r="G6041" s="4" t="str">
        <f>HYPERLINK("http://141.218.60.56/~jnz1568/getInfo.php?workbook=20_05.xlsx&amp;sheet=U0&amp;row=6041&amp;col=7&amp;number=0.00175&amp;sourceID=14","0.00175")</f>
        <v>0.00175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HYPERLINK("http://141.218.60.56/~jnz1568/getInfo.php?workbook=20_05.xlsx&amp;sheet=U0&amp;row=6042&amp;col=6&amp;number=4.8&amp;sourceID=14","4.8")</f>
        <v>4.8</v>
      </c>
      <c r="G6042" s="4" t="str">
        <f>HYPERLINK("http://141.218.60.56/~jnz1568/getInfo.php?workbook=20_05.xlsx&amp;sheet=U0&amp;row=6042&amp;col=7&amp;number=0.00174&amp;sourceID=14","0.00174")</f>
        <v>0.00174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HYPERLINK("http://141.218.60.56/~jnz1568/getInfo.php?workbook=20_05.xlsx&amp;sheet=U0&amp;row=6043&amp;col=6&amp;number=4.9&amp;sourceID=14","4.9")</f>
        <v>4.9</v>
      </c>
      <c r="G6043" s="4" t="str">
        <f>HYPERLINK("http://141.218.60.56/~jnz1568/getInfo.php?workbook=20_05.xlsx&amp;sheet=U0&amp;row=6043&amp;col=7&amp;number=0.00173&amp;sourceID=14","0.00173")</f>
        <v>0.00173</v>
      </c>
    </row>
    <row r="6044" spans="1:7">
      <c r="A6044" s="3">
        <v>20</v>
      </c>
      <c r="B6044" s="3">
        <v>5</v>
      </c>
      <c r="C6044" s="3">
        <v>3</v>
      </c>
      <c r="D6044" s="3">
        <v>44</v>
      </c>
      <c r="E6044" s="3">
        <v>1</v>
      </c>
      <c r="F6044" s="4" t="str">
        <f>HYPERLINK("http://141.218.60.56/~jnz1568/getInfo.php?workbook=20_05.xlsx&amp;sheet=U0&amp;row=6044&amp;col=6&amp;number=3&amp;sourceID=14","3")</f>
        <v>3</v>
      </c>
      <c r="G6044" s="4" t="str">
        <f>HYPERLINK("http://141.218.60.56/~jnz1568/getInfo.php?workbook=20_05.xlsx&amp;sheet=U0&amp;row=6044&amp;col=7&amp;number=0.00134&amp;sourceID=14","0.00134")</f>
        <v>0.00134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HYPERLINK("http://141.218.60.56/~jnz1568/getInfo.php?workbook=20_05.xlsx&amp;sheet=U0&amp;row=6045&amp;col=6&amp;number=3.1&amp;sourceID=14","3.1")</f>
        <v>3.1</v>
      </c>
      <c r="G6045" s="4" t="str">
        <f>HYPERLINK("http://141.218.60.56/~jnz1568/getInfo.php?workbook=20_05.xlsx&amp;sheet=U0&amp;row=6045&amp;col=7&amp;number=0.00134&amp;sourceID=14","0.00134")</f>
        <v>0.00134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HYPERLINK("http://141.218.60.56/~jnz1568/getInfo.php?workbook=20_05.xlsx&amp;sheet=U0&amp;row=6046&amp;col=6&amp;number=3.2&amp;sourceID=14","3.2")</f>
        <v>3.2</v>
      </c>
      <c r="G6046" s="4" t="str">
        <f>HYPERLINK("http://141.218.60.56/~jnz1568/getInfo.php?workbook=20_05.xlsx&amp;sheet=U0&amp;row=6046&amp;col=7&amp;number=0.00134&amp;sourceID=14","0.00134")</f>
        <v>0.00134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HYPERLINK("http://141.218.60.56/~jnz1568/getInfo.php?workbook=20_05.xlsx&amp;sheet=U0&amp;row=6047&amp;col=6&amp;number=3.3&amp;sourceID=14","3.3")</f>
        <v>3.3</v>
      </c>
      <c r="G6047" s="4" t="str">
        <f>HYPERLINK("http://141.218.60.56/~jnz1568/getInfo.php?workbook=20_05.xlsx&amp;sheet=U0&amp;row=6047&amp;col=7&amp;number=0.00134&amp;sourceID=14","0.00134")</f>
        <v>0.00134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HYPERLINK("http://141.218.60.56/~jnz1568/getInfo.php?workbook=20_05.xlsx&amp;sheet=U0&amp;row=6048&amp;col=6&amp;number=3.4&amp;sourceID=14","3.4")</f>
        <v>3.4</v>
      </c>
      <c r="G6048" s="4" t="str">
        <f>HYPERLINK("http://141.218.60.56/~jnz1568/getInfo.php?workbook=20_05.xlsx&amp;sheet=U0&amp;row=6048&amp;col=7&amp;number=0.00134&amp;sourceID=14","0.00134")</f>
        <v>0.00134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HYPERLINK("http://141.218.60.56/~jnz1568/getInfo.php?workbook=20_05.xlsx&amp;sheet=U0&amp;row=6049&amp;col=6&amp;number=3.5&amp;sourceID=14","3.5")</f>
        <v>3.5</v>
      </c>
      <c r="G6049" s="4" t="str">
        <f>HYPERLINK("http://141.218.60.56/~jnz1568/getInfo.php?workbook=20_05.xlsx&amp;sheet=U0&amp;row=6049&amp;col=7&amp;number=0.00134&amp;sourceID=14","0.00134")</f>
        <v>0.00134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HYPERLINK("http://141.218.60.56/~jnz1568/getInfo.php?workbook=20_05.xlsx&amp;sheet=U0&amp;row=6050&amp;col=6&amp;number=3.6&amp;sourceID=14","3.6")</f>
        <v>3.6</v>
      </c>
      <c r="G6050" s="4" t="str">
        <f>HYPERLINK("http://141.218.60.56/~jnz1568/getInfo.php?workbook=20_05.xlsx&amp;sheet=U0&amp;row=6050&amp;col=7&amp;number=0.00134&amp;sourceID=14","0.00134")</f>
        <v>0.00134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HYPERLINK("http://141.218.60.56/~jnz1568/getInfo.php?workbook=20_05.xlsx&amp;sheet=U0&amp;row=6051&amp;col=6&amp;number=3.7&amp;sourceID=14","3.7")</f>
        <v>3.7</v>
      </c>
      <c r="G6051" s="4" t="str">
        <f>HYPERLINK("http://141.218.60.56/~jnz1568/getInfo.php?workbook=20_05.xlsx&amp;sheet=U0&amp;row=6051&amp;col=7&amp;number=0.00134&amp;sourceID=14","0.00134")</f>
        <v>0.00134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HYPERLINK("http://141.218.60.56/~jnz1568/getInfo.php?workbook=20_05.xlsx&amp;sheet=U0&amp;row=6052&amp;col=6&amp;number=3.8&amp;sourceID=14","3.8")</f>
        <v>3.8</v>
      </c>
      <c r="G6052" s="4" t="str">
        <f>HYPERLINK("http://141.218.60.56/~jnz1568/getInfo.php?workbook=20_05.xlsx&amp;sheet=U0&amp;row=6052&amp;col=7&amp;number=0.00134&amp;sourceID=14","0.00134")</f>
        <v>0.00134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HYPERLINK("http://141.218.60.56/~jnz1568/getInfo.php?workbook=20_05.xlsx&amp;sheet=U0&amp;row=6053&amp;col=6&amp;number=3.9&amp;sourceID=14","3.9")</f>
        <v>3.9</v>
      </c>
      <c r="G6053" s="4" t="str">
        <f>HYPERLINK("http://141.218.60.56/~jnz1568/getInfo.php?workbook=20_05.xlsx&amp;sheet=U0&amp;row=6053&amp;col=7&amp;number=0.00134&amp;sourceID=14","0.00134")</f>
        <v>0.00134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HYPERLINK("http://141.218.60.56/~jnz1568/getInfo.php?workbook=20_05.xlsx&amp;sheet=U0&amp;row=6054&amp;col=6&amp;number=4&amp;sourceID=14","4")</f>
        <v>4</v>
      </c>
      <c r="G6054" s="4" t="str">
        <f>HYPERLINK("http://141.218.60.56/~jnz1568/getInfo.php?workbook=20_05.xlsx&amp;sheet=U0&amp;row=6054&amp;col=7&amp;number=0.00134&amp;sourceID=14","0.00134")</f>
        <v>0.00134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HYPERLINK("http://141.218.60.56/~jnz1568/getInfo.php?workbook=20_05.xlsx&amp;sheet=U0&amp;row=6055&amp;col=6&amp;number=4.1&amp;sourceID=14","4.1")</f>
        <v>4.1</v>
      </c>
      <c r="G6055" s="4" t="str">
        <f>HYPERLINK("http://141.218.60.56/~jnz1568/getInfo.php?workbook=20_05.xlsx&amp;sheet=U0&amp;row=6055&amp;col=7&amp;number=0.00134&amp;sourceID=14","0.00134")</f>
        <v>0.00134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HYPERLINK("http://141.218.60.56/~jnz1568/getInfo.php?workbook=20_05.xlsx&amp;sheet=U0&amp;row=6056&amp;col=6&amp;number=4.2&amp;sourceID=14","4.2")</f>
        <v>4.2</v>
      </c>
      <c r="G6056" s="4" t="str">
        <f>HYPERLINK("http://141.218.60.56/~jnz1568/getInfo.php?workbook=20_05.xlsx&amp;sheet=U0&amp;row=6056&amp;col=7&amp;number=0.00134&amp;sourceID=14","0.00134")</f>
        <v>0.00134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HYPERLINK("http://141.218.60.56/~jnz1568/getInfo.php?workbook=20_05.xlsx&amp;sheet=U0&amp;row=6057&amp;col=6&amp;number=4.3&amp;sourceID=14","4.3")</f>
        <v>4.3</v>
      </c>
      <c r="G6057" s="4" t="str">
        <f>HYPERLINK("http://141.218.60.56/~jnz1568/getInfo.php?workbook=20_05.xlsx&amp;sheet=U0&amp;row=6057&amp;col=7&amp;number=0.00135&amp;sourceID=14","0.00135")</f>
        <v>0.00135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HYPERLINK("http://141.218.60.56/~jnz1568/getInfo.php?workbook=20_05.xlsx&amp;sheet=U0&amp;row=6058&amp;col=6&amp;number=4.4&amp;sourceID=14","4.4")</f>
        <v>4.4</v>
      </c>
      <c r="G6058" s="4" t="str">
        <f>HYPERLINK("http://141.218.60.56/~jnz1568/getInfo.php?workbook=20_05.xlsx&amp;sheet=U0&amp;row=6058&amp;col=7&amp;number=0.00135&amp;sourceID=14","0.00135")</f>
        <v>0.00135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HYPERLINK("http://141.218.60.56/~jnz1568/getInfo.php?workbook=20_05.xlsx&amp;sheet=U0&amp;row=6059&amp;col=6&amp;number=4.5&amp;sourceID=14","4.5")</f>
        <v>4.5</v>
      </c>
      <c r="G6059" s="4" t="str">
        <f>HYPERLINK("http://141.218.60.56/~jnz1568/getInfo.php?workbook=20_05.xlsx&amp;sheet=U0&amp;row=6059&amp;col=7&amp;number=0.00135&amp;sourceID=14","0.00135")</f>
        <v>0.00135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HYPERLINK("http://141.218.60.56/~jnz1568/getInfo.php?workbook=20_05.xlsx&amp;sheet=U0&amp;row=6060&amp;col=6&amp;number=4.6&amp;sourceID=14","4.6")</f>
        <v>4.6</v>
      </c>
      <c r="G6060" s="4" t="str">
        <f>HYPERLINK("http://141.218.60.56/~jnz1568/getInfo.php?workbook=20_05.xlsx&amp;sheet=U0&amp;row=6060&amp;col=7&amp;number=0.00135&amp;sourceID=14","0.00135")</f>
        <v>0.00135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HYPERLINK("http://141.218.60.56/~jnz1568/getInfo.php?workbook=20_05.xlsx&amp;sheet=U0&amp;row=6061&amp;col=6&amp;number=4.7&amp;sourceID=14","4.7")</f>
        <v>4.7</v>
      </c>
      <c r="G6061" s="4" t="str">
        <f>HYPERLINK("http://141.218.60.56/~jnz1568/getInfo.php?workbook=20_05.xlsx&amp;sheet=U0&amp;row=6061&amp;col=7&amp;number=0.00135&amp;sourceID=14","0.00135")</f>
        <v>0.00135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HYPERLINK("http://141.218.60.56/~jnz1568/getInfo.php?workbook=20_05.xlsx&amp;sheet=U0&amp;row=6062&amp;col=6&amp;number=4.8&amp;sourceID=14","4.8")</f>
        <v>4.8</v>
      </c>
      <c r="G6062" s="4" t="str">
        <f>HYPERLINK("http://141.218.60.56/~jnz1568/getInfo.php?workbook=20_05.xlsx&amp;sheet=U0&amp;row=6062&amp;col=7&amp;number=0.00135&amp;sourceID=14","0.00135")</f>
        <v>0.00135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HYPERLINK("http://141.218.60.56/~jnz1568/getInfo.php?workbook=20_05.xlsx&amp;sheet=U0&amp;row=6063&amp;col=6&amp;number=4.9&amp;sourceID=14","4.9")</f>
        <v>4.9</v>
      </c>
      <c r="G6063" s="4" t="str">
        <f>HYPERLINK("http://141.218.60.56/~jnz1568/getInfo.php?workbook=20_05.xlsx&amp;sheet=U0&amp;row=6063&amp;col=7&amp;number=0.00136&amp;sourceID=14","0.00136")</f>
        <v>0.00136</v>
      </c>
    </row>
    <row r="6064" spans="1:7">
      <c r="A6064" s="3">
        <v>20</v>
      </c>
      <c r="B6064" s="3">
        <v>5</v>
      </c>
      <c r="C6064" s="3">
        <v>3</v>
      </c>
      <c r="D6064" s="3">
        <v>45</v>
      </c>
      <c r="E6064" s="3">
        <v>1</v>
      </c>
      <c r="F6064" s="4" t="str">
        <f>HYPERLINK("http://141.218.60.56/~jnz1568/getInfo.php?workbook=20_05.xlsx&amp;sheet=U0&amp;row=6064&amp;col=6&amp;number=3&amp;sourceID=14","3")</f>
        <v>3</v>
      </c>
      <c r="G6064" s="4" t="str">
        <f>HYPERLINK("http://141.218.60.56/~jnz1568/getInfo.php?workbook=20_05.xlsx&amp;sheet=U0&amp;row=6064&amp;col=7&amp;number=0.00026&amp;sourceID=14","0.00026")</f>
        <v>0.00026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HYPERLINK("http://141.218.60.56/~jnz1568/getInfo.php?workbook=20_05.xlsx&amp;sheet=U0&amp;row=6065&amp;col=6&amp;number=3.1&amp;sourceID=14","3.1")</f>
        <v>3.1</v>
      </c>
      <c r="G6065" s="4" t="str">
        <f>HYPERLINK("http://141.218.60.56/~jnz1568/getInfo.php?workbook=20_05.xlsx&amp;sheet=U0&amp;row=6065&amp;col=7&amp;number=0.00026&amp;sourceID=14","0.00026")</f>
        <v>0.00026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HYPERLINK("http://141.218.60.56/~jnz1568/getInfo.php?workbook=20_05.xlsx&amp;sheet=U0&amp;row=6066&amp;col=6&amp;number=3.2&amp;sourceID=14","3.2")</f>
        <v>3.2</v>
      </c>
      <c r="G6066" s="4" t="str">
        <f>HYPERLINK("http://141.218.60.56/~jnz1568/getInfo.php?workbook=20_05.xlsx&amp;sheet=U0&amp;row=6066&amp;col=7&amp;number=0.00026&amp;sourceID=14","0.00026")</f>
        <v>0.00026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HYPERLINK("http://141.218.60.56/~jnz1568/getInfo.php?workbook=20_05.xlsx&amp;sheet=U0&amp;row=6067&amp;col=6&amp;number=3.3&amp;sourceID=14","3.3")</f>
        <v>3.3</v>
      </c>
      <c r="G6067" s="4" t="str">
        <f>HYPERLINK("http://141.218.60.56/~jnz1568/getInfo.php?workbook=20_05.xlsx&amp;sheet=U0&amp;row=6067&amp;col=7&amp;number=0.00026&amp;sourceID=14","0.00026")</f>
        <v>0.00026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HYPERLINK("http://141.218.60.56/~jnz1568/getInfo.php?workbook=20_05.xlsx&amp;sheet=U0&amp;row=6068&amp;col=6&amp;number=3.4&amp;sourceID=14","3.4")</f>
        <v>3.4</v>
      </c>
      <c r="G6068" s="4" t="str">
        <f>HYPERLINK("http://141.218.60.56/~jnz1568/getInfo.php?workbook=20_05.xlsx&amp;sheet=U0&amp;row=6068&amp;col=7&amp;number=0.00026&amp;sourceID=14","0.00026")</f>
        <v>0.00026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HYPERLINK("http://141.218.60.56/~jnz1568/getInfo.php?workbook=20_05.xlsx&amp;sheet=U0&amp;row=6069&amp;col=6&amp;number=3.5&amp;sourceID=14","3.5")</f>
        <v>3.5</v>
      </c>
      <c r="G6069" s="4" t="str">
        <f>HYPERLINK("http://141.218.60.56/~jnz1568/getInfo.php?workbook=20_05.xlsx&amp;sheet=U0&amp;row=6069&amp;col=7&amp;number=0.00026&amp;sourceID=14","0.00026")</f>
        <v>0.00026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HYPERLINK("http://141.218.60.56/~jnz1568/getInfo.php?workbook=20_05.xlsx&amp;sheet=U0&amp;row=6070&amp;col=6&amp;number=3.6&amp;sourceID=14","3.6")</f>
        <v>3.6</v>
      </c>
      <c r="G6070" s="4" t="str">
        <f>HYPERLINK("http://141.218.60.56/~jnz1568/getInfo.php?workbook=20_05.xlsx&amp;sheet=U0&amp;row=6070&amp;col=7&amp;number=0.00026&amp;sourceID=14","0.00026")</f>
        <v>0.00026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HYPERLINK("http://141.218.60.56/~jnz1568/getInfo.php?workbook=20_05.xlsx&amp;sheet=U0&amp;row=6071&amp;col=6&amp;number=3.7&amp;sourceID=14","3.7")</f>
        <v>3.7</v>
      </c>
      <c r="G6071" s="4" t="str">
        <f>HYPERLINK("http://141.218.60.56/~jnz1568/getInfo.php?workbook=20_05.xlsx&amp;sheet=U0&amp;row=6071&amp;col=7&amp;number=0.00026&amp;sourceID=14","0.00026")</f>
        <v>0.00026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HYPERLINK("http://141.218.60.56/~jnz1568/getInfo.php?workbook=20_05.xlsx&amp;sheet=U0&amp;row=6072&amp;col=6&amp;number=3.8&amp;sourceID=14","3.8")</f>
        <v>3.8</v>
      </c>
      <c r="G6072" s="4" t="str">
        <f>HYPERLINK("http://141.218.60.56/~jnz1568/getInfo.php?workbook=20_05.xlsx&amp;sheet=U0&amp;row=6072&amp;col=7&amp;number=0.00026&amp;sourceID=14","0.00026")</f>
        <v>0.00026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HYPERLINK("http://141.218.60.56/~jnz1568/getInfo.php?workbook=20_05.xlsx&amp;sheet=U0&amp;row=6073&amp;col=6&amp;number=3.9&amp;sourceID=14","3.9")</f>
        <v>3.9</v>
      </c>
      <c r="G6073" s="4" t="str">
        <f>HYPERLINK("http://141.218.60.56/~jnz1568/getInfo.php?workbook=20_05.xlsx&amp;sheet=U0&amp;row=6073&amp;col=7&amp;number=0.00026&amp;sourceID=14","0.00026")</f>
        <v>0.00026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HYPERLINK("http://141.218.60.56/~jnz1568/getInfo.php?workbook=20_05.xlsx&amp;sheet=U0&amp;row=6074&amp;col=6&amp;number=4&amp;sourceID=14","4")</f>
        <v>4</v>
      </c>
      <c r="G6074" s="4" t="str">
        <f>HYPERLINK("http://141.218.60.56/~jnz1568/getInfo.php?workbook=20_05.xlsx&amp;sheet=U0&amp;row=6074&amp;col=7&amp;number=0.00026&amp;sourceID=14","0.00026")</f>
        <v>0.00026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HYPERLINK("http://141.218.60.56/~jnz1568/getInfo.php?workbook=20_05.xlsx&amp;sheet=U0&amp;row=6075&amp;col=6&amp;number=4.1&amp;sourceID=14","4.1")</f>
        <v>4.1</v>
      </c>
      <c r="G6075" s="4" t="str">
        <f>HYPERLINK("http://141.218.60.56/~jnz1568/getInfo.php?workbook=20_05.xlsx&amp;sheet=U0&amp;row=6075&amp;col=7&amp;number=0.00026&amp;sourceID=14","0.00026")</f>
        <v>0.00026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HYPERLINK("http://141.218.60.56/~jnz1568/getInfo.php?workbook=20_05.xlsx&amp;sheet=U0&amp;row=6076&amp;col=6&amp;number=4.2&amp;sourceID=14","4.2")</f>
        <v>4.2</v>
      </c>
      <c r="G6076" s="4" t="str">
        <f>HYPERLINK("http://141.218.60.56/~jnz1568/getInfo.php?workbook=20_05.xlsx&amp;sheet=U0&amp;row=6076&amp;col=7&amp;number=0.00026&amp;sourceID=14","0.00026")</f>
        <v>0.00026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HYPERLINK("http://141.218.60.56/~jnz1568/getInfo.php?workbook=20_05.xlsx&amp;sheet=U0&amp;row=6077&amp;col=6&amp;number=4.3&amp;sourceID=14","4.3")</f>
        <v>4.3</v>
      </c>
      <c r="G6077" s="4" t="str">
        <f>HYPERLINK("http://141.218.60.56/~jnz1568/getInfo.php?workbook=20_05.xlsx&amp;sheet=U0&amp;row=6077&amp;col=7&amp;number=0.00026&amp;sourceID=14","0.00026")</f>
        <v>0.00026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HYPERLINK("http://141.218.60.56/~jnz1568/getInfo.php?workbook=20_05.xlsx&amp;sheet=U0&amp;row=6078&amp;col=6&amp;number=4.4&amp;sourceID=14","4.4")</f>
        <v>4.4</v>
      </c>
      <c r="G6078" s="4" t="str">
        <f>HYPERLINK("http://141.218.60.56/~jnz1568/getInfo.php?workbook=20_05.xlsx&amp;sheet=U0&amp;row=6078&amp;col=7&amp;number=0.00026&amp;sourceID=14","0.00026")</f>
        <v>0.00026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HYPERLINK("http://141.218.60.56/~jnz1568/getInfo.php?workbook=20_05.xlsx&amp;sheet=U0&amp;row=6079&amp;col=6&amp;number=4.5&amp;sourceID=14","4.5")</f>
        <v>4.5</v>
      </c>
      <c r="G6079" s="4" t="str">
        <f>HYPERLINK("http://141.218.60.56/~jnz1568/getInfo.php?workbook=20_05.xlsx&amp;sheet=U0&amp;row=6079&amp;col=7&amp;number=0.00026&amp;sourceID=14","0.00026")</f>
        <v>0.00026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HYPERLINK("http://141.218.60.56/~jnz1568/getInfo.php?workbook=20_05.xlsx&amp;sheet=U0&amp;row=6080&amp;col=6&amp;number=4.6&amp;sourceID=14","4.6")</f>
        <v>4.6</v>
      </c>
      <c r="G6080" s="4" t="str">
        <f>HYPERLINK("http://141.218.60.56/~jnz1568/getInfo.php?workbook=20_05.xlsx&amp;sheet=U0&amp;row=6080&amp;col=7&amp;number=0.000259&amp;sourceID=14","0.000259")</f>
        <v>0.000259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HYPERLINK("http://141.218.60.56/~jnz1568/getInfo.php?workbook=20_05.xlsx&amp;sheet=U0&amp;row=6081&amp;col=6&amp;number=4.7&amp;sourceID=14","4.7")</f>
        <v>4.7</v>
      </c>
      <c r="G6081" s="4" t="str">
        <f>HYPERLINK("http://141.218.60.56/~jnz1568/getInfo.php?workbook=20_05.xlsx&amp;sheet=U0&amp;row=6081&amp;col=7&amp;number=0.000259&amp;sourceID=14","0.000259")</f>
        <v>0.000259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HYPERLINK("http://141.218.60.56/~jnz1568/getInfo.php?workbook=20_05.xlsx&amp;sheet=U0&amp;row=6082&amp;col=6&amp;number=4.8&amp;sourceID=14","4.8")</f>
        <v>4.8</v>
      </c>
      <c r="G6082" s="4" t="str">
        <f>HYPERLINK("http://141.218.60.56/~jnz1568/getInfo.php?workbook=20_05.xlsx&amp;sheet=U0&amp;row=6082&amp;col=7&amp;number=0.000259&amp;sourceID=14","0.000259")</f>
        <v>0.000259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HYPERLINK("http://141.218.60.56/~jnz1568/getInfo.php?workbook=20_05.xlsx&amp;sheet=U0&amp;row=6083&amp;col=6&amp;number=4.9&amp;sourceID=14","4.9")</f>
        <v>4.9</v>
      </c>
      <c r="G6083" s="4" t="str">
        <f>HYPERLINK("http://141.218.60.56/~jnz1568/getInfo.php?workbook=20_05.xlsx&amp;sheet=U0&amp;row=6083&amp;col=7&amp;number=0.000259&amp;sourceID=14","0.000259")</f>
        <v>0.000259</v>
      </c>
    </row>
    <row r="6084" spans="1:7">
      <c r="A6084" s="3">
        <v>20</v>
      </c>
      <c r="B6084" s="3">
        <v>5</v>
      </c>
      <c r="C6084" s="3">
        <v>3</v>
      </c>
      <c r="D6084" s="3">
        <v>46</v>
      </c>
      <c r="E6084" s="3">
        <v>1</v>
      </c>
      <c r="F6084" s="4" t="str">
        <f>HYPERLINK("http://141.218.60.56/~jnz1568/getInfo.php?workbook=20_05.xlsx&amp;sheet=U0&amp;row=6084&amp;col=6&amp;number=3&amp;sourceID=14","3")</f>
        <v>3</v>
      </c>
      <c r="G6084" s="4" t="str">
        <f>HYPERLINK("http://141.218.60.56/~jnz1568/getInfo.php?workbook=20_05.xlsx&amp;sheet=U0&amp;row=6084&amp;col=7&amp;number=0.000847&amp;sourceID=14","0.000847")</f>
        <v>0.000847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HYPERLINK("http://141.218.60.56/~jnz1568/getInfo.php?workbook=20_05.xlsx&amp;sheet=U0&amp;row=6085&amp;col=6&amp;number=3.1&amp;sourceID=14","3.1")</f>
        <v>3.1</v>
      </c>
      <c r="G6085" s="4" t="str">
        <f>HYPERLINK("http://141.218.60.56/~jnz1568/getInfo.php?workbook=20_05.xlsx&amp;sheet=U0&amp;row=6085&amp;col=7&amp;number=0.000847&amp;sourceID=14","0.000847")</f>
        <v>0.000847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HYPERLINK("http://141.218.60.56/~jnz1568/getInfo.php?workbook=20_05.xlsx&amp;sheet=U0&amp;row=6086&amp;col=6&amp;number=3.2&amp;sourceID=14","3.2")</f>
        <v>3.2</v>
      </c>
      <c r="G6086" s="4" t="str">
        <f>HYPERLINK("http://141.218.60.56/~jnz1568/getInfo.php?workbook=20_05.xlsx&amp;sheet=U0&amp;row=6086&amp;col=7&amp;number=0.000847&amp;sourceID=14","0.000847")</f>
        <v>0.000847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HYPERLINK("http://141.218.60.56/~jnz1568/getInfo.php?workbook=20_05.xlsx&amp;sheet=U0&amp;row=6087&amp;col=6&amp;number=3.3&amp;sourceID=14","3.3")</f>
        <v>3.3</v>
      </c>
      <c r="G6087" s="4" t="str">
        <f>HYPERLINK("http://141.218.60.56/~jnz1568/getInfo.php?workbook=20_05.xlsx&amp;sheet=U0&amp;row=6087&amp;col=7&amp;number=0.000847&amp;sourceID=14","0.000847")</f>
        <v>0.000847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HYPERLINK("http://141.218.60.56/~jnz1568/getInfo.php?workbook=20_05.xlsx&amp;sheet=U0&amp;row=6088&amp;col=6&amp;number=3.4&amp;sourceID=14","3.4")</f>
        <v>3.4</v>
      </c>
      <c r="G6088" s="4" t="str">
        <f>HYPERLINK("http://141.218.60.56/~jnz1568/getInfo.php?workbook=20_05.xlsx&amp;sheet=U0&amp;row=6088&amp;col=7&amp;number=0.000847&amp;sourceID=14","0.000847")</f>
        <v>0.000847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HYPERLINK("http://141.218.60.56/~jnz1568/getInfo.php?workbook=20_05.xlsx&amp;sheet=U0&amp;row=6089&amp;col=6&amp;number=3.5&amp;sourceID=14","3.5")</f>
        <v>3.5</v>
      </c>
      <c r="G6089" s="4" t="str">
        <f>HYPERLINK("http://141.218.60.56/~jnz1568/getInfo.php?workbook=20_05.xlsx&amp;sheet=U0&amp;row=6089&amp;col=7&amp;number=0.000847&amp;sourceID=14","0.000847")</f>
        <v>0.000847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HYPERLINK("http://141.218.60.56/~jnz1568/getInfo.php?workbook=20_05.xlsx&amp;sheet=U0&amp;row=6090&amp;col=6&amp;number=3.6&amp;sourceID=14","3.6")</f>
        <v>3.6</v>
      </c>
      <c r="G6090" s="4" t="str">
        <f>HYPERLINK("http://141.218.60.56/~jnz1568/getInfo.php?workbook=20_05.xlsx&amp;sheet=U0&amp;row=6090&amp;col=7&amp;number=0.000847&amp;sourceID=14","0.000847")</f>
        <v>0.000847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HYPERLINK("http://141.218.60.56/~jnz1568/getInfo.php?workbook=20_05.xlsx&amp;sheet=U0&amp;row=6091&amp;col=6&amp;number=3.7&amp;sourceID=14","3.7")</f>
        <v>3.7</v>
      </c>
      <c r="G6091" s="4" t="str">
        <f>HYPERLINK("http://141.218.60.56/~jnz1568/getInfo.php?workbook=20_05.xlsx&amp;sheet=U0&amp;row=6091&amp;col=7&amp;number=0.000847&amp;sourceID=14","0.000847")</f>
        <v>0.000847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HYPERLINK("http://141.218.60.56/~jnz1568/getInfo.php?workbook=20_05.xlsx&amp;sheet=U0&amp;row=6092&amp;col=6&amp;number=3.8&amp;sourceID=14","3.8")</f>
        <v>3.8</v>
      </c>
      <c r="G6092" s="4" t="str">
        <f>HYPERLINK("http://141.218.60.56/~jnz1568/getInfo.php?workbook=20_05.xlsx&amp;sheet=U0&amp;row=6092&amp;col=7&amp;number=0.000846&amp;sourceID=14","0.000846")</f>
        <v>0.000846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HYPERLINK("http://141.218.60.56/~jnz1568/getInfo.php?workbook=20_05.xlsx&amp;sheet=U0&amp;row=6093&amp;col=6&amp;number=3.9&amp;sourceID=14","3.9")</f>
        <v>3.9</v>
      </c>
      <c r="G6093" s="4" t="str">
        <f>HYPERLINK("http://141.218.60.56/~jnz1568/getInfo.php?workbook=20_05.xlsx&amp;sheet=U0&amp;row=6093&amp;col=7&amp;number=0.000846&amp;sourceID=14","0.000846")</f>
        <v>0.000846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HYPERLINK("http://141.218.60.56/~jnz1568/getInfo.php?workbook=20_05.xlsx&amp;sheet=U0&amp;row=6094&amp;col=6&amp;number=4&amp;sourceID=14","4")</f>
        <v>4</v>
      </c>
      <c r="G6094" s="4" t="str">
        <f>HYPERLINK("http://141.218.60.56/~jnz1568/getInfo.php?workbook=20_05.xlsx&amp;sheet=U0&amp;row=6094&amp;col=7&amp;number=0.000846&amp;sourceID=14","0.000846")</f>
        <v>0.000846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HYPERLINK("http://141.218.60.56/~jnz1568/getInfo.php?workbook=20_05.xlsx&amp;sheet=U0&amp;row=6095&amp;col=6&amp;number=4.1&amp;sourceID=14","4.1")</f>
        <v>4.1</v>
      </c>
      <c r="G6095" s="4" t="str">
        <f>HYPERLINK("http://141.218.60.56/~jnz1568/getInfo.php?workbook=20_05.xlsx&amp;sheet=U0&amp;row=6095&amp;col=7&amp;number=0.000845&amp;sourceID=14","0.000845")</f>
        <v>0.000845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HYPERLINK("http://141.218.60.56/~jnz1568/getInfo.php?workbook=20_05.xlsx&amp;sheet=U0&amp;row=6096&amp;col=6&amp;number=4.2&amp;sourceID=14","4.2")</f>
        <v>4.2</v>
      </c>
      <c r="G6096" s="4" t="str">
        <f>HYPERLINK("http://141.218.60.56/~jnz1568/getInfo.php?workbook=20_05.xlsx&amp;sheet=U0&amp;row=6096&amp;col=7&amp;number=0.000844&amp;sourceID=14","0.000844")</f>
        <v>0.000844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HYPERLINK("http://141.218.60.56/~jnz1568/getInfo.php?workbook=20_05.xlsx&amp;sheet=U0&amp;row=6097&amp;col=6&amp;number=4.3&amp;sourceID=14","4.3")</f>
        <v>4.3</v>
      </c>
      <c r="G6097" s="4" t="str">
        <f>HYPERLINK("http://141.218.60.56/~jnz1568/getInfo.php?workbook=20_05.xlsx&amp;sheet=U0&amp;row=6097&amp;col=7&amp;number=0.000844&amp;sourceID=14","0.000844")</f>
        <v>0.000844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HYPERLINK("http://141.218.60.56/~jnz1568/getInfo.php?workbook=20_05.xlsx&amp;sheet=U0&amp;row=6098&amp;col=6&amp;number=4.4&amp;sourceID=14","4.4")</f>
        <v>4.4</v>
      </c>
      <c r="G6098" s="4" t="str">
        <f>HYPERLINK("http://141.218.60.56/~jnz1568/getInfo.php?workbook=20_05.xlsx&amp;sheet=U0&amp;row=6098&amp;col=7&amp;number=0.000843&amp;sourceID=14","0.000843")</f>
        <v>0.000843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HYPERLINK("http://141.218.60.56/~jnz1568/getInfo.php?workbook=20_05.xlsx&amp;sheet=U0&amp;row=6099&amp;col=6&amp;number=4.5&amp;sourceID=14","4.5")</f>
        <v>4.5</v>
      </c>
      <c r="G6099" s="4" t="str">
        <f>HYPERLINK("http://141.218.60.56/~jnz1568/getInfo.php?workbook=20_05.xlsx&amp;sheet=U0&amp;row=6099&amp;col=7&amp;number=0.000841&amp;sourceID=14","0.000841")</f>
        <v>0.000841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HYPERLINK("http://141.218.60.56/~jnz1568/getInfo.php?workbook=20_05.xlsx&amp;sheet=U0&amp;row=6100&amp;col=6&amp;number=4.6&amp;sourceID=14","4.6")</f>
        <v>4.6</v>
      </c>
      <c r="G6100" s="4" t="str">
        <f>HYPERLINK("http://141.218.60.56/~jnz1568/getInfo.php?workbook=20_05.xlsx&amp;sheet=U0&amp;row=6100&amp;col=7&amp;number=0.00084&amp;sourceID=14","0.00084")</f>
        <v>0.00084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HYPERLINK("http://141.218.60.56/~jnz1568/getInfo.php?workbook=20_05.xlsx&amp;sheet=U0&amp;row=6101&amp;col=6&amp;number=4.7&amp;sourceID=14","4.7")</f>
        <v>4.7</v>
      </c>
      <c r="G6101" s="4" t="str">
        <f>HYPERLINK("http://141.218.60.56/~jnz1568/getInfo.php?workbook=20_05.xlsx&amp;sheet=U0&amp;row=6101&amp;col=7&amp;number=0.000838&amp;sourceID=14","0.000838")</f>
        <v>0.000838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HYPERLINK("http://141.218.60.56/~jnz1568/getInfo.php?workbook=20_05.xlsx&amp;sheet=U0&amp;row=6102&amp;col=6&amp;number=4.8&amp;sourceID=14","4.8")</f>
        <v>4.8</v>
      </c>
      <c r="G6102" s="4" t="str">
        <f>HYPERLINK("http://141.218.60.56/~jnz1568/getInfo.php?workbook=20_05.xlsx&amp;sheet=U0&amp;row=6102&amp;col=7&amp;number=0.000835&amp;sourceID=14","0.000835")</f>
        <v>0.000835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HYPERLINK("http://141.218.60.56/~jnz1568/getInfo.php?workbook=20_05.xlsx&amp;sheet=U0&amp;row=6103&amp;col=6&amp;number=4.9&amp;sourceID=14","4.9")</f>
        <v>4.9</v>
      </c>
      <c r="G6103" s="4" t="str">
        <f>HYPERLINK("http://141.218.60.56/~jnz1568/getInfo.php?workbook=20_05.xlsx&amp;sheet=U0&amp;row=6103&amp;col=7&amp;number=0.000832&amp;sourceID=14","0.000832")</f>
        <v>0.000832</v>
      </c>
    </row>
    <row r="6104" spans="1:7">
      <c r="A6104" s="3">
        <v>20</v>
      </c>
      <c r="B6104" s="3">
        <v>5</v>
      </c>
      <c r="C6104" s="3">
        <v>3</v>
      </c>
      <c r="D6104" s="3">
        <v>47</v>
      </c>
      <c r="E6104" s="3">
        <v>1</v>
      </c>
      <c r="F6104" s="4" t="str">
        <f>HYPERLINK("http://141.218.60.56/~jnz1568/getInfo.php?workbook=20_05.xlsx&amp;sheet=U0&amp;row=6104&amp;col=6&amp;number=3&amp;sourceID=14","3")</f>
        <v>3</v>
      </c>
      <c r="G6104" s="4" t="str">
        <f>HYPERLINK("http://141.218.60.56/~jnz1568/getInfo.php?workbook=20_05.xlsx&amp;sheet=U0&amp;row=6104&amp;col=7&amp;number=3.29e-05&amp;sourceID=14","3.29e-05")</f>
        <v>3.29e-05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HYPERLINK("http://141.218.60.56/~jnz1568/getInfo.php?workbook=20_05.xlsx&amp;sheet=U0&amp;row=6105&amp;col=6&amp;number=3.1&amp;sourceID=14","3.1")</f>
        <v>3.1</v>
      </c>
      <c r="G6105" s="4" t="str">
        <f>HYPERLINK("http://141.218.60.56/~jnz1568/getInfo.php?workbook=20_05.xlsx&amp;sheet=U0&amp;row=6105&amp;col=7&amp;number=3.29e-05&amp;sourceID=14","3.29e-05")</f>
        <v>3.29e-05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HYPERLINK("http://141.218.60.56/~jnz1568/getInfo.php?workbook=20_05.xlsx&amp;sheet=U0&amp;row=6106&amp;col=6&amp;number=3.2&amp;sourceID=14","3.2")</f>
        <v>3.2</v>
      </c>
      <c r="G6106" s="4" t="str">
        <f>HYPERLINK("http://141.218.60.56/~jnz1568/getInfo.php?workbook=20_05.xlsx&amp;sheet=U0&amp;row=6106&amp;col=7&amp;number=3.29e-05&amp;sourceID=14","3.29e-05")</f>
        <v>3.29e-05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HYPERLINK("http://141.218.60.56/~jnz1568/getInfo.php?workbook=20_05.xlsx&amp;sheet=U0&amp;row=6107&amp;col=6&amp;number=3.3&amp;sourceID=14","3.3")</f>
        <v>3.3</v>
      </c>
      <c r="G6107" s="4" t="str">
        <f>HYPERLINK("http://141.218.60.56/~jnz1568/getInfo.php?workbook=20_05.xlsx&amp;sheet=U0&amp;row=6107&amp;col=7&amp;number=3.29e-05&amp;sourceID=14","3.29e-05")</f>
        <v>3.29e-05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HYPERLINK("http://141.218.60.56/~jnz1568/getInfo.php?workbook=20_05.xlsx&amp;sheet=U0&amp;row=6108&amp;col=6&amp;number=3.4&amp;sourceID=14","3.4")</f>
        <v>3.4</v>
      </c>
      <c r="G6108" s="4" t="str">
        <f>HYPERLINK("http://141.218.60.56/~jnz1568/getInfo.php?workbook=20_05.xlsx&amp;sheet=U0&amp;row=6108&amp;col=7&amp;number=3.29e-05&amp;sourceID=14","3.29e-05")</f>
        <v>3.29e-05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HYPERLINK("http://141.218.60.56/~jnz1568/getInfo.php?workbook=20_05.xlsx&amp;sheet=U0&amp;row=6109&amp;col=6&amp;number=3.5&amp;sourceID=14","3.5")</f>
        <v>3.5</v>
      </c>
      <c r="G6109" s="4" t="str">
        <f>HYPERLINK("http://141.218.60.56/~jnz1568/getInfo.php?workbook=20_05.xlsx&amp;sheet=U0&amp;row=6109&amp;col=7&amp;number=3.29e-05&amp;sourceID=14","3.29e-05")</f>
        <v>3.29e-05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HYPERLINK("http://141.218.60.56/~jnz1568/getInfo.php?workbook=20_05.xlsx&amp;sheet=U0&amp;row=6110&amp;col=6&amp;number=3.6&amp;sourceID=14","3.6")</f>
        <v>3.6</v>
      </c>
      <c r="G6110" s="4" t="str">
        <f>HYPERLINK("http://141.218.60.56/~jnz1568/getInfo.php?workbook=20_05.xlsx&amp;sheet=U0&amp;row=6110&amp;col=7&amp;number=3.29e-05&amp;sourceID=14","3.29e-05")</f>
        <v>3.29e-05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HYPERLINK("http://141.218.60.56/~jnz1568/getInfo.php?workbook=20_05.xlsx&amp;sheet=U0&amp;row=6111&amp;col=6&amp;number=3.7&amp;sourceID=14","3.7")</f>
        <v>3.7</v>
      </c>
      <c r="G6111" s="4" t="str">
        <f>HYPERLINK("http://141.218.60.56/~jnz1568/getInfo.php?workbook=20_05.xlsx&amp;sheet=U0&amp;row=6111&amp;col=7&amp;number=3.29e-05&amp;sourceID=14","3.29e-05")</f>
        <v>3.29e-05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HYPERLINK("http://141.218.60.56/~jnz1568/getInfo.php?workbook=20_05.xlsx&amp;sheet=U0&amp;row=6112&amp;col=6&amp;number=3.8&amp;sourceID=14","3.8")</f>
        <v>3.8</v>
      </c>
      <c r="G6112" s="4" t="str">
        <f>HYPERLINK("http://141.218.60.56/~jnz1568/getInfo.php?workbook=20_05.xlsx&amp;sheet=U0&amp;row=6112&amp;col=7&amp;number=3.29e-05&amp;sourceID=14","3.29e-05")</f>
        <v>3.29e-05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HYPERLINK("http://141.218.60.56/~jnz1568/getInfo.php?workbook=20_05.xlsx&amp;sheet=U0&amp;row=6113&amp;col=6&amp;number=3.9&amp;sourceID=14","3.9")</f>
        <v>3.9</v>
      </c>
      <c r="G6113" s="4" t="str">
        <f>HYPERLINK("http://141.218.60.56/~jnz1568/getInfo.php?workbook=20_05.xlsx&amp;sheet=U0&amp;row=6113&amp;col=7&amp;number=3.28e-05&amp;sourceID=14","3.28e-05")</f>
        <v>3.28e-05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HYPERLINK("http://141.218.60.56/~jnz1568/getInfo.php?workbook=20_05.xlsx&amp;sheet=U0&amp;row=6114&amp;col=6&amp;number=4&amp;sourceID=14","4")</f>
        <v>4</v>
      </c>
      <c r="G6114" s="4" t="str">
        <f>HYPERLINK("http://141.218.60.56/~jnz1568/getInfo.php?workbook=20_05.xlsx&amp;sheet=U0&amp;row=6114&amp;col=7&amp;number=3.28e-05&amp;sourceID=14","3.28e-05")</f>
        <v>3.28e-05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HYPERLINK("http://141.218.60.56/~jnz1568/getInfo.php?workbook=20_05.xlsx&amp;sheet=U0&amp;row=6115&amp;col=6&amp;number=4.1&amp;sourceID=14","4.1")</f>
        <v>4.1</v>
      </c>
      <c r="G6115" s="4" t="str">
        <f>HYPERLINK("http://141.218.60.56/~jnz1568/getInfo.php?workbook=20_05.xlsx&amp;sheet=U0&amp;row=6115&amp;col=7&amp;number=3.28e-05&amp;sourceID=14","3.28e-05")</f>
        <v>3.28e-05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HYPERLINK("http://141.218.60.56/~jnz1568/getInfo.php?workbook=20_05.xlsx&amp;sheet=U0&amp;row=6116&amp;col=6&amp;number=4.2&amp;sourceID=14","4.2")</f>
        <v>4.2</v>
      </c>
      <c r="G6116" s="4" t="str">
        <f>HYPERLINK("http://141.218.60.56/~jnz1568/getInfo.php?workbook=20_05.xlsx&amp;sheet=U0&amp;row=6116&amp;col=7&amp;number=3.28e-05&amp;sourceID=14","3.28e-05")</f>
        <v>3.28e-05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HYPERLINK("http://141.218.60.56/~jnz1568/getInfo.php?workbook=20_05.xlsx&amp;sheet=U0&amp;row=6117&amp;col=6&amp;number=4.3&amp;sourceID=14","4.3")</f>
        <v>4.3</v>
      </c>
      <c r="G6117" s="4" t="str">
        <f>HYPERLINK("http://141.218.60.56/~jnz1568/getInfo.php?workbook=20_05.xlsx&amp;sheet=U0&amp;row=6117&amp;col=7&amp;number=3.27e-05&amp;sourceID=14","3.27e-05")</f>
        <v>3.27e-05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HYPERLINK("http://141.218.60.56/~jnz1568/getInfo.php?workbook=20_05.xlsx&amp;sheet=U0&amp;row=6118&amp;col=6&amp;number=4.4&amp;sourceID=14","4.4")</f>
        <v>4.4</v>
      </c>
      <c r="G6118" s="4" t="str">
        <f>HYPERLINK("http://141.218.60.56/~jnz1568/getInfo.php?workbook=20_05.xlsx&amp;sheet=U0&amp;row=6118&amp;col=7&amp;number=3.27e-05&amp;sourceID=14","3.27e-05")</f>
        <v>3.27e-05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HYPERLINK("http://141.218.60.56/~jnz1568/getInfo.php?workbook=20_05.xlsx&amp;sheet=U0&amp;row=6119&amp;col=6&amp;number=4.5&amp;sourceID=14","4.5")</f>
        <v>4.5</v>
      </c>
      <c r="G6119" s="4" t="str">
        <f>HYPERLINK("http://141.218.60.56/~jnz1568/getInfo.php?workbook=20_05.xlsx&amp;sheet=U0&amp;row=6119&amp;col=7&amp;number=3.26e-05&amp;sourceID=14","3.26e-05")</f>
        <v>3.26e-05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HYPERLINK("http://141.218.60.56/~jnz1568/getInfo.php?workbook=20_05.xlsx&amp;sheet=U0&amp;row=6120&amp;col=6&amp;number=4.6&amp;sourceID=14","4.6")</f>
        <v>4.6</v>
      </c>
      <c r="G6120" s="4" t="str">
        <f>HYPERLINK("http://141.218.60.56/~jnz1568/getInfo.php?workbook=20_05.xlsx&amp;sheet=U0&amp;row=6120&amp;col=7&amp;number=3.26e-05&amp;sourceID=14","3.26e-05")</f>
        <v>3.26e-05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HYPERLINK("http://141.218.60.56/~jnz1568/getInfo.php?workbook=20_05.xlsx&amp;sheet=U0&amp;row=6121&amp;col=6&amp;number=4.7&amp;sourceID=14","4.7")</f>
        <v>4.7</v>
      </c>
      <c r="G6121" s="4" t="str">
        <f>HYPERLINK("http://141.218.60.56/~jnz1568/getInfo.php?workbook=20_05.xlsx&amp;sheet=U0&amp;row=6121&amp;col=7&amp;number=3.25e-05&amp;sourceID=14","3.25e-05")</f>
        <v>3.25e-05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HYPERLINK("http://141.218.60.56/~jnz1568/getInfo.php?workbook=20_05.xlsx&amp;sheet=U0&amp;row=6122&amp;col=6&amp;number=4.8&amp;sourceID=14","4.8")</f>
        <v>4.8</v>
      </c>
      <c r="G6122" s="4" t="str">
        <f>HYPERLINK("http://141.218.60.56/~jnz1568/getInfo.php?workbook=20_05.xlsx&amp;sheet=U0&amp;row=6122&amp;col=7&amp;number=3.24e-05&amp;sourceID=14","3.24e-05")</f>
        <v>3.24e-05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HYPERLINK("http://141.218.60.56/~jnz1568/getInfo.php?workbook=20_05.xlsx&amp;sheet=U0&amp;row=6123&amp;col=6&amp;number=4.9&amp;sourceID=14","4.9")</f>
        <v>4.9</v>
      </c>
      <c r="G6123" s="4" t="str">
        <f>HYPERLINK("http://141.218.60.56/~jnz1568/getInfo.php?workbook=20_05.xlsx&amp;sheet=U0&amp;row=6123&amp;col=7&amp;number=3.23e-05&amp;sourceID=14","3.23e-05")</f>
        <v>3.23e-05</v>
      </c>
    </row>
    <row r="6124" spans="1:7">
      <c r="A6124" s="3">
        <v>20</v>
      </c>
      <c r="B6124" s="3">
        <v>5</v>
      </c>
      <c r="C6124" s="3">
        <v>3</v>
      </c>
      <c r="D6124" s="3">
        <v>48</v>
      </c>
      <c r="E6124" s="3">
        <v>1</v>
      </c>
      <c r="F6124" s="4" t="str">
        <f>HYPERLINK("http://141.218.60.56/~jnz1568/getInfo.php?workbook=20_05.xlsx&amp;sheet=U0&amp;row=6124&amp;col=6&amp;number=3&amp;sourceID=14","3")</f>
        <v>3</v>
      </c>
      <c r="G6124" s="4" t="str">
        <f>HYPERLINK("http://141.218.60.56/~jnz1568/getInfo.php?workbook=20_05.xlsx&amp;sheet=U0&amp;row=6124&amp;col=7&amp;number=1.94e-05&amp;sourceID=14","1.94e-05")</f>
        <v>1.94e-05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HYPERLINK("http://141.218.60.56/~jnz1568/getInfo.php?workbook=20_05.xlsx&amp;sheet=U0&amp;row=6125&amp;col=6&amp;number=3.1&amp;sourceID=14","3.1")</f>
        <v>3.1</v>
      </c>
      <c r="G6125" s="4" t="str">
        <f>HYPERLINK("http://141.218.60.56/~jnz1568/getInfo.php?workbook=20_05.xlsx&amp;sheet=U0&amp;row=6125&amp;col=7&amp;number=1.94e-05&amp;sourceID=14","1.94e-05")</f>
        <v>1.94e-05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HYPERLINK("http://141.218.60.56/~jnz1568/getInfo.php?workbook=20_05.xlsx&amp;sheet=U0&amp;row=6126&amp;col=6&amp;number=3.2&amp;sourceID=14","3.2")</f>
        <v>3.2</v>
      </c>
      <c r="G6126" s="4" t="str">
        <f>HYPERLINK("http://141.218.60.56/~jnz1568/getInfo.php?workbook=20_05.xlsx&amp;sheet=U0&amp;row=6126&amp;col=7&amp;number=1.94e-05&amp;sourceID=14","1.94e-05")</f>
        <v>1.94e-05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HYPERLINK("http://141.218.60.56/~jnz1568/getInfo.php?workbook=20_05.xlsx&amp;sheet=U0&amp;row=6127&amp;col=6&amp;number=3.3&amp;sourceID=14","3.3")</f>
        <v>3.3</v>
      </c>
      <c r="G6127" s="4" t="str">
        <f>HYPERLINK("http://141.218.60.56/~jnz1568/getInfo.php?workbook=20_05.xlsx&amp;sheet=U0&amp;row=6127&amp;col=7&amp;number=1.94e-05&amp;sourceID=14","1.94e-05")</f>
        <v>1.94e-05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HYPERLINK("http://141.218.60.56/~jnz1568/getInfo.php?workbook=20_05.xlsx&amp;sheet=U0&amp;row=6128&amp;col=6&amp;number=3.4&amp;sourceID=14","3.4")</f>
        <v>3.4</v>
      </c>
      <c r="G6128" s="4" t="str">
        <f>HYPERLINK("http://141.218.60.56/~jnz1568/getInfo.php?workbook=20_05.xlsx&amp;sheet=U0&amp;row=6128&amp;col=7&amp;number=1.94e-05&amp;sourceID=14","1.94e-05")</f>
        <v>1.94e-05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HYPERLINK("http://141.218.60.56/~jnz1568/getInfo.php?workbook=20_05.xlsx&amp;sheet=U0&amp;row=6129&amp;col=6&amp;number=3.5&amp;sourceID=14","3.5")</f>
        <v>3.5</v>
      </c>
      <c r="G6129" s="4" t="str">
        <f>HYPERLINK("http://141.218.60.56/~jnz1568/getInfo.php?workbook=20_05.xlsx&amp;sheet=U0&amp;row=6129&amp;col=7&amp;number=1.94e-05&amp;sourceID=14","1.94e-05")</f>
        <v>1.94e-05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HYPERLINK("http://141.218.60.56/~jnz1568/getInfo.php?workbook=20_05.xlsx&amp;sheet=U0&amp;row=6130&amp;col=6&amp;number=3.6&amp;sourceID=14","3.6")</f>
        <v>3.6</v>
      </c>
      <c r="G6130" s="4" t="str">
        <f>HYPERLINK("http://141.218.60.56/~jnz1568/getInfo.php?workbook=20_05.xlsx&amp;sheet=U0&amp;row=6130&amp;col=7&amp;number=1.94e-05&amp;sourceID=14","1.94e-05")</f>
        <v>1.94e-05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HYPERLINK("http://141.218.60.56/~jnz1568/getInfo.php?workbook=20_05.xlsx&amp;sheet=U0&amp;row=6131&amp;col=6&amp;number=3.7&amp;sourceID=14","3.7")</f>
        <v>3.7</v>
      </c>
      <c r="G6131" s="4" t="str">
        <f>HYPERLINK("http://141.218.60.56/~jnz1568/getInfo.php?workbook=20_05.xlsx&amp;sheet=U0&amp;row=6131&amp;col=7&amp;number=1.94e-05&amp;sourceID=14","1.94e-05")</f>
        <v>1.94e-05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HYPERLINK("http://141.218.60.56/~jnz1568/getInfo.php?workbook=20_05.xlsx&amp;sheet=U0&amp;row=6132&amp;col=6&amp;number=3.8&amp;sourceID=14","3.8")</f>
        <v>3.8</v>
      </c>
      <c r="G6132" s="4" t="str">
        <f>HYPERLINK("http://141.218.60.56/~jnz1568/getInfo.php?workbook=20_05.xlsx&amp;sheet=U0&amp;row=6132&amp;col=7&amp;number=1.94e-05&amp;sourceID=14","1.94e-05")</f>
        <v>1.94e-05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HYPERLINK("http://141.218.60.56/~jnz1568/getInfo.php?workbook=20_05.xlsx&amp;sheet=U0&amp;row=6133&amp;col=6&amp;number=3.9&amp;sourceID=14","3.9")</f>
        <v>3.9</v>
      </c>
      <c r="G6133" s="4" t="str">
        <f>HYPERLINK("http://141.218.60.56/~jnz1568/getInfo.php?workbook=20_05.xlsx&amp;sheet=U0&amp;row=6133&amp;col=7&amp;number=1.94e-05&amp;sourceID=14","1.94e-05")</f>
        <v>1.94e-05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HYPERLINK("http://141.218.60.56/~jnz1568/getInfo.php?workbook=20_05.xlsx&amp;sheet=U0&amp;row=6134&amp;col=6&amp;number=4&amp;sourceID=14","4")</f>
        <v>4</v>
      </c>
      <c r="G6134" s="4" t="str">
        <f>HYPERLINK("http://141.218.60.56/~jnz1568/getInfo.php?workbook=20_05.xlsx&amp;sheet=U0&amp;row=6134&amp;col=7&amp;number=1.93e-05&amp;sourceID=14","1.93e-05")</f>
        <v>1.93e-05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HYPERLINK("http://141.218.60.56/~jnz1568/getInfo.php?workbook=20_05.xlsx&amp;sheet=U0&amp;row=6135&amp;col=6&amp;number=4.1&amp;sourceID=14","4.1")</f>
        <v>4.1</v>
      </c>
      <c r="G6135" s="4" t="str">
        <f>HYPERLINK("http://141.218.60.56/~jnz1568/getInfo.php?workbook=20_05.xlsx&amp;sheet=U0&amp;row=6135&amp;col=7&amp;number=1.93e-05&amp;sourceID=14","1.93e-05")</f>
        <v>1.93e-05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HYPERLINK("http://141.218.60.56/~jnz1568/getInfo.php?workbook=20_05.xlsx&amp;sheet=U0&amp;row=6136&amp;col=6&amp;number=4.2&amp;sourceID=14","4.2")</f>
        <v>4.2</v>
      </c>
      <c r="G6136" s="4" t="str">
        <f>HYPERLINK("http://141.218.60.56/~jnz1568/getInfo.php?workbook=20_05.xlsx&amp;sheet=U0&amp;row=6136&amp;col=7&amp;number=1.93e-05&amp;sourceID=14","1.93e-05")</f>
        <v>1.93e-05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HYPERLINK("http://141.218.60.56/~jnz1568/getInfo.php?workbook=20_05.xlsx&amp;sheet=U0&amp;row=6137&amp;col=6&amp;number=4.3&amp;sourceID=14","4.3")</f>
        <v>4.3</v>
      </c>
      <c r="G6137" s="4" t="str">
        <f>HYPERLINK("http://141.218.60.56/~jnz1568/getInfo.php?workbook=20_05.xlsx&amp;sheet=U0&amp;row=6137&amp;col=7&amp;number=1.93e-05&amp;sourceID=14","1.93e-05")</f>
        <v>1.93e-05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HYPERLINK("http://141.218.60.56/~jnz1568/getInfo.php?workbook=20_05.xlsx&amp;sheet=U0&amp;row=6138&amp;col=6&amp;number=4.4&amp;sourceID=14","4.4")</f>
        <v>4.4</v>
      </c>
      <c r="G6138" s="4" t="str">
        <f>HYPERLINK("http://141.218.60.56/~jnz1568/getInfo.php?workbook=20_05.xlsx&amp;sheet=U0&amp;row=6138&amp;col=7&amp;number=1.93e-05&amp;sourceID=14","1.93e-05")</f>
        <v>1.93e-05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HYPERLINK("http://141.218.60.56/~jnz1568/getInfo.php?workbook=20_05.xlsx&amp;sheet=U0&amp;row=6139&amp;col=6&amp;number=4.5&amp;sourceID=14","4.5")</f>
        <v>4.5</v>
      </c>
      <c r="G6139" s="4" t="str">
        <f>HYPERLINK("http://141.218.60.56/~jnz1568/getInfo.php?workbook=20_05.xlsx&amp;sheet=U0&amp;row=6139&amp;col=7&amp;number=1.92e-05&amp;sourceID=14","1.92e-05")</f>
        <v>1.92e-05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HYPERLINK("http://141.218.60.56/~jnz1568/getInfo.php?workbook=20_05.xlsx&amp;sheet=U0&amp;row=6140&amp;col=6&amp;number=4.6&amp;sourceID=14","4.6")</f>
        <v>4.6</v>
      </c>
      <c r="G6140" s="4" t="str">
        <f>HYPERLINK("http://141.218.60.56/~jnz1568/getInfo.php?workbook=20_05.xlsx&amp;sheet=U0&amp;row=6140&amp;col=7&amp;number=1.92e-05&amp;sourceID=14","1.92e-05")</f>
        <v>1.92e-05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HYPERLINK("http://141.218.60.56/~jnz1568/getInfo.php?workbook=20_05.xlsx&amp;sheet=U0&amp;row=6141&amp;col=6&amp;number=4.7&amp;sourceID=14","4.7")</f>
        <v>4.7</v>
      </c>
      <c r="G6141" s="4" t="str">
        <f>HYPERLINK("http://141.218.60.56/~jnz1568/getInfo.php?workbook=20_05.xlsx&amp;sheet=U0&amp;row=6141&amp;col=7&amp;number=1.91e-05&amp;sourceID=14","1.91e-05")</f>
        <v>1.91e-05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HYPERLINK("http://141.218.60.56/~jnz1568/getInfo.php?workbook=20_05.xlsx&amp;sheet=U0&amp;row=6142&amp;col=6&amp;number=4.8&amp;sourceID=14","4.8")</f>
        <v>4.8</v>
      </c>
      <c r="G6142" s="4" t="str">
        <f>HYPERLINK("http://141.218.60.56/~jnz1568/getInfo.php?workbook=20_05.xlsx&amp;sheet=U0&amp;row=6142&amp;col=7&amp;number=1.91e-05&amp;sourceID=14","1.91e-05")</f>
        <v>1.91e-05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HYPERLINK("http://141.218.60.56/~jnz1568/getInfo.php?workbook=20_05.xlsx&amp;sheet=U0&amp;row=6143&amp;col=6&amp;number=4.9&amp;sourceID=14","4.9")</f>
        <v>4.9</v>
      </c>
      <c r="G6143" s="4" t="str">
        <f>HYPERLINK("http://141.218.60.56/~jnz1568/getInfo.php?workbook=20_05.xlsx&amp;sheet=U0&amp;row=6143&amp;col=7&amp;number=1.9e-05&amp;sourceID=14","1.9e-05")</f>
        <v>1.9e-05</v>
      </c>
    </row>
    <row r="6144" spans="1:7">
      <c r="A6144" s="3">
        <v>20</v>
      </c>
      <c r="B6144" s="3">
        <v>5</v>
      </c>
      <c r="C6144" s="3">
        <v>3</v>
      </c>
      <c r="D6144" s="3">
        <v>49</v>
      </c>
      <c r="E6144" s="3">
        <v>1</v>
      </c>
      <c r="F6144" s="4" t="str">
        <f>HYPERLINK("http://141.218.60.56/~jnz1568/getInfo.php?workbook=20_05.xlsx&amp;sheet=U0&amp;row=6144&amp;col=6&amp;number=3&amp;sourceID=14","3")</f>
        <v>3</v>
      </c>
      <c r="G6144" s="4" t="str">
        <f>HYPERLINK("http://141.218.60.56/~jnz1568/getInfo.php?workbook=20_05.xlsx&amp;sheet=U0&amp;row=6144&amp;col=7&amp;number=4.63e-05&amp;sourceID=14","4.63e-05")</f>
        <v>4.63e-05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HYPERLINK("http://141.218.60.56/~jnz1568/getInfo.php?workbook=20_05.xlsx&amp;sheet=U0&amp;row=6145&amp;col=6&amp;number=3.1&amp;sourceID=14","3.1")</f>
        <v>3.1</v>
      </c>
      <c r="G6145" s="4" t="str">
        <f>HYPERLINK("http://141.218.60.56/~jnz1568/getInfo.php?workbook=20_05.xlsx&amp;sheet=U0&amp;row=6145&amp;col=7&amp;number=4.63e-05&amp;sourceID=14","4.63e-05")</f>
        <v>4.63e-05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HYPERLINK("http://141.218.60.56/~jnz1568/getInfo.php?workbook=20_05.xlsx&amp;sheet=U0&amp;row=6146&amp;col=6&amp;number=3.2&amp;sourceID=14","3.2")</f>
        <v>3.2</v>
      </c>
      <c r="G6146" s="4" t="str">
        <f>HYPERLINK("http://141.218.60.56/~jnz1568/getInfo.php?workbook=20_05.xlsx&amp;sheet=U0&amp;row=6146&amp;col=7&amp;number=4.63e-05&amp;sourceID=14","4.63e-05")</f>
        <v>4.63e-05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HYPERLINK("http://141.218.60.56/~jnz1568/getInfo.php?workbook=20_05.xlsx&amp;sheet=U0&amp;row=6147&amp;col=6&amp;number=3.3&amp;sourceID=14","3.3")</f>
        <v>3.3</v>
      </c>
      <c r="G6147" s="4" t="str">
        <f>HYPERLINK("http://141.218.60.56/~jnz1568/getInfo.php?workbook=20_05.xlsx&amp;sheet=U0&amp;row=6147&amp;col=7&amp;number=4.63e-05&amp;sourceID=14","4.63e-05")</f>
        <v>4.63e-05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HYPERLINK("http://141.218.60.56/~jnz1568/getInfo.php?workbook=20_05.xlsx&amp;sheet=U0&amp;row=6148&amp;col=6&amp;number=3.4&amp;sourceID=14","3.4")</f>
        <v>3.4</v>
      </c>
      <c r="G6148" s="4" t="str">
        <f>HYPERLINK("http://141.218.60.56/~jnz1568/getInfo.php?workbook=20_05.xlsx&amp;sheet=U0&amp;row=6148&amp;col=7&amp;number=4.63e-05&amp;sourceID=14","4.63e-05")</f>
        <v>4.63e-05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HYPERLINK("http://141.218.60.56/~jnz1568/getInfo.php?workbook=20_05.xlsx&amp;sheet=U0&amp;row=6149&amp;col=6&amp;number=3.5&amp;sourceID=14","3.5")</f>
        <v>3.5</v>
      </c>
      <c r="G6149" s="4" t="str">
        <f>HYPERLINK("http://141.218.60.56/~jnz1568/getInfo.php?workbook=20_05.xlsx&amp;sheet=U0&amp;row=6149&amp;col=7&amp;number=4.63e-05&amp;sourceID=14","4.63e-05")</f>
        <v>4.63e-05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HYPERLINK("http://141.218.60.56/~jnz1568/getInfo.php?workbook=20_05.xlsx&amp;sheet=U0&amp;row=6150&amp;col=6&amp;number=3.6&amp;sourceID=14","3.6")</f>
        <v>3.6</v>
      </c>
      <c r="G6150" s="4" t="str">
        <f>HYPERLINK("http://141.218.60.56/~jnz1568/getInfo.php?workbook=20_05.xlsx&amp;sheet=U0&amp;row=6150&amp;col=7&amp;number=4.63e-05&amp;sourceID=14","4.63e-05")</f>
        <v>4.63e-05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HYPERLINK("http://141.218.60.56/~jnz1568/getInfo.php?workbook=20_05.xlsx&amp;sheet=U0&amp;row=6151&amp;col=6&amp;number=3.7&amp;sourceID=14","3.7")</f>
        <v>3.7</v>
      </c>
      <c r="G6151" s="4" t="str">
        <f>HYPERLINK("http://141.218.60.56/~jnz1568/getInfo.php?workbook=20_05.xlsx&amp;sheet=U0&amp;row=6151&amp;col=7&amp;number=4.63e-05&amp;sourceID=14","4.63e-05")</f>
        <v>4.63e-05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HYPERLINK("http://141.218.60.56/~jnz1568/getInfo.php?workbook=20_05.xlsx&amp;sheet=U0&amp;row=6152&amp;col=6&amp;number=3.8&amp;sourceID=14","3.8")</f>
        <v>3.8</v>
      </c>
      <c r="G6152" s="4" t="str">
        <f>HYPERLINK("http://141.218.60.56/~jnz1568/getInfo.php?workbook=20_05.xlsx&amp;sheet=U0&amp;row=6152&amp;col=7&amp;number=4.63e-05&amp;sourceID=14","4.63e-05")</f>
        <v>4.63e-05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HYPERLINK("http://141.218.60.56/~jnz1568/getInfo.php?workbook=20_05.xlsx&amp;sheet=U0&amp;row=6153&amp;col=6&amp;number=3.9&amp;sourceID=14","3.9")</f>
        <v>3.9</v>
      </c>
      <c r="G6153" s="4" t="str">
        <f>HYPERLINK("http://141.218.60.56/~jnz1568/getInfo.php?workbook=20_05.xlsx&amp;sheet=U0&amp;row=6153&amp;col=7&amp;number=4.62e-05&amp;sourceID=14","4.62e-05")</f>
        <v>4.62e-05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HYPERLINK("http://141.218.60.56/~jnz1568/getInfo.php?workbook=20_05.xlsx&amp;sheet=U0&amp;row=6154&amp;col=6&amp;number=4&amp;sourceID=14","4")</f>
        <v>4</v>
      </c>
      <c r="G6154" s="4" t="str">
        <f>HYPERLINK("http://141.218.60.56/~jnz1568/getInfo.php?workbook=20_05.xlsx&amp;sheet=U0&amp;row=6154&amp;col=7&amp;number=4.62e-05&amp;sourceID=14","4.62e-05")</f>
        <v>4.62e-05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HYPERLINK("http://141.218.60.56/~jnz1568/getInfo.php?workbook=20_05.xlsx&amp;sheet=U0&amp;row=6155&amp;col=6&amp;number=4.1&amp;sourceID=14","4.1")</f>
        <v>4.1</v>
      </c>
      <c r="G6155" s="4" t="str">
        <f>HYPERLINK("http://141.218.60.56/~jnz1568/getInfo.php?workbook=20_05.xlsx&amp;sheet=U0&amp;row=6155&amp;col=7&amp;number=4.62e-05&amp;sourceID=14","4.62e-05")</f>
        <v>4.62e-05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HYPERLINK("http://141.218.60.56/~jnz1568/getInfo.php?workbook=20_05.xlsx&amp;sheet=U0&amp;row=6156&amp;col=6&amp;number=4.2&amp;sourceID=14","4.2")</f>
        <v>4.2</v>
      </c>
      <c r="G6156" s="4" t="str">
        <f>HYPERLINK("http://141.218.60.56/~jnz1568/getInfo.php?workbook=20_05.xlsx&amp;sheet=U0&amp;row=6156&amp;col=7&amp;number=4.61e-05&amp;sourceID=14","4.61e-05")</f>
        <v>4.61e-05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HYPERLINK("http://141.218.60.56/~jnz1568/getInfo.php?workbook=20_05.xlsx&amp;sheet=U0&amp;row=6157&amp;col=6&amp;number=4.3&amp;sourceID=14","4.3")</f>
        <v>4.3</v>
      </c>
      <c r="G6157" s="4" t="str">
        <f>HYPERLINK("http://141.218.60.56/~jnz1568/getInfo.php?workbook=20_05.xlsx&amp;sheet=U0&amp;row=6157&amp;col=7&amp;number=4.61e-05&amp;sourceID=14","4.61e-05")</f>
        <v>4.61e-05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HYPERLINK("http://141.218.60.56/~jnz1568/getInfo.php?workbook=20_05.xlsx&amp;sheet=U0&amp;row=6158&amp;col=6&amp;number=4.4&amp;sourceID=14","4.4")</f>
        <v>4.4</v>
      </c>
      <c r="G6158" s="4" t="str">
        <f>HYPERLINK("http://141.218.60.56/~jnz1568/getInfo.php?workbook=20_05.xlsx&amp;sheet=U0&amp;row=6158&amp;col=7&amp;number=4.6e-05&amp;sourceID=14","4.6e-05")</f>
        <v>4.6e-05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HYPERLINK("http://141.218.60.56/~jnz1568/getInfo.php?workbook=20_05.xlsx&amp;sheet=U0&amp;row=6159&amp;col=6&amp;number=4.5&amp;sourceID=14","4.5")</f>
        <v>4.5</v>
      </c>
      <c r="G6159" s="4" t="str">
        <f>HYPERLINK("http://141.218.60.56/~jnz1568/getInfo.php?workbook=20_05.xlsx&amp;sheet=U0&amp;row=6159&amp;col=7&amp;number=4.6e-05&amp;sourceID=14","4.6e-05")</f>
        <v>4.6e-05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HYPERLINK("http://141.218.60.56/~jnz1568/getInfo.php?workbook=20_05.xlsx&amp;sheet=U0&amp;row=6160&amp;col=6&amp;number=4.6&amp;sourceID=14","4.6")</f>
        <v>4.6</v>
      </c>
      <c r="G6160" s="4" t="str">
        <f>HYPERLINK("http://141.218.60.56/~jnz1568/getInfo.php?workbook=20_05.xlsx&amp;sheet=U0&amp;row=6160&amp;col=7&amp;number=4.59e-05&amp;sourceID=14","4.59e-05")</f>
        <v>4.59e-05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HYPERLINK("http://141.218.60.56/~jnz1568/getInfo.php?workbook=20_05.xlsx&amp;sheet=U0&amp;row=6161&amp;col=6&amp;number=4.7&amp;sourceID=14","4.7")</f>
        <v>4.7</v>
      </c>
      <c r="G6161" s="4" t="str">
        <f>HYPERLINK("http://141.218.60.56/~jnz1568/getInfo.php?workbook=20_05.xlsx&amp;sheet=U0&amp;row=6161&amp;col=7&amp;number=4.58e-05&amp;sourceID=14","4.58e-05")</f>
        <v>4.58e-05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HYPERLINK("http://141.218.60.56/~jnz1568/getInfo.php?workbook=20_05.xlsx&amp;sheet=U0&amp;row=6162&amp;col=6&amp;number=4.8&amp;sourceID=14","4.8")</f>
        <v>4.8</v>
      </c>
      <c r="G6162" s="4" t="str">
        <f>HYPERLINK("http://141.218.60.56/~jnz1568/getInfo.php?workbook=20_05.xlsx&amp;sheet=U0&amp;row=6162&amp;col=7&amp;number=4.56e-05&amp;sourceID=14","4.56e-05")</f>
        <v>4.56e-05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HYPERLINK("http://141.218.60.56/~jnz1568/getInfo.php?workbook=20_05.xlsx&amp;sheet=U0&amp;row=6163&amp;col=6&amp;number=4.9&amp;sourceID=14","4.9")</f>
        <v>4.9</v>
      </c>
      <c r="G6163" s="4" t="str">
        <f>HYPERLINK("http://141.218.60.56/~jnz1568/getInfo.php?workbook=20_05.xlsx&amp;sheet=U0&amp;row=6163&amp;col=7&amp;number=4.54e-05&amp;sourceID=14","4.54e-05")</f>
        <v>4.54e-05</v>
      </c>
    </row>
    <row r="6164" spans="1:7">
      <c r="A6164" s="3">
        <v>20</v>
      </c>
      <c r="B6164" s="3">
        <v>5</v>
      </c>
      <c r="C6164" s="3">
        <v>3</v>
      </c>
      <c r="D6164" s="3">
        <v>50</v>
      </c>
      <c r="E6164" s="3">
        <v>1</v>
      </c>
      <c r="F6164" s="4" t="str">
        <f>HYPERLINK("http://141.218.60.56/~jnz1568/getInfo.php?workbook=20_05.xlsx&amp;sheet=U0&amp;row=6164&amp;col=6&amp;number=3&amp;sourceID=14","3")</f>
        <v>3</v>
      </c>
      <c r="G6164" s="4" t="str">
        <f>HYPERLINK("http://141.218.60.56/~jnz1568/getInfo.php?workbook=20_05.xlsx&amp;sheet=U0&amp;row=6164&amp;col=7&amp;number=1.53e-05&amp;sourceID=14","1.53e-05")</f>
        <v>1.53e-05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HYPERLINK("http://141.218.60.56/~jnz1568/getInfo.php?workbook=20_05.xlsx&amp;sheet=U0&amp;row=6165&amp;col=6&amp;number=3.1&amp;sourceID=14","3.1")</f>
        <v>3.1</v>
      </c>
      <c r="G6165" s="4" t="str">
        <f>HYPERLINK("http://141.218.60.56/~jnz1568/getInfo.php?workbook=20_05.xlsx&amp;sheet=U0&amp;row=6165&amp;col=7&amp;number=1.53e-05&amp;sourceID=14","1.53e-05")</f>
        <v>1.53e-05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HYPERLINK("http://141.218.60.56/~jnz1568/getInfo.php?workbook=20_05.xlsx&amp;sheet=U0&amp;row=6166&amp;col=6&amp;number=3.2&amp;sourceID=14","3.2")</f>
        <v>3.2</v>
      </c>
      <c r="G6166" s="4" t="str">
        <f>HYPERLINK("http://141.218.60.56/~jnz1568/getInfo.php?workbook=20_05.xlsx&amp;sheet=U0&amp;row=6166&amp;col=7&amp;number=1.53e-05&amp;sourceID=14","1.53e-05")</f>
        <v>1.53e-05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HYPERLINK("http://141.218.60.56/~jnz1568/getInfo.php?workbook=20_05.xlsx&amp;sheet=U0&amp;row=6167&amp;col=6&amp;number=3.3&amp;sourceID=14","3.3")</f>
        <v>3.3</v>
      </c>
      <c r="G6167" s="4" t="str">
        <f>HYPERLINK("http://141.218.60.56/~jnz1568/getInfo.php?workbook=20_05.xlsx&amp;sheet=U0&amp;row=6167&amp;col=7&amp;number=1.53e-05&amp;sourceID=14","1.53e-05")</f>
        <v>1.53e-05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HYPERLINK("http://141.218.60.56/~jnz1568/getInfo.php?workbook=20_05.xlsx&amp;sheet=U0&amp;row=6168&amp;col=6&amp;number=3.4&amp;sourceID=14","3.4")</f>
        <v>3.4</v>
      </c>
      <c r="G6168" s="4" t="str">
        <f>HYPERLINK("http://141.218.60.56/~jnz1568/getInfo.php?workbook=20_05.xlsx&amp;sheet=U0&amp;row=6168&amp;col=7&amp;number=1.53e-05&amp;sourceID=14","1.53e-05")</f>
        <v>1.53e-05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HYPERLINK("http://141.218.60.56/~jnz1568/getInfo.php?workbook=20_05.xlsx&amp;sheet=U0&amp;row=6169&amp;col=6&amp;number=3.5&amp;sourceID=14","3.5")</f>
        <v>3.5</v>
      </c>
      <c r="G6169" s="4" t="str">
        <f>HYPERLINK("http://141.218.60.56/~jnz1568/getInfo.php?workbook=20_05.xlsx&amp;sheet=U0&amp;row=6169&amp;col=7&amp;number=1.53e-05&amp;sourceID=14","1.53e-05")</f>
        <v>1.53e-05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HYPERLINK("http://141.218.60.56/~jnz1568/getInfo.php?workbook=20_05.xlsx&amp;sheet=U0&amp;row=6170&amp;col=6&amp;number=3.6&amp;sourceID=14","3.6")</f>
        <v>3.6</v>
      </c>
      <c r="G6170" s="4" t="str">
        <f>HYPERLINK("http://141.218.60.56/~jnz1568/getInfo.php?workbook=20_05.xlsx&amp;sheet=U0&amp;row=6170&amp;col=7&amp;number=1.53e-05&amp;sourceID=14","1.53e-05")</f>
        <v>1.53e-05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HYPERLINK("http://141.218.60.56/~jnz1568/getInfo.php?workbook=20_05.xlsx&amp;sheet=U0&amp;row=6171&amp;col=6&amp;number=3.7&amp;sourceID=14","3.7")</f>
        <v>3.7</v>
      </c>
      <c r="G6171" s="4" t="str">
        <f>HYPERLINK("http://141.218.60.56/~jnz1568/getInfo.php?workbook=20_05.xlsx&amp;sheet=U0&amp;row=6171&amp;col=7&amp;number=1.53e-05&amp;sourceID=14","1.53e-05")</f>
        <v>1.53e-05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HYPERLINK("http://141.218.60.56/~jnz1568/getInfo.php?workbook=20_05.xlsx&amp;sheet=U0&amp;row=6172&amp;col=6&amp;number=3.8&amp;sourceID=14","3.8")</f>
        <v>3.8</v>
      </c>
      <c r="G6172" s="4" t="str">
        <f>HYPERLINK("http://141.218.60.56/~jnz1568/getInfo.php?workbook=20_05.xlsx&amp;sheet=U0&amp;row=6172&amp;col=7&amp;number=1.53e-05&amp;sourceID=14","1.53e-05")</f>
        <v>1.53e-05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HYPERLINK("http://141.218.60.56/~jnz1568/getInfo.php?workbook=20_05.xlsx&amp;sheet=U0&amp;row=6173&amp;col=6&amp;number=3.9&amp;sourceID=14","3.9")</f>
        <v>3.9</v>
      </c>
      <c r="G6173" s="4" t="str">
        <f>HYPERLINK("http://141.218.60.56/~jnz1568/getInfo.php?workbook=20_05.xlsx&amp;sheet=U0&amp;row=6173&amp;col=7&amp;number=1.53e-05&amp;sourceID=14","1.53e-05")</f>
        <v>1.53e-05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HYPERLINK("http://141.218.60.56/~jnz1568/getInfo.php?workbook=20_05.xlsx&amp;sheet=U0&amp;row=6174&amp;col=6&amp;number=4&amp;sourceID=14","4")</f>
        <v>4</v>
      </c>
      <c r="G6174" s="4" t="str">
        <f>HYPERLINK("http://141.218.60.56/~jnz1568/getInfo.php?workbook=20_05.xlsx&amp;sheet=U0&amp;row=6174&amp;col=7&amp;number=1.53e-05&amp;sourceID=14","1.53e-05")</f>
        <v>1.53e-05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HYPERLINK("http://141.218.60.56/~jnz1568/getInfo.php?workbook=20_05.xlsx&amp;sheet=U0&amp;row=6175&amp;col=6&amp;number=4.1&amp;sourceID=14","4.1")</f>
        <v>4.1</v>
      </c>
      <c r="G6175" s="4" t="str">
        <f>HYPERLINK("http://141.218.60.56/~jnz1568/getInfo.php?workbook=20_05.xlsx&amp;sheet=U0&amp;row=6175&amp;col=7&amp;number=1.53e-05&amp;sourceID=14","1.53e-05")</f>
        <v>1.53e-05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HYPERLINK("http://141.218.60.56/~jnz1568/getInfo.php?workbook=20_05.xlsx&amp;sheet=U0&amp;row=6176&amp;col=6&amp;number=4.2&amp;sourceID=14","4.2")</f>
        <v>4.2</v>
      </c>
      <c r="G6176" s="4" t="str">
        <f>HYPERLINK("http://141.218.60.56/~jnz1568/getInfo.php?workbook=20_05.xlsx&amp;sheet=U0&amp;row=6176&amp;col=7&amp;number=1.53e-05&amp;sourceID=14","1.53e-05")</f>
        <v>1.53e-05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HYPERLINK("http://141.218.60.56/~jnz1568/getInfo.php?workbook=20_05.xlsx&amp;sheet=U0&amp;row=6177&amp;col=6&amp;number=4.3&amp;sourceID=14","4.3")</f>
        <v>4.3</v>
      </c>
      <c r="G6177" s="4" t="str">
        <f>HYPERLINK("http://141.218.60.56/~jnz1568/getInfo.php?workbook=20_05.xlsx&amp;sheet=U0&amp;row=6177&amp;col=7&amp;number=1.53e-05&amp;sourceID=14","1.53e-05")</f>
        <v>1.53e-05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HYPERLINK("http://141.218.60.56/~jnz1568/getInfo.php?workbook=20_05.xlsx&amp;sheet=U0&amp;row=6178&amp;col=6&amp;number=4.4&amp;sourceID=14","4.4")</f>
        <v>4.4</v>
      </c>
      <c r="G6178" s="4" t="str">
        <f>HYPERLINK("http://141.218.60.56/~jnz1568/getInfo.php?workbook=20_05.xlsx&amp;sheet=U0&amp;row=6178&amp;col=7&amp;number=1.53e-05&amp;sourceID=14","1.53e-05")</f>
        <v>1.53e-05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HYPERLINK("http://141.218.60.56/~jnz1568/getInfo.php?workbook=20_05.xlsx&amp;sheet=U0&amp;row=6179&amp;col=6&amp;number=4.5&amp;sourceID=14","4.5")</f>
        <v>4.5</v>
      </c>
      <c r="G6179" s="4" t="str">
        <f>HYPERLINK("http://141.218.60.56/~jnz1568/getInfo.php?workbook=20_05.xlsx&amp;sheet=U0&amp;row=6179&amp;col=7&amp;number=1.53e-05&amp;sourceID=14","1.53e-05")</f>
        <v>1.53e-05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HYPERLINK("http://141.218.60.56/~jnz1568/getInfo.php?workbook=20_05.xlsx&amp;sheet=U0&amp;row=6180&amp;col=6&amp;number=4.6&amp;sourceID=14","4.6")</f>
        <v>4.6</v>
      </c>
      <c r="G6180" s="4" t="str">
        <f>HYPERLINK("http://141.218.60.56/~jnz1568/getInfo.php?workbook=20_05.xlsx&amp;sheet=U0&amp;row=6180&amp;col=7&amp;number=1.53e-05&amp;sourceID=14","1.53e-05")</f>
        <v>1.53e-05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HYPERLINK("http://141.218.60.56/~jnz1568/getInfo.php?workbook=20_05.xlsx&amp;sheet=U0&amp;row=6181&amp;col=6&amp;number=4.7&amp;sourceID=14","4.7")</f>
        <v>4.7</v>
      </c>
      <c r="G6181" s="4" t="str">
        <f>HYPERLINK("http://141.218.60.56/~jnz1568/getInfo.php?workbook=20_05.xlsx&amp;sheet=U0&amp;row=6181&amp;col=7&amp;number=1.53e-05&amp;sourceID=14","1.53e-05")</f>
        <v>1.53e-05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HYPERLINK("http://141.218.60.56/~jnz1568/getInfo.php?workbook=20_05.xlsx&amp;sheet=U0&amp;row=6182&amp;col=6&amp;number=4.8&amp;sourceID=14","4.8")</f>
        <v>4.8</v>
      </c>
      <c r="G6182" s="4" t="str">
        <f>HYPERLINK("http://141.218.60.56/~jnz1568/getInfo.php?workbook=20_05.xlsx&amp;sheet=U0&amp;row=6182&amp;col=7&amp;number=1.53e-05&amp;sourceID=14","1.53e-05")</f>
        <v>1.53e-05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HYPERLINK("http://141.218.60.56/~jnz1568/getInfo.php?workbook=20_05.xlsx&amp;sheet=U0&amp;row=6183&amp;col=6&amp;number=4.9&amp;sourceID=14","4.9")</f>
        <v>4.9</v>
      </c>
      <c r="G6183" s="4" t="str">
        <f>HYPERLINK("http://141.218.60.56/~jnz1568/getInfo.php?workbook=20_05.xlsx&amp;sheet=U0&amp;row=6183&amp;col=7&amp;number=1.53e-05&amp;sourceID=14","1.53e-05")</f>
        <v>1.53e-05</v>
      </c>
    </row>
    <row r="6184" spans="1:7">
      <c r="A6184" s="3">
        <v>20</v>
      </c>
      <c r="B6184" s="3">
        <v>5</v>
      </c>
      <c r="C6184" s="3">
        <v>3</v>
      </c>
      <c r="D6184" s="3">
        <v>51</v>
      </c>
      <c r="E6184" s="3">
        <v>1</v>
      </c>
      <c r="F6184" s="4" t="str">
        <f>HYPERLINK("http://141.218.60.56/~jnz1568/getInfo.php?workbook=20_05.xlsx&amp;sheet=U0&amp;row=6184&amp;col=6&amp;number=3&amp;sourceID=14","3")</f>
        <v>3</v>
      </c>
      <c r="G6184" s="4" t="str">
        <f>HYPERLINK("http://141.218.60.56/~jnz1568/getInfo.php?workbook=20_05.xlsx&amp;sheet=U0&amp;row=6184&amp;col=7&amp;number=0.00562&amp;sourceID=14","0.00562")</f>
        <v>0.00562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HYPERLINK("http://141.218.60.56/~jnz1568/getInfo.php?workbook=20_05.xlsx&amp;sheet=U0&amp;row=6185&amp;col=6&amp;number=3.1&amp;sourceID=14","3.1")</f>
        <v>3.1</v>
      </c>
      <c r="G6185" s="4" t="str">
        <f>HYPERLINK("http://141.218.60.56/~jnz1568/getInfo.php?workbook=20_05.xlsx&amp;sheet=U0&amp;row=6185&amp;col=7&amp;number=0.00562&amp;sourceID=14","0.00562")</f>
        <v>0.00562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HYPERLINK("http://141.218.60.56/~jnz1568/getInfo.php?workbook=20_05.xlsx&amp;sheet=U0&amp;row=6186&amp;col=6&amp;number=3.2&amp;sourceID=14","3.2")</f>
        <v>3.2</v>
      </c>
      <c r="G6186" s="4" t="str">
        <f>HYPERLINK("http://141.218.60.56/~jnz1568/getInfo.php?workbook=20_05.xlsx&amp;sheet=U0&amp;row=6186&amp;col=7&amp;number=0.00562&amp;sourceID=14","0.00562")</f>
        <v>0.00562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HYPERLINK("http://141.218.60.56/~jnz1568/getInfo.php?workbook=20_05.xlsx&amp;sheet=U0&amp;row=6187&amp;col=6&amp;number=3.3&amp;sourceID=14","3.3")</f>
        <v>3.3</v>
      </c>
      <c r="G6187" s="4" t="str">
        <f>HYPERLINK("http://141.218.60.56/~jnz1568/getInfo.php?workbook=20_05.xlsx&amp;sheet=U0&amp;row=6187&amp;col=7&amp;number=0.00562&amp;sourceID=14","0.00562")</f>
        <v>0.00562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HYPERLINK("http://141.218.60.56/~jnz1568/getInfo.php?workbook=20_05.xlsx&amp;sheet=U0&amp;row=6188&amp;col=6&amp;number=3.4&amp;sourceID=14","3.4")</f>
        <v>3.4</v>
      </c>
      <c r="G6188" s="4" t="str">
        <f>HYPERLINK("http://141.218.60.56/~jnz1568/getInfo.php?workbook=20_05.xlsx&amp;sheet=U0&amp;row=6188&amp;col=7&amp;number=0.00562&amp;sourceID=14","0.00562")</f>
        <v>0.00562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HYPERLINK("http://141.218.60.56/~jnz1568/getInfo.php?workbook=20_05.xlsx&amp;sheet=U0&amp;row=6189&amp;col=6&amp;number=3.5&amp;sourceID=14","3.5")</f>
        <v>3.5</v>
      </c>
      <c r="G6189" s="4" t="str">
        <f>HYPERLINK("http://141.218.60.56/~jnz1568/getInfo.php?workbook=20_05.xlsx&amp;sheet=U0&amp;row=6189&amp;col=7&amp;number=0.00562&amp;sourceID=14","0.00562")</f>
        <v>0.00562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HYPERLINK("http://141.218.60.56/~jnz1568/getInfo.php?workbook=20_05.xlsx&amp;sheet=U0&amp;row=6190&amp;col=6&amp;number=3.6&amp;sourceID=14","3.6")</f>
        <v>3.6</v>
      </c>
      <c r="G6190" s="4" t="str">
        <f>HYPERLINK("http://141.218.60.56/~jnz1568/getInfo.php?workbook=20_05.xlsx&amp;sheet=U0&amp;row=6190&amp;col=7&amp;number=0.00562&amp;sourceID=14","0.00562")</f>
        <v>0.00562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HYPERLINK("http://141.218.60.56/~jnz1568/getInfo.php?workbook=20_05.xlsx&amp;sheet=U0&amp;row=6191&amp;col=6&amp;number=3.7&amp;sourceID=14","3.7")</f>
        <v>3.7</v>
      </c>
      <c r="G6191" s="4" t="str">
        <f>HYPERLINK("http://141.218.60.56/~jnz1568/getInfo.php?workbook=20_05.xlsx&amp;sheet=U0&amp;row=6191&amp;col=7&amp;number=0.00562&amp;sourceID=14","0.00562")</f>
        <v>0.00562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HYPERLINK("http://141.218.60.56/~jnz1568/getInfo.php?workbook=20_05.xlsx&amp;sheet=U0&amp;row=6192&amp;col=6&amp;number=3.8&amp;sourceID=14","3.8")</f>
        <v>3.8</v>
      </c>
      <c r="G6192" s="4" t="str">
        <f>HYPERLINK("http://141.218.60.56/~jnz1568/getInfo.php?workbook=20_05.xlsx&amp;sheet=U0&amp;row=6192&amp;col=7&amp;number=0.00562&amp;sourceID=14","0.00562")</f>
        <v>0.00562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HYPERLINK("http://141.218.60.56/~jnz1568/getInfo.php?workbook=20_05.xlsx&amp;sheet=U0&amp;row=6193&amp;col=6&amp;number=3.9&amp;sourceID=14","3.9")</f>
        <v>3.9</v>
      </c>
      <c r="G6193" s="4" t="str">
        <f>HYPERLINK("http://141.218.60.56/~jnz1568/getInfo.php?workbook=20_05.xlsx&amp;sheet=U0&amp;row=6193&amp;col=7&amp;number=0.00562&amp;sourceID=14","0.00562")</f>
        <v>0.00562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HYPERLINK("http://141.218.60.56/~jnz1568/getInfo.php?workbook=20_05.xlsx&amp;sheet=U0&amp;row=6194&amp;col=6&amp;number=4&amp;sourceID=14","4")</f>
        <v>4</v>
      </c>
      <c r="G6194" s="4" t="str">
        <f>HYPERLINK("http://141.218.60.56/~jnz1568/getInfo.php?workbook=20_05.xlsx&amp;sheet=U0&amp;row=6194&amp;col=7&amp;number=0.00562&amp;sourceID=14","0.00562")</f>
        <v>0.00562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HYPERLINK("http://141.218.60.56/~jnz1568/getInfo.php?workbook=20_05.xlsx&amp;sheet=U0&amp;row=6195&amp;col=6&amp;number=4.1&amp;sourceID=14","4.1")</f>
        <v>4.1</v>
      </c>
      <c r="G6195" s="4" t="str">
        <f>HYPERLINK("http://141.218.60.56/~jnz1568/getInfo.php?workbook=20_05.xlsx&amp;sheet=U0&amp;row=6195&amp;col=7&amp;number=0.00562&amp;sourceID=14","0.00562")</f>
        <v>0.00562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HYPERLINK("http://141.218.60.56/~jnz1568/getInfo.php?workbook=20_05.xlsx&amp;sheet=U0&amp;row=6196&amp;col=6&amp;number=4.2&amp;sourceID=14","4.2")</f>
        <v>4.2</v>
      </c>
      <c r="G6196" s="4" t="str">
        <f>HYPERLINK("http://141.218.60.56/~jnz1568/getInfo.php?workbook=20_05.xlsx&amp;sheet=U0&amp;row=6196&amp;col=7&amp;number=0.00562&amp;sourceID=14","0.00562")</f>
        <v>0.00562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HYPERLINK("http://141.218.60.56/~jnz1568/getInfo.php?workbook=20_05.xlsx&amp;sheet=U0&amp;row=6197&amp;col=6&amp;number=4.3&amp;sourceID=14","4.3")</f>
        <v>4.3</v>
      </c>
      <c r="G6197" s="4" t="str">
        <f>HYPERLINK("http://141.218.60.56/~jnz1568/getInfo.php?workbook=20_05.xlsx&amp;sheet=U0&amp;row=6197&amp;col=7&amp;number=0.00562&amp;sourceID=14","0.00562")</f>
        <v>0.00562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HYPERLINK("http://141.218.60.56/~jnz1568/getInfo.php?workbook=20_05.xlsx&amp;sheet=U0&amp;row=6198&amp;col=6&amp;number=4.4&amp;sourceID=14","4.4")</f>
        <v>4.4</v>
      </c>
      <c r="G6198" s="4" t="str">
        <f>HYPERLINK("http://141.218.60.56/~jnz1568/getInfo.php?workbook=20_05.xlsx&amp;sheet=U0&amp;row=6198&amp;col=7&amp;number=0.00562&amp;sourceID=14","0.00562")</f>
        <v>0.00562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HYPERLINK("http://141.218.60.56/~jnz1568/getInfo.php?workbook=20_05.xlsx&amp;sheet=U0&amp;row=6199&amp;col=6&amp;number=4.5&amp;sourceID=14","4.5")</f>
        <v>4.5</v>
      </c>
      <c r="G6199" s="4" t="str">
        <f>HYPERLINK("http://141.218.60.56/~jnz1568/getInfo.php?workbook=20_05.xlsx&amp;sheet=U0&amp;row=6199&amp;col=7&amp;number=0.00562&amp;sourceID=14","0.00562")</f>
        <v>0.00562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HYPERLINK("http://141.218.60.56/~jnz1568/getInfo.php?workbook=20_05.xlsx&amp;sheet=U0&amp;row=6200&amp;col=6&amp;number=4.6&amp;sourceID=14","4.6")</f>
        <v>4.6</v>
      </c>
      <c r="G6200" s="4" t="str">
        <f>HYPERLINK("http://141.218.60.56/~jnz1568/getInfo.php?workbook=20_05.xlsx&amp;sheet=U0&amp;row=6200&amp;col=7&amp;number=0.00562&amp;sourceID=14","0.00562")</f>
        <v>0.00562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HYPERLINK("http://141.218.60.56/~jnz1568/getInfo.php?workbook=20_05.xlsx&amp;sheet=U0&amp;row=6201&amp;col=6&amp;number=4.7&amp;sourceID=14","4.7")</f>
        <v>4.7</v>
      </c>
      <c r="G6201" s="4" t="str">
        <f>HYPERLINK("http://141.218.60.56/~jnz1568/getInfo.php?workbook=20_05.xlsx&amp;sheet=U0&amp;row=6201&amp;col=7&amp;number=0.00562&amp;sourceID=14","0.00562")</f>
        <v>0.00562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HYPERLINK("http://141.218.60.56/~jnz1568/getInfo.php?workbook=20_05.xlsx&amp;sheet=U0&amp;row=6202&amp;col=6&amp;number=4.8&amp;sourceID=14","4.8")</f>
        <v>4.8</v>
      </c>
      <c r="G6202" s="4" t="str">
        <f>HYPERLINK("http://141.218.60.56/~jnz1568/getInfo.php?workbook=20_05.xlsx&amp;sheet=U0&amp;row=6202&amp;col=7&amp;number=0.00562&amp;sourceID=14","0.00562")</f>
        <v>0.00562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HYPERLINK("http://141.218.60.56/~jnz1568/getInfo.php?workbook=20_05.xlsx&amp;sheet=U0&amp;row=6203&amp;col=6&amp;number=4.9&amp;sourceID=14","4.9")</f>
        <v>4.9</v>
      </c>
      <c r="G6203" s="4" t="str">
        <f>HYPERLINK("http://141.218.60.56/~jnz1568/getInfo.php?workbook=20_05.xlsx&amp;sheet=U0&amp;row=6203&amp;col=7&amp;number=0.00562&amp;sourceID=14","0.00562")</f>
        <v>0.00562</v>
      </c>
    </row>
    <row r="6204" spans="1:7">
      <c r="A6204" s="3">
        <v>20</v>
      </c>
      <c r="B6204" s="3">
        <v>5</v>
      </c>
      <c r="C6204" s="3">
        <v>3</v>
      </c>
      <c r="D6204" s="3">
        <v>52</v>
      </c>
      <c r="E6204" s="3">
        <v>1</v>
      </c>
      <c r="F6204" s="4" t="str">
        <f>HYPERLINK("http://141.218.60.56/~jnz1568/getInfo.php?workbook=20_05.xlsx&amp;sheet=U0&amp;row=6204&amp;col=6&amp;number=3&amp;sourceID=14","3")</f>
        <v>3</v>
      </c>
      <c r="G6204" s="4" t="str">
        <f>HYPERLINK("http://141.218.60.56/~jnz1568/getInfo.php?workbook=20_05.xlsx&amp;sheet=U0&amp;row=6204&amp;col=7&amp;number=0.00189&amp;sourceID=14","0.00189")</f>
        <v>0.00189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HYPERLINK("http://141.218.60.56/~jnz1568/getInfo.php?workbook=20_05.xlsx&amp;sheet=U0&amp;row=6205&amp;col=6&amp;number=3.1&amp;sourceID=14","3.1")</f>
        <v>3.1</v>
      </c>
      <c r="G6205" s="4" t="str">
        <f>HYPERLINK("http://141.218.60.56/~jnz1568/getInfo.php?workbook=20_05.xlsx&amp;sheet=U0&amp;row=6205&amp;col=7&amp;number=0.00189&amp;sourceID=14","0.00189")</f>
        <v>0.00189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HYPERLINK("http://141.218.60.56/~jnz1568/getInfo.php?workbook=20_05.xlsx&amp;sheet=U0&amp;row=6206&amp;col=6&amp;number=3.2&amp;sourceID=14","3.2")</f>
        <v>3.2</v>
      </c>
      <c r="G6206" s="4" t="str">
        <f>HYPERLINK("http://141.218.60.56/~jnz1568/getInfo.php?workbook=20_05.xlsx&amp;sheet=U0&amp;row=6206&amp;col=7&amp;number=0.00189&amp;sourceID=14","0.00189")</f>
        <v>0.00189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HYPERLINK("http://141.218.60.56/~jnz1568/getInfo.php?workbook=20_05.xlsx&amp;sheet=U0&amp;row=6207&amp;col=6&amp;number=3.3&amp;sourceID=14","3.3")</f>
        <v>3.3</v>
      </c>
      <c r="G6207" s="4" t="str">
        <f>HYPERLINK("http://141.218.60.56/~jnz1568/getInfo.php?workbook=20_05.xlsx&amp;sheet=U0&amp;row=6207&amp;col=7&amp;number=0.00189&amp;sourceID=14","0.00189")</f>
        <v>0.00189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HYPERLINK("http://141.218.60.56/~jnz1568/getInfo.php?workbook=20_05.xlsx&amp;sheet=U0&amp;row=6208&amp;col=6&amp;number=3.4&amp;sourceID=14","3.4")</f>
        <v>3.4</v>
      </c>
      <c r="G6208" s="4" t="str">
        <f>HYPERLINK("http://141.218.60.56/~jnz1568/getInfo.php?workbook=20_05.xlsx&amp;sheet=U0&amp;row=6208&amp;col=7&amp;number=0.00189&amp;sourceID=14","0.00189")</f>
        <v>0.00189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HYPERLINK("http://141.218.60.56/~jnz1568/getInfo.php?workbook=20_05.xlsx&amp;sheet=U0&amp;row=6209&amp;col=6&amp;number=3.5&amp;sourceID=14","3.5")</f>
        <v>3.5</v>
      </c>
      <c r="G6209" s="4" t="str">
        <f>HYPERLINK("http://141.218.60.56/~jnz1568/getInfo.php?workbook=20_05.xlsx&amp;sheet=U0&amp;row=6209&amp;col=7&amp;number=0.00189&amp;sourceID=14","0.00189")</f>
        <v>0.00189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HYPERLINK("http://141.218.60.56/~jnz1568/getInfo.php?workbook=20_05.xlsx&amp;sheet=U0&amp;row=6210&amp;col=6&amp;number=3.6&amp;sourceID=14","3.6")</f>
        <v>3.6</v>
      </c>
      <c r="G6210" s="4" t="str">
        <f>HYPERLINK("http://141.218.60.56/~jnz1568/getInfo.php?workbook=20_05.xlsx&amp;sheet=U0&amp;row=6210&amp;col=7&amp;number=0.00189&amp;sourceID=14","0.00189")</f>
        <v>0.00189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HYPERLINK("http://141.218.60.56/~jnz1568/getInfo.php?workbook=20_05.xlsx&amp;sheet=U0&amp;row=6211&amp;col=6&amp;number=3.7&amp;sourceID=14","3.7")</f>
        <v>3.7</v>
      </c>
      <c r="G6211" s="4" t="str">
        <f>HYPERLINK("http://141.218.60.56/~jnz1568/getInfo.php?workbook=20_05.xlsx&amp;sheet=U0&amp;row=6211&amp;col=7&amp;number=0.00189&amp;sourceID=14","0.00189")</f>
        <v>0.00189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HYPERLINK("http://141.218.60.56/~jnz1568/getInfo.php?workbook=20_05.xlsx&amp;sheet=U0&amp;row=6212&amp;col=6&amp;number=3.8&amp;sourceID=14","3.8")</f>
        <v>3.8</v>
      </c>
      <c r="G6212" s="4" t="str">
        <f>HYPERLINK("http://141.218.60.56/~jnz1568/getInfo.php?workbook=20_05.xlsx&amp;sheet=U0&amp;row=6212&amp;col=7&amp;number=0.00189&amp;sourceID=14","0.00189")</f>
        <v>0.00189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HYPERLINK("http://141.218.60.56/~jnz1568/getInfo.php?workbook=20_05.xlsx&amp;sheet=U0&amp;row=6213&amp;col=6&amp;number=3.9&amp;sourceID=14","3.9")</f>
        <v>3.9</v>
      </c>
      <c r="G6213" s="4" t="str">
        <f>HYPERLINK("http://141.218.60.56/~jnz1568/getInfo.php?workbook=20_05.xlsx&amp;sheet=U0&amp;row=6213&amp;col=7&amp;number=0.00189&amp;sourceID=14","0.00189")</f>
        <v>0.00189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HYPERLINK("http://141.218.60.56/~jnz1568/getInfo.php?workbook=20_05.xlsx&amp;sheet=U0&amp;row=6214&amp;col=6&amp;number=4&amp;sourceID=14","4")</f>
        <v>4</v>
      </c>
      <c r="G6214" s="4" t="str">
        <f>HYPERLINK("http://141.218.60.56/~jnz1568/getInfo.php?workbook=20_05.xlsx&amp;sheet=U0&amp;row=6214&amp;col=7&amp;number=0.00189&amp;sourceID=14","0.00189")</f>
        <v>0.00189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HYPERLINK("http://141.218.60.56/~jnz1568/getInfo.php?workbook=20_05.xlsx&amp;sheet=U0&amp;row=6215&amp;col=6&amp;number=4.1&amp;sourceID=14","4.1")</f>
        <v>4.1</v>
      </c>
      <c r="G6215" s="4" t="str">
        <f>HYPERLINK("http://141.218.60.56/~jnz1568/getInfo.php?workbook=20_05.xlsx&amp;sheet=U0&amp;row=6215&amp;col=7&amp;number=0.00189&amp;sourceID=14","0.00189")</f>
        <v>0.00189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HYPERLINK("http://141.218.60.56/~jnz1568/getInfo.php?workbook=20_05.xlsx&amp;sheet=U0&amp;row=6216&amp;col=6&amp;number=4.2&amp;sourceID=14","4.2")</f>
        <v>4.2</v>
      </c>
      <c r="G6216" s="4" t="str">
        <f>HYPERLINK("http://141.218.60.56/~jnz1568/getInfo.php?workbook=20_05.xlsx&amp;sheet=U0&amp;row=6216&amp;col=7&amp;number=0.00189&amp;sourceID=14","0.00189")</f>
        <v>0.00189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HYPERLINK("http://141.218.60.56/~jnz1568/getInfo.php?workbook=20_05.xlsx&amp;sheet=U0&amp;row=6217&amp;col=6&amp;number=4.3&amp;sourceID=14","4.3")</f>
        <v>4.3</v>
      </c>
      <c r="G6217" s="4" t="str">
        <f>HYPERLINK("http://141.218.60.56/~jnz1568/getInfo.php?workbook=20_05.xlsx&amp;sheet=U0&amp;row=6217&amp;col=7&amp;number=0.00189&amp;sourceID=14","0.00189")</f>
        <v>0.00189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HYPERLINK("http://141.218.60.56/~jnz1568/getInfo.php?workbook=20_05.xlsx&amp;sheet=U0&amp;row=6218&amp;col=6&amp;number=4.4&amp;sourceID=14","4.4")</f>
        <v>4.4</v>
      </c>
      <c r="G6218" s="4" t="str">
        <f>HYPERLINK("http://141.218.60.56/~jnz1568/getInfo.php?workbook=20_05.xlsx&amp;sheet=U0&amp;row=6218&amp;col=7&amp;number=0.00189&amp;sourceID=14","0.00189")</f>
        <v>0.00189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HYPERLINK("http://141.218.60.56/~jnz1568/getInfo.php?workbook=20_05.xlsx&amp;sheet=U0&amp;row=6219&amp;col=6&amp;number=4.5&amp;sourceID=14","4.5")</f>
        <v>4.5</v>
      </c>
      <c r="G6219" s="4" t="str">
        <f>HYPERLINK("http://141.218.60.56/~jnz1568/getInfo.php?workbook=20_05.xlsx&amp;sheet=U0&amp;row=6219&amp;col=7&amp;number=0.00189&amp;sourceID=14","0.00189")</f>
        <v>0.00189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HYPERLINK("http://141.218.60.56/~jnz1568/getInfo.php?workbook=20_05.xlsx&amp;sheet=U0&amp;row=6220&amp;col=6&amp;number=4.6&amp;sourceID=14","4.6")</f>
        <v>4.6</v>
      </c>
      <c r="G6220" s="4" t="str">
        <f>HYPERLINK("http://141.218.60.56/~jnz1568/getInfo.php?workbook=20_05.xlsx&amp;sheet=U0&amp;row=6220&amp;col=7&amp;number=0.00188&amp;sourceID=14","0.00188")</f>
        <v>0.00188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HYPERLINK("http://141.218.60.56/~jnz1568/getInfo.php?workbook=20_05.xlsx&amp;sheet=U0&amp;row=6221&amp;col=6&amp;number=4.7&amp;sourceID=14","4.7")</f>
        <v>4.7</v>
      </c>
      <c r="G6221" s="4" t="str">
        <f>HYPERLINK("http://141.218.60.56/~jnz1568/getInfo.php?workbook=20_05.xlsx&amp;sheet=U0&amp;row=6221&amp;col=7&amp;number=0.00188&amp;sourceID=14","0.00188")</f>
        <v>0.00188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HYPERLINK("http://141.218.60.56/~jnz1568/getInfo.php?workbook=20_05.xlsx&amp;sheet=U0&amp;row=6222&amp;col=6&amp;number=4.8&amp;sourceID=14","4.8")</f>
        <v>4.8</v>
      </c>
      <c r="G6222" s="4" t="str">
        <f>HYPERLINK("http://141.218.60.56/~jnz1568/getInfo.php?workbook=20_05.xlsx&amp;sheet=U0&amp;row=6222&amp;col=7&amp;number=0.00188&amp;sourceID=14","0.00188")</f>
        <v>0.00188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HYPERLINK("http://141.218.60.56/~jnz1568/getInfo.php?workbook=20_05.xlsx&amp;sheet=U0&amp;row=6223&amp;col=6&amp;number=4.9&amp;sourceID=14","4.9")</f>
        <v>4.9</v>
      </c>
      <c r="G6223" s="4" t="str">
        <f>HYPERLINK("http://141.218.60.56/~jnz1568/getInfo.php?workbook=20_05.xlsx&amp;sheet=U0&amp;row=6223&amp;col=7&amp;number=0.00188&amp;sourceID=14","0.00188")</f>
        <v>0.00188</v>
      </c>
    </row>
    <row r="6224" spans="1:7">
      <c r="A6224" s="3">
        <v>20</v>
      </c>
      <c r="B6224" s="3">
        <v>5</v>
      </c>
      <c r="C6224" s="3">
        <v>3</v>
      </c>
      <c r="D6224" s="3">
        <v>53</v>
      </c>
      <c r="E6224" s="3">
        <v>1</v>
      </c>
      <c r="F6224" s="4" t="str">
        <f>HYPERLINK("http://141.218.60.56/~jnz1568/getInfo.php?workbook=20_05.xlsx&amp;sheet=U0&amp;row=6224&amp;col=6&amp;number=3&amp;sourceID=14","3")</f>
        <v>3</v>
      </c>
      <c r="G6224" s="4" t="str">
        <f>HYPERLINK("http://141.218.60.56/~jnz1568/getInfo.php?workbook=20_05.xlsx&amp;sheet=U0&amp;row=6224&amp;col=7&amp;number=0.000788&amp;sourceID=14","0.000788")</f>
        <v>0.000788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HYPERLINK("http://141.218.60.56/~jnz1568/getInfo.php?workbook=20_05.xlsx&amp;sheet=U0&amp;row=6225&amp;col=6&amp;number=3.1&amp;sourceID=14","3.1")</f>
        <v>3.1</v>
      </c>
      <c r="G6225" s="4" t="str">
        <f>HYPERLINK("http://141.218.60.56/~jnz1568/getInfo.php?workbook=20_05.xlsx&amp;sheet=U0&amp;row=6225&amp;col=7&amp;number=0.000787&amp;sourceID=14","0.000787")</f>
        <v>0.000787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HYPERLINK("http://141.218.60.56/~jnz1568/getInfo.php?workbook=20_05.xlsx&amp;sheet=U0&amp;row=6226&amp;col=6&amp;number=3.2&amp;sourceID=14","3.2")</f>
        <v>3.2</v>
      </c>
      <c r="G6226" s="4" t="str">
        <f>HYPERLINK("http://141.218.60.56/~jnz1568/getInfo.php?workbook=20_05.xlsx&amp;sheet=U0&amp;row=6226&amp;col=7&amp;number=0.000787&amp;sourceID=14","0.000787")</f>
        <v>0.000787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HYPERLINK("http://141.218.60.56/~jnz1568/getInfo.php?workbook=20_05.xlsx&amp;sheet=U0&amp;row=6227&amp;col=6&amp;number=3.3&amp;sourceID=14","3.3")</f>
        <v>3.3</v>
      </c>
      <c r="G6227" s="4" t="str">
        <f>HYPERLINK("http://141.218.60.56/~jnz1568/getInfo.php?workbook=20_05.xlsx&amp;sheet=U0&amp;row=6227&amp;col=7&amp;number=0.000787&amp;sourceID=14","0.000787")</f>
        <v>0.000787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HYPERLINK("http://141.218.60.56/~jnz1568/getInfo.php?workbook=20_05.xlsx&amp;sheet=U0&amp;row=6228&amp;col=6&amp;number=3.4&amp;sourceID=14","3.4")</f>
        <v>3.4</v>
      </c>
      <c r="G6228" s="4" t="str">
        <f>HYPERLINK("http://141.218.60.56/~jnz1568/getInfo.php?workbook=20_05.xlsx&amp;sheet=U0&amp;row=6228&amp;col=7&amp;number=0.000787&amp;sourceID=14","0.000787")</f>
        <v>0.000787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HYPERLINK("http://141.218.60.56/~jnz1568/getInfo.php?workbook=20_05.xlsx&amp;sheet=U0&amp;row=6229&amp;col=6&amp;number=3.5&amp;sourceID=14","3.5")</f>
        <v>3.5</v>
      </c>
      <c r="G6229" s="4" t="str">
        <f>HYPERLINK("http://141.218.60.56/~jnz1568/getInfo.php?workbook=20_05.xlsx&amp;sheet=U0&amp;row=6229&amp;col=7&amp;number=0.000787&amp;sourceID=14","0.000787")</f>
        <v>0.000787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HYPERLINK("http://141.218.60.56/~jnz1568/getInfo.php?workbook=20_05.xlsx&amp;sheet=U0&amp;row=6230&amp;col=6&amp;number=3.6&amp;sourceID=14","3.6")</f>
        <v>3.6</v>
      </c>
      <c r="G6230" s="4" t="str">
        <f>HYPERLINK("http://141.218.60.56/~jnz1568/getInfo.php?workbook=20_05.xlsx&amp;sheet=U0&amp;row=6230&amp;col=7&amp;number=0.000787&amp;sourceID=14","0.000787")</f>
        <v>0.000787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HYPERLINK("http://141.218.60.56/~jnz1568/getInfo.php?workbook=20_05.xlsx&amp;sheet=U0&amp;row=6231&amp;col=6&amp;number=3.7&amp;sourceID=14","3.7")</f>
        <v>3.7</v>
      </c>
      <c r="G6231" s="4" t="str">
        <f>HYPERLINK("http://141.218.60.56/~jnz1568/getInfo.php?workbook=20_05.xlsx&amp;sheet=U0&amp;row=6231&amp;col=7&amp;number=0.000787&amp;sourceID=14","0.000787")</f>
        <v>0.000787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HYPERLINK("http://141.218.60.56/~jnz1568/getInfo.php?workbook=20_05.xlsx&amp;sheet=U0&amp;row=6232&amp;col=6&amp;number=3.8&amp;sourceID=14","3.8")</f>
        <v>3.8</v>
      </c>
      <c r="G6232" s="4" t="str">
        <f>HYPERLINK("http://141.218.60.56/~jnz1568/getInfo.php?workbook=20_05.xlsx&amp;sheet=U0&amp;row=6232&amp;col=7&amp;number=0.000787&amp;sourceID=14","0.000787")</f>
        <v>0.000787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HYPERLINK("http://141.218.60.56/~jnz1568/getInfo.php?workbook=20_05.xlsx&amp;sheet=U0&amp;row=6233&amp;col=6&amp;number=3.9&amp;sourceID=14","3.9")</f>
        <v>3.9</v>
      </c>
      <c r="G6233" s="4" t="str">
        <f>HYPERLINK("http://141.218.60.56/~jnz1568/getInfo.php?workbook=20_05.xlsx&amp;sheet=U0&amp;row=6233&amp;col=7&amp;number=0.000786&amp;sourceID=14","0.000786")</f>
        <v>0.000786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HYPERLINK("http://141.218.60.56/~jnz1568/getInfo.php?workbook=20_05.xlsx&amp;sheet=U0&amp;row=6234&amp;col=6&amp;number=4&amp;sourceID=14","4")</f>
        <v>4</v>
      </c>
      <c r="G6234" s="4" t="str">
        <f>HYPERLINK("http://141.218.60.56/~jnz1568/getInfo.php?workbook=20_05.xlsx&amp;sheet=U0&amp;row=6234&amp;col=7&amp;number=0.000786&amp;sourceID=14","0.000786")</f>
        <v>0.000786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HYPERLINK("http://141.218.60.56/~jnz1568/getInfo.php?workbook=20_05.xlsx&amp;sheet=U0&amp;row=6235&amp;col=6&amp;number=4.1&amp;sourceID=14","4.1")</f>
        <v>4.1</v>
      </c>
      <c r="G6235" s="4" t="str">
        <f>HYPERLINK("http://141.218.60.56/~jnz1568/getInfo.php?workbook=20_05.xlsx&amp;sheet=U0&amp;row=6235&amp;col=7&amp;number=0.000785&amp;sourceID=14","0.000785")</f>
        <v>0.000785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HYPERLINK("http://141.218.60.56/~jnz1568/getInfo.php?workbook=20_05.xlsx&amp;sheet=U0&amp;row=6236&amp;col=6&amp;number=4.2&amp;sourceID=14","4.2")</f>
        <v>4.2</v>
      </c>
      <c r="G6236" s="4" t="str">
        <f>HYPERLINK("http://141.218.60.56/~jnz1568/getInfo.php?workbook=20_05.xlsx&amp;sheet=U0&amp;row=6236&amp;col=7&amp;number=0.000785&amp;sourceID=14","0.000785")</f>
        <v>0.000785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HYPERLINK("http://141.218.60.56/~jnz1568/getInfo.php?workbook=20_05.xlsx&amp;sheet=U0&amp;row=6237&amp;col=6&amp;number=4.3&amp;sourceID=14","4.3")</f>
        <v>4.3</v>
      </c>
      <c r="G6237" s="4" t="str">
        <f>HYPERLINK("http://141.218.60.56/~jnz1568/getInfo.php?workbook=20_05.xlsx&amp;sheet=U0&amp;row=6237&amp;col=7&amp;number=0.000784&amp;sourceID=14","0.000784")</f>
        <v>0.000784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HYPERLINK("http://141.218.60.56/~jnz1568/getInfo.php?workbook=20_05.xlsx&amp;sheet=U0&amp;row=6238&amp;col=6&amp;number=4.4&amp;sourceID=14","4.4")</f>
        <v>4.4</v>
      </c>
      <c r="G6238" s="4" t="str">
        <f>HYPERLINK("http://141.218.60.56/~jnz1568/getInfo.php?workbook=20_05.xlsx&amp;sheet=U0&amp;row=6238&amp;col=7&amp;number=0.000783&amp;sourceID=14","0.000783")</f>
        <v>0.000783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HYPERLINK("http://141.218.60.56/~jnz1568/getInfo.php?workbook=20_05.xlsx&amp;sheet=U0&amp;row=6239&amp;col=6&amp;number=4.5&amp;sourceID=14","4.5")</f>
        <v>4.5</v>
      </c>
      <c r="G6239" s="4" t="str">
        <f>HYPERLINK("http://141.218.60.56/~jnz1568/getInfo.php?workbook=20_05.xlsx&amp;sheet=U0&amp;row=6239&amp;col=7&amp;number=0.000782&amp;sourceID=14","0.000782")</f>
        <v>0.000782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HYPERLINK("http://141.218.60.56/~jnz1568/getInfo.php?workbook=20_05.xlsx&amp;sheet=U0&amp;row=6240&amp;col=6&amp;number=4.6&amp;sourceID=14","4.6")</f>
        <v>4.6</v>
      </c>
      <c r="G6240" s="4" t="str">
        <f>HYPERLINK("http://141.218.60.56/~jnz1568/getInfo.php?workbook=20_05.xlsx&amp;sheet=U0&amp;row=6240&amp;col=7&amp;number=0.00078&amp;sourceID=14","0.00078")</f>
        <v>0.00078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HYPERLINK("http://141.218.60.56/~jnz1568/getInfo.php?workbook=20_05.xlsx&amp;sheet=U0&amp;row=6241&amp;col=6&amp;number=4.7&amp;sourceID=14","4.7")</f>
        <v>4.7</v>
      </c>
      <c r="G6241" s="4" t="str">
        <f>HYPERLINK("http://141.218.60.56/~jnz1568/getInfo.php?workbook=20_05.xlsx&amp;sheet=U0&amp;row=6241&amp;col=7&amp;number=0.000778&amp;sourceID=14","0.000778")</f>
        <v>0.000778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HYPERLINK("http://141.218.60.56/~jnz1568/getInfo.php?workbook=20_05.xlsx&amp;sheet=U0&amp;row=6242&amp;col=6&amp;number=4.8&amp;sourceID=14","4.8")</f>
        <v>4.8</v>
      </c>
      <c r="G6242" s="4" t="str">
        <f>HYPERLINK("http://141.218.60.56/~jnz1568/getInfo.php?workbook=20_05.xlsx&amp;sheet=U0&amp;row=6242&amp;col=7&amp;number=0.000776&amp;sourceID=14","0.000776")</f>
        <v>0.000776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HYPERLINK("http://141.218.60.56/~jnz1568/getInfo.php?workbook=20_05.xlsx&amp;sheet=U0&amp;row=6243&amp;col=6&amp;number=4.9&amp;sourceID=14","4.9")</f>
        <v>4.9</v>
      </c>
      <c r="G6243" s="4" t="str">
        <f>HYPERLINK("http://141.218.60.56/~jnz1568/getInfo.php?workbook=20_05.xlsx&amp;sheet=U0&amp;row=6243&amp;col=7&amp;number=0.000773&amp;sourceID=14","0.000773")</f>
        <v>0.000773</v>
      </c>
    </row>
    <row r="6244" spans="1:7">
      <c r="A6244" s="3">
        <v>20</v>
      </c>
      <c r="B6244" s="3">
        <v>5</v>
      </c>
      <c r="C6244" s="3">
        <v>3</v>
      </c>
      <c r="D6244" s="3">
        <v>54</v>
      </c>
      <c r="E6244" s="3">
        <v>1</v>
      </c>
      <c r="F6244" s="4" t="str">
        <f>HYPERLINK("http://141.218.60.56/~jnz1568/getInfo.php?workbook=20_05.xlsx&amp;sheet=U0&amp;row=6244&amp;col=6&amp;number=3&amp;sourceID=14","3")</f>
        <v>3</v>
      </c>
      <c r="G6244" s="4" t="str">
        <f>HYPERLINK("http://141.218.60.56/~jnz1568/getInfo.php?workbook=20_05.xlsx&amp;sheet=U0&amp;row=6244&amp;col=7&amp;number=1.8e-05&amp;sourceID=14","1.8e-05")</f>
        <v>1.8e-05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HYPERLINK("http://141.218.60.56/~jnz1568/getInfo.php?workbook=20_05.xlsx&amp;sheet=U0&amp;row=6245&amp;col=6&amp;number=3.1&amp;sourceID=14","3.1")</f>
        <v>3.1</v>
      </c>
      <c r="G6245" s="4" t="str">
        <f>HYPERLINK("http://141.218.60.56/~jnz1568/getInfo.php?workbook=20_05.xlsx&amp;sheet=U0&amp;row=6245&amp;col=7&amp;number=1.8e-05&amp;sourceID=14","1.8e-05")</f>
        <v>1.8e-05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HYPERLINK("http://141.218.60.56/~jnz1568/getInfo.php?workbook=20_05.xlsx&amp;sheet=U0&amp;row=6246&amp;col=6&amp;number=3.2&amp;sourceID=14","3.2")</f>
        <v>3.2</v>
      </c>
      <c r="G6246" s="4" t="str">
        <f>HYPERLINK("http://141.218.60.56/~jnz1568/getInfo.php?workbook=20_05.xlsx&amp;sheet=U0&amp;row=6246&amp;col=7&amp;number=1.8e-05&amp;sourceID=14","1.8e-05")</f>
        <v>1.8e-05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HYPERLINK("http://141.218.60.56/~jnz1568/getInfo.php?workbook=20_05.xlsx&amp;sheet=U0&amp;row=6247&amp;col=6&amp;number=3.3&amp;sourceID=14","3.3")</f>
        <v>3.3</v>
      </c>
      <c r="G6247" s="4" t="str">
        <f>HYPERLINK("http://141.218.60.56/~jnz1568/getInfo.php?workbook=20_05.xlsx&amp;sheet=U0&amp;row=6247&amp;col=7&amp;number=1.8e-05&amp;sourceID=14","1.8e-05")</f>
        <v>1.8e-05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HYPERLINK("http://141.218.60.56/~jnz1568/getInfo.php?workbook=20_05.xlsx&amp;sheet=U0&amp;row=6248&amp;col=6&amp;number=3.4&amp;sourceID=14","3.4")</f>
        <v>3.4</v>
      </c>
      <c r="G6248" s="4" t="str">
        <f>HYPERLINK("http://141.218.60.56/~jnz1568/getInfo.php?workbook=20_05.xlsx&amp;sheet=U0&amp;row=6248&amp;col=7&amp;number=1.8e-05&amp;sourceID=14","1.8e-05")</f>
        <v>1.8e-05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HYPERLINK("http://141.218.60.56/~jnz1568/getInfo.php?workbook=20_05.xlsx&amp;sheet=U0&amp;row=6249&amp;col=6&amp;number=3.5&amp;sourceID=14","3.5")</f>
        <v>3.5</v>
      </c>
      <c r="G6249" s="4" t="str">
        <f>HYPERLINK("http://141.218.60.56/~jnz1568/getInfo.php?workbook=20_05.xlsx&amp;sheet=U0&amp;row=6249&amp;col=7&amp;number=1.8e-05&amp;sourceID=14","1.8e-05")</f>
        <v>1.8e-05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HYPERLINK("http://141.218.60.56/~jnz1568/getInfo.php?workbook=20_05.xlsx&amp;sheet=U0&amp;row=6250&amp;col=6&amp;number=3.6&amp;sourceID=14","3.6")</f>
        <v>3.6</v>
      </c>
      <c r="G6250" s="4" t="str">
        <f>HYPERLINK("http://141.218.60.56/~jnz1568/getInfo.php?workbook=20_05.xlsx&amp;sheet=U0&amp;row=6250&amp;col=7&amp;number=1.8e-05&amp;sourceID=14","1.8e-05")</f>
        <v>1.8e-05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HYPERLINK("http://141.218.60.56/~jnz1568/getInfo.php?workbook=20_05.xlsx&amp;sheet=U0&amp;row=6251&amp;col=6&amp;number=3.7&amp;sourceID=14","3.7")</f>
        <v>3.7</v>
      </c>
      <c r="G6251" s="4" t="str">
        <f>HYPERLINK("http://141.218.60.56/~jnz1568/getInfo.php?workbook=20_05.xlsx&amp;sheet=U0&amp;row=6251&amp;col=7&amp;number=1.8e-05&amp;sourceID=14","1.8e-05")</f>
        <v>1.8e-05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HYPERLINK("http://141.218.60.56/~jnz1568/getInfo.php?workbook=20_05.xlsx&amp;sheet=U0&amp;row=6252&amp;col=6&amp;number=3.8&amp;sourceID=14","3.8")</f>
        <v>3.8</v>
      </c>
      <c r="G6252" s="4" t="str">
        <f>HYPERLINK("http://141.218.60.56/~jnz1568/getInfo.php?workbook=20_05.xlsx&amp;sheet=U0&amp;row=6252&amp;col=7&amp;number=1.8e-05&amp;sourceID=14","1.8e-05")</f>
        <v>1.8e-05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HYPERLINK("http://141.218.60.56/~jnz1568/getInfo.php?workbook=20_05.xlsx&amp;sheet=U0&amp;row=6253&amp;col=6&amp;number=3.9&amp;sourceID=14","3.9")</f>
        <v>3.9</v>
      </c>
      <c r="G6253" s="4" t="str">
        <f>HYPERLINK("http://141.218.60.56/~jnz1568/getInfo.php?workbook=20_05.xlsx&amp;sheet=U0&amp;row=6253&amp;col=7&amp;number=1.8e-05&amp;sourceID=14","1.8e-05")</f>
        <v>1.8e-05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HYPERLINK("http://141.218.60.56/~jnz1568/getInfo.php?workbook=20_05.xlsx&amp;sheet=U0&amp;row=6254&amp;col=6&amp;number=4&amp;sourceID=14","4")</f>
        <v>4</v>
      </c>
      <c r="G6254" s="4" t="str">
        <f>HYPERLINK("http://141.218.60.56/~jnz1568/getInfo.php?workbook=20_05.xlsx&amp;sheet=U0&amp;row=6254&amp;col=7&amp;number=1.8e-05&amp;sourceID=14","1.8e-05")</f>
        <v>1.8e-05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HYPERLINK("http://141.218.60.56/~jnz1568/getInfo.php?workbook=20_05.xlsx&amp;sheet=U0&amp;row=6255&amp;col=6&amp;number=4.1&amp;sourceID=14","4.1")</f>
        <v>4.1</v>
      </c>
      <c r="G6255" s="4" t="str">
        <f>HYPERLINK("http://141.218.60.56/~jnz1568/getInfo.php?workbook=20_05.xlsx&amp;sheet=U0&amp;row=6255&amp;col=7&amp;number=1.79e-05&amp;sourceID=14","1.79e-05")</f>
        <v>1.79e-05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HYPERLINK("http://141.218.60.56/~jnz1568/getInfo.php?workbook=20_05.xlsx&amp;sheet=U0&amp;row=6256&amp;col=6&amp;number=4.2&amp;sourceID=14","4.2")</f>
        <v>4.2</v>
      </c>
      <c r="G6256" s="4" t="str">
        <f>HYPERLINK("http://141.218.60.56/~jnz1568/getInfo.php?workbook=20_05.xlsx&amp;sheet=U0&amp;row=6256&amp;col=7&amp;number=1.79e-05&amp;sourceID=14","1.79e-05")</f>
        <v>1.79e-05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HYPERLINK("http://141.218.60.56/~jnz1568/getInfo.php?workbook=20_05.xlsx&amp;sheet=U0&amp;row=6257&amp;col=6&amp;number=4.3&amp;sourceID=14","4.3")</f>
        <v>4.3</v>
      </c>
      <c r="G6257" s="4" t="str">
        <f>HYPERLINK("http://141.218.60.56/~jnz1568/getInfo.php?workbook=20_05.xlsx&amp;sheet=U0&amp;row=6257&amp;col=7&amp;number=1.79e-05&amp;sourceID=14","1.79e-05")</f>
        <v>1.79e-05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HYPERLINK("http://141.218.60.56/~jnz1568/getInfo.php?workbook=20_05.xlsx&amp;sheet=U0&amp;row=6258&amp;col=6&amp;number=4.4&amp;sourceID=14","4.4")</f>
        <v>4.4</v>
      </c>
      <c r="G6258" s="4" t="str">
        <f>HYPERLINK("http://141.218.60.56/~jnz1568/getInfo.php?workbook=20_05.xlsx&amp;sheet=U0&amp;row=6258&amp;col=7&amp;number=1.79e-05&amp;sourceID=14","1.79e-05")</f>
        <v>1.79e-05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HYPERLINK("http://141.218.60.56/~jnz1568/getInfo.php?workbook=20_05.xlsx&amp;sheet=U0&amp;row=6259&amp;col=6&amp;number=4.5&amp;sourceID=14","4.5")</f>
        <v>4.5</v>
      </c>
      <c r="G6259" s="4" t="str">
        <f>HYPERLINK("http://141.218.60.56/~jnz1568/getInfo.php?workbook=20_05.xlsx&amp;sheet=U0&amp;row=6259&amp;col=7&amp;number=1.79e-05&amp;sourceID=14","1.79e-05")</f>
        <v>1.79e-05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HYPERLINK("http://141.218.60.56/~jnz1568/getInfo.php?workbook=20_05.xlsx&amp;sheet=U0&amp;row=6260&amp;col=6&amp;number=4.6&amp;sourceID=14","4.6")</f>
        <v>4.6</v>
      </c>
      <c r="G6260" s="4" t="str">
        <f>HYPERLINK("http://141.218.60.56/~jnz1568/getInfo.php?workbook=20_05.xlsx&amp;sheet=U0&amp;row=6260&amp;col=7&amp;number=1.78e-05&amp;sourceID=14","1.78e-05")</f>
        <v>1.78e-05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HYPERLINK("http://141.218.60.56/~jnz1568/getInfo.php?workbook=20_05.xlsx&amp;sheet=U0&amp;row=6261&amp;col=6&amp;number=4.7&amp;sourceID=14","4.7")</f>
        <v>4.7</v>
      </c>
      <c r="G6261" s="4" t="str">
        <f>HYPERLINK("http://141.218.60.56/~jnz1568/getInfo.php?workbook=20_05.xlsx&amp;sheet=U0&amp;row=6261&amp;col=7&amp;number=1.78e-05&amp;sourceID=14","1.78e-05")</f>
        <v>1.78e-05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HYPERLINK("http://141.218.60.56/~jnz1568/getInfo.php?workbook=20_05.xlsx&amp;sheet=U0&amp;row=6262&amp;col=6&amp;number=4.8&amp;sourceID=14","4.8")</f>
        <v>4.8</v>
      </c>
      <c r="G6262" s="4" t="str">
        <f>HYPERLINK("http://141.218.60.56/~jnz1568/getInfo.php?workbook=20_05.xlsx&amp;sheet=U0&amp;row=6262&amp;col=7&amp;number=1.77e-05&amp;sourceID=14","1.77e-05")</f>
        <v>1.77e-05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HYPERLINK("http://141.218.60.56/~jnz1568/getInfo.php?workbook=20_05.xlsx&amp;sheet=U0&amp;row=6263&amp;col=6&amp;number=4.9&amp;sourceID=14","4.9")</f>
        <v>4.9</v>
      </c>
      <c r="G6263" s="4" t="str">
        <f>HYPERLINK("http://141.218.60.56/~jnz1568/getInfo.php?workbook=20_05.xlsx&amp;sheet=U0&amp;row=6263&amp;col=7&amp;number=1.76e-05&amp;sourceID=14","1.76e-05")</f>
        <v>1.76e-05</v>
      </c>
    </row>
    <row r="6264" spans="1:7">
      <c r="A6264" s="3">
        <v>20</v>
      </c>
      <c r="B6264" s="3">
        <v>5</v>
      </c>
      <c r="C6264" s="3">
        <v>3</v>
      </c>
      <c r="D6264" s="3">
        <v>55</v>
      </c>
      <c r="E6264" s="3">
        <v>1</v>
      </c>
      <c r="F6264" s="4" t="str">
        <f>HYPERLINK("http://141.218.60.56/~jnz1568/getInfo.php?workbook=20_05.xlsx&amp;sheet=U0&amp;row=6264&amp;col=6&amp;number=3&amp;sourceID=14","3")</f>
        <v>3</v>
      </c>
      <c r="G6264" s="4" t="str">
        <f>HYPERLINK("http://141.218.60.56/~jnz1568/getInfo.php?workbook=20_05.xlsx&amp;sheet=U0&amp;row=6264&amp;col=7&amp;number=8.49e-05&amp;sourceID=14","8.49e-05")</f>
        <v>8.49e-05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HYPERLINK("http://141.218.60.56/~jnz1568/getInfo.php?workbook=20_05.xlsx&amp;sheet=U0&amp;row=6265&amp;col=6&amp;number=3.1&amp;sourceID=14","3.1")</f>
        <v>3.1</v>
      </c>
      <c r="G6265" s="4" t="str">
        <f>HYPERLINK("http://141.218.60.56/~jnz1568/getInfo.php?workbook=20_05.xlsx&amp;sheet=U0&amp;row=6265&amp;col=7&amp;number=8.49e-05&amp;sourceID=14","8.49e-05")</f>
        <v>8.49e-05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HYPERLINK("http://141.218.60.56/~jnz1568/getInfo.php?workbook=20_05.xlsx&amp;sheet=U0&amp;row=6266&amp;col=6&amp;number=3.2&amp;sourceID=14","3.2")</f>
        <v>3.2</v>
      </c>
      <c r="G6266" s="4" t="str">
        <f>HYPERLINK("http://141.218.60.56/~jnz1568/getInfo.php?workbook=20_05.xlsx&amp;sheet=U0&amp;row=6266&amp;col=7&amp;number=8.49e-05&amp;sourceID=14","8.49e-05")</f>
        <v>8.49e-05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HYPERLINK("http://141.218.60.56/~jnz1568/getInfo.php?workbook=20_05.xlsx&amp;sheet=U0&amp;row=6267&amp;col=6&amp;number=3.3&amp;sourceID=14","3.3")</f>
        <v>3.3</v>
      </c>
      <c r="G6267" s="4" t="str">
        <f>HYPERLINK("http://141.218.60.56/~jnz1568/getInfo.php?workbook=20_05.xlsx&amp;sheet=U0&amp;row=6267&amp;col=7&amp;number=8.49e-05&amp;sourceID=14","8.49e-05")</f>
        <v>8.49e-05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HYPERLINK("http://141.218.60.56/~jnz1568/getInfo.php?workbook=20_05.xlsx&amp;sheet=U0&amp;row=6268&amp;col=6&amp;number=3.4&amp;sourceID=14","3.4")</f>
        <v>3.4</v>
      </c>
      <c r="G6268" s="4" t="str">
        <f>HYPERLINK("http://141.218.60.56/~jnz1568/getInfo.php?workbook=20_05.xlsx&amp;sheet=U0&amp;row=6268&amp;col=7&amp;number=8.5e-05&amp;sourceID=14","8.5e-05")</f>
        <v>8.5e-05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HYPERLINK("http://141.218.60.56/~jnz1568/getInfo.php?workbook=20_05.xlsx&amp;sheet=U0&amp;row=6269&amp;col=6&amp;number=3.5&amp;sourceID=14","3.5")</f>
        <v>3.5</v>
      </c>
      <c r="G6269" s="4" t="str">
        <f>HYPERLINK("http://141.218.60.56/~jnz1568/getInfo.php?workbook=20_05.xlsx&amp;sheet=U0&amp;row=6269&amp;col=7&amp;number=8.5e-05&amp;sourceID=14","8.5e-05")</f>
        <v>8.5e-05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HYPERLINK("http://141.218.60.56/~jnz1568/getInfo.php?workbook=20_05.xlsx&amp;sheet=U0&amp;row=6270&amp;col=6&amp;number=3.6&amp;sourceID=14","3.6")</f>
        <v>3.6</v>
      </c>
      <c r="G6270" s="4" t="str">
        <f>HYPERLINK("http://141.218.60.56/~jnz1568/getInfo.php?workbook=20_05.xlsx&amp;sheet=U0&amp;row=6270&amp;col=7&amp;number=8.5e-05&amp;sourceID=14","8.5e-05")</f>
        <v>8.5e-05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HYPERLINK("http://141.218.60.56/~jnz1568/getInfo.php?workbook=20_05.xlsx&amp;sheet=U0&amp;row=6271&amp;col=6&amp;number=3.7&amp;sourceID=14","3.7")</f>
        <v>3.7</v>
      </c>
      <c r="G6271" s="4" t="str">
        <f>HYPERLINK("http://141.218.60.56/~jnz1568/getInfo.php?workbook=20_05.xlsx&amp;sheet=U0&amp;row=6271&amp;col=7&amp;number=8.5e-05&amp;sourceID=14","8.5e-05")</f>
        <v>8.5e-05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HYPERLINK("http://141.218.60.56/~jnz1568/getInfo.php?workbook=20_05.xlsx&amp;sheet=U0&amp;row=6272&amp;col=6&amp;number=3.8&amp;sourceID=14","3.8")</f>
        <v>3.8</v>
      </c>
      <c r="G6272" s="4" t="str">
        <f>HYPERLINK("http://141.218.60.56/~jnz1568/getInfo.php?workbook=20_05.xlsx&amp;sheet=U0&amp;row=6272&amp;col=7&amp;number=8.5e-05&amp;sourceID=14","8.5e-05")</f>
        <v>8.5e-05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HYPERLINK("http://141.218.60.56/~jnz1568/getInfo.php?workbook=20_05.xlsx&amp;sheet=U0&amp;row=6273&amp;col=6&amp;number=3.9&amp;sourceID=14","3.9")</f>
        <v>3.9</v>
      </c>
      <c r="G6273" s="4" t="str">
        <f>HYPERLINK("http://141.218.60.56/~jnz1568/getInfo.php?workbook=20_05.xlsx&amp;sheet=U0&amp;row=6273&amp;col=7&amp;number=8.5e-05&amp;sourceID=14","8.5e-05")</f>
        <v>8.5e-05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HYPERLINK("http://141.218.60.56/~jnz1568/getInfo.php?workbook=20_05.xlsx&amp;sheet=U0&amp;row=6274&amp;col=6&amp;number=4&amp;sourceID=14","4")</f>
        <v>4</v>
      </c>
      <c r="G6274" s="4" t="str">
        <f>HYPERLINK("http://141.218.60.56/~jnz1568/getInfo.php?workbook=20_05.xlsx&amp;sheet=U0&amp;row=6274&amp;col=7&amp;number=8.5e-05&amp;sourceID=14","8.5e-05")</f>
        <v>8.5e-05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HYPERLINK("http://141.218.60.56/~jnz1568/getInfo.php?workbook=20_05.xlsx&amp;sheet=U0&amp;row=6275&amp;col=6&amp;number=4.1&amp;sourceID=14","4.1")</f>
        <v>4.1</v>
      </c>
      <c r="G6275" s="4" t="str">
        <f>HYPERLINK("http://141.218.60.56/~jnz1568/getInfo.php?workbook=20_05.xlsx&amp;sheet=U0&amp;row=6275&amp;col=7&amp;number=8.51e-05&amp;sourceID=14","8.51e-05")</f>
        <v>8.51e-05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HYPERLINK("http://141.218.60.56/~jnz1568/getInfo.php?workbook=20_05.xlsx&amp;sheet=U0&amp;row=6276&amp;col=6&amp;number=4.2&amp;sourceID=14","4.2")</f>
        <v>4.2</v>
      </c>
      <c r="G6276" s="4" t="str">
        <f>HYPERLINK("http://141.218.60.56/~jnz1568/getInfo.php?workbook=20_05.xlsx&amp;sheet=U0&amp;row=6276&amp;col=7&amp;number=8.51e-05&amp;sourceID=14","8.51e-05")</f>
        <v>8.51e-05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HYPERLINK("http://141.218.60.56/~jnz1568/getInfo.php?workbook=20_05.xlsx&amp;sheet=U0&amp;row=6277&amp;col=6&amp;number=4.3&amp;sourceID=14","4.3")</f>
        <v>4.3</v>
      </c>
      <c r="G6277" s="4" t="str">
        <f>HYPERLINK("http://141.218.60.56/~jnz1568/getInfo.php?workbook=20_05.xlsx&amp;sheet=U0&amp;row=6277&amp;col=7&amp;number=8.51e-05&amp;sourceID=14","8.51e-05")</f>
        <v>8.51e-05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HYPERLINK("http://141.218.60.56/~jnz1568/getInfo.php?workbook=20_05.xlsx&amp;sheet=U0&amp;row=6278&amp;col=6&amp;number=4.4&amp;sourceID=14","4.4")</f>
        <v>4.4</v>
      </c>
      <c r="G6278" s="4" t="str">
        <f>HYPERLINK("http://141.218.60.56/~jnz1568/getInfo.php?workbook=20_05.xlsx&amp;sheet=U0&amp;row=6278&amp;col=7&amp;number=8.52e-05&amp;sourceID=14","8.52e-05")</f>
        <v>8.52e-05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HYPERLINK("http://141.218.60.56/~jnz1568/getInfo.php?workbook=20_05.xlsx&amp;sheet=U0&amp;row=6279&amp;col=6&amp;number=4.5&amp;sourceID=14","4.5")</f>
        <v>4.5</v>
      </c>
      <c r="G6279" s="4" t="str">
        <f>HYPERLINK("http://141.218.60.56/~jnz1568/getInfo.php?workbook=20_05.xlsx&amp;sheet=U0&amp;row=6279&amp;col=7&amp;number=8.52e-05&amp;sourceID=14","8.52e-05")</f>
        <v>8.52e-05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HYPERLINK("http://141.218.60.56/~jnz1568/getInfo.php?workbook=20_05.xlsx&amp;sheet=U0&amp;row=6280&amp;col=6&amp;number=4.6&amp;sourceID=14","4.6")</f>
        <v>4.6</v>
      </c>
      <c r="G6280" s="4" t="str">
        <f>HYPERLINK("http://141.218.60.56/~jnz1568/getInfo.php?workbook=20_05.xlsx&amp;sheet=U0&amp;row=6280&amp;col=7&amp;number=8.53e-05&amp;sourceID=14","8.53e-05")</f>
        <v>8.53e-05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HYPERLINK("http://141.218.60.56/~jnz1568/getInfo.php?workbook=20_05.xlsx&amp;sheet=U0&amp;row=6281&amp;col=6&amp;number=4.7&amp;sourceID=14","4.7")</f>
        <v>4.7</v>
      </c>
      <c r="G6281" s="4" t="str">
        <f>HYPERLINK("http://141.218.60.56/~jnz1568/getInfo.php?workbook=20_05.xlsx&amp;sheet=U0&amp;row=6281&amp;col=7&amp;number=8.54e-05&amp;sourceID=14","8.54e-05")</f>
        <v>8.54e-05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HYPERLINK("http://141.218.60.56/~jnz1568/getInfo.php?workbook=20_05.xlsx&amp;sheet=U0&amp;row=6282&amp;col=6&amp;number=4.8&amp;sourceID=14","4.8")</f>
        <v>4.8</v>
      </c>
      <c r="G6282" s="4" t="str">
        <f>HYPERLINK("http://141.218.60.56/~jnz1568/getInfo.php?workbook=20_05.xlsx&amp;sheet=U0&amp;row=6282&amp;col=7&amp;number=8.55e-05&amp;sourceID=14","8.55e-05")</f>
        <v>8.55e-05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HYPERLINK("http://141.218.60.56/~jnz1568/getInfo.php?workbook=20_05.xlsx&amp;sheet=U0&amp;row=6283&amp;col=6&amp;number=4.9&amp;sourceID=14","4.9")</f>
        <v>4.9</v>
      </c>
      <c r="G6283" s="4" t="str">
        <f>HYPERLINK("http://141.218.60.56/~jnz1568/getInfo.php?workbook=20_05.xlsx&amp;sheet=U0&amp;row=6283&amp;col=7&amp;number=8.57e-05&amp;sourceID=14","8.57e-05")</f>
        <v>8.57e-05</v>
      </c>
    </row>
    <row r="6284" spans="1:7">
      <c r="A6284" s="3">
        <v>20</v>
      </c>
      <c r="B6284" s="3">
        <v>5</v>
      </c>
      <c r="C6284" s="3">
        <v>3</v>
      </c>
      <c r="D6284" s="3">
        <v>56</v>
      </c>
      <c r="E6284" s="3">
        <v>1</v>
      </c>
      <c r="F6284" s="4" t="str">
        <f>HYPERLINK("http://141.218.60.56/~jnz1568/getInfo.php?workbook=20_05.xlsx&amp;sheet=U0&amp;row=6284&amp;col=6&amp;number=3&amp;sourceID=14","3")</f>
        <v>3</v>
      </c>
      <c r="G6284" s="4" t="str">
        <f>HYPERLINK("http://141.218.60.56/~jnz1568/getInfo.php?workbook=20_05.xlsx&amp;sheet=U0&amp;row=6284&amp;col=7&amp;number=1.34e-05&amp;sourceID=14","1.34e-05")</f>
        <v>1.34e-05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HYPERLINK("http://141.218.60.56/~jnz1568/getInfo.php?workbook=20_05.xlsx&amp;sheet=U0&amp;row=6285&amp;col=6&amp;number=3.1&amp;sourceID=14","3.1")</f>
        <v>3.1</v>
      </c>
      <c r="G6285" s="4" t="str">
        <f>HYPERLINK("http://141.218.60.56/~jnz1568/getInfo.php?workbook=20_05.xlsx&amp;sheet=U0&amp;row=6285&amp;col=7&amp;number=1.34e-05&amp;sourceID=14","1.34e-05")</f>
        <v>1.34e-05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HYPERLINK("http://141.218.60.56/~jnz1568/getInfo.php?workbook=20_05.xlsx&amp;sheet=U0&amp;row=6286&amp;col=6&amp;number=3.2&amp;sourceID=14","3.2")</f>
        <v>3.2</v>
      </c>
      <c r="G6286" s="4" t="str">
        <f>HYPERLINK("http://141.218.60.56/~jnz1568/getInfo.php?workbook=20_05.xlsx&amp;sheet=U0&amp;row=6286&amp;col=7&amp;number=1.34e-05&amp;sourceID=14","1.34e-05")</f>
        <v>1.34e-05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HYPERLINK("http://141.218.60.56/~jnz1568/getInfo.php?workbook=20_05.xlsx&amp;sheet=U0&amp;row=6287&amp;col=6&amp;number=3.3&amp;sourceID=14","3.3")</f>
        <v>3.3</v>
      </c>
      <c r="G6287" s="4" t="str">
        <f>HYPERLINK("http://141.218.60.56/~jnz1568/getInfo.php?workbook=20_05.xlsx&amp;sheet=U0&amp;row=6287&amp;col=7&amp;number=1.34e-05&amp;sourceID=14","1.34e-05")</f>
        <v>1.34e-05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HYPERLINK("http://141.218.60.56/~jnz1568/getInfo.php?workbook=20_05.xlsx&amp;sheet=U0&amp;row=6288&amp;col=6&amp;number=3.4&amp;sourceID=14","3.4")</f>
        <v>3.4</v>
      </c>
      <c r="G6288" s="4" t="str">
        <f>HYPERLINK("http://141.218.60.56/~jnz1568/getInfo.php?workbook=20_05.xlsx&amp;sheet=U0&amp;row=6288&amp;col=7&amp;number=1.34e-05&amp;sourceID=14","1.34e-05")</f>
        <v>1.34e-05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HYPERLINK("http://141.218.60.56/~jnz1568/getInfo.php?workbook=20_05.xlsx&amp;sheet=U0&amp;row=6289&amp;col=6&amp;number=3.5&amp;sourceID=14","3.5")</f>
        <v>3.5</v>
      </c>
      <c r="G6289" s="4" t="str">
        <f>HYPERLINK("http://141.218.60.56/~jnz1568/getInfo.php?workbook=20_05.xlsx&amp;sheet=U0&amp;row=6289&amp;col=7&amp;number=1.34e-05&amp;sourceID=14","1.34e-05")</f>
        <v>1.34e-05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HYPERLINK("http://141.218.60.56/~jnz1568/getInfo.php?workbook=20_05.xlsx&amp;sheet=U0&amp;row=6290&amp;col=6&amp;number=3.6&amp;sourceID=14","3.6")</f>
        <v>3.6</v>
      </c>
      <c r="G6290" s="4" t="str">
        <f>HYPERLINK("http://141.218.60.56/~jnz1568/getInfo.php?workbook=20_05.xlsx&amp;sheet=U0&amp;row=6290&amp;col=7&amp;number=1.34e-05&amp;sourceID=14","1.34e-05")</f>
        <v>1.34e-05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HYPERLINK("http://141.218.60.56/~jnz1568/getInfo.php?workbook=20_05.xlsx&amp;sheet=U0&amp;row=6291&amp;col=6&amp;number=3.7&amp;sourceID=14","3.7")</f>
        <v>3.7</v>
      </c>
      <c r="G6291" s="4" t="str">
        <f>HYPERLINK("http://141.218.60.56/~jnz1568/getInfo.php?workbook=20_05.xlsx&amp;sheet=U0&amp;row=6291&amp;col=7&amp;number=1.34e-05&amp;sourceID=14","1.34e-05")</f>
        <v>1.34e-05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HYPERLINK("http://141.218.60.56/~jnz1568/getInfo.php?workbook=20_05.xlsx&amp;sheet=U0&amp;row=6292&amp;col=6&amp;number=3.8&amp;sourceID=14","3.8")</f>
        <v>3.8</v>
      </c>
      <c r="G6292" s="4" t="str">
        <f>HYPERLINK("http://141.218.60.56/~jnz1568/getInfo.php?workbook=20_05.xlsx&amp;sheet=U0&amp;row=6292&amp;col=7&amp;number=1.34e-05&amp;sourceID=14","1.34e-05")</f>
        <v>1.34e-05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HYPERLINK("http://141.218.60.56/~jnz1568/getInfo.php?workbook=20_05.xlsx&amp;sheet=U0&amp;row=6293&amp;col=6&amp;number=3.9&amp;sourceID=14","3.9")</f>
        <v>3.9</v>
      </c>
      <c r="G6293" s="4" t="str">
        <f>HYPERLINK("http://141.218.60.56/~jnz1568/getInfo.php?workbook=20_05.xlsx&amp;sheet=U0&amp;row=6293&amp;col=7&amp;number=1.34e-05&amp;sourceID=14","1.34e-05")</f>
        <v>1.34e-05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HYPERLINK("http://141.218.60.56/~jnz1568/getInfo.php?workbook=20_05.xlsx&amp;sheet=U0&amp;row=6294&amp;col=6&amp;number=4&amp;sourceID=14","4")</f>
        <v>4</v>
      </c>
      <c r="G6294" s="4" t="str">
        <f>HYPERLINK("http://141.218.60.56/~jnz1568/getInfo.php?workbook=20_05.xlsx&amp;sheet=U0&amp;row=6294&amp;col=7&amp;number=1.34e-05&amp;sourceID=14","1.34e-05")</f>
        <v>1.34e-05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HYPERLINK("http://141.218.60.56/~jnz1568/getInfo.php?workbook=20_05.xlsx&amp;sheet=U0&amp;row=6295&amp;col=6&amp;number=4.1&amp;sourceID=14","4.1")</f>
        <v>4.1</v>
      </c>
      <c r="G6295" s="4" t="str">
        <f>HYPERLINK("http://141.218.60.56/~jnz1568/getInfo.php?workbook=20_05.xlsx&amp;sheet=U0&amp;row=6295&amp;col=7&amp;number=1.34e-05&amp;sourceID=14","1.34e-05")</f>
        <v>1.34e-05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HYPERLINK("http://141.218.60.56/~jnz1568/getInfo.php?workbook=20_05.xlsx&amp;sheet=U0&amp;row=6296&amp;col=6&amp;number=4.2&amp;sourceID=14","4.2")</f>
        <v>4.2</v>
      </c>
      <c r="G6296" s="4" t="str">
        <f>HYPERLINK("http://141.218.60.56/~jnz1568/getInfo.php?workbook=20_05.xlsx&amp;sheet=U0&amp;row=6296&amp;col=7&amp;number=1.34e-05&amp;sourceID=14","1.34e-05")</f>
        <v>1.34e-05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HYPERLINK("http://141.218.60.56/~jnz1568/getInfo.php?workbook=20_05.xlsx&amp;sheet=U0&amp;row=6297&amp;col=6&amp;number=4.3&amp;sourceID=14","4.3")</f>
        <v>4.3</v>
      </c>
      <c r="G6297" s="4" t="str">
        <f>HYPERLINK("http://141.218.60.56/~jnz1568/getInfo.php?workbook=20_05.xlsx&amp;sheet=U0&amp;row=6297&amp;col=7&amp;number=1.34e-05&amp;sourceID=14","1.34e-05")</f>
        <v>1.34e-05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HYPERLINK("http://141.218.60.56/~jnz1568/getInfo.php?workbook=20_05.xlsx&amp;sheet=U0&amp;row=6298&amp;col=6&amp;number=4.4&amp;sourceID=14","4.4")</f>
        <v>4.4</v>
      </c>
      <c r="G6298" s="4" t="str">
        <f>HYPERLINK("http://141.218.60.56/~jnz1568/getInfo.php?workbook=20_05.xlsx&amp;sheet=U0&amp;row=6298&amp;col=7&amp;number=1.34e-05&amp;sourceID=14","1.34e-05")</f>
        <v>1.34e-05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HYPERLINK("http://141.218.60.56/~jnz1568/getInfo.php?workbook=20_05.xlsx&amp;sheet=U0&amp;row=6299&amp;col=6&amp;number=4.5&amp;sourceID=14","4.5")</f>
        <v>4.5</v>
      </c>
      <c r="G6299" s="4" t="str">
        <f>HYPERLINK("http://141.218.60.56/~jnz1568/getInfo.php?workbook=20_05.xlsx&amp;sheet=U0&amp;row=6299&amp;col=7&amp;number=1.33e-05&amp;sourceID=14","1.33e-05")</f>
        <v>1.33e-05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HYPERLINK("http://141.218.60.56/~jnz1568/getInfo.php?workbook=20_05.xlsx&amp;sheet=U0&amp;row=6300&amp;col=6&amp;number=4.6&amp;sourceID=14","4.6")</f>
        <v>4.6</v>
      </c>
      <c r="G6300" s="4" t="str">
        <f>HYPERLINK("http://141.218.60.56/~jnz1568/getInfo.php?workbook=20_05.xlsx&amp;sheet=U0&amp;row=6300&amp;col=7&amp;number=1.33e-05&amp;sourceID=14","1.33e-05")</f>
        <v>1.33e-05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HYPERLINK("http://141.218.60.56/~jnz1568/getInfo.php?workbook=20_05.xlsx&amp;sheet=U0&amp;row=6301&amp;col=6&amp;number=4.7&amp;sourceID=14","4.7")</f>
        <v>4.7</v>
      </c>
      <c r="G6301" s="4" t="str">
        <f>HYPERLINK("http://141.218.60.56/~jnz1568/getInfo.php?workbook=20_05.xlsx&amp;sheet=U0&amp;row=6301&amp;col=7&amp;number=1.33e-05&amp;sourceID=14","1.33e-05")</f>
        <v>1.33e-05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HYPERLINK("http://141.218.60.56/~jnz1568/getInfo.php?workbook=20_05.xlsx&amp;sheet=U0&amp;row=6302&amp;col=6&amp;number=4.8&amp;sourceID=14","4.8")</f>
        <v>4.8</v>
      </c>
      <c r="G6302" s="4" t="str">
        <f>HYPERLINK("http://141.218.60.56/~jnz1568/getInfo.php?workbook=20_05.xlsx&amp;sheet=U0&amp;row=6302&amp;col=7&amp;number=1.32e-05&amp;sourceID=14","1.32e-05")</f>
        <v>1.32e-05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HYPERLINK("http://141.218.60.56/~jnz1568/getInfo.php?workbook=20_05.xlsx&amp;sheet=U0&amp;row=6303&amp;col=6&amp;number=4.9&amp;sourceID=14","4.9")</f>
        <v>4.9</v>
      </c>
      <c r="G6303" s="4" t="str">
        <f>HYPERLINK("http://141.218.60.56/~jnz1568/getInfo.php?workbook=20_05.xlsx&amp;sheet=U0&amp;row=6303&amp;col=7&amp;number=1.32e-05&amp;sourceID=14","1.32e-05")</f>
        <v>1.32e-05</v>
      </c>
    </row>
    <row r="6304" spans="1:7">
      <c r="A6304" s="3">
        <v>20</v>
      </c>
      <c r="B6304" s="3">
        <v>5</v>
      </c>
      <c r="C6304" s="3">
        <v>3</v>
      </c>
      <c r="D6304" s="3">
        <v>57</v>
      </c>
      <c r="E6304" s="3">
        <v>1</v>
      </c>
      <c r="F6304" s="4" t="str">
        <f>HYPERLINK("http://141.218.60.56/~jnz1568/getInfo.php?workbook=20_05.xlsx&amp;sheet=U0&amp;row=6304&amp;col=6&amp;number=3&amp;sourceID=14","3")</f>
        <v>3</v>
      </c>
      <c r="G6304" s="4" t="str">
        <f>HYPERLINK("http://141.218.60.56/~jnz1568/getInfo.php?workbook=20_05.xlsx&amp;sheet=U0&amp;row=6304&amp;col=7&amp;number=0.0122&amp;sourceID=14","0.0122")</f>
        <v>0.0122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HYPERLINK("http://141.218.60.56/~jnz1568/getInfo.php?workbook=20_05.xlsx&amp;sheet=U0&amp;row=6305&amp;col=6&amp;number=3.1&amp;sourceID=14","3.1")</f>
        <v>3.1</v>
      </c>
      <c r="G6305" s="4" t="str">
        <f>HYPERLINK("http://141.218.60.56/~jnz1568/getInfo.php?workbook=20_05.xlsx&amp;sheet=U0&amp;row=6305&amp;col=7&amp;number=0.0122&amp;sourceID=14","0.0122")</f>
        <v>0.0122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HYPERLINK("http://141.218.60.56/~jnz1568/getInfo.php?workbook=20_05.xlsx&amp;sheet=U0&amp;row=6306&amp;col=6&amp;number=3.2&amp;sourceID=14","3.2")</f>
        <v>3.2</v>
      </c>
      <c r="G6306" s="4" t="str">
        <f>HYPERLINK("http://141.218.60.56/~jnz1568/getInfo.php?workbook=20_05.xlsx&amp;sheet=U0&amp;row=6306&amp;col=7&amp;number=0.0122&amp;sourceID=14","0.0122")</f>
        <v>0.0122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HYPERLINK("http://141.218.60.56/~jnz1568/getInfo.php?workbook=20_05.xlsx&amp;sheet=U0&amp;row=6307&amp;col=6&amp;number=3.3&amp;sourceID=14","3.3")</f>
        <v>3.3</v>
      </c>
      <c r="G6307" s="4" t="str">
        <f>HYPERLINK("http://141.218.60.56/~jnz1568/getInfo.php?workbook=20_05.xlsx&amp;sheet=U0&amp;row=6307&amp;col=7&amp;number=0.0122&amp;sourceID=14","0.0122")</f>
        <v>0.0122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HYPERLINK("http://141.218.60.56/~jnz1568/getInfo.php?workbook=20_05.xlsx&amp;sheet=U0&amp;row=6308&amp;col=6&amp;number=3.4&amp;sourceID=14","3.4")</f>
        <v>3.4</v>
      </c>
      <c r="G6308" s="4" t="str">
        <f>HYPERLINK("http://141.218.60.56/~jnz1568/getInfo.php?workbook=20_05.xlsx&amp;sheet=U0&amp;row=6308&amp;col=7&amp;number=0.0122&amp;sourceID=14","0.0122")</f>
        <v>0.0122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HYPERLINK("http://141.218.60.56/~jnz1568/getInfo.php?workbook=20_05.xlsx&amp;sheet=U0&amp;row=6309&amp;col=6&amp;number=3.5&amp;sourceID=14","3.5")</f>
        <v>3.5</v>
      </c>
      <c r="G6309" s="4" t="str">
        <f>HYPERLINK("http://141.218.60.56/~jnz1568/getInfo.php?workbook=20_05.xlsx&amp;sheet=U0&amp;row=6309&amp;col=7&amp;number=0.0122&amp;sourceID=14","0.0122")</f>
        <v>0.0122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HYPERLINK("http://141.218.60.56/~jnz1568/getInfo.php?workbook=20_05.xlsx&amp;sheet=U0&amp;row=6310&amp;col=6&amp;number=3.6&amp;sourceID=14","3.6")</f>
        <v>3.6</v>
      </c>
      <c r="G6310" s="4" t="str">
        <f>HYPERLINK("http://141.218.60.56/~jnz1568/getInfo.php?workbook=20_05.xlsx&amp;sheet=U0&amp;row=6310&amp;col=7&amp;number=0.0122&amp;sourceID=14","0.0122")</f>
        <v>0.0122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HYPERLINK("http://141.218.60.56/~jnz1568/getInfo.php?workbook=20_05.xlsx&amp;sheet=U0&amp;row=6311&amp;col=6&amp;number=3.7&amp;sourceID=14","3.7")</f>
        <v>3.7</v>
      </c>
      <c r="G6311" s="4" t="str">
        <f>HYPERLINK("http://141.218.60.56/~jnz1568/getInfo.php?workbook=20_05.xlsx&amp;sheet=U0&amp;row=6311&amp;col=7&amp;number=0.0122&amp;sourceID=14","0.0122")</f>
        <v>0.0122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HYPERLINK("http://141.218.60.56/~jnz1568/getInfo.php?workbook=20_05.xlsx&amp;sheet=U0&amp;row=6312&amp;col=6&amp;number=3.8&amp;sourceID=14","3.8")</f>
        <v>3.8</v>
      </c>
      <c r="G6312" s="4" t="str">
        <f>HYPERLINK("http://141.218.60.56/~jnz1568/getInfo.php?workbook=20_05.xlsx&amp;sheet=U0&amp;row=6312&amp;col=7&amp;number=0.0122&amp;sourceID=14","0.0122")</f>
        <v>0.0122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HYPERLINK("http://141.218.60.56/~jnz1568/getInfo.php?workbook=20_05.xlsx&amp;sheet=U0&amp;row=6313&amp;col=6&amp;number=3.9&amp;sourceID=14","3.9")</f>
        <v>3.9</v>
      </c>
      <c r="G6313" s="4" t="str">
        <f>HYPERLINK("http://141.218.60.56/~jnz1568/getInfo.php?workbook=20_05.xlsx&amp;sheet=U0&amp;row=6313&amp;col=7&amp;number=0.0122&amp;sourceID=14","0.0122")</f>
        <v>0.0122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HYPERLINK("http://141.218.60.56/~jnz1568/getInfo.php?workbook=20_05.xlsx&amp;sheet=U0&amp;row=6314&amp;col=6&amp;number=4&amp;sourceID=14","4")</f>
        <v>4</v>
      </c>
      <c r="G6314" s="4" t="str">
        <f>HYPERLINK("http://141.218.60.56/~jnz1568/getInfo.php?workbook=20_05.xlsx&amp;sheet=U0&amp;row=6314&amp;col=7&amp;number=0.0122&amp;sourceID=14","0.0122")</f>
        <v>0.0122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HYPERLINK("http://141.218.60.56/~jnz1568/getInfo.php?workbook=20_05.xlsx&amp;sheet=U0&amp;row=6315&amp;col=6&amp;number=4.1&amp;sourceID=14","4.1")</f>
        <v>4.1</v>
      </c>
      <c r="G6315" s="4" t="str">
        <f>HYPERLINK("http://141.218.60.56/~jnz1568/getInfo.php?workbook=20_05.xlsx&amp;sheet=U0&amp;row=6315&amp;col=7&amp;number=0.0122&amp;sourceID=14","0.0122")</f>
        <v>0.0122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HYPERLINK("http://141.218.60.56/~jnz1568/getInfo.php?workbook=20_05.xlsx&amp;sheet=U0&amp;row=6316&amp;col=6&amp;number=4.2&amp;sourceID=14","4.2")</f>
        <v>4.2</v>
      </c>
      <c r="G6316" s="4" t="str">
        <f>HYPERLINK("http://141.218.60.56/~jnz1568/getInfo.php?workbook=20_05.xlsx&amp;sheet=U0&amp;row=6316&amp;col=7&amp;number=0.0122&amp;sourceID=14","0.0122")</f>
        <v>0.0122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HYPERLINK("http://141.218.60.56/~jnz1568/getInfo.php?workbook=20_05.xlsx&amp;sheet=U0&amp;row=6317&amp;col=6&amp;number=4.3&amp;sourceID=14","4.3")</f>
        <v>4.3</v>
      </c>
      <c r="G6317" s="4" t="str">
        <f>HYPERLINK("http://141.218.60.56/~jnz1568/getInfo.php?workbook=20_05.xlsx&amp;sheet=U0&amp;row=6317&amp;col=7&amp;number=0.0122&amp;sourceID=14","0.0122")</f>
        <v>0.0122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HYPERLINK("http://141.218.60.56/~jnz1568/getInfo.php?workbook=20_05.xlsx&amp;sheet=U0&amp;row=6318&amp;col=6&amp;number=4.4&amp;sourceID=14","4.4")</f>
        <v>4.4</v>
      </c>
      <c r="G6318" s="4" t="str">
        <f>HYPERLINK("http://141.218.60.56/~jnz1568/getInfo.php?workbook=20_05.xlsx&amp;sheet=U0&amp;row=6318&amp;col=7&amp;number=0.0122&amp;sourceID=14","0.0122")</f>
        <v>0.0122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HYPERLINK("http://141.218.60.56/~jnz1568/getInfo.php?workbook=20_05.xlsx&amp;sheet=U0&amp;row=6319&amp;col=6&amp;number=4.5&amp;sourceID=14","4.5")</f>
        <v>4.5</v>
      </c>
      <c r="G6319" s="4" t="str">
        <f>HYPERLINK("http://141.218.60.56/~jnz1568/getInfo.php?workbook=20_05.xlsx&amp;sheet=U0&amp;row=6319&amp;col=7&amp;number=0.0122&amp;sourceID=14","0.0122")</f>
        <v>0.0122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HYPERLINK("http://141.218.60.56/~jnz1568/getInfo.php?workbook=20_05.xlsx&amp;sheet=U0&amp;row=6320&amp;col=6&amp;number=4.6&amp;sourceID=14","4.6")</f>
        <v>4.6</v>
      </c>
      <c r="G6320" s="4" t="str">
        <f>HYPERLINK("http://141.218.60.56/~jnz1568/getInfo.php?workbook=20_05.xlsx&amp;sheet=U0&amp;row=6320&amp;col=7&amp;number=0.0122&amp;sourceID=14","0.0122")</f>
        <v>0.0122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HYPERLINK("http://141.218.60.56/~jnz1568/getInfo.php?workbook=20_05.xlsx&amp;sheet=U0&amp;row=6321&amp;col=6&amp;number=4.7&amp;sourceID=14","4.7")</f>
        <v>4.7</v>
      </c>
      <c r="G6321" s="4" t="str">
        <f>HYPERLINK("http://141.218.60.56/~jnz1568/getInfo.php?workbook=20_05.xlsx&amp;sheet=U0&amp;row=6321&amp;col=7&amp;number=0.0122&amp;sourceID=14","0.0122")</f>
        <v>0.0122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HYPERLINK("http://141.218.60.56/~jnz1568/getInfo.php?workbook=20_05.xlsx&amp;sheet=U0&amp;row=6322&amp;col=6&amp;number=4.8&amp;sourceID=14","4.8")</f>
        <v>4.8</v>
      </c>
      <c r="G6322" s="4" t="str">
        <f>HYPERLINK("http://141.218.60.56/~jnz1568/getInfo.php?workbook=20_05.xlsx&amp;sheet=U0&amp;row=6322&amp;col=7&amp;number=0.0122&amp;sourceID=14","0.0122")</f>
        <v>0.0122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HYPERLINK("http://141.218.60.56/~jnz1568/getInfo.php?workbook=20_05.xlsx&amp;sheet=U0&amp;row=6323&amp;col=6&amp;number=4.9&amp;sourceID=14","4.9")</f>
        <v>4.9</v>
      </c>
      <c r="G6323" s="4" t="str">
        <f>HYPERLINK("http://141.218.60.56/~jnz1568/getInfo.php?workbook=20_05.xlsx&amp;sheet=U0&amp;row=6323&amp;col=7&amp;number=0.0123&amp;sourceID=14","0.0123")</f>
        <v>0.0123</v>
      </c>
    </row>
    <row r="6324" spans="1:7">
      <c r="A6324" s="3">
        <v>20</v>
      </c>
      <c r="B6324" s="3">
        <v>5</v>
      </c>
      <c r="C6324" s="3">
        <v>3</v>
      </c>
      <c r="D6324" s="3">
        <v>58</v>
      </c>
      <c r="E6324" s="3">
        <v>1</v>
      </c>
      <c r="F6324" s="4" t="str">
        <f>HYPERLINK("http://141.218.60.56/~jnz1568/getInfo.php?workbook=20_05.xlsx&amp;sheet=U0&amp;row=6324&amp;col=6&amp;number=3&amp;sourceID=14","3")</f>
        <v>3</v>
      </c>
      <c r="G6324" s="4" t="str">
        <f>HYPERLINK("http://141.218.60.56/~jnz1568/getInfo.php?workbook=20_05.xlsx&amp;sheet=U0&amp;row=6324&amp;col=7&amp;number=0.00555&amp;sourceID=14","0.00555")</f>
        <v>0.00555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HYPERLINK("http://141.218.60.56/~jnz1568/getInfo.php?workbook=20_05.xlsx&amp;sheet=U0&amp;row=6325&amp;col=6&amp;number=3.1&amp;sourceID=14","3.1")</f>
        <v>3.1</v>
      </c>
      <c r="G6325" s="4" t="str">
        <f>HYPERLINK("http://141.218.60.56/~jnz1568/getInfo.php?workbook=20_05.xlsx&amp;sheet=U0&amp;row=6325&amp;col=7&amp;number=0.00555&amp;sourceID=14","0.00555")</f>
        <v>0.00555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HYPERLINK("http://141.218.60.56/~jnz1568/getInfo.php?workbook=20_05.xlsx&amp;sheet=U0&amp;row=6326&amp;col=6&amp;number=3.2&amp;sourceID=14","3.2")</f>
        <v>3.2</v>
      </c>
      <c r="G6326" s="4" t="str">
        <f>HYPERLINK("http://141.218.60.56/~jnz1568/getInfo.php?workbook=20_05.xlsx&amp;sheet=U0&amp;row=6326&amp;col=7&amp;number=0.00555&amp;sourceID=14","0.00555")</f>
        <v>0.00555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HYPERLINK("http://141.218.60.56/~jnz1568/getInfo.php?workbook=20_05.xlsx&amp;sheet=U0&amp;row=6327&amp;col=6&amp;number=3.3&amp;sourceID=14","3.3")</f>
        <v>3.3</v>
      </c>
      <c r="G6327" s="4" t="str">
        <f>HYPERLINK("http://141.218.60.56/~jnz1568/getInfo.php?workbook=20_05.xlsx&amp;sheet=U0&amp;row=6327&amp;col=7&amp;number=0.00555&amp;sourceID=14","0.00555")</f>
        <v>0.00555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HYPERLINK("http://141.218.60.56/~jnz1568/getInfo.php?workbook=20_05.xlsx&amp;sheet=U0&amp;row=6328&amp;col=6&amp;number=3.4&amp;sourceID=14","3.4")</f>
        <v>3.4</v>
      </c>
      <c r="G6328" s="4" t="str">
        <f>HYPERLINK("http://141.218.60.56/~jnz1568/getInfo.php?workbook=20_05.xlsx&amp;sheet=U0&amp;row=6328&amp;col=7&amp;number=0.00555&amp;sourceID=14","0.00555")</f>
        <v>0.00555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HYPERLINK("http://141.218.60.56/~jnz1568/getInfo.php?workbook=20_05.xlsx&amp;sheet=U0&amp;row=6329&amp;col=6&amp;number=3.5&amp;sourceID=14","3.5")</f>
        <v>3.5</v>
      </c>
      <c r="G6329" s="4" t="str">
        <f>HYPERLINK("http://141.218.60.56/~jnz1568/getInfo.php?workbook=20_05.xlsx&amp;sheet=U0&amp;row=6329&amp;col=7&amp;number=0.00555&amp;sourceID=14","0.00555")</f>
        <v>0.00555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HYPERLINK("http://141.218.60.56/~jnz1568/getInfo.php?workbook=20_05.xlsx&amp;sheet=U0&amp;row=6330&amp;col=6&amp;number=3.6&amp;sourceID=14","3.6")</f>
        <v>3.6</v>
      </c>
      <c r="G6330" s="4" t="str">
        <f>HYPERLINK("http://141.218.60.56/~jnz1568/getInfo.php?workbook=20_05.xlsx&amp;sheet=U0&amp;row=6330&amp;col=7&amp;number=0.00555&amp;sourceID=14","0.00555")</f>
        <v>0.00555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HYPERLINK("http://141.218.60.56/~jnz1568/getInfo.php?workbook=20_05.xlsx&amp;sheet=U0&amp;row=6331&amp;col=6&amp;number=3.7&amp;sourceID=14","3.7")</f>
        <v>3.7</v>
      </c>
      <c r="G6331" s="4" t="str">
        <f>HYPERLINK("http://141.218.60.56/~jnz1568/getInfo.php?workbook=20_05.xlsx&amp;sheet=U0&amp;row=6331&amp;col=7&amp;number=0.00555&amp;sourceID=14","0.00555")</f>
        <v>0.00555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HYPERLINK("http://141.218.60.56/~jnz1568/getInfo.php?workbook=20_05.xlsx&amp;sheet=U0&amp;row=6332&amp;col=6&amp;number=3.8&amp;sourceID=14","3.8")</f>
        <v>3.8</v>
      </c>
      <c r="G6332" s="4" t="str">
        <f>HYPERLINK("http://141.218.60.56/~jnz1568/getInfo.php?workbook=20_05.xlsx&amp;sheet=U0&amp;row=6332&amp;col=7&amp;number=0.00555&amp;sourceID=14","0.00555")</f>
        <v>0.00555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HYPERLINK("http://141.218.60.56/~jnz1568/getInfo.php?workbook=20_05.xlsx&amp;sheet=U0&amp;row=6333&amp;col=6&amp;number=3.9&amp;sourceID=14","3.9")</f>
        <v>3.9</v>
      </c>
      <c r="G6333" s="4" t="str">
        <f>HYPERLINK("http://141.218.60.56/~jnz1568/getInfo.php?workbook=20_05.xlsx&amp;sheet=U0&amp;row=6333&amp;col=7&amp;number=0.00555&amp;sourceID=14","0.00555")</f>
        <v>0.00555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HYPERLINK("http://141.218.60.56/~jnz1568/getInfo.php?workbook=20_05.xlsx&amp;sheet=U0&amp;row=6334&amp;col=6&amp;number=4&amp;sourceID=14","4")</f>
        <v>4</v>
      </c>
      <c r="G6334" s="4" t="str">
        <f>HYPERLINK("http://141.218.60.56/~jnz1568/getInfo.php?workbook=20_05.xlsx&amp;sheet=U0&amp;row=6334&amp;col=7&amp;number=0.00555&amp;sourceID=14","0.00555")</f>
        <v>0.00555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HYPERLINK("http://141.218.60.56/~jnz1568/getInfo.php?workbook=20_05.xlsx&amp;sheet=U0&amp;row=6335&amp;col=6&amp;number=4.1&amp;sourceID=14","4.1")</f>
        <v>4.1</v>
      </c>
      <c r="G6335" s="4" t="str">
        <f>HYPERLINK("http://141.218.60.56/~jnz1568/getInfo.php?workbook=20_05.xlsx&amp;sheet=U0&amp;row=6335&amp;col=7&amp;number=0.00555&amp;sourceID=14","0.00555")</f>
        <v>0.00555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HYPERLINK("http://141.218.60.56/~jnz1568/getInfo.php?workbook=20_05.xlsx&amp;sheet=U0&amp;row=6336&amp;col=6&amp;number=4.2&amp;sourceID=14","4.2")</f>
        <v>4.2</v>
      </c>
      <c r="G6336" s="4" t="str">
        <f>HYPERLINK("http://141.218.60.56/~jnz1568/getInfo.php?workbook=20_05.xlsx&amp;sheet=U0&amp;row=6336&amp;col=7&amp;number=0.00555&amp;sourceID=14","0.00555")</f>
        <v>0.00555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HYPERLINK("http://141.218.60.56/~jnz1568/getInfo.php?workbook=20_05.xlsx&amp;sheet=U0&amp;row=6337&amp;col=6&amp;number=4.3&amp;sourceID=14","4.3")</f>
        <v>4.3</v>
      </c>
      <c r="G6337" s="4" t="str">
        <f>HYPERLINK("http://141.218.60.56/~jnz1568/getInfo.php?workbook=20_05.xlsx&amp;sheet=U0&amp;row=6337&amp;col=7&amp;number=0.00555&amp;sourceID=14","0.00555")</f>
        <v>0.00555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HYPERLINK("http://141.218.60.56/~jnz1568/getInfo.php?workbook=20_05.xlsx&amp;sheet=U0&amp;row=6338&amp;col=6&amp;number=4.4&amp;sourceID=14","4.4")</f>
        <v>4.4</v>
      </c>
      <c r="G6338" s="4" t="str">
        <f>HYPERLINK("http://141.218.60.56/~jnz1568/getInfo.php?workbook=20_05.xlsx&amp;sheet=U0&amp;row=6338&amp;col=7&amp;number=0.00555&amp;sourceID=14","0.00555")</f>
        <v>0.00555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HYPERLINK("http://141.218.60.56/~jnz1568/getInfo.php?workbook=20_05.xlsx&amp;sheet=U0&amp;row=6339&amp;col=6&amp;number=4.5&amp;sourceID=14","4.5")</f>
        <v>4.5</v>
      </c>
      <c r="G6339" s="4" t="str">
        <f>HYPERLINK("http://141.218.60.56/~jnz1568/getInfo.php?workbook=20_05.xlsx&amp;sheet=U0&amp;row=6339&amp;col=7&amp;number=0.00555&amp;sourceID=14","0.00555")</f>
        <v>0.00555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HYPERLINK("http://141.218.60.56/~jnz1568/getInfo.php?workbook=20_05.xlsx&amp;sheet=U0&amp;row=6340&amp;col=6&amp;number=4.6&amp;sourceID=14","4.6")</f>
        <v>4.6</v>
      </c>
      <c r="G6340" s="4" t="str">
        <f>HYPERLINK("http://141.218.60.56/~jnz1568/getInfo.php?workbook=20_05.xlsx&amp;sheet=U0&amp;row=6340&amp;col=7&amp;number=0.00555&amp;sourceID=14","0.00555")</f>
        <v>0.00555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HYPERLINK("http://141.218.60.56/~jnz1568/getInfo.php?workbook=20_05.xlsx&amp;sheet=U0&amp;row=6341&amp;col=6&amp;number=4.7&amp;sourceID=14","4.7")</f>
        <v>4.7</v>
      </c>
      <c r="G6341" s="4" t="str">
        <f>HYPERLINK("http://141.218.60.56/~jnz1568/getInfo.php?workbook=20_05.xlsx&amp;sheet=U0&amp;row=6341&amp;col=7&amp;number=0.00556&amp;sourceID=14","0.00556")</f>
        <v>0.00556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HYPERLINK("http://141.218.60.56/~jnz1568/getInfo.php?workbook=20_05.xlsx&amp;sheet=U0&amp;row=6342&amp;col=6&amp;number=4.8&amp;sourceID=14","4.8")</f>
        <v>4.8</v>
      </c>
      <c r="G6342" s="4" t="str">
        <f>HYPERLINK("http://141.218.60.56/~jnz1568/getInfo.php?workbook=20_05.xlsx&amp;sheet=U0&amp;row=6342&amp;col=7&amp;number=0.00556&amp;sourceID=14","0.00556")</f>
        <v>0.00556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HYPERLINK("http://141.218.60.56/~jnz1568/getInfo.php?workbook=20_05.xlsx&amp;sheet=U0&amp;row=6343&amp;col=6&amp;number=4.9&amp;sourceID=14","4.9")</f>
        <v>4.9</v>
      </c>
      <c r="G6343" s="4" t="str">
        <f>HYPERLINK("http://141.218.60.56/~jnz1568/getInfo.php?workbook=20_05.xlsx&amp;sheet=U0&amp;row=6343&amp;col=7&amp;number=0.00556&amp;sourceID=14","0.00556")</f>
        <v>0.00556</v>
      </c>
    </row>
    <row r="6344" spans="1:7">
      <c r="A6344" s="3">
        <v>20</v>
      </c>
      <c r="B6344" s="3">
        <v>5</v>
      </c>
      <c r="C6344" s="3">
        <v>3</v>
      </c>
      <c r="D6344" s="3">
        <v>59</v>
      </c>
      <c r="E6344" s="3">
        <v>1</v>
      </c>
      <c r="F6344" s="4" t="str">
        <f>HYPERLINK("http://141.218.60.56/~jnz1568/getInfo.php?workbook=20_05.xlsx&amp;sheet=U0&amp;row=6344&amp;col=6&amp;number=3&amp;sourceID=14","3")</f>
        <v>3</v>
      </c>
      <c r="G6344" s="4" t="str">
        <f>HYPERLINK("http://141.218.60.56/~jnz1568/getInfo.php?workbook=20_05.xlsx&amp;sheet=U0&amp;row=6344&amp;col=7&amp;number=0.00248&amp;sourceID=14","0.00248")</f>
        <v>0.00248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HYPERLINK("http://141.218.60.56/~jnz1568/getInfo.php?workbook=20_05.xlsx&amp;sheet=U0&amp;row=6345&amp;col=6&amp;number=3.1&amp;sourceID=14","3.1")</f>
        <v>3.1</v>
      </c>
      <c r="G6345" s="4" t="str">
        <f>HYPERLINK("http://141.218.60.56/~jnz1568/getInfo.php?workbook=20_05.xlsx&amp;sheet=U0&amp;row=6345&amp;col=7&amp;number=0.00248&amp;sourceID=14","0.00248")</f>
        <v>0.00248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HYPERLINK("http://141.218.60.56/~jnz1568/getInfo.php?workbook=20_05.xlsx&amp;sheet=U0&amp;row=6346&amp;col=6&amp;number=3.2&amp;sourceID=14","3.2")</f>
        <v>3.2</v>
      </c>
      <c r="G6346" s="4" t="str">
        <f>HYPERLINK("http://141.218.60.56/~jnz1568/getInfo.php?workbook=20_05.xlsx&amp;sheet=U0&amp;row=6346&amp;col=7&amp;number=0.00248&amp;sourceID=14","0.00248")</f>
        <v>0.00248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HYPERLINK("http://141.218.60.56/~jnz1568/getInfo.php?workbook=20_05.xlsx&amp;sheet=U0&amp;row=6347&amp;col=6&amp;number=3.3&amp;sourceID=14","3.3")</f>
        <v>3.3</v>
      </c>
      <c r="G6347" s="4" t="str">
        <f>HYPERLINK("http://141.218.60.56/~jnz1568/getInfo.php?workbook=20_05.xlsx&amp;sheet=U0&amp;row=6347&amp;col=7&amp;number=0.00248&amp;sourceID=14","0.00248")</f>
        <v>0.00248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HYPERLINK("http://141.218.60.56/~jnz1568/getInfo.php?workbook=20_05.xlsx&amp;sheet=U0&amp;row=6348&amp;col=6&amp;number=3.4&amp;sourceID=14","3.4")</f>
        <v>3.4</v>
      </c>
      <c r="G6348" s="4" t="str">
        <f>HYPERLINK("http://141.218.60.56/~jnz1568/getInfo.php?workbook=20_05.xlsx&amp;sheet=U0&amp;row=6348&amp;col=7&amp;number=0.00248&amp;sourceID=14","0.00248")</f>
        <v>0.00248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HYPERLINK("http://141.218.60.56/~jnz1568/getInfo.php?workbook=20_05.xlsx&amp;sheet=U0&amp;row=6349&amp;col=6&amp;number=3.5&amp;sourceID=14","3.5")</f>
        <v>3.5</v>
      </c>
      <c r="G6349" s="4" t="str">
        <f>HYPERLINK("http://141.218.60.56/~jnz1568/getInfo.php?workbook=20_05.xlsx&amp;sheet=U0&amp;row=6349&amp;col=7&amp;number=0.00248&amp;sourceID=14","0.00248")</f>
        <v>0.00248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HYPERLINK("http://141.218.60.56/~jnz1568/getInfo.php?workbook=20_05.xlsx&amp;sheet=U0&amp;row=6350&amp;col=6&amp;number=3.6&amp;sourceID=14","3.6")</f>
        <v>3.6</v>
      </c>
      <c r="G6350" s="4" t="str">
        <f>HYPERLINK("http://141.218.60.56/~jnz1568/getInfo.php?workbook=20_05.xlsx&amp;sheet=U0&amp;row=6350&amp;col=7&amp;number=0.00248&amp;sourceID=14","0.00248")</f>
        <v>0.00248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HYPERLINK("http://141.218.60.56/~jnz1568/getInfo.php?workbook=20_05.xlsx&amp;sheet=U0&amp;row=6351&amp;col=6&amp;number=3.7&amp;sourceID=14","3.7")</f>
        <v>3.7</v>
      </c>
      <c r="G6351" s="4" t="str">
        <f>HYPERLINK("http://141.218.60.56/~jnz1568/getInfo.php?workbook=20_05.xlsx&amp;sheet=U0&amp;row=6351&amp;col=7&amp;number=0.00248&amp;sourceID=14","0.00248")</f>
        <v>0.00248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HYPERLINK("http://141.218.60.56/~jnz1568/getInfo.php?workbook=20_05.xlsx&amp;sheet=U0&amp;row=6352&amp;col=6&amp;number=3.8&amp;sourceID=14","3.8")</f>
        <v>3.8</v>
      </c>
      <c r="G6352" s="4" t="str">
        <f>HYPERLINK("http://141.218.60.56/~jnz1568/getInfo.php?workbook=20_05.xlsx&amp;sheet=U0&amp;row=6352&amp;col=7&amp;number=0.00248&amp;sourceID=14","0.00248")</f>
        <v>0.00248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HYPERLINK("http://141.218.60.56/~jnz1568/getInfo.php?workbook=20_05.xlsx&amp;sheet=U0&amp;row=6353&amp;col=6&amp;number=3.9&amp;sourceID=14","3.9")</f>
        <v>3.9</v>
      </c>
      <c r="G6353" s="4" t="str">
        <f>HYPERLINK("http://141.218.60.56/~jnz1568/getInfo.php?workbook=20_05.xlsx&amp;sheet=U0&amp;row=6353&amp;col=7&amp;number=0.00248&amp;sourceID=14","0.00248")</f>
        <v>0.00248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HYPERLINK("http://141.218.60.56/~jnz1568/getInfo.php?workbook=20_05.xlsx&amp;sheet=U0&amp;row=6354&amp;col=6&amp;number=4&amp;sourceID=14","4")</f>
        <v>4</v>
      </c>
      <c r="G6354" s="4" t="str">
        <f>HYPERLINK("http://141.218.60.56/~jnz1568/getInfo.php?workbook=20_05.xlsx&amp;sheet=U0&amp;row=6354&amp;col=7&amp;number=0.00248&amp;sourceID=14","0.00248")</f>
        <v>0.00248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HYPERLINK("http://141.218.60.56/~jnz1568/getInfo.php?workbook=20_05.xlsx&amp;sheet=U0&amp;row=6355&amp;col=6&amp;number=4.1&amp;sourceID=14","4.1")</f>
        <v>4.1</v>
      </c>
      <c r="G6355" s="4" t="str">
        <f>HYPERLINK("http://141.218.60.56/~jnz1568/getInfo.php?workbook=20_05.xlsx&amp;sheet=U0&amp;row=6355&amp;col=7&amp;number=0.00248&amp;sourceID=14","0.00248")</f>
        <v>0.00248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HYPERLINK("http://141.218.60.56/~jnz1568/getInfo.php?workbook=20_05.xlsx&amp;sheet=U0&amp;row=6356&amp;col=6&amp;number=4.2&amp;sourceID=14","4.2")</f>
        <v>4.2</v>
      </c>
      <c r="G6356" s="4" t="str">
        <f>HYPERLINK("http://141.218.60.56/~jnz1568/getInfo.php?workbook=20_05.xlsx&amp;sheet=U0&amp;row=6356&amp;col=7&amp;number=0.00248&amp;sourceID=14","0.00248")</f>
        <v>0.00248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HYPERLINK("http://141.218.60.56/~jnz1568/getInfo.php?workbook=20_05.xlsx&amp;sheet=U0&amp;row=6357&amp;col=6&amp;number=4.3&amp;sourceID=14","4.3")</f>
        <v>4.3</v>
      </c>
      <c r="G6357" s="4" t="str">
        <f>HYPERLINK("http://141.218.60.56/~jnz1568/getInfo.php?workbook=20_05.xlsx&amp;sheet=U0&amp;row=6357&amp;col=7&amp;number=0.00248&amp;sourceID=14","0.00248")</f>
        <v>0.00248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HYPERLINK("http://141.218.60.56/~jnz1568/getInfo.php?workbook=20_05.xlsx&amp;sheet=U0&amp;row=6358&amp;col=6&amp;number=4.4&amp;sourceID=14","4.4")</f>
        <v>4.4</v>
      </c>
      <c r="G6358" s="4" t="str">
        <f>HYPERLINK("http://141.218.60.56/~jnz1568/getInfo.php?workbook=20_05.xlsx&amp;sheet=U0&amp;row=6358&amp;col=7&amp;number=0.00249&amp;sourceID=14","0.00249")</f>
        <v>0.00249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HYPERLINK("http://141.218.60.56/~jnz1568/getInfo.php?workbook=20_05.xlsx&amp;sheet=U0&amp;row=6359&amp;col=6&amp;number=4.5&amp;sourceID=14","4.5")</f>
        <v>4.5</v>
      </c>
      <c r="G6359" s="4" t="str">
        <f>HYPERLINK("http://141.218.60.56/~jnz1568/getInfo.php?workbook=20_05.xlsx&amp;sheet=U0&amp;row=6359&amp;col=7&amp;number=0.00249&amp;sourceID=14","0.00249")</f>
        <v>0.00249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HYPERLINK("http://141.218.60.56/~jnz1568/getInfo.php?workbook=20_05.xlsx&amp;sheet=U0&amp;row=6360&amp;col=6&amp;number=4.6&amp;sourceID=14","4.6")</f>
        <v>4.6</v>
      </c>
      <c r="G6360" s="4" t="str">
        <f>HYPERLINK("http://141.218.60.56/~jnz1568/getInfo.php?workbook=20_05.xlsx&amp;sheet=U0&amp;row=6360&amp;col=7&amp;number=0.00249&amp;sourceID=14","0.00249")</f>
        <v>0.00249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HYPERLINK("http://141.218.60.56/~jnz1568/getInfo.php?workbook=20_05.xlsx&amp;sheet=U0&amp;row=6361&amp;col=6&amp;number=4.7&amp;sourceID=14","4.7")</f>
        <v>4.7</v>
      </c>
      <c r="G6361" s="4" t="str">
        <f>HYPERLINK("http://141.218.60.56/~jnz1568/getInfo.php?workbook=20_05.xlsx&amp;sheet=U0&amp;row=6361&amp;col=7&amp;number=0.00249&amp;sourceID=14","0.00249")</f>
        <v>0.00249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HYPERLINK("http://141.218.60.56/~jnz1568/getInfo.php?workbook=20_05.xlsx&amp;sheet=U0&amp;row=6362&amp;col=6&amp;number=4.8&amp;sourceID=14","4.8")</f>
        <v>4.8</v>
      </c>
      <c r="G6362" s="4" t="str">
        <f>HYPERLINK("http://141.218.60.56/~jnz1568/getInfo.php?workbook=20_05.xlsx&amp;sheet=U0&amp;row=6362&amp;col=7&amp;number=0.0025&amp;sourceID=14","0.0025")</f>
        <v>0.0025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HYPERLINK("http://141.218.60.56/~jnz1568/getInfo.php?workbook=20_05.xlsx&amp;sheet=U0&amp;row=6363&amp;col=6&amp;number=4.9&amp;sourceID=14","4.9")</f>
        <v>4.9</v>
      </c>
      <c r="G6363" s="4" t="str">
        <f>HYPERLINK("http://141.218.60.56/~jnz1568/getInfo.php?workbook=20_05.xlsx&amp;sheet=U0&amp;row=6363&amp;col=7&amp;number=0.0025&amp;sourceID=14","0.0025")</f>
        <v>0.0025</v>
      </c>
    </row>
    <row r="6364" spans="1:7">
      <c r="A6364" s="3">
        <v>20</v>
      </c>
      <c r="B6364" s="3">
        <v>5</v>
      </c>
      <c r="C6364" s="3">
        <v>3</v>
      </c>
      <c r="D6364" s="3">
        <v>60</v>
      </c>
      <c r="E6364" s="3">
        <v>1</v>
      </c>
      <c r="F6364" s="4" t="str">
        <f>HYPERLINK("http://141.218.60.56/~jnz1568/getInfo.php?workbook=20_05.xlsx&amp;sheet=U0&amp;row=6364&amp;col=6&amp;number=3&amp;sourceID=14","3")</f>
        <v>3</v>
      </c>
      <c r="G6364" s="4" t="str">
        <f>HYPERLINK("http://141.218.60.56/~jnz1568/getInfo.php?workbook=20_05.xlsx&amp;sheet=U0&amp;row=6364&amp;col=7&amp;number=0.00192&amp;sourceID=14","0.00192")</f>
        <v>0.00192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HYPERLINK("http://141.218.60.56/~jnz1568/getInfo.php?workbook=20_05.xlsx&amp;sheet=U0&amp;row=6365&amp;col=6&amp;number=3.1&amp;sourceID=14","3.1")</f>
        <v>3.1</v>
      </c>
      <c r="G6365" s="4" t="str">
        <f>HYPERLINK("http://141.218.60.56/~jnz1568/getInfo.php?workbook=20_05.xlsx&amp;sheet=U0&amp;row=6365&amp;col=7&amp;number=0.00192&amp;sourceID=14","0.00192")</f>
        <v>0.00192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HYPERLINK("http://141.218.60.56/~jnz1568/getInfo.php?workbook=20_05.xlsx&amp;sheet=U0&amp;row=6366&amp;col=6&amp;number=3.2&amp;sourceID=14","3.2")</f>
        <v>3.2</v>
      </c>
      <c r="G6366" s="4" t="str">
        <f>HYPERLINK("http://141.218.60.56/~jnz1568/getInfo.php?workbook=20_05.xlsx&amp;sheet=U0&amp;row=6366&amp;col=7&amp;number=0.00192&amp;sourceID=14","0.00192")</f>
        <v>0.00192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HYPERLINK("http://141.218.60.56/~jnz1568/getInfo.php?workbook=20_05.xlsx&amp;sheet=U0&amp;row=6367&amp;col=6&amp;number=3.3&amp;sourceID=14","3.3")</f>
        <v>3.3</v>
      </c>
      <c r="G6367" s="4" t="str">
        <f>HYPERLINK("http://141.218.60.56/~jnz1568/getInfo.php?workbook=20_05.xlsx&amp;sheet=U0&amp;row=6367&amp;col=7&amp;number=0.00192&amp;sourceID=14","0.00192")</f>
        <v>0.00192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HYPERLINK("http://141.218.60.56/~jnz1568/getInfo.php?workbook=20_05.xlsx&amp;sheet=U0&amp;row=6368&amp;col=6&amp;number=3.4&amp;sourceID=14","3.4")</f>
        <v>3.4</v>
      </c>
      <c r="G6368" s="4" t="str">
        <f>HYPERLINK("http://141.218.60.56/~jnz1568/getInfo.php?workbook=20_05.xlsx&amp;sheet=U0&amp;row=6368&amp;col=7&amp;number=0.00192&amp;sourceID=14","0.00192")</f>
        <v>0.00192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HYPERLINK("http://141.218.60.56/~jnz1568/getInfo.php?workbook=20_05.xlsx&amp;sheet=U0&amp;row=6369&amp;col=6&amp;number=3.5&amp;sourceID=14","3.5")</f>
        <v>3.5</v>
      </c>
      <c r="G6369" s="4" t="str">
        <f>HYPERLINK("http://141.218.60.56/~jnz1568/getInfo.php?workbook=20_05.xlsx&amp;sheet=U0&amp;row=6369&amp;col=7&amp;number=0.00192&amp;sourceID=14","0.00192")</f>
        <v>0.00192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HYPERLINK("http://141.218.60.56/~jnz1568/getInfo.php?workbook=20_05.xlsx&amp;sheet=U0&amp;row=6370&amp;col=6&amp;number=3.6&amp;sourceID=14","3.6")</f>
        <v>3.6</v>
      </c>
      <c r="G6370" s="4" t="str">
        <f>HYPERLINK("http://141.218.60.56/~jnz1568/getInfo.php?workbook=20_05.xlsx&amp;sheet=U0&amp;row=6370&amp;col=7&amp;number=0.00192&amp;sourceID=14","0.00192")</f>
        <v>0.00192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HYPERLINK("http://141.218.60.56/~jnz1568/getInfo.php?workbook=20_05.xlsx&amp;sheet=U0&amp;row=6371&amp;col=6&amp;number=3.7&amp;sourceID=14","3.7")</f>
        <v>3.7</v>
      </c>
      <c r="G6371" s="4" t="str">
        <f>HYPERLINK("http://141.218.60.56/~jnz1568/getInfo.php?workbook=20_05.xlsx&amp;sheet=U0&amp;row=6371&amp;col=7&amp;number=0.00192&amp;sourceID=14","0.00192")</f>
        <v>0.00192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HYPERLINK("http://141.218.60.56/~jnz1568/getInfo.php?workbook=20_05.xlsx&amp;sheet=U0&amp;row=6372&amp;col=6&amp;number=3.8&amp;sourceID=14","3.8")</f>
        <v>3.8</v>
      </c>
      <c r="G6372" s="4" t="str">
        <f>HYPERLINK("http://141.218.60.56/~jnz1568/getInfo.php?workbook=20_05.xlsx&amp;sheet=U0&amp;row=6372&amp;col=7&amp;number=0.00192&amp;sourceID=14","0.00192")</f>
        <v>0.00192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HYPERLINK("http://141.218.60.56/~jnz1568/getInfo.php?workbook=20_05.xlsx&amp;sheet=U0&amp;row=6373&amp;col=6&amp;number=3.9&amp;sourceID=14","3.9")</f>
        <v>3.9</v>
      </c>
      <c r="G6373" s="4" t="str">
        <f>HYPERLINK("http://141.218.60.56/~jnz1568/getInfo.php?workbook=20_05.xlsx&amp;sheet=U0&amp;row=6373&amp;col=7&amp;number=0.00192&amp;sourceID=14","0.00192")</f>
        <v>0.00192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HYPERLINK("http://141.218.60.56/~jnz1568/getInfo.php?workbook=20_05.xlsx&amp;sheet=U0&amp;row=6374&amp;col=6&amp;number=4&amp;sourceID=14","4")</f>
        <v>4</v>
      </c>
      <c r="G6374" s="4" t="str">
        <f>HYPERLINK("http://141.218.60.56/~jnz1568/getInfo.php?workbook=20_05.xlsx&amp;sheet=U0&amp;row=6374&amp;col=7&amp;number=0.00192&amp;sourceID=14","0.00192")</f>
        <v>0.00192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HYPERLINK("http://141.218.60.56/~jnz1568/getInfo.php?workbook=20_05.xlsx&amp;sheet=U0&amp;row=6375&amp;col=6&amp;number=4.1&amp;sourceID=14","4.1")</f>
        <v>4.1</v>
      </c>
      <c r="G6375" s="4" t="str">
        <f>HYPERLINK("http://141.218.60.56/~jnz1568/getInfo.php?workbook=20_05.xlsx&amp;sheet=U0&amp;row=6375&amp;col=7&amp;number=0.00192&amp;sourceID=14","0.00192")</f>
        <v>0.00192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HYPERLINK("http://141.218.60.56/~jnz1568/getInfo.php?workbook=20_05.xlsx&amp;sheet=U0&amp;row=6376&amp;col=6&amp;number=4.2&amp;sourceID=14","4.2")</f>
        <v>4.2</v>
      </c>
      <c r="G6376" s="4" t="str">
        <f>HYPERLINK("http://141.218.60.56/~jnz1568/getInfo.php?workbook=20_05.xlsx&amp;sheet=U0&amp;row=6376&amp;col=7&amp;number=0.00192&amp;sourceID=14","0.00192")</f>
        <v>0.00192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HYPERLINK("http://141.218.60.56/~jnz1568/getInfo.php?workbook=20_05.xlsx&amp;sheet=U0&amp;row=6377&amp;col=6&amp;number=4.3&amp;sourceID=14","4.3")</f>
        <v>4.3</v>
      </c>
      <c r="G6377" s="4" t="str">
        <f>HYPERLINK("http://141.218.60.56/~jnz1568/getInfo.php?workbook=20_05.xlsx&amp;sheet=U0&amp;row=6377&amp;col=7&amp;number=0.00192&amp;sourceID=14","0.00192")</f>
        <v>0.00192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HYPERLINK("http://141.218.60.56/~jnz1568/getInfo.php?workbook=20_05.xlsx&amp;sheet=U0&amp;row=6378&amp;col=6&amp;number=4.4&amp;sourceID=14","4.4")</f>
        <v>4.4</v>
      </c>
      <c r="G6378" s="4" t="str">
        <f>HYPERLINK("http://141.218.60.56/~jnz1568/getInfo.php?workbook=20_05.xlsx&amp;sheet=U0&amp;row=6378&amp;col=7&amp;number=0.00192&amp;sourceID=14","0.00192")</f>
        <v>0.00192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HYPERLINK("http://141.218.60.56/~jnz1568/getInfo.php?workbook=20_05.xlsx&amp;sheet=U0&amp;row=6379&amp;col=6&amp;number=4.5&amp;sourceID=14","4.5")</f>
        <v>4.5</v>
      </c>
      <c r="G6379" s="4" t="str">
        <f>HYPERLINK("http://141.218.60.56/~jnz1568/getInfo.php?workbook=20_05.xlsx&amp;sheet=U0&amp;row=6379&amp;col=7&amp;number=0.00192&amp;sourceID=14","0.00192")</f>
        <v>0.00192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HYPERLINK("http://141.218.60.56/~jnz1568/getInfo.php?workbook=20_05.xlsx&amp;sheet=U0&amp;row=6380&amp;col=6&amp;number=4.6&amp;sourceID=14","4.6")</f>
        <v>4.6</v>
      </c>
      <c r="G6380" s="4" t="str">
        <f>HYPERLINK("http://141.218.60.56/~jnz1568/getInfo.php?workbook=20_05.xlsx&amp;sheet=U0&amp;row=6380&amp;col=7&amp;number=0.00193&amp;sourceID=14","0.00193")</f>
        <v>0.00193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HYPERLINK("http://141.218.60.56/~jnz1568/getInfo.php?workbook=20_05.xlsx&amp;sheet=U0&amp;row=6381&amp;col=6&amp;number=4.7&amp;sourceID=14","4.7")</f>
        <v>4.7</v>
      </c>
      <c r="G6381" s="4" t="str">
        <f>HYPERLINK("http://141.218.60.56/~jnz1568/getInfo.php?workbook=20_05.xlsx&amp;sheet=U0&amp;row=6381&amp;col=7&amp;number=0.00193&amp;sourceID=14","0.00193")</f>
        <v>0.00193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HYPERLINK("http://141.218.60.56/~jnz1568/getInfo.php?workbook=20_05.xlsx&amp;sheet=U0&amp;row=6382&amp;col=6&amp;number=4.8&amp;sourceID=14","4.8")</f>
        <v>4.8</v>
      </c>
      <c r="G6382" s="4" t="str">
        <f>HYPERLINK("http://141.218.60.56/~jnz1568/getInfo.php?workbook=20_05.xlsx&amp;sheet=U0&amp;row=6382&amp;col=7&amp;number=0.00193&amp;sourceID=14","0.00193")</f>
        <v>0.00193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HYPERLINK("http://141.218.60.56/~jnz1568/getInfo.php?workbook=20_05.xlsx&amp;sheet=U0&amp;row=6383&amp;col=6&amp;number=4.9&amp;sourceID=14","4.9")</f>
        <v>4.9</v>
      </c>
      <c r="G6383" s="4" t="str">
        <f>HYPERLINK("http://141.218.60.56/~jnz1568/getInfo.php?workbook=20_05.xlsx&amp;sheet=U0&amp;row=6383&amp;col=7&amp;number=0.00193&amp;sourceID=14","0.00193")</f>
        <v>0.00193</v>
      </c>
    </row>
    <row r="6384" spans="1:7">
      <c r="A6384" s="3">
        <v>20</v>
      </c>
      <c r="B6384" s="3">
        <v>5</v>
      </c>
      <c r="C6384" s="3">
        <v>3</v>
      </c>
      <c r="D6384" s="3">
        <v>61</v>
      </c>
      <c r="E6384" s="3">
        <v>1</v>
      </c>
      <c r="F6384" s="4" t="str">
        <f>HYPERLINK("http://141.218.60.56/~jnz1568/getInfo.php?workbook=20_05.xlsx&amp;sheet=U0&amp;row=6384&amp;col=6&amp;number=3&amp;sourceID=14","3")</f>
        <v>3</v>
      </c>
      <c r="G6384" s="4" t="str">
        <f>HYPERLINK("http://141.218.60.56/~jnz1568/getInfo.php?workbook=20_05.xlsx&amp;sheet=U0&amp;row=6384&amp;col=7&amp;number=0.00116&amp;sourceID=14","0.00116")</f>
        <v>0.00116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HYPERLINK("http://141.218.60.56/~jnz1568/getInfo.php?workbook=20_05.xlsx&amp;sheet=U0&amp;row=6385&amp;col=6&amp;number=3.1&amp;sourceID=14","3.1")</f>
        <v>3.1</v>
      </c>
      <c r="G6385" s="4" t="str">
        <f>HYPERLINK("http://141.218.60.56/~jnz1568/getInfo.php?workbook=20_05.xlsx&amp;sheet=U0&amp;row=6385&amp;col=7&amp;number=0.00116&amp;sourceID=14","0.00116")</f>
        <v>0.00116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HYPERLINK("http://141.218.60.56/~jnz1568/getInfo.php?workbook=20_05.xlsx&amp;sheet=U0&amp;row=6386&amp;col=6&amp;number=3.2&amp;sourceID=14","3.2")</f>
        <v>3.2</v>
      </c>
      <c r="G6386" s="4" t="str">
        <f>HYPERLINK("http://141.218.60.56/~jnz1568/getInfo.php?workbook=20_05.xlsx&amp;sheet=U0&amp;row=6386&amp;col=7&amp;number=0.00116&amp;sourceID=14","0.00116")</f>
        <v>0.00116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HYPERLINK("http://141.218.60.56/~jnz1568/getInfo.php?workbook=20_05.xlsx&amp;sheet=U0&amp;row=6387&amp;col=6&amp;number=3.3&amp;sourceID=14","3.3")</f>
        <v>3.3</v>
      </c>
      <c r="G6387" s="4" t="str">
        <f>HYPERLINK("http://141.218.60.56/~jnz1568/getInfo.php?workbook=20_05.xlsx&amp;sheet=U0&amp;row=6387&amp;col=7&amp;number=0.00116&amp;sourceID=14","0.00116")</f>
        <v>0.00116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HYPERLINK("http://141.218.60.56/~jnz1568/getInfo.php?workbook=20_05.xlsx&amp;sheet=U0&amp;row=6388&amp;col=6&amp;number=3.4&amp;sourceID=14","3.4")</f>
        <v>3.4</v>
      </c>
      <c r="G6388" s="4" t="str">
        <f>HYPERLINK("http://141.218.60.56/~jnz1568/getInfo.php?workbook=20_05.xlsx&amp;sheet=U0&amp;row=6388&amp;col=7&amp;number=0.00116&amp;sourceID=14","0.00116")</f>
        <v>0.00116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HYPERLINK("http://141.218.60.56/~jnz1568/getInfo.php?workbook=20_05.xlsx&amp;sheet=U0&amp;row=6389&amp;col=6&amp;number=3.5&amp;sourceID=14","3.5")</f>
        <v>3.5</v>
      </c>
      <c r="G6389" s="4" t="str">
        <f>HYPERLINK("http://141.218.60.56/~jnz1568/getInfo.php?workbook=20_05.xlsx&amp;sheet=U0&amp;row=6389&amp;col=7&amp;number=0.00116&amp;sourceID=14","0.00116")</f>
        <v>0.00116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HYPERLINK("http://141.218.60.56/~jnz1568/getInfo.php?workbook=20_05.xlsx&amp;sheet=U0&amp;row=6390&amp;col=6&amp;number=3.6&amp;sourceID=14","3.6")</f>
        <v>3.6</v>
      </c>
      <c r="G6390" s="4" t="str">
        <f>HYPERLINK("http://141.218.60.56/~jnz1568/getInfo.php?workbook=20_05.xlsx&amp;sheet=U0&amp;row=6390&amp;col=7&amp;number=0.00116&amp;sourceID=14","0.00116")</f>
        <v>0.00116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HYPERLINK("http://141.218.60.56/~jnz1568/getInfo.php?workbook=20_05.xlsx&amp;sheet=U0&amp;row=6391&amp;col=6&amp;number=3.7&amp;sourceID=14","3.7")</f>
        <v>3.7</v>
      </c>
      <c r="G6391" s="4" t="str">
        <f>HYPERLINK("http://141.218.60.56/~jnz1568/getInfo.php?workbook=20_05.xlsx&amp;sheet=U0&amp;row=6391&amp;col=7&amp;number=0.00116&amp;sourceID=14","0.00116")</f>
        <v>0.00116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HYPERLINK("http://141.218.60.56/~jnz1568/getInfo.php?workbook=20_05.xlsx&amp;sheet=U0&amp;row=6392&amp;col=6&amp;number=3.8&amp;sourceID=14","3.8")</f>
        <v>3.8</v>
      </c>
      <c r="G6392" s="4" t="str">
        <f>HYPERLINK("http://141.218.60.56/~jnz1568/getInfo.php?workbook=20_05.xlsx&amp;sheet=U0&amp;row=6392&amp;col=7&amp;number=0.00115&amp;sourceID=14","0.00115")</f>
        <v>0.00115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HYPERLINK("http://141.218.60.56/~jnz1568/getInfo.php?workbook=20_05.xlsx&amp;sheet=U0&amp;row=6393&amp;col=6&amp;number=3.9&amp;sourceID=14","3.9")</f>
        <v>3.9</v>
      </c>
      <c r="G6393" s="4" t="str">
        <f>HYPERLINK("http://141.218.60.56/~jnz1568/getInfo.php?workbook=20_05.xlsx&amp;sheet=U0&amp;row=6393&amp;col=7&amp;number=0.00115&amp;sourceID=14","0.00115")</f>
        <v>0.00115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HYPERLINK("http://141.218.60.56/~jnz1568/getInfo.php?workbook=20_05.xlsx&amp;sheet=U0&amp;row=6394&amp;col=6&amp;number=4&amp;sourceID=14","4")</f>
        <v>4</v>
      </c>
      <c r="G6394" s="4" t="str">
        <f>HYPERLINK("http://141.218.60.56/~jnz1568/getInfo.php?workbook=20_05.xlsx&amp;sheet=U0&amp;row=6394&amp;col=7&amp;number=0.00115&amp;sourceID=14","0.00115")</f>
        <v>0.00115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HYPERLINK("http://141.218.60.56/~jnz1568/getInfo.php?workbook=20_05.xlsx&amp;sheet=U0&amp;row=6395&amp;col=6&amp;number=4.1&amp;sourceID=14","4.1")</f>
        <v>4.1</v>
      </c>
      <c r="G6395" s="4" t="str">
        <f>HYPERLINK("http://141.218.60.56/~jnz1568/getInfo.php?workbook=20_05.xlsx&amp;sheet=U0&amp;row=6395&amp;col=7&amp;number=0.00115&amp;sourceID=14","0.00115")</f>
        <v>0.00115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HYPERLINK("http://141.218.60.56/~jnz1568/getInfo.php?workbook=20_05.xlsx&amp;sheet=U0&amp;row=6396&amp;col=6&amp;number=4.2&amp;sourceID=14","4.2")</f>
        <v>4.2</v>
      </c>
      <c r="G6396" s="4" t="str">
        <f>HYPERLINK("http://141.218.60.56/~jnz1568/getInfo.php?workbook=20_05.xlsx&amp;sheet=U0&amp;row=6396&amp;col=7&amp;number=0.00115&amp;sourceID=14","0.00115")</f>
        <v>0.00115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HYPERLINK("http://141.218.60.56/~jnz1568/getInfo.php?workbook=20_05.xlsx&amp;sheet=U0&amp;row=6397&amp;col=6&amp;number=4.3&amp;sourceID=14","4.3")</f>
        <v>4.3</v>
      </c>
      <c r="G6397" s="4" t="str">
        <f>HYPERLINK("http://141.218.60.56/~jnz1568/getInfo.php?workbook=20_05.xlsx&amp;sheet=U0&amp;row=6397&amp;col=7&amp;number=0.00115&amp;sourceID=14","0.00115")</f>
        <v>0.00115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HYPERLINK("http://141.218.60.56/~jnz1568/getInfo.php?workbook=20_05.xlsx&amp;sheet=U0&amp;row=6398&amp;col=6&amp;number=4.4&amp;sourceID=14","4.4")</f>
        <v>4.4</v>
      </c>
      <c r="G6398" s="4" t="str">
        <f>HYPERLINK("http://141.218.60.56/~jnz1568/getInfo.php?workbook=20_05.xlsx&amp;sheet=U0&amp;row=6398&amp;col=7&amp;number=0.00115&amp;sourceID=14","0.00115")</f>
        <v>0.00115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HYPERLINK("http://141.218.60.56/~jnz1568/getInfo.php?workbook=20_05.xlsx&amp;sheet=U0&amp;row=6399&amp;col=6&amp;number=4.5&amp;sourceID=14","4.5")</f>
        <v>4.5</v>
      </c>
      <c r="G6399" s="4" t="str">
        <f>HYPERLINK("http://141.218.60.56/~jnz1568/getInfo.php?workbook=20_05.xlsx&amp;sheet=U0&amp;row=6399&amp;col=7&amp;number=0.00115&amp;sourceID=14","0.00115")</f>
        <v>0.00115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HYPERLINK("http://141.218.60.56/~jnz1568/getInfo.php?workbook=20_05.xlsx&amp;sheet=U0&amp;row=6400&amp;col=6&amp;number=4.6&amp;sourceID=14","4.6")</f>
        <v>4.6</v>
      </c>
      <c r="G6400" s="4" t="str">
        <f>HYPERLINK("http://141.218.60.56/~jnz1568/getInfo.php?workbook=20_05.xlsx&amp;sheet=U0&amp;row=6400&amp;col=7&amp;number=0.00114&amp;sourceID=14","0.00114")</f>
        <v>0.00114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HYPERLINK("http://141.218.60.56/~jnz1568/getInfo.php?workbook=20_05.xlsx&amp;sheet=U0&amp;row=6401&amp;col=6&amp;number=4.7&amp;sourceID=14","4.7")</f>
        <v>4.7</v>
      </c>
      <c r="G6401" s="4" t="str">
        <f>HYPERLINK("http://141.218.60.56/~jnz1568/getInfo.php?workbook=20_05.xlsx&amp;sheet=U0&amp;row=6401&amp;col=7&amp;number=0.00114&amp;sourceID=14","0.00114")</f>
        <v>0.00114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HYPERLINK("http://141.218.60.56/~jnz1568/getInfo.php?workbook=20_05.xlsx&amp;sheet=U0&amp;row=6402&amp;col=6&amp;number=4.8&amp;sourceID=14","4.8")</f>
        <v>4.8</v>
      </c>
      <c r="G6402" s="4" t="str">
        <f>HYPERLINK("http://141.218.60.56/~jnz1568/getInfo.php?workbook=20_05.xlsx&amp;sheet=U0&amp;row=6402&amp;col=7&amp;number=0.00114&amp;sourceID=14","0.00114")</f>
        <v>0.00114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HYPERLINK("http://141.218.60.56/~jnz1568/getInfo.php?workbook=20_05.xlsx&amp;sheet=U0&amp;row=6403&amp;col=6&amp;number=4.9&amp;sourceID=14","4.9")</f>
        <v>4.9</v>
      </c>
      <c r="G6403" s="4" t="str">
        <f>HYPERLINK("http://141.218.60.56/~jnz1568/getInfo.php?workbook=20_05.xlsx&amp;sheet=U0&amp;row=6403&amp;col=7&amp;number=0.00113&amp;sourceID=14","0.00113")</f>
        <v>0.00113</v>
      </c>
    </row>
    <row r="6404" spans="1:7">
      <c r="A6404" s="3">
        <v>20</v>
      </c>
      <c r="B6404" s="3">
        <v>5</v>
      </c>
      <c r="C6404" s="3">
        <v>3</v>
      </c>
      <c r="D6404" s="3">
        <v>62</v>
      </c>
      <c r="E6404" s="3">
        <v>1</v>
      </c>
      <c r="F6404" s="4" t="str">
        <f>HYPERLINK("http://141.218.60.56/~jnz1568/getInfo.php?workbook=20_05.xlsx&amp;sheet=U0&amp;row=6404&amp;col=6&amp;number=3&amp;sourceID=14","3")</f>
        <v>3</v>
      </c>
      <c r="G6404" s="4" t="str">
        <f>HYPERLINK("http://141.218.60.56/~jnz1568/getInfo.php?workbook=20_05.xlsx&amp;sheet=U0&amp;row=6404&amp;col=7&amp;number=0.000513&amp;sourceID=14","0.000513")</f>
        <v>0.000513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HYPERLINK("http://141.218.60.56/~jnz1568/getInfo.php?workbook=20_05.xlsx&amp;sheet=U0&amp;row=6405&amp;col=6&amp;number=3.1&amp;sourceID=14","3.1")</f>
        <v>3.1</v>
      </c>
      <c r="G6405" s="4" t="str">
        <f>HYPERLINK("http://141.218.60.56/~jnz1568/getInfo.php?workbook=20_05.xlsx&amp;sheet=U0&amp;row=6405&amp;col=7&amp;number=0.000513&amp;sourceID=14","0.000513")</f>
        <v>0.000513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HYPERLINK("http://141.218.60.56/~jnz1568/getInfo.php?workbook=20_05.xlsx&amp;sheet=U0&amp;row=6406&amp;col=6&amp;number=3.2&amp;sourceID=14","3.2")</f>
        <v>3.2</v>
      </c>
      <c r="G6406" s="4" t="str">
        <f>HYPERLINK("http://141.218.60.56/~jnz1568/getInfo.php?workbook=20_05.xlsx&amp;sheet=U0&amp;row=6406&amp;col=7&amp;number=0.000512&amp;sourceID=14","0.000512")</f>
        <v>0.000512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HYPERLINK("http://141.218.60.56/~jnz1568/getInfo.php?workbook=20_05.xlsx&amp;sheet=U0&amp;row=6407&amp;col=6&amp;number=3.3&amp;sourceID=14","3.3")</f>
        <v>3.3</v>
      </c>
      <c r="G6407" s="4" t="str">
        <f>HYPERLINK("http://141.218.60.56/~jnz1568/getInfo.php?workbook=20_05.xlsx&amp;sheet=U0&amp;row=6407&amp;col=7&amp;number=0.000512&amp;sourceID=14","0.000512")</f>
        <v>0.000512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HYPERLINK("http://141.218.60.56/~jnz1568/getInfo.php?workbook=20_05.xlsx&amp;sheet=U0&amp;row=6408&amp;col=6&amp;number=3.4&amp;sourceID=14","3.4")</f>
        <v>3.4</v>
      </c>
      <c r="G6408" s="4" t="str">
        <f>HYPERLINK("http://141.218.60.56/~jnz1568/getInfo.php?workbook=20_05.xlsx&amp;sheet=U0&amp;row=6408&amp;col=7&amp;number=0.000512&amp;sourceID=14","0.000512")</f>
        <v>0.000512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HYPERLINK("http://141.218.60.56/~jnz1568/getInfo.php?workbook=20_05.xlsx&amp;sheet=U0&amp;row=6409&amp;col=6&amp;number=3.5&amp;sourceID=14","3.5")</f>
        <v>3.5</v>
      </c>
      <c r="G6409" s="4" t="str">
        <f>HYPERLINK("http://141.218.60.56/~jnz1568/getInfo.php?workbook=20_05.xlsx&amp;sheet=U0&amp;row=6409&amp;col=7&amp;number=0.000512&amp;sourceID=14","0.000512")</f>
        <v>0.000512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HYPERLINK("http://141.218.60.56/~jnz1568/getInfo.php?workbook=20_05.xlsx&amp;sheet=U0&amp;row=6410&amp;col=6&amp;number=3.6&amp;sourceID=14","3.6")</f>
        <v>3.6</v>
      </c>
      <c r="G6410" s="4" t="str">
        <f>HYPERLINK("http://141.218.60.56/~jnz1568/getInfo.php?workbook=20_05.xlsx&amp;sheet=U0&amp;row=6410&amp;col=7&amp;number=0.000512&amp;sourceID=14","0.000512")</f>
        <v>0.000512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HYPERLINK("http://141.218.60.56/~jnz1568/getInfo.php?workbook=20_05.xlsx&amp;sheet=U0&amp;row=6411&amp;col=6&amp;number=3.7&amp;sourceID=14","3.7")</f>
        <v>3.7</v>
      </c>
      <c r="G6411" s="4" t="str">
        <f>HYPERLINK("http://141.218.60.56/~jnz1568/getInfo.php?workbook=20_05.xlsx&amp;sheet=U0&amp;row=6411&amp;col=7&amp;number=0.000512&amp;sourceID=14","0.000512")</f>
        <v>0.000512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HYPERLINK("http://141.218.60.56/~jnz1568/getInfo.php?workbook=20_05.xlsx&amp;sheet=U0&amp;row=6412&amp;col=6&amp;number=3.8&amp;sourceID=14","3.8")</f>
        <v>3.8</v>
      </c>
      <c r="G6412" s="4" t="str">
        <f>HYPERLINK("http://141.218.60.56/~jnz1568/getInfo.php?workbook=20_05.xlsx&amp;sheet=U0&amp;row=6412&amp;col=7&amp;number=0.000512&amp;sourceID=14","0.000512")</f>
        <v>0.000512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HYPERLINK("http://141.218.60.56/~jnz1568/getInfo.php?workbook=20_05.xlsx&amp;sheet=U0&amp;row=6413&amp;col=6&amp;number=3.9&amp;sourceID=14","3.9")</f>
        <v>3.9</v>
      </c>
      <c r="G6413" s="4" t="str">
        <f>HYPERLINK("http://141.218.60.56/~jnz1568/getInfo.php?workbook=20_05.xlsx&amp;sheet=U0&amp;row=6413&amp;col=7&amp;number=0.000512&amp;sourceID=14","0.000512")</f>
        <v>0.000512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HYPERLINK("http://141.218.60.56/~jnz1568/getInfo.php?workbook=20_05.xlsx&amp;sheet=U0&amp;row=6414&amp;col=6&amp;number=4&amp;sourceID=14","4")</f>
        <v>4</v>
      </c>
      <c r="G6414" s="4" t="str">
        <f>HYPERLINK("http://141.218.60.56/~jnz1568/getInfo.php?workbook=20_05.xlsx&amp;sheet=U0&amp;row=6414&amp;col=7&amp;number=0.000511&amp;sourceID=14","0.000511")</f>
        <v>0.000511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HYPERLINK("http://141.218.60.56/~jnz1568/getInfo.php?workbook=20_05.xlsx&amp;sheet=U0&amp;row=6415&amp;col=6&amp;number=4.1&amp;sourceID=14","4.1")</f>
        <v>4.1</v>
      </c>
      <c r="G6415" s="4" t="str">
        <f>HYPERLINK("http://141.218.60.56/~jnz1568/getInfo.php?workbook=20_05.xlsx&amp;sheet=U0&amp;row=6415&amp;col=7&amp;number=0.000511&amp;sourceID=14","0.000511")</f>
        <v>0.000511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HYPERLINK("http://141.218.60.56/~jnz1568/getInfo.php?workbook=20_05.xlsx&amp;sheet=U0&amp;row=6416&amp;col=6&amp;number=4.2&amp;sourceID=14","4.2")</f>
        <v>4.2</v>
      </c>
      <c r="G6416" s="4" t="str">
        <f>HYPERLINK("http://141.218.60.56/~jnz1568/getInfo.php?workbook=20_05.xlsx&amp;sheet=U0&amp;row=6416&amp;col=7&amp;number=0.000511&amp;sourceID=14","0.000511")</f>
        <v>0.000511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HYPERLINK("http://141.218.60.56/~jnz1568/getInfo.php?workbook=20_05.xlsx&amp;sheet=U0&amp;row=6417&amp;col=6&amp;number=4.3&amp;sourceID=14","4.3")</f>
        <v>4.3</v>
      </c>
      <c r="G6417" s="4" t="str">
        <f>HYPERLINK("http://141.218.60.56/~jnz1568/getInfo.php?workbook=20_05.xlsx&amp;sheet=U0&amp;row=6417&amp;col=7&amp;number=0.00051&amp;sourceID=14","0.00051")</f>
        <v>0.00051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HYPERLINK("http://141.218.60.56/~jnz1568/getInfo.php?workbook=20_05.xlsx&amp;sheet=U0&amp;row=6418&amp;col=6&amp;number=4.4&amp;sourceID=14","4.4")</f>
        <v>4.4</v>
      </c>
      <c r="G6418" s="4" t="str">
        <f>HYPERLINK("http://141.218.60.56/~jnz1568/getInfo.php?workbook=20_05.xlsx&amp;sheet=U0&amp;row=6418&amp;col=7&amp;number=0.000509&amp;sourceID=14","0.000509")</f>
        <v>0.000509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HYPERLINK("http://141.218.60.56/~jnz1568/getInfo.php?workbook=20_05.xlsx&amp;sheet=U0&amp;row=6419&amp;col=6&amp;number=4.5&amp;sourceID=14","4.5")</f>
        <v>4.5</v>
      </c>
      <c r="G6419" s="4" t="str">
        <f>HYPERLINK("http://141.218.60.56/~jnz1568/getInfo.php?workbook=20_05.xlsx&amp;sheet=U0&amp;row=6419&amp;col=7&amp;number=0.000508&amp;sourceID=14","0.000508")</f>
        <v>0.000508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HYPERLINK("http://141.218.60.56/~jnz1568/getInfo.php?workbook=20_05.xlsx&amp;sheet=U0&amp;row=6420&amp;col=6&amp;number=4.6&amp;sourceID=14","4.6")</f>
        <v>4.6</v>
      </c>
      <c r="G6420" s="4" t="str">
        <f>HYPERLINK("http://141.218.60.56/~jnz1568/getInfo.php?workbook=20_05.xlsx&amp;sheet=U0&amp;row=6420&amp;col=7&amp;number=0.000507&amp;sourceID=14","0.000507")</f>
        <v>0.000507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HYPERLINK("http://141.218.60.56/~jnz1568/getInfo.php?workbook=20_05.xlsx&amp;sheet=U0&amp;row=6421&amp;col=6&amp;number=4.7&amp;sourceID=14","4.7")</f>
        <v>4.7</v>
      </c>
      <c r="G6421" s="4" t="str">
        <f>HYPERLINK("http://141.218.60.56/~jnz1568/getInfo.php?workbook=20_05.xlsx&amp;sheet=U0&amp;row=6421&amp;col=7&amp;number=0.000506&amp;sourceID=14","0.000506")</f>
        <v>0.000506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HYPERLINK("http://141.218.60.56/~jnz1568/getInfo.php?workbook=20_05.xlsx&amp;sheet=U0&amp;row=6422&amp;col=6&amp;number=4.8&amp;sourceID=14","4.8")</f>
        <v>4.8</v>
      </c>
      <c r="G6422" s="4" t="str">
        <f>HYPERLINK("http://141.218.60.56/~jnz1568/getInfo.php?workbook=20_05.xlsx&amp;sheet=U0&amp;row=6422&amp;col=7&amp;number=0.000504&amp;sourceID=14","0.000504")</f>
        <v>0.000504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HYPERLINK("http://141.218.60.56/~jnz1568/getInfo.php?workbook=20_05.xlsx&amp;sheet=U0&amp;row=6423&amp;col=6&amp;number=4.9&amp;sourceID=14","4.9")</f>
        <v>4.9</v>
      </c>
      <c r="G6423" s="4" t="str">
        <f>HYPERLINK("http://141.218.60.56/~jnz1568/getInfo.php?workbook=20_05.xlsx&amp;sheet=U0&amp;row=6423&amp;col=7&amp;number=0.000502&amp;sourceID=14","0.000502")</f>
        <v>0.000502</v>
      </c>
    </row>
    <row r="6424" spans="1:7">
      <c r="A6424" s="3">
        <v>20</v>
      </c>
      <c r="B6424" s="3">
        <v>5</v>
      </c>
      <c r="C6424" s="3">
        <v>3</v>
      </c>
      <c r="D6424" s="3">
        <v>63</v>
      </c>
      <c r="E6424" s="3">
        <v>1</v>
      </c>
      <c r="F6424" s="4" t="str">
        <f>HYPERLINK("http://141.218.60.56/~jnz1568/getInfo.php?workbook=20_05.xlsx&amp;sheet=U0&amp;row=6424&amp;col=6&amp;number=3&amp;sourceID=14","3")</f>
        <v>3</v>
      </c>
      <c r="G6424" s="4" t="str">
        <f>HYPERLINK("http://141.218.60.56/~jnz1568/getInfo.php?workbook=20_05.xlsx&amp;sheet=U0&amp;row=6424&amp;col=7&amp;number=0.000184&amp;sourceID=14","0.000184")</f>
        <v>0.000184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HYPERLINK("http://141.218.60.56/~jnz1568/getInfo.php?workbook=20_05.xlsx&amp;sheet=U0&amp;row=6425&amp;col=6&amp;number=3.1&amp;sourceID=14","3.1")</f>
        <v>3.1</v>
      </c>
      <c r="G6425" s="4" t="str">
        <f>HYPERLINK("http://141.218.60.56/~jnz1568/getInfo.php?workbook=20_05.xlsx&amp;sheet=U0&amp;row=6425&amp;col=7&amp;number=0.000184&amp;sourceID=14","0.000184")</f>
        <v>0.000184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HYPERLINK("http://141.218.60.56/~jnz1568/getInfo.php?workbook=20_05.xlsx&amp;sheet=U0&amp;row=6426&amp;col=6&amp;number=3.2&amp;sourceID=14","3.2")</f>
        <v>3.2</v>
      </c>
      <c r="G6426" s="4" t="str">
        <f>HYPERLINK("http://141.218.60.56/~jnz1568/getInfo.php?workbook=20_05.xlsx&amp;sheet=U0&amp;row=6426&amp;col=7&amp;number=0.000184&amp;sourceID=14","0.000184")</f>
        <v>0.000184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HYPERLINK("http://141.218.60.56/~jnz1568/getInfo.php?workbook=20_05.xlsx&amp;sheet=U0&amp;row=6427&amp;col=6&amp;number=3.3&amp;sourceID=14","3.3")</f>
        <v>3.3</v>
      </c>
      <c r="G6427" s="4" t="str">
        <f>HYPERLINK("http://141.218.60.56/~jnz1568/getInfo.php?workbook=20_05.xlsx&amp;sheet=U0&amp;row=6427&amp;col=7&amp;number=0.000184&amp;sourceID=14","0.000184")</f>
        <v>0.000184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HYPERLINK("http://141.218.60.56/~jnz1568/getInfo.php?workbook=20_05.xlsx&amp;sheet=U0&amp;row=6428&amp;col=6&amp;number=3.4&amp;sourceID=14","3.4")</f>
        <v>3.4</v>
      </c>
      <c r="G6428" s="4" t="str">
        <f>HYPERLINK("http://141.218.60.56/~jnz1568/getInfo.php?workbook=20_05.xlsx&amp;sheet=U0&amp;row=6428&amp;col=7&amp;number=0.000184&amp;sourceID=14","0.000184")</f>
        <v>0.000184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HYPERLINK("http://141.218.60.56/~jnz1568/getInfo.php?workbook=20_05.xlsx&amp;sheet=U0&amp;row=6429&amp;col=6&amp;number=3.5&amp;sourceID=14","3.5")</f>
        <v>3.5</v>
      </c>
      <c r="G6429" s="4" t="str">
        <f>HYPERLINK("http://141.218.60.56/~jnz1568/getInfo.php?workbook=20_05.xlsx&amp;sheet=U0&amp;row=6429&amp;col=7&amp;number=0.000184&amp;sourceID=14","0.000184")</f>
        <v>0.000184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HYPERLINK("http://141.218.60.56/~jnz1568/getInfo.php?workbook=20_05.xlsx&amp;sheet=U0&amp;row=6430&amp;col=6&amp;number=3.6&amp;sourceID=14","3.6")</f>
        <v>3.6</v>
      </c>
      <c r="G6430" s="4" t="str">
        <f>HYPERLINK("http://141.218.60.56/~jnz1568/getInfo.php?workbook=20_05.xlsx&amp;sheet=U0&amp;row=6430&amp;col=7&amp;number=0.000184&amp;sourceID=14","0.000184")</f>
        <v>0.000184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HYPERLINK("http://141.218.60.56/~jnz1568/getInfo.php?workbook=20_05.xlsx&amp;sheet=U0&amp;row=6431&amp;col=6&amp;number=3.7&amp;sourceID=14","3.7")</f>
        <v>3.7</v>
      </c>
      <c r="G6431" s="4" t="str">
        <f>HYPERLINK("http://141.218.60.56/~jnz1568/getInfo.php?workbook=20_05.xlsx&amp;sheet=U0&amp;row=6431&amp;col=7&amp;number=0.000184&amp;sourceID=14","0.000184")</f>
        <v>0.000184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HYPERLINK("http://141.218.60.56/~jnz1568/getInfo.php?workbook=20_05.xlsx&amp;sheet=U0&amp;row=6432&amp;col=6&amp;number=3.8&amp;sourceID=14","3.8")</f>
        <v>3.8</v>
      </c>
      <c r="G6432" s="4" t="str">
        <f>HYPERLINK("http://141.218.60.56/~jnz1568/getInfo.php?workbook=20_05.xlsx&amp;sheet=U0&amp;row=6432&amp;col=7&amp;number=0.000184&amp;sourceID=14","0.000184")</f>
        <v>0.000184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HYPERLINK("http://141.218.60.56/~jnz1568/getInfo.php?workbook=20_05.xlsx&amp;sheet=U0&amp;row=6433&amp;col=6&amp;number=3.9&amp;sourceID=14","3.9")</f>
        <v>3.9</v>
      </c>
      <c r="G6433" s="4" t="str">
        <f>HYPERLINK("http://141.218.60.56/~jnz1568/getInfo.php?workbook=20_05.xlsx&amp;sheet=U0&amp;row=6433&amp;col=7&amp;number=0.000184&amp;sourceID=14","0.000184")</f>
        <v>0.000184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HYPERLINK("http://141.218.60.56/~jnz1568/getInfo.php?workbook=20_05.xlsx&amp;sheet=U0&amp;row=6434&amp;col=6&amp;number=4&amp;sourceID=14","4")</f>
        <v>4</v>
      </c>
      <c r="G6434" s="4" t="str">
        <f>HYPERLINK("http://141.218.60.56/~jnz1568/getInfo.php?workbook=20_05.xlsx&amp;sheet=U0&amp;row=6434&amp;col=7&amp;number=0.000184&amp;sourceID=14","0.000184")</f>
        <v>0.000184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HYPERLINK("http://141.218.60.56/~jnz1568/getInfo.php?workbook=20_05.xlsx&amp;sheet=U0&amp;row=6435&amp;col=6&amp;number=4.1&amp;sourceID=14","4.1")</f>
        <v>4.1</v>
      </c>
      <c r="G6435" s="4" t="str">
        <f>HYPERLINK("http://141.218.60.56/~jnz1568/getInfo.php?workbook=20_05.xlsx&amp;sheet=U0&amp;row=6435&amp;col=7&amp;number=0.000184&amp;sourceID=14","0.000184")</f>
        <v>0.000184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HYPERLINK("http://141.218.60.56/~jnz1568/getInfo.php?workbook=20_05.xlsx&amp;sheet=U0&amp;row=6436&amp;col=6&amp;number=4.2&amp;sourceID=14","4.2")</f>
        <v>4.2</v>
      </c>
      <c r="G6436" s="4" t="str">
        <f>HYPERLINK("http://141.218.60.56/~jnz1568/getInfo.php?workbook=20_05.xlsx&amp;sheet=U0&amp;row=6436&amp;col=7&amp;number=0.000183&amp;sourceID=14","0.000183")</f>
        <v>0.000183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HYPERLINK("http://141.218.60.56/~jnz1568/getInfo.php?workbook=20_05.xlsx&amp;sheet=U0&amp;row=6437&amp;col=6&amp;number=4.3&amp;sourceID=14","4.3")</f>
        <v>4.3</v>
      </c>
      <c r="G6437" s="4" t="str">
        <f>HYPERLINK("http://141.218.60.56/~jnz1568/getInfo.php?workbook=20_05.xlsx&amp;sheet=U0&amp;row=6437&amp;col=7&amp;number=0.000183&amp;sourceID=14","0.000183")</f>
        <v>0.000183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HYPERLINK("http://141.218.60.56/~jnz1568/getInfo.php?workbook=20_05.xlsx&amp;sheet=U0&amp;row=6438&amp;col=6&amp;number=4.4&amp;sourceID=14","4.4")</f>
        <v>4.4</v>
      </c>
      <c r="G6438" s="4" t="str">
        <f>HYPERLINK("http://141.218.60.56/~jnz1568/getInfo.php?workbook=20_05.xlsx&amp;sheet=U0&amp;row=6438&amp;col=7&amp;number=0.000183&amp;sourceID=14","0.000183")</f>
        <v>0.000183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HYPERLINK("http://141.218.60.56/~jnz1568/getInfo.php?workbook=20_05.xlsx&amp;sheet=U0&amp;row=6439&amp;col=6&amp;number=4.5&amp;sourceID=14","4.5")</f>
        <v>4.5</v>
      </c>
      <c r="G6439" s="4" t="str">
        <f>HYPERLINK("http://141.218.60.56/~jnz1568/getInfo.php?workbook=20_05.xlsx&amp;sheet=U0&amp;row=6439&amp;col=7&amp;number=0.000183&amp;sourceID=14","0.000183")</f>
        <v>0.000183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HYPERLINK("http://141.218.60.56/~jnz1568/getInfo.php?workbook=20_05.xlsx&amp;sheet=U0&amp;row=6440&amp;col=6&amp;number=4.6&amp;sourceID=14","4.6")</f>
        <v>4.6</v>
      </c>
      <c r="G6440" s="4" t="str">
        <f>HYPERLINK("http://141.218.60.56/~jnz1568/getInfo.php?workbook=20_05.xlsx&amp;sheet=U0&amp;row=6440&amp;col=7&amp;number=0.000182&amp;sourceID=14","0.000182")</f>
        <v>0.000182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HYPERLINK("http://141.218.60.56/~jnz1568/getInfo.php?workbook=20_05.xlsx&amp;sheet=U0&amp;row=6441&amp;col=6&amp;number=4.7&amp;sourceID=14","4.7")</f>
        <v>4.7</v>
      </c>
      <c r="G6441" s="4" t="str">
        <f>HYPERLINK("http://141.218.60.56/~jnz1568/getInfo.php?workbook=20_05.xlsx&amp;sheet=U0&amp;row=6441&amp;col=7&amp;number=0.000182&amp;sourceID=14","0.000182")</f>
        <v>0.000182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HYPERLINK("http://141.218.60.56/~jnz1568/getInfo.php?workbook=20_05.xlsx&amp;sheet=U0&amp;row=6442&amp;col=6&amp;number=4.8&amp;sourceID=14","4.8")</f>
        <v>4.8</v>
      </c>
      <c r="G6442" s="4" t="str">
        <f>HYPERLINK("http://141.218.60.56/~jnz1568/getInfo.php?workbook=20_05.xlsx&amp;sheet=U0&amp;row=6442&amp;col=7&amp;number=0.000181&amp;sourceID=14","0.000181")</f>
        <v>0.000181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HYPERLINK("http://141.218.60.56/~jnz1568/getInfo.php?workbook=20_05.xlsx&amp;sheet=U0&amp;row=6443&amp;col=6&amp;number=4.9&amp;sourceID=14","4.9")</f>
        <v>4.9</v>
      </c>
      <c r="G6443" s="4" t="str">
        <f>HYPERLINK("http://141.218.60.56/~jnz1568/getInfo.php?workbook=20_05.xlsx&amp;sheet=U0&amp;row=6443&amp;col=7&amp;number=0.00018&amp;sourceID=14","0.00018")</f>
        <v>0.00018</v>
      </c>
    </row>
    <row r="6444" spans="1:7">
      <c r="A6444" s="3">
        <v>20</v>
      </c>
      <c r="B6444" s="3">
        <v>5</v>
      </c>
      <c r="C6444" s="3">
        <v>3</v>
      </c>
      <c r="D6444" s="3">
        <v>64</v>
      </c>
      <c r="E6444" s="3">
        <v>1</v>
      </c>
      <c r="F6444" s="4" t="str">
        <f>HYPERLINK("http://141.218.60.56/~jnz1568/getInfo.php?workbook=20_05.xlsx&amp;sheet=U0&amp;row=6444&amp;col=6&amp;number=3&amp;sourceID=14","3")</f>
        <v>3</v>
      </c>
      <c r="G6444" s="4" t="str">
        <f>HYPERLINK("http://141.218.60.56/~jnz1568/getInfo.php?workbook=20_05.xlsx&amp;sheet=U0&amp;row=6444&amp;col=7&amp;number=7.91e-06&amp;sourceID=14","7.91e-06")</f>
        <v>7.91e-06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HYPERLINK("http://141.218.60.56/~jnz1568/getInfo.php?workbook=20_05.xlsx&amp;sheet=U0&amp;row=6445&amp;col=6&amp;number=3.1&amp;sourceID=14","3.1")</f>
        <v>3.1</v>
      </c>
      <c r="G6445" s="4" t="str">
        <f>HYPERLINK("http://141.218.60.56/~jnz1568/getInfo.php?workbook=20_05.xlsx&amp;sheet=U0&amp;row=6445&amp;col=7&amp;number=7.91e-06&amp;sourceID=14","7.91e-06")</f>
        <v>7.91e-06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HYPERLINK("http://141.218.60.56/~jnz1568/getInfo.php?workbook=20_05.xlsx&amp;sheet=U0&amp;row=6446&amp;col=6&amp;number=3.2&amp;sourceID=14","3.2")</f>
        <v>3.2</v>
      </c>
      <c r="G6446" s="4" t="str">
        <f>HYPERLINK("http://141.218.60.56/~jnz1568/getInfo.php?workbook=20_05.xlsx&amp;sheet=U0&amp;row=6446&amp;col=7&amp;number=7.91e-06&amp;sourceID=14","7.91e-06")</f>
        <v>7.91e-06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HYPERLINK("http://141.218.60.56/~jnz1568/getInfo.php?workbook=20_05.xlsx&amp;sheet=U0&amp;row=6447&amp;col=6&amp;number=3.3&amp;sourceID=14","3.3")</f>
        <v>3.3</v>
      </c>
      <c r="G6447" s="4" t="str">
        <f>HYPERLINK("http://141.218.60.56/~jnz1568/getInfo.php?workbook=20_05.xlsx&amp;sheet=U0&amp;row=6447&amp;col=7&amp;number=7.91e-06&amp;sourceID=14","7.91e-06")</f>
        <v>7.91e-06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HYPERLINK("http://141.218.60.56/~jnz1568/getInfo.php?workbook=20_05.xlsx&amp;sheet=U0&amp;row=6448&amp;col=6&amp;number=3.4&amp;sourceID=14","3.4")</f>
        <v>3.4</v>
      </c>
      <c r="G6448" s="4" t="str">
        <f>HYPERLINK("http://141.218.60.56/~jnz1568/getInfo.php?workbook=20_05.xlsx&amp;sheet=U0&amp;row=6448&amp;col=7&amp;number=7.91e-06&amp;sourceID=14","7.91e-06")</f>
        <v>7.91e-06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HYPERLINK("http://141.218.60.56/~jnz1568/getInfo.php?workbook=20_05.xlsx&amp;sheet=U0&amp;row=6449&amp;col=6&amp;number=3.5&amp;sourceID=14","3.5")</f>
        <v>3.5</v>
      </c>
      <c r="G6449" s="4" t="str">
        <f>HYPERLINK("http://141.218.60.56/~jnz1568/getInfo.php?workbook=20_05.xlsx&amp;sheet=U0&amp;row=6449&amp;col=7&amp;number=7.91e-06&amp;sourceID=14","7.91e-06")</f>
        <v>7.91e-06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HYPERLINK("http://141.218.60.56/~jnz1568/getInfo.php?workbook=20_05.xlsx&amp;sheet=U0&amp;row=6450&amp;col=6&amp;number=3.6&amp;sourceID=14","3.6")</f>
        <v>3.6</v>
      </c>
      <c r="G6450" s="4" t="str">
        <f>HYPERLINK("http://141.218.60.56/~jnz1568/getInfo.php?workbook=20_05.xlsx&amp;sheet=U0&amp;row=6450&amp;col=7&amp;number=7.91e-06&amp;sourceID=14","7.91e-06")</f>
        <v>7.91e-06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HYPERLINK("http://141.218.60.56/~jnz1568/getInfo.php?workbook=20_05.xlsx&amp;sheet=U0&amp;row=6451&amp;col=6&amp;number=3.7&amp;sourceID=14","3.7")</f>
        <v>3.7</v>
      </c>
      <c r="G6451" s="4" t="str">
        <f>HYPERLINK("http://141.218.60.56/~jnz1568/getInfo.php?workbook=20_05.xlsx&amp;sheet=U0&amp;row=6451&amp;col=7&amp;number=7.91e-06&amp;sourceID=14","7.91e-06")</f>
        <v>7.91e-06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HYPERLINK("http://141.218.60.56/~jnz1568/getInfo.php?workbook=20_05.xlsx&amp;sheet=U0&amp;row=6452&amp;col=6&amp;number=3.8&amp;sourceID=14","3.8")</f>
        <v>3.8</v>
      </c>
      <c r="G6452" s="4" t="str">
        <f>HYPERLINK("http://141.218.60.56/~jnz1568/getInfo.php?workbook=20_05.xlsx&amp;sheet=U0&amp;row=6452&amp;col=7&amp;number=7.91e-06&amp;sourceID=14","7.91e-06")</f>
        <v>7.91e-06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HYPERLINK("http://141.218.60.56/~jnz1568/getInfo.php?workbook=20_05.xlsx&amp;sheet=U0&amp;row=6453&amp;col=6&amp;number=3.9&amp;sourceID=14","3.9")</f>
        <v>3.9</v>
      </c>
      <c r="G6453" s="4" t="str">
        <f>HYPERLINK("http://141.218.60.56/~jnz1568/getInfo.php?workbook=20_05.xlsx&amp;sheet=U0&amp;row=6453&amp;col=7&amp;number=7.91e-06&amp;sourceID=14","7.91e-06")</f>
        <v>7.91e-06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HYPERLINK("http://141.218.60.56/~jnz1568/getInfo.php?workbook=20_05.xlsx&amp;sheet=U0&amp;row=6454&amp;col=6&amp;number=4&amp;sourceID=14","4")</f>
        <v>4</v>
      </c>
      <c r="G6454" s="4" t="str">
        <f>HYPERLINK("http://141.218.60.56/~jnz1568/getInfo.php?workbook=20_05.xlsx&amp;sheet=U0&amp;row=6454&amp;col=7&amp;number=7.91e-06&amp;sourceID=14","7.91e-06")</f>
        <v>7.91e-06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HYPERLINK("http://141.218.60.56/~jnz1568/getInfo.php?workbook=20_05.xlsx&amp;sheet=U0&amp;row=6455&amp;col=6&amp;number=4.1&amp;sourceID=14","4.1")</f>
        <v>4.1</v>
      </c>
      <c r="G6455" s="4" t="str">
        <f>HYPERLINK("http://141.218.60.56/~jnz1568/getInfo.php?workbook=20_05.xlsx&amp;sheet=U0&amp;row=6455&amp;col=7&amp;number=7.91e-06&amp;sourceID=14","7.91e-06")</f>
        <v>7.91e-06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HYPERLINK("http://141.218.60.56/~jnz1568/getInfo.php?workbook=20_05.xlsx&amp;sheet=U0&amp;row=6456&amp;col=6&amp;number=4.2&amp;sourceID=14","4.2")</f>
        <v>4.2</v>
      </c>
      <c r="G6456" s="4" t="str">
        <f>HYPERLINK("http://141.218.60.56/~jnz1568/getInfo.php?workbook=20_05.xlsx&amp;sheet=U0&amp;row=6456&amp;col=7&amp;number=7.91e-06&amp;sourceID=14","7.91e-06")</f>
        <v>7.91e-06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HYPERLINK("http://141.218.60.56/~jnz1568/getInfo.php?workbook=20_05.xlsx&amp;sheet=U0&amp;row=6457&amp;col=6&amp;number=4.3&amp;sourceID=14","4.3")</f>
        <v>4.3</v>
      </c>
      <c r="G6457" s="4" t="str">
        <f>HYPERLINK("http://141.218.60.56/~jnz1568/getInfo.php?workbook=20_05.xlsx&amp;sheet=U0&amp;row=6457&amp;col=7&amp;number=7.91e-06&amp;sourceID=14","7.91e-06")</f>
        <v>7.91e-06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HYPERLINK("http://141.218.60.56/~jnz1568/getInfo.php?workbook=20_05.xlsx&amp;sheet=U0&amp;row=6458&amp;col=6&amp;number=4.4&amp;sourceID=14","4.4")</f>
        <v>4.4</v>
      </c>
      <c r="G6458" s="4" t="str">
        <f>HYPERLINK("http://141.218.60.56/~jnz1568/getInfo.php?workbook=20_05.xlsx&amp;sheet=U0&amp;row=6458&amp;col=7&amp;number=7.91e-06&amp;sourceID=14","7.91e-06")</f>
        <v>7.91e-06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HYPERLINK("http://141.218.60.56/~jnz1568/getInfo.php?workbook=20_05.xlsx&amp;sheet=U0&amp;row=6459&amp;col=6&amp;number=4.5&amp;sourceID=14","4.5")</f>
        <v>4.5</v>
      </c>
      <c r="G6459" s="4" t="str">
        <f>HYPERLINK("http://141.218.60.56/~jnz1568/getInfo.php?workbook=20_05.xlsx&amp;sheet=U0&amp;row=6459&amp;col=7&amp;number=7.91e-06&amp;sourceID=14","7.91e-06")</f>
        <v>7.91e-06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HYPERLINK("http://141.218.60.56/~jnz1568/getInfo.php?workbook=20_05.xlsx&amp;sheet=U0&amp;row=6460&amp;col=6&amp;number=4.6&amp;sourceID=14","4.6")</f>
        <v>4.6</v>
      </c>
      <c r="G6460" s="4" t="str">
        <f>HYPERLINK("http://141.218.60.56/~jnz1568/getInfo.php?workbook=20_05.xlsx&amp;sheet=U0&amp;row=6460&amp;col=7&amp;number=7.91e-06&amp;sourceID=14","7.91e-06")</f>
        <v>7.91e-06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HYPERLINK("http://141.218.60.56/~jnz1568/getInfo.php?workbook=20_05.xlsx&amp;sheet=U0&amp;row=6461&amp;col=6&amp;number=4.7&amp;sourceID=14","4.7")</f>
        <v>4.7</v>
      </c>
      <c r="G6461" s="4" t="str">
        <f>HYPERLINK("http://141.218.60.56/~jnz1568/getInfo.php?workbook=20_05.xlsx&amp;sheet=U0&amp;row=6461&amp;col=7&amp;number=7.92e-06&amp;sourceID=14","7.92e-06")</f>
        <v>7.92e-06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HYPERLINK("http://141.218.60.56/~jnz1568/getInfo.php?workbook=20_05.xlsx&amp;sheet=U0&amp;row=6462&amp;col=6&amp;number=4.8&amp;sourceID=14","4.8")</f>
        <v>4.8</v>
      </c>
      <c r="G6462" s="4" t="str">
        <f>HYPERLINK("http://141.218.60.56/~jnz1568/getInfo.php?workbook=20_05.xlsx&amp;sheet=U0&amp;row=6462&amp;col=7&amp;number=7.92e-06&amp;sourceID=14","7.92e-06")</f>
        <v>7.92e-06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HYPERLINK("http://141.218.60.56/~jnz1568/getInfo.php?workbook=20_05.xlsx&amp;sheet=U0&amp;row=6463&amp;col=6&amp;number=4.9&amp;sourceID=14","4.9")</f>
        <v>4.9</v>
      </c>
      <c r="G6463" s="4" t="str">
        <f>HYPERLINK("http://141.218.60.56/~jnz1568/getInfo.php?workbook=20_05.xlsx&amp;sheet=U0&amp;row=6463&amp;col=7&amp;number=7.92e-06&amp;sourceID=14","7.92e-06")</f>
        <v>7.92e-06</v>
      </c>
    </row>
    <row r="6464" spans="1:7">
      <c r="A6464" s="3">
        <v>20</v>
      </c>
      <c r="B6464" s="3">
        <v>5</v>
      </c>
      <c r="C6464" s="3">
        <v>3</v>
      </c>
      <c r="D6464" s="3">
        <v>65</v>
      </c>
      <c r="E6464" s="3">
        <v>1</v>
      </c>
      <c r="F6464" s="4" t="str">
        <f>HYPERLINK("http://141.218.60.56/~jnz1568/getInfo.php?workbook=20_05.xlsx&amp;sheet=U0&amp;row=6464&amp;col=6&amp;number=3&amp;sourceID=14","3")</f>
        <v>3</v>
      </c>
      <c r="G6464" s="4" t="str">
        <f>HYPERLINK("http://141.218.60.56/~jnz1568/getInfo.php?workbook=20_05.xlsx&amp;sheet=U0&amp;row=6464&amp;col=7&amp;number=0.00068&amp;sourceID=14","0.00068")</f>
        <v>0.00068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HYPERLINK("http://141.218.60.56/~jnz1568/getInfo.php?workbook=20_05.xlsx&amp;sheet=U0&amp;row=6465&amp;col=6&amp;number=3.1&amp;sourceID=14","3.1")</f>
        <v>3.1</v>
      </c>
      <c r="G6465" s="4" t="str">
        <f>HYPERLINK("http://141.218.60.56/~jnz1568/getInfo.php?workbook=20_05.xlsx&amp;sheet=U0&amp;row=6465&amp;col=7&amp;number=0.000679&amp;sourceID=14","0.000679")</f>
        <v>0.000679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HYPERLINK("http://141.218.60.56/~jnz1568/getInfo.php?workbook=20_05.xlsx&amp;sheet=U0&amp;row=6466&amp;col=6&amp;number=3.2&amp;sourceID=14","3.2")</f>
        <v>3.2</v>
      </c>
      <c r="G6466" s="4" t="str">
        <f>HYPERLINK("http://141.218.60.56/~jnz1568/getInfo.php?workbook=20_05.xlsx&amp;sheet=U0&amp;row=6466&amp;col=7&amp;number=0.000679&amp;sourceID=14","0.000679")</f>
        <v>0.000679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HYPERLINK("http://141.218.60.56/~jnz1568/getInfo.php?workbook=20_05.xlsx&amp;sheet=U0&amp;row=6467&amp;col=6&amp;number=3.3&amp;sourceID=14","3.3")</f>
        <v>3.3</v>
      </c>
      <c r="G6467" s="4" t="str">
        <f>HYPERLINK("http://141.218.60.56/~jnz1568/getInfo.php?workbook=20_05.xlsx&amp;sheet=U0&amp;row=6467&amp;col=7&amp;number=0.000679&amp;sourceID=14","0.000679")</f>
        <v>0.000679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HYPERLINK("http://141.218.60.56/~jnz1568/getInfo.php?workbook=20_05.xlsx&amp;sheet=U0&amp;row=6468&amp;col=6&amp;number=3.4&amp;sourceID=14","3.4")</f>
        <v>3.4</v>
      </c>
      <c r="G6468" s="4" t="str">
        <f>HYPERLINK("http://141.218.60.56/~jnz1568/getInfo.php?workbook=20_05.xlsx&amp;sheet=U0&amp;row=6468&amp;col=7&amp;number=0.000679&amp;sourceID=14","0.000679")</f>
        <v>0.000679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HYPERLINK("http://141.218.60.56/~jnz1568/getInfo.php?workbook=20_05.xlsx&amp;sheet=U0&amp;row=6469&amp;col=6&amp;number=3.5&amp;sourceID=14","3.5")</f>
        <v>3.5</v>
      </c>
      <c r="G6469" s="4" t="str">
        <f>HYPERLINK("http://141.218.60.56/~jnz1568/getInfo.php?workbook=20_05.xlsx&amp;sheet=U0&amp;row=6469&amp;col=7&amp;number=0.000679&amp;sourceID=14","0.000679")</f>
        <v>0.000679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HYPERLINK("http://141.218.60.56/~jnz1568/getInfo.php?workbook=20_05.xlsx&amp;sheet=U0&amp;row=6470&amp;col=6&amp;number=3.6&amp;sourceID=14","3.6")</f>
        <v>3.6</v>
      </c>
      <c r="G6470" s="4" t="str">
        <f>HYPERLINK("http://141.218.60.56/~jnz1568/getInfo.php?workbook=20_05.xlsx&amp;sheet=U0&amp;row=6470&amp;col=7&amp;number=0.000679&amp;sourceID=14","0.000679")</f>
        <v>0.000679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HYPERLINK("http://141.218.60.56/~jnz1568/getInfo.php?workbook=20_05.xlsx&amp;sheet=U0&amp;row=6471&amp;col=6&amp;number=3.7&amp;sourceID=14","3.7")</f>
        <v>3.7</v>
      </c>
      <c r="G6471" s="4" t="str">
        <f>HYPERLINK("http://141.218.60.56/~jnz1568/getInfo.php?workbook=20_05.xlsx&amp;sheet=U0&amp;row=6471&amp;col=7&amp;number=0.000679&amp;sourceID=14","0.000679")</f>
        <v>0.000679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HYPERLINK("http://141.218.60.56/~jnz1568/getInfo.php?workbook=20_05.xlsx&amp;sheet=U0&amp;row=6472&amp;col=6&amp;number=3.8&amp;sourceID=14","3.8")</f>
        <v>3.8</v>
      </c>
      <c r="G6472" s="4" t="str">
        <f>HYPERLINK("http://141.218.60.56/~jnz1568/getInfo.php?workbook=20_05.xlsx&amp;sheet=U0&amp;row=6472&amp;col=7&amp;number=0.000679&amp;sourceID=14","0.000679")</f>
        <v>0.000679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HYPERLINK("http://141.218.60.56/~jnz1568/getInfo.php?workbook=20_05.xlsx&amp;sheet=U0&amp;row=6473&amp;col=6&amp;number=3.9&amp;sourceID=14","3.9")</f>
        <v>3.9</v>
      </c>
      <c r="G6473" s="4" t="str">
        <f>HYPERLINK("http://141.218.60.56/~jnz1568/getInfo.php?workbook=20_05.xlsx&amp;sheet=U0&amp;row=6473&amp;col=7&amp;number=0.000678&amp;sourceID=14","0.000678")</f>
        <v>0.000678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HYPERLINK("http://141.218.60.56/~jnz1568/getInfo.php?workbook=20_05.xlsx&amp;sheet=U0&amp;row=6474&amp;col=6&amp;number=4&amp;sourceID=14","4")</f>
        <v>4</v>
      </c>
      <c r="G6474" s="4" t="str">
        <f>HYPERLINK("http://141.218.60.56/~jnz1568/getInfo.php?workbook=20_05.xlsx&amp;sheet=U0&amp;row=6474&amp;col=7&amp;number=0.000678&amp;sourceID=14","0.000678")</f>
        <v>0.000678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HYPERLINK("http://141.218.60.56/~jnz1568/getInfo.php?workbook=20_05.xlsx&amp;sheet=U0&amp;row=6475&amp;col=6&amp;number=4.1&amp;sourceID=14","4.1")</f>
        <v>4.1</v>
      </c>
      <c r="G6475" s="4" t="str">
        <f>HYPERLINK("http://141.218.60.56/~jnz1568/getInfo.php?workbook=20_05.xlsx&amp;sheet=U0&amp;row=6475&amp;col=7&amp;number=0.000677&amp;sourceID=14","0.000677")</f>
        <v>0.000677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HYPERLINK("http://141.218.60.56/~jnz1568/getInfo.php?workbook=20_05.xlsx&amp;sheet=U0&amp;row=6476&amp;col=6&amp;number=4.2&amp;sourceID=14","4.2")</f>
        <v>4.2</v>
      </c>
      <c r="G6476" s="4" t="str">
        <f>HYPERLINK("http://141.218.60.56/~jnz1568/getInfo.php?workbook=20_05.xlsx&amp;sheet=U0&amp;row=6476&amp;col=7&amp;number=0.000677&amp;sourceID=14","0.000677")</f>
        <v>0.000677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HYPERLINK("http://141.218.60.56/~jnz1568/getInfo.php?workbook=20_05.xlsx&amp;sheet=U0&amp;row=6477&amp;col=6&amp;number=4.3&amp;sourceID=14","4.3")</f>
        <v>4.3</v>
      </c>
      <c r="G6477" s="4" t="str">
        <f>HYPERLINK("http://141.218.60.56/~jnz1568/getInfo.php?workbook=20_05.xlsx&amp;sheet=U0&amp;row=6477&amp;col=7&amp;number=0.000676&amp;sourceID=14","0.000676")</f>
        <v>0.000676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HYPERLINK("http://141.218.60.56/~jnz1568/getInfo.php?workbook=20_05.xlsx&amp;sheet=U0&amp;row=6478&amp;col=6&amp;number=4.4&amp;sourceID=14","4.4")</f>
        <v>4.4</v>
      </c>
      <c r="G6478" s="4" t="str">
        <f>HYPERLINK("http://141.218.60.56/~jnz1568/getInfo.php?workbook=20_05.xlsx&amp;sheet=U0&amp;row=6478&amp;col=7&amp;number=0.000675&amp;sourceID=14","0.000675")</f>
        <v>0.000675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HYPERLINK("http://141.218.60.56/~jnz1568/getInfo.php?workbook=20_05.xlsx&amp;sheet=U0&amp;row=6479&amp;col=6&amp;number=4.5&amp;sourceID=14","4.5")</f>
        <v>4.5</v>
      </c>
      <c r="G6479" s="4" t="str">
        <f>HYPERLINK("http://141.218.60.56/~jnz1568/getInfo.php?workbook=20_05.xlsx&amp;sheet=U0&amp;row=6479&amp;col=7&amp;number=0.000674&amp;sourceID=14","0.000674")</f>
        <v>0.000674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HYPERLINK("http://141.218.60.56/~jnz1568/getInfo.php?workbook=20_05.xlsx&amp;sheet=U0&amp;row=6480&amp;col=6&amp;number=4.6&amp;sourceID=14","4.6")</f>
        <v>4.6</v>
      </c>
      <c r="G6480" s="4" t="str">
        <f>HYPERLINK("http://141.218.60.56/~jnz1568/getInfo.php?workbook=20_05.xlsx&amp;sheet=U0&amp;row=6480&amp;col=7&amp;number=0.000672&amp;sourceID=14","0.000672")</f>
        <v>0.000672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HYPERLINK("http://141.218.60.56/~jnz1568/getInfo.php?workbook=20_05.xlsx&amp;sheet=U0&amp;row=6481&amp;col=6&amp;number=4.7&amp;sourceID=14","4.7")</f>
        <v>4.7</v>
      </c>
      <c r="G6481" s="4" t="str">
        <f>HYPERLINK("http://141.218.60.56/~jnz1568/getInfo.php?workbook=20_05.xlsx&amp;sheet=U0&amp;row=6481&amp;col=7&amp;number=0.00067&amp;sourceID=14","0.00067")</f>
        <v>0.00067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HYPERLINK("http://141.218.60.56/~jnz1568/getInfo.php?workbook=20_05.xlsx&amp;sheet=U0&amp;row=6482&amp;col=6&amp;number=4.8&amp;sourceID=14","4.8")</f>
        <v>4.8</v>
      </c>
      <c r="G6482" s="4" t="str">
        <f>HYPERLINK("http://141.218.60.56/~jnz1568/getInfo.php?workbook=20_05.xlsx&amp;sheet=U0&amp;row=6482&amp;col=7&amp;number=0.000668&amp;sourceID=14","0.000668")</f>
        <v>0.000668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HYPERLINK("http://141.218.60.56/~jnz1568/getInfo.php?workbook=20_05.xlsx&amp;sheet=U0&amp;row=6483&amp;col=6&amp;number=4.9&amp;sourceID=14","4.9")</f>
        <v>4.9</v>
      </c>
      <c r="G6483" s="4" t="str">
        <f>HYPERLINK("http://141.218.60.56/~jnz1568/getInfo.php?workbook=20_05.xlsx&amp;sheet=U0&amp;row=6483&amp;col=7&amp;number=0.000665&amp;sourceID=14","0.000665")</f>
        <v>0.000665</v>
      </c>
    </row>
    <row r="6484" spans="1:7">
      <c r="A6484" s="3">
        <v>20</v>
      </c>
      <c r="B6484" s="3">
        <v>5</v>
      </c>
      <c r="C6484" s="3">
        <v>3</v>
      </c>
      <c r="D6484" s="3">
        <v>66</v>
      </c>
      <c r="E6484" s="3">
        <v>1</v>
      </c>
      <c r="F6484" s="4" t="str">
        <f>HYPERLINK("http://141.218.60.56/~jnz1568/getInfo.php?workbook=20_05.xlsx&amp;sheet=U0&amp;row=6484&amp;col=6&amp;number=3&amp;sourceID=14","3")</f>
        <v>3</v>
      </c>
      <c r="G6484" s="4" t="str">
        <f>HYPERLINK("http://141.218.60.56/~jnz1568/getInfo.php?workbook=20_05.xlsx&amp;sheet=U0&amp;row=6484&amp;col=7&amp;number=0.00135&amp;sourceID=14","0.00135")</f>
        <v>0.00135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HYPERLINK("http://141.218.60.56/~jnz1568/getInfo.php?workbook=20_05.xlsx&amp;sheet=U0&amp;row=6485&amp;col=6&amp;number=3.1&amp;sourceID=14","3.1")</f>
        <v>3.1</v>
      </c>
      <c r="G6485" s="4" t="str">
        <f>HYPERLINK("http://141.218.60.56/~jnz1568/getInfo.php?workbook=20_05.xlsx&amp;sheet=U0&amp;row=6485&amp;col=7&amp;number=0.00135&amp;sourceID=14","0.00135")</f>
        <v>0.00135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HYPERLINK("http://141.218.60.56/~jnz1568/getInfo.php?workbook=20_05.xlsx&amp;sheet=U0&amp;row=6486&amp;col=6&amp;number=3.2&amp;sourceID=14","3.2")</f>
        <v>3.2</v>
      </c>
      <c r="G6486" s="4" t="str">
        <f>HYPERLINK("http://141.218.60.56/~jnz1568/getInfo.php?workbook=20_05.xlsx&amp;sheet=U0&amp;row=6486&amp;col=7&amp;number=0.00135&amp;sourceID=14","0.00135")</f>
        <v>0.00135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HYPERLINK("http://141.218.60.56/~jnz1568/getInfo.php?workbook=20_05.xlsx&amp;sheet=U0&amp;row=6487&amp;col=6&amp;number=3.3&amp;sourceID=14","3.3")</f>
        <v>3.3</v>
      </c>
      <c r="G6487" s="4" t="str">
        <f>HYPERLINK("http://141.218.60.56/~jnz1568/getInfo.php?workbook=20_05.xlsx&amp;sheet=U0&amp;row=6487&amp;col=7&amp;number=0.00135&amp;sourceID=14","0.00135")</f>
        <v>0.00135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HYPERLINK("http://141.218.60.56/~jnz1568/getInfo.php?workbook=20_05.xlsx&amp;sheet=U0&amp;row=6488&amp;col=6&amp;number=3.4&amp;sourceID=14","3.4")</f>
        <v>3.4</v>
      </c>
      <c r="G6488" s="4" t="str">
        <f>HYPERLINK("http://141.218.60.56/~jnz1568/getInfo.php?workbook=20_05.xlsx&amp;sheet=U0&amp;row=6488&amp;col=7&amp;number=0.00135&amp;sourceID=14","0.00135")</f>
        <v>0.00135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HYPERLINK("http://141.218.60.56/~jnz1568/getInfo.php?workbook=20_05.xlsx&amp;sheet=U0&amp;row=6489&amp;col=6&amp;number=3.5&amp;sourceID=14","3.5")</f>
        <v>3.5</v>
      </c>
      <c r="G6489" s="4" t="str">
        <f>HYPERLINK("http://141.218.60.56/~jnz1568/getInfo.php?workbook=20_05.xlsx&amp;sheet=U0&amp;row=6489&amp;col=7&amp;number=0.00135&amp;sourceID=14","0.00135")</f>
        <v>0.00135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HYPERLINK("http://141.218.60.56/~jnz1568/getInfo.php?workbook=20_05.xlsx&amp;sheet=U0&amp;row=6490&amp;col=6&amp;number=3.6&amp;sourceID=14","3.6")</f>
        <v>3.6</v>
      </c>
      <c r="G6490" s="4" t="str">
        <f>HYPERLINK("http://141.218.60.56/~jnz1568/getInfo.php?workbook=20_05.xlsx&amp;sheet=U0&amp;row=6490&amp;col=7&amp;number=0.00135&amp;sourceID=14","0.00135")</f>
        <v>0.00135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HYPERLINK("http://141.218.60.56/~jnz1568/getInfo.php?workbook=20_05.xlsx&amp;sheet=U0&amp;row=6491&amp;col=6&amp;number=3.7&amp;sourceID=14","3.7")</f>
        <v>3.7</v>
      </c>
      <c r="G6491" s="4" t="str">
        <f>HYPERLINK("http://141.218.60.56/~jnz1568/getInfo.php?workbook=20_05.xlsx&amp;sheet=U0&amp;row=6491&amp;col=7&amp;number=0.00135&amp;sourceID=14","0.00135")</f>
        <v>0.00135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HYPERLINK("http://141.218.60.56/~jnz1568/getInfo.php?workbook=20_05.xlsx&amp;sheet=U0&amp;row=6492&amp;col=6&amp;number=3.8&amp;sourceID=14","3.8")</f>
        <v>3.8</v>
      </c>
      <c r="G6492" s="4" t="str">
        <f>HYPERLINK("http://141.218.60.56/~jnz1568/getInfo.php?workbook=20_05.xlsx&amp;sheet=U0&amp;row=6492&amp;col=7&amp;number=0.00135&amp;sourceID=14","0.00135")</f>
        <v>0.00135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HYPERLINK("http://141.218.60.56/~jnz1568/getInfo.php?workbook=20_05.xlsx&amp;sheet=U0&amp;row=6493&amp;col=6&amp;number=3.9&amp;sourceID=14","3.9")</f>
        <v>3.9</v>
      </c>
      <c r="G6493" s="4" t="str">
        <f>HYPERLINK("http://141.218.60.56/~jnz1568/getInfo.php?workbook=20_05.xlsx&amp;sheet=U0&amp;row=6493&amp;col=7&amp;number=0.00135&amp;sourceID=14","0.00135")</f>
        <v>0.00135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HYPERLINK("http://141.218.60.56/~jnz1568/getInfo.php?workbook=20_05.xlsx&amp;sheet=U0&amp;row=6494&amp;col=6&amp;number=4&amp;sourceID=14","4")</f>
        <v>4</v>
      </c>
      <c r="G6494" s="4" t="str">
        <f>HYPERLINK("http://141.218.60.56/~jnz1568/getInfo.php?workbook=20_05.xlsx&amp;sheet=U0&amp;row=6494&amp;col=7&amp;number=0.00135&amp;sourceID=14","0.00135")</f>
        <v>0.00135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HYPERLINK("http://141.218.60.56/~jnz1568/getInfo.php?workbook=20_05.xlsx&amp;sheet=U0&amp;row=6495&amp;col=6&amp;number=4.1&amp;sourceID=14","4.1")</f>
        <v>4.1</v>
      </c>
      <c r="G6495" s="4" t="str">
        <f>HYPERLINK("http://141.218.60.56/~jnz1568/getInfo.php?workbook=20_05.xlsx&amp;sheet=U0&amp;row=6495&amp;col=7&amp;number=0.00134&amp;sourceID=14","0.00134")</f>
        <v>0.00134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HYPERLINK("http://141.218.60.56/~jnz1568/getInfo.php?workbook=20_05.xlsx&amp;sheet=U0&amp;row=6496&amp;col=6&amp;number=4.2&amp;sourceID=14","4.2")</f>
        <v>4.2</v>
      </c>
      <c r="G6496" s="4" t="str">
        <f>HYPERLINK("http://141.218.60.56/~jnz1568/getInfo.php?workbook=20_05.xlsx&amp;sheet=U0&amp;row=6496&amp;col=7&amp;number=0.00134&amp;sourceID=14","0.00134")</f>
        <v>0.00134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HYPERLINK("http://141.218.60.56/~jnz1568/getInfo.php?workbook=20_05.xlsx&amp;sheet=U0&amp;row=6497&amp;col=6&amp;number=4.3&amp;sourceID=14","4.3")</f>
        <v>4.3</v>
      </c>
      <c r="G6497" s="4" t="str">
        <f>HYPERLINK("http://141.218.60.56/~jnz1568/getInfo.php?workbook=20_05.xlsx&amp;sheet=U0&amp;row=6497&amp;col=7&amp;number=0.00134&amp;sourceID=14","0.00134")</f>
        <v>0.00134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HYPERLINK("http://141.218.60.56/~jnz1568/getInfo.php?workbook=20_05.xlsx&amp;sheet=U0&amp;row=6498&amp;col=6&amp;number=4.4&amp;sourceID=14","4.4")</f>
        <v>4.4</v>
      </c>
      <c r="G6498" s="4" t="str">
        <f>HYPERLINK("http://141.218.60.56/~jnz1568/getInfo.php?workbook=20_05.xlsx&amp;sheet=U0&amp;row=6498&amp;col=7&amp;number=0.00134&amp;sourceID=14","0.00134")</f>
        <v>0.00134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HYPERLINK("http://141.218.60.56/~jnz1568/getInfo.php?workbook=20_05.xlsx&amp;sheet=U0&amp;row=6499&amp;col=6&amp;number=4.5&amp;sourceID=14","4.5")</f>
        <v>4.5</v>
      </c>
      <c r="G6499" s="4" t="str">
        <f>HYPERLINK("http://141.218.60.56/~jnz1568/getInfo.php?workbook=20_05.xlsx&amp;sheet=U0&amp;row=6499&amp;col=7&amp;number=0.00134&amp;sourceID=14","0.00134")</f>
        <v>0.00134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HYPERLINK("http://141.218.60.56/~jnz1568/getInfo.php?workbook=20_05.xlsx&amp;sheet=U0&amp;row=6500&amp;col=6&amp;number=4.6&amp;sourceID=14","4.6")</f>
        <v>4.6</v>
      </c>
      <c r="G6500" s="4" t="str">
        <f>HYPERLINK("http://141.218.60.56/~jnz1568/getInfo.php?workbook=20_05.xlsx&amp;sheet=U0&amp;row=6500&amp;col=7&amp;number=0.00133&amp;sourceID=14","0.00133")</f>
        <v>0.00133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HYPERLINK("http://141.218.60.56/~jnz1568/getInfo.php?workbook=20_05.xlsx&amp;sheet=U0&amp;row=6501&amp;col=6&amp;number=4.7&amp;sourceID=14","4.7")</f>
        <v>4.7</v>
      </c>
      <c r="G6501" s="4" t="str">
        <f>HYPERLINK("http://141.218.60.56/~jnz1568/getInfo.php?workbook=20_05.xlsx&amp;sheet=U0&amp;row=6501&amp;col=7&amp;number=0.00133&amp;sourceID=14","0.00133")</f>
        <v>0.00133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HYPERLINK("http://141.218.60.56/~jnz1568/getInfo.php?workbook=20_05.xlsx&amp;sheet=U0&amp;row=6502&amp;col=6&amp;number=4.8&amp;sourceID=14","4.8")</f>
        <v>4.8</v>
      </c>
      <c r="G6502" s="4" t="str">
        <f>HYPERLINK("http://141.218.60.56/~jnz1568/getInfo.php?workbook=20_05.xlsx&amp;sheet=U0&amp;row=6502&amp;col=7&amp;number=0.00133&amp;sourceID=14","0.00133")</f>
        <v>0.00133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HYPERLINK("http://141.218.60.56/~jnz1568/getInfo.php?workbook=20_05.xlsx&amp;sheet=U0&amp;row=6503&amp;col=6&amp;number=4.9&amp;sourceID=14","4.9")</f>
        <v>4.9</v>
      </c>
      <c r="G6503" s="4" t="str">
        <f>HYPERLINK("http://141.218.60.56/~jnz1568/getInfo.php?workbook=20_05.xlsx&amp;sheet=U0&amp;row=6503&amp;col=7&amp;number=0.00132&amp;sourceID=14","0.00132")</f>
        <v>0.00132</v>
      </c>
    </row>
    <row r="6504" spans="1:7">
      <c r="A6504" s="3">
        <v>20</v>
      </c>
      <c r="B6504" s="3">
        <v>5</v>
      </c>
      <c r="C6504" s="3">
        <v>3</v>
      </c>
      <c r="D6504" s="3">
        <v>67</v>
      </c>
      <c r="E6504" s="3">
        <v>1</v>
      </c>
      <c r="F6504" s="4" t="str">
        <f>HYPERLINK("http://141.218.60.56/~jnz1568/getInfo.php?workbook=20_05.xlsx&amp;sheet=U0&amp;row=6504&amp;col=6&amp;number=3&amp;sourceID=14","3")</f>
        <v>3</v>
      </c>
      <c r="G6504" s="4" t="str">
        <f>HYPERLINK("http://141.218.60.56/~jnz1568/getInfo.php?workbook=20_05.xlsx&amp;sheet=U0&amp;row=6504&amp;col=7&amp;number=0.000318&amp;sourceID=14","0.000318")</f>
        <v>0.000318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HYPERLINK("http://141.218.60.56/~jnz1568/getInfo.php?workbook=20_05.xlsx&amp;sheet=U0&amp;row=6505&amp;col=6&amp;number=3.1&amp;sourceID=14","3.1")</f>
        <v>3.1</v>
      </c>
      <c r="G6505" s="4" t="str">
        <f>HYPERLINK("http://141.218.60.56/~jnz1568/getInfo.php?workbook=20_05.xlsx&amp;sheet=U0&amp;row=6505&amp;col=7&amp;number=0.000317&amp;sourceID=14","0.000317")</f>
        <v>0.000317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HYPERLINK("http://141.218.60.56/~jnz1568/getInfo.php?workbook=20_05.xlsx&amp;sheet=U0&amp;row=6506&amp;col=6&amp;number=3.2&amp;sourceID=14","3.2")</f>
        <v>3.2</v>
      </c>
      <c r="G6506" s="4" t="str">
        <f>HYPERLINK("http://141.218.60.56/~jnz1568/getInfo.php?workbook=20_05.xlsx&amp;sheet=U0&amp;row=6506&amp;col=7&amp;number=0.000317&amp;sourceID=14","0.000317")</f>
        <v>0.000317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HYPERLINK("http://141.218.60.56/~jnz1568/getInfo.php?workbook=20_05.xlsx&amp;sheet=U0&amp;row=6507&amp;col=6&amp;number=3.3&amp;sourceID=14","3.3")</f>
        <v>3.3</v>
      </c>
      <c r="G6507" s="4" t="str">
        <f>HYPERLINK("http://141.218.60.56/~jnz1568/getInfo.php?workbook=20_05.xlsx&amp;sheet=U0&amp;row=6507&amp;col=7&amp;number=0.000317&amp;sourceID=14","0.000317")</f>
        <v>0.000317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HYPERLINK("http://141.218.60.56/~jnz1568/getInfo.php?workbook=20_05.xlsx&amp;sheet=U0&amp;row=6508&amp;col=6&amp;number=3.4&amp;sourceID=14","3.4")</f>
        <v>3.4</v>
      </c>
      <c r="G6508" s="4" t="str">
        <f>HYPERLINK("http://141.218.60.56/~jnz1568/getInfo.php?workbook=20_05.xlsx&amp;sheet=U0&amp;row=6508&amp;col=7&amp;number=0.000317&amp;sourceID=14","0.000317")</f>
        <v>0.000317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HYPERLINK("http://141.218.60.56/~jnz1568/getInfo.php?workbook=20_05.xlsx&amp;sheet=U0&amp;row=6509&amp;col=6&amp;number=3.5&amp;sourceID=14","3.5")</f>
        <v>3.5</v>
      </c>
      <c r="G6509" s="4" t="str">
        <f>HYPERLINK("http://141.218.60.56/~jnz1568/getInfo.php?workbook=20_05.xlsx&amp;sheet=U0&amp;row=6509&amp;col=7&amp;number=0.000317&amp;sourceID=14","0.000317")</f>
        <v>0.000317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HYPERLINK("http://141.218.60.56/~jnz1568/getInfo.php?workbook=20_05.xlsx&amp;sheet=U0&amp;row=6510&amp;col=6&amp;number=3.6&amp;sourceID=14","3.6")</f>
        <v>3.6</v>
      </c>
      <c r="G6510" s="4" t="str">
        <f>HYPERLINK("http://141.218.60.56/~jnz1568/getInfo.php?workbook=20_05.xlsx&amp;sheet=U0&amp;row=6510&amp;col=7&amp;number=0.000317&amp;sourceID=14","0.000317")</f>
        <v>0.000317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HYPERLINK("http://141.218.60.56/~jnz1568/getInfo.php?workbook=20_05.xlsx&amp;sheet=U0&amp;row=6511&amp;col=6&amp;number=3.7&amp;sourceID=14","3.7")</f>
        <v>3.7</v>
      </c>
      <c r="G6511" s="4" t="str">
        <f>HYPERLINK("http://141.218.60.56/~jnz1568/getInfo.php?workbook=20_05.xlsx&amp;sheet=U0&amp;row=6511&amp;col=7&amp;number=0.000317&amp;sourceID=14","0.000317")</f>
        <v>0.000317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HYPERLINK("http://141.218.60.56/~jnz1568/getInfo.php?workbook=20_05.xlsx&amp;sheet=U0&amp;row=6512&amp;col=6&amp;number=3.8&amp;sourceID=14","3.8")</f>
        <v>3.8</v>
      </c>
      <c r="G6512" s="4" t="str">
        <f>HYPERLINK("http://141.218.60.56/~jnz1568/getInfo.php?workbook=20_05.xlsx&amp;sheet=U0&amp;row=6512&amp;col=7&amp;number=0.000317&amp;sourceID=14","0.000317")</f>
        <v>0.000317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HYPERLINK("http://141.218.60.56/~jnz1568/getInfo.php?workbook=20_05.xlsx&amp;sheet=U0&amp;row=6513&amp;col=6&amp;number=3.9&amp;sourceID=14","3.9")</f>
        <v>3.9</v>
      </c>
      <c r="G6513" s="4" t="str">
        <f>HYPERLINK("http://141.218.60.56/~jnz1568/getInfo.php?workbook=20_05.xlsx&amp;sheet=U0&amp;row=6513&amp;col=7&amp;number=0.000317&amp;sourceID=14","0.000317")</f>
        <v>0.000317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HYPERLINK("http://141.218.60.56/~jnz1568/getInfo.php?workbook=20_05.xlsx&amp;sheet=U0&amp;row=6514&amp;col=6&amp;number=4&amp;sourceID=14","4")</f>
        <v>4</v>
      </c>
      <c r="G6514" s="4" t="str">
        <f>HYPERLINK("http://141.218.60.56/~jnz1568/getInfo.php?workbook=20_05.xlsx&amp;sheet=U0&amp;row=6514&amp;col=7&amp;number=0.000317&amp;sourceID=14","0.000317")</f>
        <v>0.000317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HYPERLINK("http://141.218.60.56/~jnz1568/getInfo.php?workbook=20_05.xlsx&amp;sheet=U0&amp;row=6515&amp;col=6&amp;number=4.1&amp;sourceID=14","4.1")</f>
        <v>4.1</v>
      </c>
      <c r="G6515" s="4" t="str">
        <f>HYPERLINK("http://141.218.60.56/~jnz1568/getInfo.php?workbook=20_05.xlsx&amp;sheet=U0&amp;row=6515&amp;col=7&amp;number=0.000316&amp;sourceID=14","0.000316")</f>
        <v>0.000316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HYPERLINK("http://141.218.60.56/~jnz1568/getInfo.php?workbook=20_05.xlsx&amp;sheet=U0&amp;row=6516&amp;col=6&amp;number=4.2&amp;sourceID=14","4.2")</f>
        <v>4.2</v>
      </c>
      <c r="G6516" s="4" t="str">
        <f>HYPERLINK("http://141.218.60.56/~jnz1568/getInfo.php?workbook=20_05.xlsx&amp;sheet=U0&amp;row=6516&amp;col=7&amp;number=0.000316&amp;sourceID=14","0.000316")</f>
        <v>0.000316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HYPERLINK("http://141.218.60.56/~jnz1568/getInfo.php?workbook=20_05.xlsx&amp;sheet=U0&amp;row=6517&amp;col=6&amp;number=4.3&amp;sourceID=14","4.3")</f>
        <v>4.3</v>
      </c>
      <c r="G6517" s="4" t="str">
        <f>HYPERLINK("http://141.218.60.56/~jnz1568/getInfo.php?workbook=20_05.xlsx&amp;sheet=U0&amp;row=6517&amp;col=7&amp;number=0.000316&amp;sourceID=14","0.000316")</f>
        <v>0.000316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HYPERLINK("http://141.218.60.56/~jnz1568/getInfo.php?workbook=20_05.xlsx&amp;sheet=U0&amp;row=6518&amp;col=6&amp;number=4.4&amp;sourceID=14","4.4")</f>
        <v>4.4</v>
      </c>
      <c r="G6518" s="4" t="str">
        <f>HYPERLINK("http://141.218.60.56/~jnz1568/getInfo.php?workbook=20_05.xlsx&amp;sheet=U0&amp;row=6518&amp;col=7&amp;number=0.000315&amp;sourceID=14","0.000315")</f>
        <v>0.000315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HYPERLINK("http://141.218.60.56/~jnz1568/getInfo.php?workbook=20_05.xlsx&amp;sheet=U0&amp;row=6519&amp;col=6&amp;number=4.5&amp;sourceID=14","4.5")</f>
        <v>4.5</v>
      </c>
      <c r="G6519" s="4" t="str">
        <f>HYPERLINK("http://141.218.60.56/~jnz1568/getInfo.php?workbook=20_05.xlsx&amp;sheet=U0&amp;row=6519&amp;col=7&amp;number=0.000315&amp;sourceID=14","0.000315")</f>
        <v>0.000315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HYPERLINK("http://141.218.60.56/~jnz1568/getInfo.php?workbook=20_05.xlsx&amp;sheet=U0&amp;row=6520&amp;col=6&amp;number=4.6&amp;sourceID=14","4.6")</f>
        <v>4.6</v>
      </c>
      <c r="G6520" s="4" t="str">
        <f>HYPERLINK("http://141.218.60.56/~jnz1568/getInfo.php?workbook=20_05.xlsx&amp;sheet=U0&amp;row=6520&amp;col=7&amp;number=0.000314&amp;sourceID=14","0.000314")</f>
        <v>0.000314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HYPERLINK("http://141.218.60.56/~jnz1568/getInfo.php?workbook=20_05.xlsx&amp;sheet=U0&amp;row=6521&amp;col=6&amp;number=4.7&amp;sourceID=14","4.7")</f>
        <v>4.7</v>
      </c>
      <c r="G6521" s="4" t="str">
        <f>HYPERLINK("http://141.218.60.56/~jnz1568/getInfo.php?workbook=20_05.xlsx&amp;sheet=U0&amp;row=6521&amp;col=7&amp;number=0.000313&amp;sourceID=14","0.000313")</f>
        <v>0.000313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HYPERLINK("http://141.218.60.56/~jnz1568/getInfo.php?workbook=20_05.xlsx&amp;sheet=U0&amp;row=6522&amp;col=6&amp;number=4.8&amp;sourceID=14","4.8")</f>
        <v>4.8</v>
      </c>
      <c r="G6522" s="4" t="str">
        <f>HYPERLINK("http://141.218.60.56/~jnz1568/getInfo.php?workbook=20_05.xlsx&amp;sheet=U0&amp;row=6522&amp;col=7&amp;number=0.000312&amp;sourceID=14","0.000312")</f>
        <v>0.000312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HYPERLINK("http://141.218.60.56/~jnz1568/getInfo.php?workbook=20_05.xlsx&amp;sheet=U0&amp;row=6523&amp;col=6&amp;number=4.9&amp;sourceID=14","4.9")</f>
        <v>4.9</v>
      </c>
      <c r="G6523" s="4" t="str">
        <f>HYPERLINK("http://141.218.60.56/~jnz1568/getInfo.php?workbook=20_05.xlsx&amp;sheet=U0&amp;row=6523&amp;col=7&amp;number=0.000311&amp;sourceID=14","0.000311")</f>
        <v>0.000311</v>
      </c>
    </row>
    <row r="6524" spans="1:7">
      <c r="A6524" s="3">
        <v>20</v>
      </c>
      <c r="B6524" s="3">
        <v>5</v>
      </c>
      <c r="C6524" s="3">
        <v>3</v>
      </c>
      <c r="D6524" s="3">
        <v>68</v>
      </c>
      <c r="E6524" s="3">
        <v>1</v>
      </c>
      <c r="F6524" s="4" t="str">
        <f>HYPERLINK("http://141.218.60.56/~jnz1568/getInfo.php?workbook=20_05.xlsx&amp;sheet=U0&amp;row=6524&amp;col=6&amp;number=3&amp;sourceID=14","3")</f>
        <v>3</v>
      </c>
      <c r="G6524" s="4" t="str">
        <f>HYPERLINK("http://141.218.60.56/~jnz1568/getInfo.php?workbook=20_05.xlsx&amp;sheet=U0&amp;row=6524&amp;col=7&amp;number=1.82e-05&amp;sourceID=14","1.82e-05")</f>
        <v>1.82e-05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HYPERLINK("http://141.218.60.56/~jnz1568/getInfo.php?workbook=20_05.xlsx&amp;sheet=U0&amp;row=6525&amp;col=6&amp;number=3.1&amp;sourceID=14","3.1")</f>
        <v>3.1</v>
      </c>
      <c r="G6525" s="4" t="str">
        <f>HYPERLINK("http://141.218.60.56/~jnz1568/getInfo.php?workbook=20_05.xlsx&amp;sheet=U0&amp;row=6525&amp;col=7&amp;number=1.82e-05&amp;sourceID=14","1.82e-05")</f>
        <v>1.82e-05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HYPERLINK("http://141.218.60.56/~jnz1568/getInfo.php?workbook=20_05.xlsx&amp;sheet=U0&amp;row=6526&amp;col=6&amp;number=3.2&amp;sourceID=14","3.2")</f>
        <v>3.2</v>
      </c>
      <c r="G6526" s="4" t="str">
        <f>HYPERLINK("http://141.218.60.56/~jnz1568/getInfo.php?workbook=20_05.xlsx&amp;sheet=U0&amp;row=6526&amp;col=7&amp;number=1.82e-05&amp;sourceID=14","1.82e-05")</f>
        <v>1.82e-05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HYPERLINK("http://141.218.60.56/~jnz1568/getInfo.php?workbook=20_05.xlsx&amp;sheet=U0&amp;row=6527&amp;col=6&amp;number=3.3&amp;sourceID=14","3.3")</f>
        <v>3.3</v>
      </c>
      <c r="G6527" s="4" t="str">
        <f>HYPERLINK("http://141.218.60.56/~jnz1568/getInfo.php?workbook=20_05.xlsx&amp;sheet=U0&amp;row=6527&amp;col=7&amp;number=1.82e-05&amp;sourceID=14","1.82e-05")</f>
        <v>1.82e-05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HYPERLINK("http://141.218.60.56/~jnz1568/getInfo.php?workbook=20_05.xlsx&amp;sheet=U0&amp;row=6528&amp;col=6&amp;number=3.4&amp;sourceID=14","3.4")</f>
        <v>3.4</v>
      </c>
      <c r="G6528" s="4" t="str">
        <f>HYPERLINK("http://141.218.60.56/~jnz1568/getInfo.php?workbook=20_05.xlsx&amp;sheet=U0&amp;row=6528&amp;col=7&amp;number=1.82e-05&amp;sourceID=14","1.82e-05")</f>
        <v>1.82e-05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HYPERLINK("http://141.218.60.56/~jnz1568/getInfo.php?workbook=20_05.xlsx&amp;sheet=U0&amp;row=6529&amp;col=6&amp;number=3.5&amp;sourceID=14","3.5")</f>
        <v>3.5</v>
      </c>
      <c r="G6529" s="4" t="str">
        <f>HYPERLINK("http://141.218.60.56/~jnz1568/getInfo.php?workbook=20_05.xlsx&amp;sheet=U0&amp;row=6529&amp;col=7&amp;number=1.82e-05&amp;sourceID=14","1.82e-05")</f>
        <v>1.82e-05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HYPERLINK("http://141.218.60.56/~jnz1568/getInfo.php?workbook=20_05.xlsx&amp;sheet=U0&amp;row=6530&amp;col=6&amp;number=3.6&amp;sourceID=14","3.6")</f>
        <v>3.6</v>
      </c>
      <c r="G6530" s="4" t="str">
        <f>HYPERLINK("http://141.218.60.56/~jnz1568/getInfo.php?workbook=20_05.xlsx&amp;sheet=U0&amp;row=6530&amp;col=7&amp;number=1.82e-05&amp;sourceID=14","1.82e-05")</f>
        <v>1.82e-05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HYPERLINK("http://141.218.60.56/~jnz1568/getInfo.php?workbook=20_05.xlsx&amp;sheet=U0&amp;row=6531&amp;col=6&amp;number=3.7&amp;sourceID=14","3.7")</f>
        <v>3.7</v>
      </c>
      <c r="G6531" s="4" t="str">
        <f>HYPERLINK("http://141.218.60.56/~jnz1568/getInfo.php?workbook=20_05.xlsx&amp;sheet=U0&amp;row=6531&amp;col=7&amp;number=1.82e-05&amp;sourceID=14","1.82e-05")</f>
        <v>1.82e-05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HYPERLINK("http://141.218.60.56/~jnz1568/getInfo.php?workbook=20_05.xlsx&amp;sheet=U0&amp;row=6532&amp;col=6&amp;number=3.8&amp;sourceID=14","3.8")</f>
        <v>3.8</v>
      </c>
      <c r="G6532" s="4" t="str">
        <f>HYPERLINK("http://141.218.60.56/~jnz1568/getInfo.php?workbook=20_05.xlsx&amp;sheet=U0&amp;row=6532&amp;col=7&amp;number=1.82e-05&amp;sourceID=14","1.82e-05")</f>
        <v>1.82e-05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HYPERLINK("http://141.218.60.56/~jnz1568/getInfo.php?workbook=20_05.xlsx&amp;sheet=U0&amp;row=6533&amp;col=6&amp;number=3.9&amp;sourceID=14","3.9")</f>
        <v>3.9</v>
      </c>
      <c r="G6533" s="4" t="str">
        <f>HYPERLINK("http://141.218.60.56/~jnz1568/getInfo.php?workbook=20_05.xlsx&amp;sheet=U0&amp;row=6533&amp;col=7&amp;number=1.81e-05&amp;sourceID=14","1.81e-05")</f>
        <v>1.81e-05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HYPERLINK("http://141.218.60.56/~jnz1568/getInfo.php?workbook=20_05.xlsx&amp;sheet=U0&amp;row=6534&amp;col=6&amp;number=4&amp;sourceID=14","4")</f>
        <v>4</v>
      </c>
      <c r="G6534" s="4" t="str">
        <f>HYPERLINK("http://141.218.60.56/~jnz1568/getInfo.php?workbook=20_05.xlsx&amp;sheet=U0&amp;row=6534&amp;col=7&amp;number=1.81e-05&amp;sourceID=14","1.81e-05")</f>
        <v>1.81e-05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HYPERLINK("http://141.218.60.56/~jnz1568/getInfo.php?workbook=20_05.xlsx&amp;sheet=U0&amp;row=6535&amp;col=6&amp;number=4.1&amp;sourceID=14","4.1")</f>
        <v>4.1</v>
      </c>
      <c r="G6535" s="4" t="str">
        <f>HYPERLINK("http://141.218.60.56/~jnz1568/getInfo.php?workbook=20_05.xlsx&amp;sheet=U0&amp;row=6535&amp;col=7&amp;number=1.81e-05&amp;sourceID=14","1.81e-05")</f>
        <v>1.81e-05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HYPERLINK("http://141.218.60.56/~jnz1568/getInfo.php?workbook=20_05.xlsx&amp;sheet=U0&amp;row=6536&amp;col=6&amp;number=4.2&amp;sourceID=14","4.2")</f>
        <v>4.2</v>
      </c>
      <c r="G6536" s="4" t="str">
        <f>HYPERLINK("http://141.218.60.56/~jnz1568/getInfo.php?workbook=20_05.xlsx&amp;sheet=U0&amp;row=6536&amp;col=7&amp;number=1.81e-05&amp;sourceID=14","1.81e-05")</f>
        <v>1.81e-05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HYPERLINK("http://141.218.60.56/~jnz1568/getInfo.php?workbook=20_05.xlsx&amp;sheet=U0&amp;row=6537&amp;col=6&amp;number=4.3&amp;sourceID=14","4.3")</f>
        <v>4.3</v>
      </c>
      <c r="G6537" s="4" t="str">
        <f>HYPERLINK("http://141.218.60.56/~jnz1568/getInfo.php?workbook=20_05.xlsx&amp;sheet=U0&amp;row=6537&amp;col=7&amp;number=1.81e-05&amp;sourceID=14","1.81e-05")</f>
        <v>1.81e-05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HYPERLINK("http://141.218.60.56/~jnz1568/getInfo.php?workbook=20_05.xlsx&amp;sheet=U0&amp;row=6538&amp;col=6&amp;number=4.4&amp;sourceID=14","4.4")</f>
        <v>4.4</v>
      </c>
      <c r="G6538" s="4" t="str">
        <f>HYPERLINK("http://141.218.60.56/~jnz1568/getInfo.php?workbook=20_05.xlsx&amp;sheet=U0&amp;row=6538&amp;col=7&amp;number=1.81e-05&amp;sourceID=14","1.81e-05")</f>
        <v>1.81e-05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HYPERLINK("http://141.218.60.56/~jnz1568/getInfo.php?workbook=20_05.xlsx&amp;sheet=U0&amp;row=6539&amp;col=6&amp;number=4.5&amp;sourceID=14","4.5")</f>
        <v>4.5</v>
      </c>
      <c r="G6539" s="4" t="str">
        <f>HYPERLINK("http://141.218.60.56/~jnz1568/getInfo.php?workbook=20_05.xlsx&amp;sheet=U0&amp;row=6539&amp;col=7&amp;number=1.8e-05&amp;sourceID=14","1.8e-05")</f>
        <v>1.8e-05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HYPERLINK("http://141.218.60.56/~jnz1568/getInfo.php?workbook=20_05.xlsx&amp;sheet=U0&amp;row=6540&amp;col=6&amp;number=4.6&amp;sourceID=14","4.6")</f>
        <v>4.6</v>
      </c>
      <c r="G6540" s="4" t="str">
        <f>HYPERLINK("http://141.218.60.56/~jnz1568/getInfo.php?workbook=20_05.xlsx&amp;sheet=U0&amp;row=6540&amp;col=7&amp;number=1.8e-05&amp;sourceID=14","1.8e-05")</f>
        <v>1.8e-05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HYPERLINK("http://141.218.60.56/~jnz1568/getInfo.php?workbook=20_05.xlsx&amp;sheet=U0&amp;row=6541&amp;col=6&amp;number=4.7&amp;sourceID=14","4.7")</f>
        <v>4.7</v>
      </c>
      <c r="G6541" s="4" t="str">
        <f>HYPERLINK("http://141.218.60.56/~jnz1568/getInfo.php?workbook=20_05.xlsx&amp;sheet=U0&amp;row=6541&amp;col=7&amp;number=1.79e-05&amp;sourceID=14","1.79e-05")</f>
        <v>1.79e-05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HYPERLINK("http://141.218.60.56/~jnz1568/getInfo.php?workbook=20_05.xlsx&amp;sheet=U0&amp;row=6542&amp;col=6&amp;number=4.8&amp;sourceID=14","4.8")</f>
        <v>4.8</v>
      </c>
      <c r="G6542" s="4" t="str">
        <f>HYPERLINK("http://141.218.60.56/~jnz1568/getInfo.php?workbook=20_05.xlsx&amp;sheet=U0&amp;row=6542&amp;col=7&amp;number=1.79e-05&amp;sourceID=14","1.79e-05")</f>
        <v>1.79e-05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HYPERLINK("http://141.218.60.56/~jnz1568/getInfo.php?workbook=20_05.xlsx&amp;sheet=U0&amp;row=6543&amp;col=6&amp;number=4.9&amp;sourceID=14","4.9")</f>
        <v>4.9</v>
      </c>
      <c r="G6543" s="4" t="str">
        <f>HYPERLINK("http://141.218.60.56/~jnz1568/getInfo.php?workbook=20_05.xlsx&amp;sheet=U0&amp;row=6543&amp;col=7&amp;number=1.78e-05&amp;sourceID=14","1.78e-05")</f>
        <v>1.78e-05</v>
      </c>
    </row>
    <row r="6544" spans="1:7">
      <c r="A6544" s="3">
        <v>20</v>
      </c>
      <c r="B6544" s="3">
        <v>5</v>
      </c>
      <c r="C6544" s="3">
        <v>3</v>
      </c>
      <c r="D6544" s="3">
        <v>69</v>
      </c>
      <c r="E6544" s="3">
        <v>1</v>
      </c>
      <c r="F6544" s="4" t="str">
        <f>HYPERLINK("http://141.218.60.56/~jnz1568/getInfo.php?workbook=20_05.xlsx&amp;sheet=U0&amp;row=6544&amp;col=6&amp;number=3&amp;sourceID=14","3")</f>
        <v>3</v>
      </c>
      <c r="G6544" s="4" t="str">
        <f>HYPERLINK("http://141.218.60.56/~jnz1568/getInfo.php?workbook=20_05.xlsx&amp;sheet=U0&amp;row=6544&amp;col=7&amp;number=4.96e-06&amp;sourceID=14","4.96e-06")</f>
        <v>4.96e-06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HYPERLINK("http://141.218.60.56/~jnz1568/getInfo.php?workbook=20_05.xlsx&amp;sheet=U0&amp;row=6545&amp;col=6&amp;number=3.1&amp;sourceID=14","3.1")</f>
        <v>3.1</v>
      </c>
      <c r="G6545" s="4" t="str">
        <f>HYPERLINK("http://141.218.60.56/~jnz1568/getInfo.php?workbook=20_05.xlsx&amp;sheet=U0&amp;row=6545&amp;col=7&amp;number=4.96e-06&amp;sourceID=14","4.96e-06")</f>
        <v>4.96e-06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HYPERLINK("http://141.218.60.56/~jnz1568/getInfo.php?workbook=20_05.xlsx&amp;sheet=U0&amp;row=6546&amp;col=6&amp;number=3.2&amp;sourceID=14","3.2")</f>
        <v>3.2</v>
      </c>
      <c r="G6546" s="4" t="str">
        <f>HYPERLINK("http://141.218.60.56/~jnz1568/getInfo.php?workbook=20_05.xlsx&amp;sheet=U0&amp;row=6546&amp;col=7&amp;number=4.96e-06&amp;sourceID=14","4.96e-06")</f>
        <v>4.96e-06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HYPERLINK("http://141.218.60.56/~jnz1568/getInfo.php?workbook=20_05.xlsx&amp;sheet=U0&amp;row=6547&amp;col=6&amp;number=3.3&amp;sourceID=14","3.3")</f>
        <v>3.3</v>
      </c>
      <c r="G6547" s="4" t="str">
        <f>HYPERLINK("http://141.218.60.56/~jnz1568/getInfo.php?workbook=20_05.xlsx&amp;sheet=U0&amp;row=6547&amp;col=7&amp;number=4.96e-06&amp;sourceID=14","4.96e-06")</f>
        <v>4.96e-06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HYPERLINK("http://141.218.60.56/~jnz1568/getInfo.php?workbook=20_05.xlsx&amp;sheet=U0&amp;row=6548&amp;col=6&amp;number=3.4&amp;sourceID=14","3.4")</f>
        <v>3.4</v>
      </c>
      <c r="G6548" s="4" t="str">
        <f>HYPERLINK("http://141.218.60.56/~jnz1568/getInfo.php?workbook=20_05.xlsx&amp;sheet=U0&amp;row=6548&amp;col=7&amp;number=4.96e-06&amp;sourceID=14","4.96e-06")</f>
        <v>4.96e-06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HYPERLINK("http://141.218.60.56/~jnz1568/getInfo.php?workbook=20_05.xlsx&amp;sheet=U0&amp;row=6549&amp;col=6&amp;number=3.5&amp;sourceID=14","3.5")</f>
        <v>3.5</v>
      </c>
      <c r="G6549" s="4" t="str">
        <f>HYPERLINK("http://141.218.60.56/~jnz1568/getInfo.php?workbook=20_05.xlsx&amp;sheet=U0&amp;row=6549&amp;col=7&amp;number=4.96e-06&amp;sourceID=14","4.96e-06")</f>
        <v>4.96e-06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HYPERLINK("http://141.218.60.56/~jnz1568/getInfo.php?workbook=20_05.xlsx&amp;sheet=U0&amp;row=6550&amp;col=6&amp;number=3.6&amp;sourceID=14","3.6")</f>
        <v>3.6</v>
      </c>
      <c r="G6550" s="4" t="str">
        <f>HYPERLINK("http://141.218.60.56/~jnz1568/getInfo.php?workbook=20_05.xlsx&amp;sheet=U0&amp;row=6550&amp;col=7&amp;number=4.96e-06&amp;sourceID=14","4.96e-06")</f>
        <v>4.96e-06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HYPERLINK("http://141.218.60.56/~jnz1568/getInfo.php?workbook=20_05.xlsx&amp;sheet=U0&amp;row=6551&amp;col=6&amp;number=3.7&amp;sourceID=14","3.7")</f>
        <v>3.7</v>
      </c>
      <c r="G6551" s="4" t="str">
        <f>HYPERLINK("http://141.218.60.56/~jnz1568/getInfo.php?workbook=20_05.xlsx&amp;sheet=U0&amp;row=6551&amp;col=7&amp;number=4.96e-06&amp;sourceID=14","4.96e-06")</f>
        <v>4.96e-06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HYPERLINK("http://141.218.60.56/~jnz1568/getInfo.php?workbook=20_05.xlsx&amp;sheet=U0&amp;row=6552&amp;col=6&amp;number=3.8&amp;sourceID=14","3.8")</f>
        <v>3.8</v>
      </c>
      <c r="G6552" s="4" t="str">
        <f>HYPERLINK("http://141.218.60.56/~jnz1568/getInfo.php?workbook=20_05.xlsx&amp;sheet=U0&amp;row=6552&amp;col=7&amp;number=4.95e-06&amp;sourceID=14","4.95e-06")</f>
        <v>4.95e-06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HYPERLINK("http://141.218.60.56/~jnz1568/getInfo.php?workbook=20_05.xlsx&amp;sheet=U0&amp;row=6553&amp;col=6&amp;number=3.9&amp;sourceID=14","3.9")</f>
        <v>3.9</v>
      </c>
      <c r="G6553" s="4" t="str">
        <f>HYPERLINK("http://141.218.60.56/~jnz1568/getInfo.php?workbook=20_05.xlsx&amp;sheet=U0&amp;row=6553&amp;col=7&amp;number=4.95e-06&amp;sourceID=14","4.95e-06")</f>
        <v>4.95e-06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HYPERLINK("http://141.218.60.56/~jnz1568/getInfo.php?workbook=20_05.xlsx&amp;sheet=U0&amp;row=6554&amp;col=6&amp;number=4&amp;sourceID=14","4")</f>
        <v>4</v>
      </c>
      <c r="G6554" s="4" t="str">
        <f>HYPERLINK("http://141.218.60.56/~jnz1568/getInfo.php?workbook=20_05.xlsx&amp;sheet=U0&amp;row=6554&amp;col=7&amp;number=4.95e-06&amp;sourceID=14","4.95e-06")</f>
        <v>4.95e-06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HYPERLINK("http://141.218.60.56/~jnz1568/getInfo.php?workbook=20_05.xlsx&amp;sheet=U0&amp;row=6555&amp;col=6&amp;number=4.1&amp;sourceID=14","4.1")</f>
        <v>4.1</v>
      </c>
      <c r="G6555" s="4" t="str">
        <f>HYPERLINK("http://141.218.60.56/~jnz1568/getInfo.php?workbook=20_05.xlsx&amp;sheet=U0&amp;row=6555&amp;col=7&amp;number=4.95e-06&amp;sourceID=14","4.95e-06")</f>
        <v>4.95e-06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HYPERLINK("http://141.218.60.56/~jnz1568/getInfo.php?workbook=20_05.xlsx&amp;sheet=U0&amp;row=6556&amp;col=6&amp;number=4.2&amp;sourceID=14","4.2")</f>
        <v>4.2</v>
      </c>
      <c r="G6556" s="4" t="str">
        <f>HYPERLINK("http://141.218.60.56/~jnz1568/getInfo.php?workbook=20_05.xlsx&amp;sheet=U0&amp;row=6556&amp;col=7&amp;number=4.94e-06&amp;sourceID=14","4.94e-06")</f>
        <v>4.94e-06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HYPERLINK("http://141.218.60.56/~jnz1568/getInfo.php?workbook=20_05.xlsx&amp;sheet=U0&amp;row=6557&amp;col=6&amp;number=4.3&amp;sourceID=14","4.3")</f>
        <v>4.3</v>
      </c>
      <c r="G6557" s="4" t="str">
        <f>HYPERLINK("http://141.218.60.56/~jnz1568/getInfo.php?workbook=20_05.xlsx&amp;sheet=U0&amp;row=6557&amp;col=7&amp;number=4.93e-06&amp;sourceID=14","4.93e-06")</f>
        <v>4.93e-06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HYPERLINK("http://141.218.60.56/~jnz1568/getInfo.php?workbook=20_05.xlsx&amp;sheet=U0&amp;row=6558&amp;col=6&amp;number=4.4&amp;sourceID=14","4.4")</f>
        <v>4.4</v>
      </c>
      <c r="G6558" s="4" t="str">
        <f>HYPERLINK("http://141.218.60.56/~jnz1568/getInfo.php?workbook=20_05.xlsx&amp;sheet=U0&amp;row=6558&amp;col=7&amp;number=4.93e-06&amp;sourceID=14","4.93e-06")</f>
        <v>4.93e-06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HYPERLINK("http://141.218.60.56/~jnz1568/getInfo.php?workbook=20_05.xlsx&amp;sheet=U0&amp;row=6559&amp;col=6&amp;number=4.5&amp;sourceID=14","4.5")</f>
        <v>4.5</v>
      </c>
      <c r="G6559" s="4" t="str">
        <f>HYPERLINK("http://141.218.60.56/~jnz1568/getInfo.php?workbook=20_05.xlsx&amp;sheet=U0&amp;row=6559&amp;col=7&amp;number=4.92e-06&amp;sourceID=14","4.92e-06")</f>
        <v>4.92e-06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HYPERLINK("http://141.218.60.56/~jnz1568/getInfo.php?workbook=20_05.xlsx&amp;sheet=U0&amp;row=6560&amp;col=6&amp;number=4.6&amp;sourceID=14","4.6")</f>
        <v>4.6</v>
      </c>
      <c r="G6560" s="4" t="str">
        <f>HYPERLINK("http://141.218.60.56/~jnz1568/getInfo.php?workbook=20_05.xlsx&amp;sheet=U0&amp;row=6560&amp;col=7&amp;number=4.91e-06&amp;sourceID=14","4.91e-06")</f>
        <v>4.91e-06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HYPERLINK("http://141.218.60.56/~jnz1568/getInfo.php?workbook=20_05.xlsx&amp;sheet=U0&amp;row=6561&amp;col=6&amp;number=4.7&amp;sourceID=14","4.7")</f>
        <v>4.7</v>
      </c>
      <c r="G6561" s="4" t="str">
        <f>HYPERLINK("http://141.218.60.56/~jnz1568/getInfo.php?workbook=20_05.xlsx&amp;sheet=U0&amp;row=6561&amp;col=7&amp;number=4.89e-06&amp;sourceID=14","4.89e-06")</f>
        <v>4.89e-06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HYPERLINK("http://141.218.60.56/~jnz1568/getInfo.php?workbook=20_05.xlsx&amp;sheet=U0&amp;row=6562&amp;col=6&amp;number=4.8&amp;sourceID=14","4.8")</f>
        <v>4.8</v>
      </c>
      <c r="G6562" s="4" t="str">
        <f>HYPERLINK("http://141.218.60.56/~jnz1568/getInfo.php?workbook=20_05.xlsx&amp;sheet=U0&amp;row=6562&amp;col=7&amp;number=4.88e-06&amp;sourceID=14","4.88e-06")</f>
        <v>4.88e-06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HYPERLINK("http://141.218.60.56/~jnz1568/getInfo.php?workbook=20_05.xlsx&amp;sheet=U0&amp;row=6563&amp;col=6&amp;number=4.9&amp;sourceID=14","4.9")</f>
        <v>4.9</v>
      </c>
      <c r="G6563" s="4" t="str">
        <f>HYPERLINK("http://141.218.60.56/~jnz1568/getInfo.php?workbook=20_05.xlsx&amp;sheet=U0&amp;row=6563&amp;col=7&amp;number=4.85e-06&amp;sourceID=14","4.85e-06")</f>
        <v>4.85e-06</v>
      </c>
    </row>
    <row r="6564" spans="1:7">
      <c r="A6564" s="3">
        <v>20</v>
      </c>
      <c r="B6564" s="3">
        <v>5</v>
      </c>
      <c r="C6564" s="3">
        <v>3</v>
      </c>
      <c r="D6564" s="3">
        <v>70</v>
      </c>
      <c r="E6564" s="3">
        <v>1</v>
      </c>
      <c r="F6564" s="4" t="str">
        <f>HYPERLINK("http://141.218.60.56/~jnz1568/getInfo.php?workbook=20_05.xlsx&amp;sheet=U0&amp;row=6564&amp;col=6&amp;number=3&amp;sourceID=14","3")</f>
        <v>3</v>
      </c>
      <c r="G6564" s="4" t="str">
        <f>HYPERLINK("http://141.218.60.56/~jnz1568/getInfo.php?workbook=20_05.xlsx&amp;sheet=U0&amp;row=6564&amp;col=7&amp;number=9.07e-05&amp;sourceID=14","9.07e-05")</f>
        <v>9.07e-05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HYPERLINK("http://141.218.60.56/~jnz1568/getInfo.php?workbook=20_05.xlsx&amp;sheet=U0&amp;row=6565&amp;col=6&amp;number=3.1&amp;sourceID=14","3.1")</f>
        <v>3.1</v>
      </c>
      <c r="G6565" s="4" t="str">
        <f>HYPERLINK("http://141.218.60.56/~jnz1568/getInfo.php?workbook=20_05.xlsx&amp;sheet=U0&amp;row=6565&amp;col=7&amp;number=9.07e-05&amp;sourceID=14","9.07e-05")</f>
        <v>9.07e-05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HYPERLINK("http://141.218.60.56/~jnz1568/getInfo.php?workbook=20_05.xlsx&amp;sheet=U0&amp;row=6566&amp;col=6&amp;number=3.2&amp;sourceID=14","3.2")</f>
        <v>3.2</v>
      </c>
      <c r="G6566" s="4" t="str">
        <f>HYPERLINK("http://141.218.60.56/~jnz1568/getInfo.php?workbook=20_05.xlsx&amp;sheet=U0&amp;row=6566&amp;col=7&amp;number=9.07e-05&amp;sourceID=14","9.07e-05")</f>
        <v>9.07e-05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HYPERLINK("http://141.218.60.56/~jnz1568/getInfo.php?workbook=20_05.xlsx&amp;sheet=U0&amp;row=6567&amp;col=6&amp;number=3.3&amp;sourceID=14","3.3")</f>
        <v>3.3</v>
      </c>
      <c r="G6567" s="4" t="str">
        <f>HYPERLINK("http://141.218.60.56/~jnz1568/getInfo.php?workbook=20_05.xlsx&amp;sheet=U0&amp;row=6567&amp;col=7&amp;number=9.06e-05&amp;sourceID=14","9.06e-05")</f>
        <v>9.06e-05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HYPERLINK("http://141.218.60.56/~jnz1568/getInfo.php?workbook=20_05.xlsx&amp;sheet=U0&amp;row=6568&amp;col=6&amp;number=3.4&amp;sourceID=14","3.4")</f>
        <v>3.4</v>
      </c>
      <c r="G6568" s="4" t="str">
        <f>HYPERLINK("http://141.218.60.56/~jnz1568/getInfo.php?workbook=20_05.xlsx&amp;sheet=U0&amp;row=6568&amp;col=7&amp;number=9.06e-05&amp;sourceID=14","9.06e-05")</f>
        <v>9.06e-05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HYPERLINK("http://141.218.60.56/~jnz1568/getInfo.php?workbook=20_05.xlsx&amp;sheet=U0&amp;row=6569&amp;col=6&amp;number=3.5&amp;sourceID=14","3.5")</f>
        <v>3.5</v>
      </c>
      <c r="G6569" s="4" t="str">
        <f>HYPERLINK("http://141.218.60.56/~jnz1568/getInfo.php?workbook=20_05.xlsx&amp;sheet=U0&amp;row=6569&amp;col=7&amp;number=9.06e-05&amp;sourceID=14","9.06e-05")</f>
        <v>9.06e-05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HYPERLINK("http://141.218.60.56/~jnz1568/getInfo.php?workbook=20_05.xlsx&amp;sheet=U0&amp;row=6570&amp;col=6&amp;number=3.6&amp;sourceID=14","3.6")</f>
        <v>3.6</v>
      </c>
      <c r="G6570" s="4" t="str">
        <f>HYPERLINK("http://141.218.60.56/~jnz1568/getInfo.php?workbook=20_05.xlsx&amp;sheet=U0&amp;row=6570&amp;col=7&amp;number=9.06e-05&amp;sourceID=14","9.06e-05")</f>
        <v>9.06e-05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HYPERLINK("http://141.218.60.56/~jnz1568/getInfo.php?workbook=20_05.xlsx&amp;sheet=U0&amp;row=6571&amp;col=6&amp;number=3.7&amp;sourceID=14","3.7")</f>
        <v>3.7</v>
      </c>
      <c r="G6571" s="4" t="str">
        <f>HYPERLINK("http://141.218.60.56/~jnz1568/getInfo.php?workbook=20_05.xlsx&amp;sheet=U0&amp;row=6571&amp;col=7&amp;number=9.06e-05&amp;sourceID=14","9.06e-05")</f>
        <v>9.06e-05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HYPERLINK("http://141.218.60.56/~jnz1568/getInfo.php?workbook=20_05.xlsx&amp;sheet=U0&amp;row=6572&amp;col=6&amp;number=3.8&amp;sourceID=14","3.8")</f>
        <v>3.8</v>
      </c>
      <c r="G6572" s="4" t="str">
        <f>HYPERLINK("http://141.218.60.56/~jnz1568/getInfo.php?workbook=20_05.xlsx&amp;sheet=U0&amp;row=6572&amp;col=7&amp;number=9.05e-05&amp;sourceID=14","9.05e-05")</f>
        <v>9.05e-05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HYPERLINK("http://141.218.60.56/~jnz1568/getInfo.php?workbook=20_05.xlsx&amp;sheet=U0&amp;row=6573&amp;col=6&amp;number=3.9&amp;sourceID=14","3.9")</f>
        <v>3.9</v>
      </c>
      <c r="G6573" s="4" t="str">
        <f>HYPERLINK("http://141.218.60.56/~jnz1568/getInfo.php?workbook=20_05.xlsx&amp;sheet=U0&amp;row=6573&amp;col=7&amp;number=9.05e-05&amp;sourceID=14","9.05e-05")</f>
        <v>9.05e-05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HYPERLINK("http://141.218.60.56/~jnz1568/getInfo.php?workbook=20_05.xlsx&amp;sheet=U0&amp;row=6574&amp;col=6&amp;number=4&amp;sourceID=14","4")</f>
        <v>4</v>
      </c>
      <c r="G6574" s="4" t="str">
        <f>HYPERLINK("http://141.218.60.56/~jnz1568/getInfo.php?workbook=20_05.xlsx&amp;sheet=U0&amp;row=6574&amp;col=7&amp;number=9.04e-05&amp;sourceID=14","9.04e-05")</f>
        <v>9.04e-05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HYPERLINK("http://141.218.60.56/~jnz1568/getInfo.php?workbook=20_05.xlsx&amp;sheet=U0&amp;row=6575&amp;col=6&amp;number=4.1&amp;sourceID=14","4.1")</f>
        <v>4.1</v>
      </c>
      <c r="G6575" s="4" t="str">
        <f>HYPERLINK("http://141.218.60.56/~jnz1568/getInfo.php?workbook=20_05.xlsx&amp;sheet=U0&amp;row=6575&amp;col=7&amp;number=9.04e-05&amp;sourceID=14","9.04e-05")</f>
        <v>9.04e-05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HYPERLINK("http://141.218.60.56/~jnz1568/getInfo.php?workbook=20_05.xlsx&amp;sheet=U0&amp;row=6576&amp;col=6&amp;number=4.2&amp;sourceID=14","4.2")</f>
        <v>4.2</v>
      </c>
      <c r="G6576" s="4" t="str">
        <f>HYPERLINK("http://141.218.60.56/~jnz1568/getInfo.php?workbook=20_05.xlsx&amp;sheet=U0&amp;row=6576&amp;col=7&amp;number=9.03e-05&amp;sourceID=14","9.03e-05")</f>
        <v>9.03e-05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HYPERLINK("http://141.218.60.56/~jnz1568/getInfo.php?workbook=20_05.xlsx&amp;sheet=U0&amp;row=6577&amp;col=6&amp;number=4.3&amp;sourceID=14","4.3")</f>
        <v>4.3</v>
      </c>
      <c r="G6577" s="4" t="str">
        <f>HYPERLINK("http://141.218.60.56/~jnz1568/getInfo.php?workbook=20_05.xlsx&amp;sheet=U0&amp;row=6577&amp;col=7&amp;number=9.02e-05&amp;sourceID=14","9.02e-05")</f>
        <v>9.02e-05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HYPERLINK("http://141.218.60.56/~jnz1568/getInfo.php?workbook=20_05.xlsx&amp;sheet=U0&amp;row=6578&amp;col=6&amp;number=4.4&amp;sourceID=14","4.4")</f>
        <v>4.4</v>
      </c>
      <c r="G6578" s="4" t="str">
        <f>HYPERLINK("http://141.218.60.56/~jnz1568/getInfo.php?workbook=20_05.xlsx&amp;sheet=U0&amp;row=6578&amp;col=7&amp;number=9.01e-05&amp;sourceID=14","9.01e-05")</f>
        <v>9.01e-05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HYPERLINK("http://141.218.60.56/~jnz1568/getInfo.php?workbook=20_05.xlsx&amp;sheet=U0&amp;row=6579&amp;col=6&amp;number=4.5&amp;sourceID=14","4.5")</f>
        <v>4.5</v>
      </c>
      <c r="G6579" s="4" t="str">
        <f>HYPERLINK("http://141.218.60.56/~jnz1568/getInfo.php?workbook=20_05.xlsx&amp;sheet=U0&amp;row=6579&amp;col=7&amp;number=8.99e-05&amp;sourceID=14","8.99e-05")</f>
        <v>8.99e-05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HYPERLINK("http://141.218.60.56/~jnz1568/getInfo.php?workbook=20_05.xlsx&amp;sheet=U0&amp;row=6580&amp;col=6&amp;number=4.6&amp;sourceID=14","4.6")</f>
        <v>4.6</v>
      </c>
      <c r="G6580" s="4" t="str">
        <f>HYPERLINK("http://141.218.60.56/~jnz1568/getInfo.php?workbook=20_05.xlsx&amp;sheet=U0&amp;row=6580&amp;col=7&amp;number=8.97e-05&amp;sourceID=14","8.97e-05")</f>
        <v>8.97e-05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HYPERLINK("http://141.218.60.56/~jnz1568/getInfo.php?workbook=20_05.xlsx&amp;sheet=U0&amp;row=6581&amp;col=6&amp;number=4.7&amp;sourceID=14","4.7")</f>
        <v>4.7</v>
      </c>
      <c r="G6581" s="4" t="str">
        <f>HYPERLINK("http://141.218.60.56/~jnz1568/getInfo.php?workbook=20_05.xlsx&amp;sheet=U0&amp;row=6581&amp;col=7&amp;number=8.94e-05&amp;sourceID=14","8.94e-05")</f>
        <v>8.94e-05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HYPERLINK("http://141.218.60.56/~jnz1568/getInfo.php?workbook=20_05.xlsx&amp;sheet=U0&amp;row=6582&amp;col=6&amp;number=4.8&amp;sourceID=14","4.8")</f>
        <v>4.8</v>
      </c>
      <c r="G6582" s="4" t="str">
        <f>HYPERLINK("http://141.218.60.56/~jnz1568/getInfo.php?workbook=20_05.xlsx&amp;sheet=U0&amp;row=6582&amp;col=7&amp;number=8.91e-05&amp;sourceID=14","8.91e-05")</f>
        <v>8.91e-05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HYPERLINK("http://141.218.60.56/~jnz1568/getInfo.php?workbook=20_05.xlsx&amp;sheet=U0&amp;row=6583&amp;col=6&amp;number=4.9&amp;sourceID=14","4.9")</f>
        <v>4.9</v>
      </c>
      <c r="G6583" s="4" t="str">
        <f>HYPERLINK("http://141.218.60.56/~jnz1568/getInfo.php?workbook=20_05.xlsx&amp;sheet=U0&amp;row=6583&amp;col=7&amp;number=8.87e-05&amp;sourceID=14","8.87e-05")</f>
        <v>8.87e-05</v>
      </c>
    </row>
    <row r="6584" spans="1:7">
      <c r="A6584" s="3">
        <v>20</v>
      </c>
      <c r="B6584" s="3">
        <v>5</v>
      </c>
      <c r="C6584" s="3">
        <v>3</v>
      </c>
      <c r="D6584" s="3">
        <v>73</v>
      </c>
      <c r="E6584" s="3">
        <v>1</v>
      </c>
      <c r="F6584" s="4" t="str">
        <f>HYPERLINK("http://141.218.60.56/~jnz1568/getInfo.php?workbook=20_05.xlsx&amp;sheet=U0&amp;row=6584&amp;col=6&amp;number=3&amp;sourceID=14","3")</f>
        <v>3</v>
      </c>
      <c r="G6584" s="4" t="str">
        <f>HYPERLINK("http://141.218.60.56/~jnz1568/getInfo.php?workbook=20_05.xlsx&amp;sheet=U0&amp;row=6584&amp;col=7&amp;number=3.43e-05&amp;sourceID=14","3.43e-05")</f>
        <v>3.43e-05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HYPERLINK("http://141.218.60.56/~jnz1568/getInfo.php?workbook=20_05.xlsx&amp;sheet=U0&amp;row=6585&amp;col=6&amp;number=3.1&amp;sourceID=14","3.1")</f>
        <v>3.1</v>
      </c>
      <c r="G6585" s="4" t="str">
        <f>HYPERLINK("http://141.218.60.56/~jnz1568/getInfo.php?workbook=20_05.xlsx&amp;sheet=U0&amp;row=6585&amp;col=7&amp;number=3.43e-05&amp;sourceID=14","3.43e-05")</f>
        <v>3.43e-05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HYPERLINK("http://141.218.60.56/~jnz1568/getInfo.php?workbook=20_05.xlsx&amp;sheet=U0&amp;row=6586&amp;col=6&amp;number=3.2&amp;sourceID=14","3.2")</f>
        <v>3.2</v>
      </c>
      <c r="G6586" s="4" t="str">
        <f>HYPERLINK("http://141.218.60.56/~jnz1568/getInfo.php?workbook=20_05.xlsx&amp;sheet=U0&amp;row=6586&amp;col=7&amp;number=3.43e-05&amp;sourceID=14","3.43e-05")</f>
        <v>3.43e-05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HYPERLINK("http://141.218.60.56/~jnz1568/getInfo.php?workbook=20_05.xlsx&amp;sheet=U0&amp;row=6587&amp;col=6&amp;number=3.3&amp;sourceID=14","3.3")</f>
        <v>3.3</v>
      </c>
      <c r="G6587" s="4" t="str">
        <f>HYPERLINK("http://141.218.60.56/~jnz1568/getInfo.php?workbook=20_05.xlsx&amp;sheet=U0&amp;row=6587&amp;col=7&amp;number=3.43e-05&amp;sourceID=14","3.43e-05")</f>
        <v>3.43e-05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HYPERLINK("http://141.218.60.56/~jnz1568/getInfo.php?workbook=20_05.xlsx&amp;sheet=U0&amp;row=6588&amp;col=6&amp;number=3.4&amp;sourceID=14","3.4")</f>
        <v>3.4</v>
      </c>
      <c r="G6588" s="4" t="str">
        <f>HYPERLINK("http://141.218.60.56/~jnz1568/getInfo.php?workbook=20_05.xlsx&amp;sheet=U0&amp;row=6588&amp;col=7&amp;number=3.43e-05&amp;sourceID=14","3.43e-05")</f>
        <v>3.43e-05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HYPERLINK("http://141.218.60.56/~jnz1568/getInfo.php?workbook=20_05.xlsx&amp;sheet=U0&amp;row=6589&amp;col=6&amp;number=3.5&amp;sourceID=14","3.5")</f>
        <v>3.5</v>
      </c>
      <c r="G6589" s="4" t="str">
        <f>HYPERLINK("http://141.218.60.56/~jnz1568/getInfo.php?workbook=20_05.xlsx&amp;sheet=U0&amp;row=6589&amp;col=7&amp;number=3.43e-05&amp;sourceID=14","3.43e-05")</f>
        <v>3.43e-05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HYPERLINK("http://141.218.60.56/~jnz1568/getInfo.php?workbook=20_05.xlsx&amp;sheet=U0&amp;row=6590&amp;col=6&amp;number=3.6&amp;sourceID=14","3.6")</f>
        <v>3.6</v>
      </c>
      <c r="G6590" s="4" t="str">
        <f>HYPERLINK("http://141.218.60.56/~jnz1568/getInfo.php?workbook=20_05.xlsx&amp;sheet=U0&amp;row=6590&amp;col=7&amp;number=3.43e-05&amp;sourceID=14","3.43e-05")</f>
        <v>3.43e-05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HYPERLINK("http://141.218.60.56/~jnz1568/getInfo.php?workbook=20_05.xlsx&amp;sheet=U0&amp;row=6591&amp;col=6&amp;number=3.7&amp;sourceID=14","3.7")</f>
        <v>3.7</v>
      </c>
      <c r="G6591" s="4" t="str">
        <f>HYPERLINK("http://141.218.60.56/~jnz1568/getInfo.php?workbook=20_05.xlsx&amp;sheet=U0&amp;row=6591&amp;col=7&amp;number=3.43e-05&amp;sourceID=14","3.43e-05")</f>
        <v>3.43e-05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HYPERLINK("http://141.218.60.56/~jnz1568/getInfo.php?workbook=20_05.xlsx&amp;sheet=U0&amp;row=6592&amp;col=6&amp;number=3.8&amp;sourceID=14","3.8")</f>
        <v>3.8</v>
      </c>
      <c r="G6592" s="4" t="str">
        <f>HYPERLINK("http://141.218.60.56/~jnz1568/getInfo.php?workbook=20_05.xlsx&amp;sheet=U0&amp;row=6592&amp;col=7&amp;number=3.43e-05&amp;sourceID=14","3.43e-05")</f>
        <v>3.43e-05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HYPERLINK("http://141.218.60.56/~jnz1568/getInfo.php?workbook=20_05.xlsx&amp;sheet=U0&amp;row=6593&amp;col=6&amp;number=3.9&amp;sourceID=14","3.9")</f>
        <v>3.9</v>
      </c>
      <c r="G6593" s="4" t="str">
        <f>HYPERLINK("http://141.218.60.56/~jnz1568/getInfo.php?workbook=20_05.xlsx&amp;sheet=U0&amp;row=6593&amp;col=7&amp;number=3.42e-05&amp;sourceID=14","3.42e-05")</f>
        <v>3.42e-05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HYPERLINK("http://141.218.60.56/~jnz1568/getInfo.php?workbook=20_05.xlsx&amp;sheet=U0&amp;row=6594&amp;col=6&amp;number=4&amp;sourceID=14","4")</f>
        <v>4</v>
      </c>
      <c r="G6594" s="4" t="str">
        <f>HYPERLINK("http://141.218.60.56/~jnz1568/getInfo.php?workbook=20_05.xlsx&amp;sheet=U0&amp;row=6594&amp;col=7&amp;number=3.42e-05&amp;sourceID=14","3.42e-05")</f>
        <v>3.42e-05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HYPERLINK("http://141.218.60.56/~jnz1568/getInfo.php?workbook=20_05.xlsx&amp;sheet=U0&amp;row=6595&amp;col=6&amp;number=4.1&amp;sourceID=14","4.1")</f>
        <v>4.1</v>
      </c>
      <c r="G6595" s="4" t="str">
        <f>HYPERLINK("http://141.218.60.56/~jnz1568/getInfo.php?workbook=20_05.xlsx&amp;sheet=U0&amp;row=6595&amp;col=7&amp;number=3.42e-05&amp;sourceID=14","3.42e-05")</f>
        <v>3.42e-05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HYPERLINK("http://141.218.60.56/~jnz1568/getInfo.php?workbook=20_05.xlsx&amp;sheet=U0&amp;row=6596&amp;col=6&amp;number=4.2&amp;sourceID=14","4.2")</f>
        <v>4.2</v>
      </c>
      <c r="G6596" s="4" t="str">
        <f>HYPERLINK("http://141.218.60.56/~jnz1568/getInfo.php?workbook=20_05.xlsx&amp;sheet=U0&amp;row=6596&amp;col=7&amp;number=3.42e-05&amp;sourceID=14","3.42e-05")</f>
        <v>3.42e-05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HYPERLINK("http://141.218.60.56/~jnz1568/getInfo.php?workbook=20_05.xlsx&amp;sheet=U0&amp;row=6597&amp;col=6&amp;number=4.3&amp;sourceID=14","4.3")</f>
        <v>4.3</v>
      </c>
      <c r="G6597" s="4" t="str">
        <f>HYPERLINK("http://141.218.60.56/~jnz1568/getInfo.php?workbook=20_05.xlsx&amp;sheet=U0&amp;row=6597&amp;col=7&amp;number=3.42e-05&amp;sourceID=14","3.42e-05")</f>
        <v>3.42e-05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HYPERLINK("http://141.218.60.56/~jnz1568/getInfo.php?workbook=20_05.xlsx&amp;sheet=U0&amp;row=6598&amp;col=6&amp;number=4.4&amp;sourceID=14","4.4")</f>
        <v>4.4</v>
      </c>
      <c r="G6598" s="4" t="str">
        <f>HYPERLINK("http://141.218.60.56/~jnz1568/getInfo.php?workbook=20_05.xlsx&amp;sheet=U0&amp;row=6598&amp;col=7&amp;number=3.41e-05&amp;sourceID=14","3.41e-05")</f>
        <v>3.41e-05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HYPERLINK("http://141.218.60.56/~jnz1568/getInfo.php?workbook=20_05.xlsx&amp;sheet=U0&amp;row=6599&amp;col=6&amp;number=4.5&amp;sourceID=14","4.5")</f>
        <v>4.5</v>
      </c>
      <c r="G6599" s="4" t="str">
        <f>HYPERLINK("http://141.218.60.56/~jnz1568/getInfo.php?workbook=20_05.xlsx&amp;sheet=U0&amp;row=6599&amp;col=7&amp;number=3.41e-05&amp;sourceID=14","3.41e-05")</f>
        <v>3.41e-05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HYPERLINK("http://141.218.60.56/~jnz1568/getInfo.php?workbook=20_05.xlsx&amp;sheet=U0&amp;row=6600&amp;col=6&amp;number=4.6&amp;sourceID=14","4.6")</f>
        <v>4.6</v>
      </c>
      <c r="G6600" s="4" t="str">
        <f>HYPERLINK("http://141.218.60.56/~jnz1568/getInfo.php?workbook=20_05.xlsx&amp;sheet=U0&amp;row=6600&amp;col=7&amp;number=3.4e-05&amp;sourceID=14","3.4e-05")</f>
        <v>3.4e-05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HYPERLINK("http://141.218.60.56/~jnz1568/getInfo.php?workbook=20_05.xlsx&amp;sheet=U0&amp;row=6601&amp;col=6&amp;number=4.7&amp;sourceID=14","4.7")</f>
        <v>4.7</v>
      </c>
      <c r="G6601" s="4" t="str">
        <f>HYPERLINK("http://141.218.60.56/~jnz1568/getInfo.php?workbook=20_05.xlsx&amp;sheet=U0&amp;row=6601&amp;col=7&amp;number=3.39e-05&amp;sourceID=14","3.39e-05")</f>
        <v>3.39e-05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HYPERLINK("http://141.218.60.56/~jnz1568/getInfo.php?workbook=20_05.xlsx&amp;sheet=U0&amp;row=6602&amp;col=6&amp;number=4.8&amp;sourceID=14","4.8")</f>
        <v>4.8</v>
      </c>
      <c r="G6602" s="4" t="str">
        <f>HYPERLINK("http://141.218.60.56/~jnz1568/getInfo.php?workbook=20_05.xlsx&amp;sheet=U0&amp;row=6602&amp;col=7&amp;number=3.38e-05&amp;sourceID=14","3.38e-05")</f>
        <v>3.38e-05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HYPERLINK("http://141.218.60.56/~jnz1568/getInfo.php?workbook=20_05.xlsx&amp;sheet=U0&amp;row=6603&amp;col=6&amp;number=4.9&amp;sourceID=14","4.9")</f>
        <v>4.9</v>
      </c>
      <c r="G6603" s="4" t="str">
        <f>HYPERLINK("http://141.218.60.56/~jnz1568/getInfo.php?workbook=20_05.xlsx&amp;sheet=U0&amp;row=6603&amp;col=7&amp;number=3.37e-05&amp;sourceID=14","3.37e-05")</f>
        <v>3.37e-05</v>
      </c>
    </row>
    <row r="6604" spans="1:7">
      <c r="A6604" s="3">
        <v>20</v>
      </c>
      <c r="B6604" s="3">
        <v>5</v>
      </c>
      <c r="C6604" s="3">
        <v>3</v>
      </c>
      <c r="D6604" s="3">
        <v>74</v>
      </c>
      <c r="E6604" s="3">
        <v>1</v>
      </c>
      <c r="F6604" s="4" t="str">
        <f>HYPERLINK("http://141.218.60.56/~jnz1568/getInfo.php?workbook=20_05.xlsx&amp;sheet=U0&amp;row=6604&amp;col=6&amp;number=3&amp;sourceID=14","3")</f>
        <v>3</v>
      </c>
      <c r="G6604" s="4" t="str">
        <f>HYPERLINK("http://141.218.60.56/~jnz1568/getInfo.php?workbook=20_05.xlsx&amp;sheet=U0&amp;row=6604&amp;col=7&amp;number=0.000754&amp;sourceID=14","0.000754")</f>
        <v>0.000754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HYPERLINK("http://141.218.60.56/~jnz1568/getInfo.php?workbook=20_05.xlsx&amp;sheet=U0&amp;row=6605&amp;col=6&amp;number=3.1&amp;sourceID=14","3.1")</f>
        <v>3.1</v>
      </c>
      <c r="G6605" s="4" t="str">
        <f>HYPERLINK("http://141.218.60.56/~jnz1568/getInfo.php?workbook=20_05.xlsx&amp;sheet=U0&amp;row=6605&amp;col=7&amp;number=0.000754&amp;sourceID=14","0.000754")</f>
        <v>0.000754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HYPERLINK("http://141.218.60.56/~jnz1568/getInfo.php?workbook=20_05.xlsx&amp;sheet=U0&amp;row=6606&amp;col=6&amp;number=3.2&amp;sourceID=14","3.2")</f>
        <v>3.2</v>
      </c>
      <c r="G6606" s="4" t="str">
        <f>HYPERLINK("http://141.218.60.56/~jnz1568/getInfo.php?workbook=20_05.xlsx&amp;sheet=U0&amp;row=6606&amp;col=7&amp;number=0.000754&amp;sourceID=14","0.000754")</f>
        <v>0.000754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HYPERLINK("http://141.218.60.56/~jnz1568/getInfo.php?workbook=20_05.xlsx&amp;sheet=U0&amp;row=6607&amp;col=6&amp;number=3.3&amp;sourceID=14","3.3")</f>
        <v>3.3</v>
      </c>
      <c r="G6607" s="4" t="str">
        <f>HYPERLINK("http://141.218.60.56/~jnz1568/getInfo.php?workbook=20_05.xlsx&amp;sheet=U0&amp;row=6607&amp;col=7&amp;number=0.000754&amp;sourceID=14","0.000754")</f>
        <v>0.000754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HYPERLINK("http://141.218.60.56/~jnz1568/getInfo.php?workbook=20_05.xlsx&amp;sheet=U0&amp;row=6608&amp;col=6&amp;number=3.4&amp;sourceID=14","3.4")</f>
        <v>3.4</v>
      </c>
      <c r="G6608" s="4" t="str">
        <f>HYPERLINK("http://141.218.60.56/~jnz1568/getInfo.php?workbook=20_05.xlsx&amp;sheet=U0&amp;row=6608&amp;col=7&amp;number=0.000754&amp;sourceID=14","0.000754")</f>
        <v>0.000754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HYPERLINK("http://141.218.60.56/~jnz1568/getInfo.php?workbook=20_05.xlsx&amp;sheet=U0&amp;row=6609&amp;col=6&amp;number=3.5&amp;sourceID=14","3.5")</f>
        <v>3.5</v>
      </c>
      <c r="G6609" s="4" t="str">
        <f>HYPERLINK("http://141.218.60.56/~jnz1568/getInfo.php?workbook=20_05.xlsx&amp;sheet=U0&amp;row=6609&amp;col=7&amp;number=0.000754&amp;sourceID=14","0.000754")</f>
        <v>0.000754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HYPERLINK("http://141.218.60.56/~jnz1568/getInfo.php?workbook=20_05.xlsx&amp;sheet=U0&amp;row=6610&amp;col=6&amp;number=3.6&amp;sourceID=14","3.6")</f>
        <v>3.6</v>
      </c>
      <c r="G6610" s="4" t="str">
        <f>HYPERLINK("http://141.218.60.56/~jnz1568/getInfo.php?workbook=20_05.xlsx&amp;sheet=U0&amp;row=6610&amp;col=7&amp;number=0.000755&amp;sourceID=14","0.000755")</f>
        <v>0.000755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HYPERLINK("http://141.218.60.56/~jnz1568/getInfo.php?workbook=20_05.xlsx&amp;sheet=U0&amp;row=6611&amp;col=6&amp;number=3.7&amp;sourceID=14","3.7")</f>
        <v>3.7</v>
      </c>
      <c r="G6611" s="4" t="str">
        <f>HYPERLINK("http://141.218.60.56/~jnz1568/getInfo.php?workbook=20_05.xlsx&amp;sheet=U0&amp;row=6611&amp;col=7&amp;number=0.000755&amp;sourceID=14","0.000755")</f>
        <v>0.000755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HYPERLINK("http://141.218.60.56/~jnz1568/getInfo.php?workbook=20_05.xlsx&amp;sheet=U0&amp;row=6612&amp;col=6&amp;number=3.8&amp;sourceID=14","3.8")</f>
        <v>3.8</v>
      </c>
      <c r="G6612" s="4" t="str">
        <f>HYPERLINK("http://141.218.60.56/~jnz1568/getInfo.php?workbook=20_05.xlsx&amp;sheet=U0&amp;row=6612&amp;col=7&amp;number=0.000755&amp;sourceID=14","0.000755")</f>
        <v>0.000755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HYPERLINK("http://141.218.60.56/~jnz1568/getInfo.php?workbook=20_05.xlsx&amp;sheet=U0&amp;row=6613&amp;col=6&amp;number=3.9&amp;sourceID=14","3.9")</f>
        <v>3.9</v>
      </c>
      <c r="G6613" s="4" t="str">
        <f>HYPERLINK("http://141.218.60.56/~jnz1568/getInfo.php?workbook=20_05.xlsx&amp;sheet=U0&amp;row=6613&amp;col=7&amp;number=0.000755&amp;sourceID=14","0.000755")</f>
        <v>0.000755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HYPERLINK("http://141.218.60.56/~jnz1568/getInfo.php?workbook=20_05.xlsx&amp;sheet=U0&amp;row=6614&amp;col=6&amp;number=4&amp;sourceID=14","4")</f>
        <v>4</v>
      </c>
      <c r="G6614" s="4" t="str">
        <f>HYPERLINK("http://141.218.60.56/~jnz1568/getInfo.php?workbook=20_05.xlsx&amp;sheet=U0&amp;row=6614&amp;col=7&amp;number=0.000755&amp;sourceID=14","0.000755")</f>
        <v>0.000755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HYPERLINK("http://141.218.60.56/~jnz1568/getInfo.php?workbook=20_05.xlsx&amp;sheet=U0&amp;row=6615&amp;col=6&amp;number=4.1&amp;sourceID=14","4.1")</f>
        <v>4.1</v>
      </c>
      <c r="G6615" s="4" t="str">
        <f>HYPERLINK("http://141.218.60.56/~jnz1568/getInfo.php?workbook=20_05.xlsx&amp;sheet=U0&amp;row=6615&amp;col=7&amp;number=0.000755&amp;sourceID=14","0.000755")</f>
        <v>0.000755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HYPERLINK("http://141.218.60.56/~jnz1568/getInfo.php?workbook=20_05.xlsx&amp;sheet=U0&amp;row=6616&amp;col=6&amp;number=4.2&amp;sourceID=14","4.2")</f>
        <v>4.2</v>
      </c>
      <c r="G6616" s="4" t="str">
        <f>HYPERLINK("http://141.218.60.56/~jnz1568/getInfo.php?workbook=20_05.xlsx&amp;sheet=U0&amp;row=6616&amp;col=7&amp;number=0.000756&amp;sourceID=14","0.000756")</f>
        <v>0.000756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HYPERLINK("http://141.218.60.56/~jnz1568/getInfo.php?workbook=20_05.xlsx&amp;sheet=U0&amp;row=6617&amp;col=6&amp;number=4.3&amp;sourceID=14","4.3")</f>
        <v>4.3</v>
      </c>
      <c r="G6617" s="4" t="str">
        <f>HYPERLINK("http://141.218.60.56/~jnz1568/getInfo.php?workbook=20_05.xlsx&amp;sheet=U0&amp;row=6617&amp;col=7&amp;number=0.000756&amp;sourceID=14","0.000756")</f>
        <v>0.000756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HYPERLINK("http://141.218.60.56/~jnz1568/getInfo.php?workbook=20_05.xlsx&amp;sheet=U0&amp;row=6618&amp;col=6&amp;number=4.4&amp;sourceID=14","4.4")</f>
        <v>4.4</v>
      </c>
      <c r="G6618" s="4" t="str">
        <f>HYPERLINK("http://141.218.60.56/~jnz1568/getInfo.php?workbook=20_05.xlsx&amp;sheet=U0&amp;row=6618&amp;col=7&amp;number=0.000757&amp;sourceID=14","0.000757")</f>
        <v>0.000757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HYPERLINK("http://141.218.60.56/~jnz1568/getInfo.php?workbook=20_05.xlsx&amp;sheet=U0&amp;row=6619&amp;col=6&amp;number=4.5&amp;sourceID=14","4.5")</f>
        <v>4.5</v>
      </c>
      <c r="G6619" s="4" t="str">
        <f>HYPERLINK("http://141.218.60.56/~jnz1568/getInfo.php?workbook=20_05.xlsx&amp;sheet=U0&amp;row=6619&amp;col=7&amp;number=0.000757&amp;sourceID=14","0.000757")</f>
        <v>0.000757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HYPERLINK("http://141.218.60.56/~jnz1568/getInfo.php?workbook=20_05.xlsx&amp;sheet=U0&amp;row=6620&amp;col=6&amp;number=4.6&amp;sourceID=14","4.6")</f>
        <v>4.6</v>
      </c>
      <c r="G6620" s="4" t="str">
        <f>HYPERLINK("http://141.218.60.56/~jnz1568/getInfo.php?workbook=20_05.xlsx&amp;sheet=U0&amp;row=6620&amp;col=7&amp;number=0.000758&amp;sourceID=14","0.000758")</f>
        <v>0.000758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HYPERLINK("http://141.218.60.56/~jnz1568/getInfo.php?workbook=20_05.xlsx&amp;sheet=U0&amp;row=6621&amp;col=6&amp;number=4.7&amp;sourceID=14","4.7")</f>
        <v>4.7</v>
      </c>
      <c r="G6621" s="4" t="str">
        <f>HYPERLINK("http://141.218.60.56/~jnz1568/getInfo.php?workbook=20_05.xlsx&amp;sheet=U0&amp;row=6621&amp;col=7&amp;number=0.000759&amp;sourceID=14","0.000759")</f>
        <v>0.000759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HYPERLINK("http://141.218.60.56/~jnz1568/getInfo.php?workbook=20_05.xlsx&amp;sheet=U0&amp;row=6622&amp;col=6&amp;number=4.8&amp;sourceID=14","4.8")</f>
        <v>4.8</v>
      </c>
      <c r="G6622" s="4" t="str">
        <f>HYPERLINK("http://141.218.60.56/~jnz1568/getInfo.php?workbook=20_05.xlsx&amp;sheet=U0&amp;row=6622&amp;col=7&amp;number=0.000761&amp;sourceID=14","0.000761")</f>
        <v>0.000761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HYPERLINK("http://141.218.60.56/~jnz1568/getInfo.php?workbook=20_05.xlsx&amp;sheet=U0&amp;row=6623&amp;col=6&amp;number=4.9&amp;sourceID=14","4.9")</f>
        <v>4.9</v>
      </c>
      <c r="G6623" s="4" t="str">
        <f>HYPERLINK("http://141.218.60.56/~jnz1568/getInfo.php?workbook=20_05.xlsx&amp;sheet=U0&amp;row=6623&amp;col=7&amp;number=0.000762&amp;sourceID=14","0.000762")</f>
        <v>0.000762</v>
      </c>
    </row>
    <row r="6624" spans="1:7">
      <c r="A6624" s="3">
        <v>20</v>
      </c>
      <c r="B6624" s="3">
        <v>5</v>
      </c>
      <c r="C6624" s="3">
        <v>3</v>
      </c>
      <c r="D6624" s="3">
        <v>75</v>
      </c>
      <c r="E6624" s="3">
        <v>1</v>
      </c>
      <c r="F6624" s="4" t="str">
        <f>HYPERLINK("http://141.218.60.56/~jnz1568/getInfo.php?workbook=20_05.xlsx&amp;sheet=U0&amp;row=6624&amp;col=6&amp;number=3&amp;sourceID=14","3")</f>
        <v>3</v>
      </c>
      <c r="G6624" s="4" t="str">
        <f>HYPERLINK("http://141.218.60.56/~jnz1568/getInfo.php?workbook=20_05.xlsx&amp;sheet=U0&amp;row=6624&amp;col=7&amp;number=0.000824&amp;sourceID=14","0.000824")</f>
        <v>0.000824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HYPERLINK("http://141.218.60.56/~jnz1568/getInfo.php?workbook=20_05.xlsx&amp;sheet=U0&amp;row=6625&amp;col=6&amp;number=3.1&amp;sourceID=14","3.1")</f>
        <v>3.1</v>
      </c>
      <c r="G6625" s="4" t="str">
        <f>HYPERLINK("http://141.218.60.56/~jnz1568/getInfo.php?workbook=20_05.xlsx&amp;sheet=U0&amp;row=6625&amp;col=7&amp;number=0.000824&amp;sourceID=14","0.000824")</f>
        <v>0.000824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HYPERLINK("http://141.218.60.56/~jnz1568/getInfo.php?workbook=20_05.xlsx&amp;sheet=U0&amp;row=6626&amp;col=6&amp;number=3.2&amp;sourceID=14","3.2")</f>
        <v>3.2</v>
      </c>
      <c r="G6626" s="4" t="str">
        <f>HYPERLINK("http://141.218.60.56/~jnz1568/getInfo.php?workbook=20_05.xlsx&amp;sheet=U0&amp;row=6626&amp;col=7&amp;number=0.000824&amp;sourceID=14","0.000824")</f>
        <v>0.000824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HYPERLINK("http://141.218.60.56/~jnz1568/getInfo.php?workbook=20_05.xlsx&amp;sheet=U0&amp;row=6627&amp;col=6&amp;number=3.3&amp;sourceID=14","3.3")</f>
        <v>3.3</v>
      </c>
      <c r="G6627" s="4" t="str">
        <f>HYPERLINK("http://141.218.60.56/~jnz1568/getInfo.php?workbook=20_05.xlsx&amp;sheet=U0&amp;row=6627&amp;col=7&amp;number=0.000823&amp;sourceID=14","0.000823")</f>
        <v>0.000823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HYPERLINK("http://141.218.60.56/~jnz1568/getInfo.php?workbook=20_05.xlsx&amp;sheet=U0&amp;row=6628&amp;col=6&amp;number=3.4&amp;sourceID=14","3.4")</f>
        <v>3.4</v>
      </c>
      <c r="G6628" s="4" t="str">
        <f>HYPERLINK("http://141.218.60.56/~jnz1568/getInfo.php?workbook=20_05.xlsx&amp;sheet=U0&amp;row=6628&amp;col=7&amp;number=0.000823&amp;sourceID=14","0.000823")</f>
        <v>0.000823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HYPERLINK("http://141.218.60.56/~jnz1568/getInfo.php?workbook=20_05.xlsx&amp;sheet=U0&amp;row=6629&amp;col=6&amp;number=3.5&amp;sourceID=14","3.5")</f>
        <v>3.5</v>
      </c>
      <c r="G6629" s="4" t="str">
        <f>HYPERLINK("http://141.218.60.56/~jnz1568/getInfo.php?workbook=20_05.xlsx&amp;sheet=U0&amp;row=6629&amp;col=7&amp;number=0.000823&amp;sourceID=14","0.000823")</f>
        <v>0.000823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HYPERLINK("http://141.218.60.56/~jnz1568/getInfo.php?workbook=20_05.xlsx&amp;sheet=U0&amp;row=6630&amp;col=6&amp;number=3.6&amp;sourceID=14","3.6")</f>
        <v>3.6</v>
      </c>
      <c r="G6630" s="4" t="str">
        <f>HYPERLINK("http://141.218.60.56/~jnz1568/getInfo.php?workbook=20_05.xlsx&amp;sheet=U0&amp;row=6630&amp;col=7&amp;number=0.000823&amp;sourceID=14","0.000823")</f>
        <v>0.000823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HYPERLINK("http://141.218.60.56/~jnz1568/getInfo.php?workbook=20_05.xlsx&amp;sheet=U0&amp;row=6631&amp;col=6&amp;number=3.7&amp;sourceID=14","3.7")</f>
        <v>3.7</v>
      </c>
      <c r="G6631" s="4" t="str">
        <f>HYPERLINK("http://141.218.60.56/~jnz1568/getInfo.php?workbook=20_05.xlsx&amp;sheet=U0&amp;row=6631&amp;col=7&amp;number=0.000823&amp;sourceID=14","0.000823")</f>
        <v>0.000823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HYPERLINK("http://141.218.60.56/~jnz1568/getInfo.php?workbook=20_05.xlsx&amp;sheet=U0&amp;row=6632&amp;col=6&amp;number=3.8&amp;sourceID=14","3.8")</f>
        <v>3.8</v>
      </c>
      <c r="G6632" s="4" t="str">
        <f>HYPERLINK("http://141.218.60.56/~jnz1568/getInfo.php?workbook=20_05.xlsx&amp;sheet=U0&amp;row=6632&amp;col=7&amp;number=0.000823&amp;sourceID=14","0.000823")</f>
        <v>0.000823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HYPERLINK("http://141.218.60.56/~jnz1568/getInfo.php?workbook=20_05.xlsx&amp;sheet=U0&amp;row=6633&amp;col=6&amp;number=3.9&amp;sourceID=14","3.9")</f>
        <v>3.9</v>
      </c>
      <c r="G6633" s="4" t="str">
        <f>HYPERLINK("http://141.218.60.56/~jnz1568/getInfo.php?workbook=20_05.xlsx&amp;sheet=U0&amp;row=6633&amp;col=7&amp;number=0.000822&amp;sourceID=14","0.000822")</f>
        <v>0.000822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HYPERLINK("http://141.218.60.56/~jnz1568/getInfo.php?workbook=20_05.xlsx&amp;sheet=U0&amp;row=6634&amp;col=6&amp;number=4&amp;sourceID=14","4")</f>
        <v>4</v>
      </c>
      <c r="G6634" s="4" t="str">
        <f>HYPERLINK("http://141.218.60.56/~jnz1568/getInfo.php?workbook=20_05.xlsx&amp;sheet=U0&amp;row=6634&amp;col=7&amp;number=0.000822&amp;sourceID=14","0.000822")</f>
        <v>0.000822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HYPERLINK("http://141.218.60.56/~jnz1568/getInfo.php?workbook=20_05.xlsx&amp;sheet=U0&amp;row=6635&amp;col=6&amp;number=4.1&amp;sourceID=14","4.1")</f>
        <v>4.1</v>
      </c>
      <c r="G6635" s="4" t="str">
        <f>HYPERLINK("http://141.218.60.56/~jnz1568/getInfo.php?workbook=20_05.xlsx&amp;sheet=U0&amp;row=6635&amp;col=7&amp;number=0.000822&amp;sourceID=14","0.000822")</f>
        <v>0.000822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HYPERLINK("http://141.218.60.56/~jnz1568/getInfo.php?workbook=20_05.xlsx&amp;sheet=U0&amp;row=6636&amp;col=6&amp;number=4.2&amp;sourceID=14","4.2")</f>
        <v>4.2</v>
      </c>
      <c r="G6636" s="4" t="str">
        <f>HYPERLINK("http://141.218.60.56/~jnz1568/getInfo.php?workbook=20_05.xlsx&amp;sheet=U0&amp;row=6636&amp;col=7&amp;number=0.000821&amp;sourceID=14","0.000821")</f>
        <v>0.000821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HYPERLINK("http://141.218.60.56/~jnz1568/getInfo.php?workbook=20_05.xlsx&amp;sheet=U0&amp;row=6637&amp;col=6&amp;number=4.3&amp;sourceID=14","4.3")</f>
        <v>4.3</v>
      </c>
      <c r="G6637" s="4" t="str">
        <f>HYPERLINK("http://141.218.60.56/~jnz1568/getInfo.php?workbook=20_05.xlsx&amp;sheet=U0&amp;row=6637&amp;col=7&amp;number=0.00082&amp;sourceID=14","0.00082")</f>
        <v>0.00082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HYPERLINK("http://141.218.60.56/~jnz1568/getInfo.php?workbook=20_05.xlsx&amp;sheet=U0&amp;row=6638&amp;col=6&amp;number=4.4&amp;sourceID=14","4.4")</f>
        <v>4.4</v>
      </c>
      <c r="G6638" s="4" t="str">
        <f>HYPERLINK("http://141.218.60.56/~jnz1568/getInfo.php?workbook=20_05.xlsx&amp;sheet=U0&amp;row=6638&amp;col=7&amp;number=0.000819&amp;sourceID=14","0.000819")</f>
        <v>0.000819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HYPERLINK("http://141.218.60.56/~jnz1568/getInfo.php?workbook=20_05.xlsx&amp;sheet=U0&amp;row=6639&amp;col=6&amp;number=4.5&amp;sourceID=14","4.5")</f>
        <v>4.5</v>
      </c>
      <c r="G6639" s="4" t="str">
        <f>HYPERLINK("http://141.218.60.56/~jnz1568/getInfo.php?workbook=20_05.xlsx&amp;sheet=U0&amp;row=6639&amp;col=7&amp;number=0.000818&amp;sourceID=14","0.000818")</f>
        <v>0.000818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HYPERLINK("http://141.218.60.56/~jnz1568/getInfo.php?workbook=20_05.xlsx&amp;sheet=U0&amp;row=6640&amp;col=6&amp;number=4.6&amp;sourceID=14","4.6")</f>
        <v>4.6</v>
      </c>
      <c r="G6640" s="4" t="str">
        <f>HYPERLINK("http://141.218.60.56/~jnz1568/getInfo.php?workbook=20_05.xlsx&amp;sheet=U0&amp;row=6640&amp;col=7&amp;number=0.000817&amp;sourceID=14","0.000817")</f>
        <v>0.000817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HYPERLINK("http://141.218.60.56/~jnz1568/getInfo.php?workbook=20_05.xlsx&amp;sheet=U0&amp;row=6641&amp;col=6&amp;number=4.7&amp;sourceID=14","4.7")</f>
        <v>4.7</v>
      </c>
      <c r="G6641" s="4" t="str">
        <f>HYPERLINK("http://141.218.60.56/~jnz1568/getInfo.php?workbook=20_05.xlsx&amp;sheet=U0&amp;row=6641&amp;col=7&amp;number=0.000815&amp;sourceID=14","0.000815")</f>
        <v>0.000815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HYPERLINK("http://141.218.60.56/~jnz1568/getInfo.php?workbook=20_05.xlsx&amp;sheet=U0&amp;row=6642&amp;col=6&amp;number=4.8&amp;sourceID=14","4.8")</f>
        <v>4.8</v>
      </c>
      <c r="G6642" s="4" t="str">
        <f>HYPERLINK("http://141.218.60.56/~jnz1568/getInfo.php?workbook=20_05.xlsx&amp;sheet=U0&amp;row=6642&amp;col=7&amp;number=0.000813&amp;sourceID=14","0.000813")</f>
        <v>0.000813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HYPERLINK("http://141.218.60.56/~jnz1568/getInfo.php?workbook=20_05.xlsx&amp;sheet=U0&amp;row=6643&amp;col=6&amp;number=4.9&amp;sourceID=14","4.9")</f>
        <v>4.9</v>
      </c>
      <c r="G6643" s="4" t="str">
        <f>HYPERLINK("http://141.218.60.56/~jnz1568/getInfo.php?workbook=20_05.xlsx&amp;sheet=U0&amp;row=6643&amp;col=7&amp;number=0.00081&amp;sourceID=14","0.00081")</f>
        <v>0.00081</v>
      </c>
    </row>
    <row r="6644" spans="1:7">
      <c r="A6644" s="3">
        <v>20</v>
      </c>
      <c r="B6644" s="3">
        <v>5</v>
      </c>
      <c r="C6644" s="3">
        <v>3</v>
      </c>
      <c r="D6644" s="3">
        <v>76</v>
      </c>
      <c r="E6644" s="3">
        <v>1</v>
      </c>
      <c r="F6644" s="4" t="str">
        <f>HYPERLINK("http://141.218.60.56/~jnz1568/getInfo.php?workbook=20_05.xlsx&amp;sheet=U0&amp;row=6644&amp;col=6&amp;number=3&amp;sourceID=14","3")</f>
        <v>3</v>
      </c>
      <c r="G6644" s="4" t="str">
        <f>HYPERLINK("http://141.218.60.56/~jnz1568/getInfo.php?workbook=20_05.xlsx&amp;sheet=U0&amp;row=6644&amp;col=7&amp;number=0.0616&amp;sourceID=14","0.0616")</f>
        <v>0.0616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HYPERLINK("http://141.218.60.56/~jnz1568/getInfo.php?workbook=20_05.xlsx&amp;sheet=U0&amp;row=6645&amp;col=6&amp;number=3.1&amp;sourceID=14","3.1")</f>
        <v>3.1</v>
      </c>
      <c r="G6645" s="4" t="str">
        <f>HYPERLINK("http://141.218.60.56/~jnz1568/getInfo.php?workbook=20_05.xlsx&amp;sheet=U0&amp;row=6645&amp;col=7&amp;number=0.0616&amp;sourceID=14","0.0616")</f>
        <v>0.0616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HYPERLINK("http://141.218.60.56/~jnz1568/getInfo.php?workbook=20_05.xlsx&amp;sheet=U0&amp;row=6646&amp;col=6&amp;number=3.2&amp;sourceID=14","3.2")</f>
        <v>3.2</v>
      </c>
      <c r="G6646" s="4" t="str">
        <f>HYPERLINK("http://141.218.60.56/~jnz1568/getInfo.php?workbook=20_05.xlsx&amp;sheet=U0&amp;row=6646&amp;col=7&amp;number=0.0616&amp;sourceID=14","0.0616")</f>
        <v>0.0616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HYPERLINK("http://141.218.60.56/~jnz1568/getInfo.php?workbook=20_05.xlsx&amp;sheet=U0&amp;row=6647&amp;col=6&amp;number=3.3&amp;sourceID=14","3.3")</f>
        <v>3.3</v>
      </c>
      <c r="G6647" s="4" t="str">
        <f>HYPERLINK("http://141.218.60.56/~jnz1568/getInfo.php?workbook=20_05.xlsx&amp;sheet=U0&amp;row=6647&amp;col=7&amp;number=0.0616&amp;sourceID=14","0.0616")</f>
        <v>0.0616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HYPERLINK("http://141.218.60.56/~jnz1568/getInfo.php?workbook=20_05.xlsx&amp;sheet=U0&amp;row=6648&amp;col=6&amp;number=3.4&amp;sourceID=14","3.4")</f>
        <v>3.4</v>
      </c>
      <c r="G6648" s="4" t="str">
        <f>HYPERLINK("http://141.218.60.56/~jnz1568/getInfo.php?workbook=20_05.xlsx&amp;sheet=U0&amp;row=6648&amp;col=7&amp;number=0.0616&amp;sourceID=14","0.0616")</f>
        <v>0.0616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HYPERLINK("http://141.218.60.56/~jnz1568/getInfo.php?workbook=20_05.xlsx&amp;sheet=U0&amp;row=6649&amp;col=6&amp;number=3.5&amp;sourceID=14","3.5")</f>
        <v>3.5</v>
      </c>
      <c r="G6649" s="4" t="str">
        <f>HYPERLINK("http://141.218.60.56/~jnz1568/getInfo.php?workbook=20_05.xlsx&amp;sheet=U0&amp;row=6649&amp;col=7&amp;number=0.0616&amp;sourceID=14","0.0616")</f>
        <v>0.0616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HYPERLINK("http://141.218.60.56/~jnz1568/getInfo.php?workbook=20_05.xlsx&amp;sheet=U0&amp;row=6650&amp;col=6&amp;number=3.6&amp;sourceID=14","3.6")</f>
        <v>3.6</v>
      </c>
      <c r="G6650" s="4" t="str">
        <f>HYPERLINK("http://141.218.60.56/~jnz1568/getInfo.php?workbook=20_05.xlsx&amp;sheet=U0&amp;row=6650&amp;col=7&amp;number=0.0616&amp;sourceID=14","0.0616")</f>
        <v>0.0616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HYPERLINK("http://141.218.60.56/~jnz1568/getInfo.php?workbook=20_05.xlsx&amp;sheet=U0&amp;row=6651&amp;col=6&amp;number=3.7&amp;sourceID=14","3.7")</f>
        <v>3.7</v>
      </c>
      <c r="G6651" s="4" t="str">
        <f>HYPERLINK("http://141.218.60.56/~jnz1568/getInfo.php?workbook=20_05.xlsx&amp;sheet=U0&amp;row=6651&amp;col=7&amp;number=0.0616&amp;sourceID=14","0.0616")</f>
        <v>0.0616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HYPERLINK("http://141.218.60.56/~jnz1568/getInfo.php?workbook=20_05.xlsx&amp;sheet=U0&amp;row=6652&amp;col=6&amp;number=3.8&amp;sourceID=14","3.8")</f>
        <v>3.8</v>
      </c>
      <c r="G6652" s="4" t="str">
        <f>HYPERLINK("http://141.218.60.56/~jnz1568/getInfo.php?workbook=20_05.xlsx&amp;sheet=U0&amp;row=6652&amp;col=7&amp;number=0.0616&amp;sourceID=14","0.0616")</f>
        <v>0.0616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HYPERLINK("http://141.218.60.56/~jnz1568/getInfo.php?workbook=20_05.xlsx&amp;sheet=U0&amp;row=6653&amp;col=6&amp;number=3.9&amp;sourceID=14","3.9")</f>
        <v>3.9</v>
      </c>
      <c r="G6653" s="4" t="str">
        <f>HYPERLINK("http://141.218.60.56/~jnz1568/getInfo.php?workbook=20_05.xlsx&amp;sheet=U0&amp;row=6653&amp;col=7&amp;number=0.0616&amp;sourceID=14","0.0616")</f>
        <v>0.0616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HYPERLINK("http://141.218.60.56/~jnz1568/getInfo.php?workbook=20_05.xlsx&amp;sheet=U0&amp;row=6654&amp;col=6&amp;number=4&amp;sourceID=14","4")</f>
        <v>4</v>
      </c>
      <c r="G6654" s="4" t="str">
        <f>HYPERLINK("http://141.218.60.56/~jnz1568/getInfo.php?workbook=20_05.xlsx&amp;sheet=U0&amp;row=6654&amp;col=7&amp;number=0.0617&amp;sourceID=14","0.0617")</f>
        <v>0.0617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HYPERLINK("http://141.218.60.56/~jnz1568/getInfo.php?workbook=20_05.xlsx&amp;sheet=U0&amp;row=6655&amp;col=6&amp;number=4.1&amp;sourceID=14","4.1")</f>
        <v>4.1</v>
      </c>
      <c r="G6655" s="4" t="str">
        <f>HYPERLINK("http://141.218.60.56/~jnz1568/getInfo.php?workbook=20_05.xlsx&amp;sheet=U0&amp;row=6655&amp;col=7&amp;number=0.0617&amp;sourceID=14","0.0617")</f>
        <v>0.0617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HYPERLINK("http://141.218.60.56/~jnz1568/getInfo.php?workbook=20_05.xlsx&amp;sheet=U0&amp;row=6656&amp;col=6&amp;number=4.2&amp;sourceID=14","4.2")</f>
        <v>4.2</v>
      </c>
      <c r="G6656" s="4" t="str">
        <f>HYPERLINK("http://141.218.60.56/~jnz1568/getInfo.php?workbook=20_05.xlsx&amp;sheet=U0&amp;row=6656&amp;col=7&amp;number=0.0617&amp;sourceID=14","0.0617")</f>
        <v>0.0617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HYPERLINK("http://141.218.60.56/~jnz1568/getInfo.php?workbook=20_05.xlsx&amp;sheet=U0&amp;row=6657&amp;col=6&amp;number=4.3&amp;sourceID=14","4.3")</f>
        <v>4.3</v>
      </c>
      <c r="G6657" s="4" t="str">
        <f>HYPERLINK("http://141.218.60.56/~jnz1568/getInfo.php?workbook=20_05.xlsx&amp;sheet=U0&amp;row=6657&amp;col=7&amp;number=0.0618&amp;sourceID=14","0.0618")</f>
        <v>0.0618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HYPERLINK("http://141.218.60.56/~jnz1568/getInfo.php?workbook=20_05.xlsx&amp;sheet=U0&amp;row=6658&amp;col=6&amp;number=4.4&amp;sourceID=14","4.4")</f>
        <v>4.4</v>
      </c>
      <c r="G6658" s="4" t="str">
        <f>HYPERLINK("http://141.218.60.56/~jnz1568/getInfo.php?workbook=20_05.xlsx&amp;sheet=U0&amp;row=6658&amp;col=7&amp;number=0.0619&amp;sourceID=14","0.0619")</f>
        <v>0.0619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HYPERLINK("http://141.218.60.56/~jnz1568/getInfo.php?workbook=20_05.xlsx&amp;sheet=U0&amp;row=6659&amp;col=6&amp;number=4.5&amp;sourceID=14","4.5")</f>
        <v>4.5</v>
      </c>
      <c r="G6659" s="4" t="str">
        <f>HYPERLINK("http://141.218.60.56/~jnz1568/getInfo.php?workbook=20_05.xlsx&amp;sheet=U0&amp;row=6659&amp;col=7&amp;number=0.0619&amp;sourceID=14","0.0619")</f>
        <v>0.0619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HYPERLINK("http://141.218.60.56/~jnz1568/getInfo.php?workbook=20_05.xlsx&amp;sheet=U0&amp;row=6660&amp;col=6&amp;number=4.6&amp;sourceID=14","4.6")</f>
        <v>4.6</v>
      </c>
      <c r="G6660" s="4" t="str">
        <f>HYPERLINK("http://141.218.60.56/~jnz1568/getInfo.php?workbook=20_05.xlsx&amp;sheet=U0&amp;row=6660&amp;col=7&amp;number=0.062&amp;sourceID=14","0.062")</f>
        <v>0.062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HYPERLINK("http://141.218.60.56/~jnz1568/getInfo.php?workbook=20_05.xlsx&amp;sheet=U0&amp;row=6661&amp;col=6&amp;number=4.7&amp;sourceID=14","4.7")</f>
        <v>4.7</v>
      </c>
      <c r="G6661" s="4" t="str">
        <f>HYPERLINK("http://141.218.60.56/~jnz1568/getInfo.php?workbook=20_05.xlsx&amp;sheet=U0&amp;row=6661&amp;col=7&amp;number=0.0621&amp;sourceID=14","0.0621")</f>
        <v>0.0621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HYPERLINK("http://141.218.60.56/~jnz1568/getInfo.php?workbook=20_05.xlsx&amp;sheet=U0&amp;row=6662&amp;col=6&amp;number=4.8&amp;sourceID=14","4.8")</f>
        <v>4.8</v>
      </c>
      <c r="G6662" s="4" t="str">
        <f>HYPERLINK("http://141.218.60.56/~jnz1568/getInfo.php?workbook=20_05.xlsx&amp;sheet=U0&amp;row=6662&amp;col=7&amp;number=0.0623&amp;sourceID=14","0.0623")</f>
        <v>0.0623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HYPERLINK("http://141.218.60.56/~jnz1568/getInfo.php?workbook=20_05.xlsx&amp;sheet=U0&amp;row=6663&amp;col=6&amp;number=4.9&amp;sourceID=14","4.9")</f>
        <v>4.9</v>
      </c>
      <c r="G6663" s="4" t="str">
        <f>HYPERLINK("http://141.218.60.56/~jnz1568/getInfo.php?workbook=20_05.xlsx&amp;sheet=U0&amp;row=6663&amp;col=7&amp;number=0.0625&amp;sourceID=14","0.0625")</f>
        <v>0.0625</v>
      </c>
    </row>
    <row r="6664" spans="1:7">
      <c r="A6664" s="3">
        <v>20</v>
      </c>
      <c r="B6664" s="3">
        <v>5</v>
      </c>
      <c r="C6664" s="3">
        <v>3</v>
      </c>
      <c r="D6664" s="3">
        <v>77</v>
      </c>
      <c r="E6664" s="3">
        <v>1</v>
      </c>
      <c r="F6664" s="4" t="str">
        <f>HYPERLINK("http://141.218.60.56/~jnz1568/getInfo.php?workbook=20_05.xlsx&amp;sheet=U0&amp;row=6664&amp;col=6&amp;number=3&amp;sourceID=14","3")</f>
        <v>3</v>
      </c>
      <c r="G6664" s="4" t="str">
        <f>HYPERLINK("http://141.218.60.56/~jnz1568/getInfo.php?workbook=20_05.xlsx&amp;sheet=U0&amp;row=6664&amp;col=7&amp;number=0.000487&amp;sourceID=14","0.000487")</f>
        <v>0.000487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HYPERLINK("http://141.218.60.56/~jnz1568/getInfo.php?workbook=20_05.xlsx&amp;sheet=U0&amp;row=6665&amp;col=6&amp;number=3.1&amp;sourceID=14","3.1")</f>
        <v>3.1</v>
      </c>
      <c r="G6665" s="4" t="str">
        <f>HYPERLINK("http://141.218.60.56/~jnz1568/getInfo.php?workbook=20_05.xlsx&amp;sheet=U0&amp;row=6665&amp;col=7&amp;number=0.000487&amp;sourceID=14","0.000487")</f>
        <v>0.000487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HYPERLINK("http://141.218.60.56/~jnz1568/getInfo.php?workbook=20_05.xlsx&amp;sheet=U0&amp;row=6666&amp;col=6&amp;number=3.2&amp;sourceID=14","3.2")</f>
        <v>3.2</v>
      </c>
      <c r="G6666" s="4" t="str">
        <f>HYPERLINK("http://141.218.60.56/~jnz1568/getInfo.php?workbook=20_05.xlsx&amp;sheet=U0&amp;row=6666&amp;col=7&amp;number=0.000487&amp;sourceID=14","0.000487")</f>
        <v>0.000487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HYPERLINK("http://141.218.60.56/~jnz1568/getInfo.php?workbook=20_05.xlsx&amp;sheet=U0&amp;row=6667&amp;col=6&amp;number=3.3&amp;sourceID=14","3.3")</f>
        <v>3.3</v>
      </c>
      <c r="G6667" s="4" t="str">
        <f>HYPERLINK("http://141.218.60.56/~jnz1568/getInfo.php?workbook=20_05.xlsx&amp;sheet=U0&amp;row=6667&amp;col=7&amp;number=0.000487&amp;sourceID=14","0.000487")</f>
        <v>0.000487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HYPERLINK("http://141.218.60.56/~jnz1568/getInfo.php?workbook=20_05.xlsx&amp;sheet=U0&amp;row=6668&amp;col=6&amp;number=3.4&amp;sourceID=14","3.4")</f>
        <v>3.4</v>
      </c>
      <c r="G6668" s="4" t="str">
        <f>HYPERLINK("http://141.218.60.56/~jnz1568/getInfo.php?workbook=20_05.xlsx&amp;sheet=U0&amp;row=6668&amp;col=7&amp;number=0.000487&amp;sourceID=14","0.000487")</f>
        <v>0.000487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HYPERLINK("http://141.218.60.56/~jnz1568/getInfo.php?workbook=20_05.xlsx&amp;sheet=U0&amp;row=6669&amp;col=6&amp;number=3.5&amp;sourceID=14","3.5")</f>
        <v>3.5</v>
      </c>
      <c r="G6669" s="4" t="str">
        <f>HYPERLINK("http://141.218.60.56/~jnz1568/getInfo.php?workbook=20_05.xlsx&amp;sheet=U0&amp;row=6669&amp;col=7&amp;number=0.000487&amp;sourceID=14","0.000487")</f>
        <v>0.000487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HYPERLINK("http://141.218.60.56/~jnz1568/getInfo.php?workbook=20_05.xlsx&amp;sheet=U0&amp;row=6670&amp;col=6&amp;number=3.6&amp;sourceID=14","3.6")</f>
        <v>3.6</v>
      </c>
      <c r="G6670" s="4" t="str">
        <f>HYPERLINK("http://141.218.60.56/~jnz1568/getInfo.php?workbook=20_05.xlsx&amp;sheet=U0&amp;row=6670&amp;col=7&amp;number=0.000487&amp;sourceID=14","0.000487")</f>
        <v>0.000487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HYPERLINK("http://141.218.60.56/~jnz1568/getInfo.php?workbook=20_05.xlsx&amp;sheet=U0&amp;row=6671&amp;col=6&amp;number=3.7&amp;sourceID=14","3.7")</f>
        <v>3.7</v>
      </c>
      <c r="G6671" s="4" t="str">
        <f>HYPERLINK("http://141.218.60.56/~jnz1568/getInfo.php?workbook=20_05.xlsx&amp;sheet=U0&amp;row=6671&amp;col=7&amp;number=0.000487&amp;sourceID=14","0.000487")</f>
        <v>0.000487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HYPERLINK("http://141.218.60.56/~jnz1568/getInfo.php?workbook=20_05.xlsx&amp;sheet=U0&amp;row=6672&amp;col=6&amp;number=3.8&amp;sourceID=14","3.8")</f>
        <v>3.8</v>
      </c>
      <c r="G6672" s="4" t="str">
        <f>HYPERLINK("http://141.218.60.56/~jnz1568/getInfo.php?workbook=20_05.xlsx&amp;sheet=U0&amp;row=6672&amp;col=7&amp;number=0.000487&amp;sourceID=14","0.000487")</f>
        <v>0.000487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HYPERLINK("http://141.218.60.56/~jnz1568/getInfo.php?workbook=20_05.xlsx&amp;sheet=U0&amp;row=6673&amp;col=6&amp;number=3.9&amp;sourceID=14","3.9")</f>
        <v>3.9</v>
      </c>
      <c r="G6673" s="4" t="str">
        <f>HYPERLINK("http://141.218.60.56/~jnz1568/getInfo.php?workbook=20_05.xlsx&amp;sheet=U0&amp;row=6673&amp;col=7&amp;number=0.000487&amp;sourceID=14","0.000487")</f>
        <v>0.000487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HYPERLINK("http://141.218.60.56/~jnz1568/getInfo.php?workbook=20_05.xlsx&amp;sheet=U0&amp;row=6674&amp;col=6&amp;number=4&amp;sourceID=14","4")</f>
        <v>4</v>
      </c>
      <c r="G6674" s="4" t="str">
        <f>HYPERLINK("http://141.218.60.56/~jnz1568/getInfo.php?workbook=20_05.xlsx&amp;sheet=U0&amp;row=6674&amp;col=7&amp;number=0.000488&amp;sourceID=14","0.000488")</f>
        <v>0.000488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HYPERLINK("http://141.218.60.56/~jnz1568/getInfo.php?workbook=20_05.xlsx&amp;sheet=U0&amp;row=6675&amp;col=6&amp;number=4.1&amp;sourceID=14","4.1")</f>
        <v>4.1</v>
      </c>
      <c r="G6675" s="4" t="str">
        <f>HYPERLINK("http://141.218.60.56/~jnz1568/getInfo.php?workbook=20_05.xlsx&amp;sheet=U0&amp;row=6675&amp;col=7&amp;number=0.000488&amp;sourceID=14","0.000488")</f>
        <v>0.000488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HYPERLINK("http://141.218.60.56/~jnz1568/getInfo.php?workbook=20_05.xlsx&amp;sheet=U0&amp;row=6676&amp;col=6&amp;number=4.2&amp;sourceID=14","4.2")</f>
        <v>4.2</v>
      </c>
      <c r="G6676" s="4" t="str">
        <f>HYPERLINK("http://141.218.60.56/~jnz1568/getInfo.php?workbook=20_05.xlsx&amp;sheet=U0&amp;row=6676&amp;col=7&amp;number=0.000488&amp;sourceID=14","0.000488")</f>
        <v>0.000488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HYPERLINK("http://141.218.60.56/~jnz1568/getInfo.php?workbook=20_05.xlsx&amp;sheet=U0&amp;row=6677&amp;col=6&amp;number=4.3&amp;sourceID=14","4.3")</f>
        <v>4.3</v>
      </c>
      <c r="G6677" s="4" t="str">
        <f>HYPERLINK("http://141.218.60.56/~jnz1568/getInfo.php?workbook=20_05.xlsx&amp;sheet=U0&amp;row=6677&amp;col=7&amp;number=0.000489&amp;sourceID=14","0.000489")</f>
        <v>0.000489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HYPERLINK("http://141.218.60.56/~jnz1568/getInfo.php?workbook=20_05.xlsx&amp;sheet=U0&amp;row=6678&amp;col=6&amp;number=4.4&amp;sourceID=14","4.4")</f>
        <v>4.4</v>
      </c>
      <c r="G6678" s="4" t="str">
        <f>HYPERLINK("http://141.218.60.56/~jnz1568/getInfo.php?workbook=20_05.xlsx&amp;sheet=U0&amp;row=6678&amp;col=7&amp;number=0.000489&amp;sourceID=14","0.000489")</f>
        <v>0.000489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HYPERLINK("http://141.218.60.56/~jnz1568/getInfo.php?workbook=20_05.xlsx&amp;sheet=U0&amp;row=6679&amp;col=6&amp;number=4.5&amp;sourceID=14","4.5")</f>
        <v>4.5</v>
      </c>
      <c r="G6679" s="4" t="str">
        <f>HYPERLINK("http://141.218.60.56/~jnz1568/getInfo.php?workbook=20_05.xlsx&amp;sheet=U0&amp;row=6679&amp;col=7&amp;number=0.00049&amp;sourceID=14","0.00049")</f>
        <v>0.00049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HYPERLINK("http://141.218.60.56/~jnz1568/getInfo.php?workbook=20_05.xlsx&amp;sheet=U0&amp;row=6680&amp;col=6&amp;number=4.6&amp;sourceID=14","4.6")</f>
        <v>4.6</v>
      </c>
      <c r="G6680" s="4" t="str">
        <f>HYPERLINK("http://141.218.60.56/~jnz1568/getInfo.php?workbook=20_05.xlsx&amp;sheet=U0&amp;row=6680&amp;col=7&amp;number=0.000491&amp;sourceID=14","0.000491")</f>
        <v>0.000491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HYPERLINK("http://141.218.60.56/~jnz1568/getInfo.php?workbook=20_05.xlsx&amp;sheet=U0&amp;row=6681&amp;col=6&amp;number=4.7&amp;sourceID=14","4.7")</f>
        <v>4.7</v>
      </c>
      <c r="G6681" s="4" t="str">
        <f>HYPERLINK("http://141.218.60.56/~jnz1568/getInfo.php?workbook=20_05.xlsx&amp;sheet=U0&amp;row=6681&amp;col=7&amp;number=0.000492&amp;sourceID=14","0.000492")</f>
        <v>0.000492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HYPERLINK("http://141.218.60.56/~jnz1568/getInfo.php?workbook=20_05.xlsx&amp;sheet=U0&amp;row=6682&amp;col=6&amp;number=4.8&amp;sourceID=14","4.8")</f>
        <v>4.8</v>
      </c>
      <c r="G6682" s="4" t="str">
        <f>HYPERLINK("http://141.218.60.56/~jnz1568/getInfo.php?workbook=20_05.xlsx&amp;sheet=U0&amp;row=6682&amp;col=7&amp;number=0.000493&amp;sourceID=14","0.000493")</f>
        <v>0.000493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HYPERLINK("http://141.218.60.56/~jnz1568/getInfo.php?workbook=20_05.xlsx&amp;sheet=U0&amp;row=6683&amp;col=6&amp;number=4.9&amp;sourceID=14","4.9")</f>
        <v>4.9</v>
      </c>
      <c r="G6683" s="4" t="str">
        <f>HYPERLINK("http://141.218.60.56/~jnz1568/getInfo.php?workbook=20_05.xlsx&amp;sheet=U0&amp;row=6683&amp;col=7&amp;number=0.000495&amp;sourceID=14","0.000495")</f>
        <v>0.000495</v>
      </c>
    </row>
    <row r="6684" spans="1:7">
      <c r="A6684" s="3">
        <v>20</v>
      </c>
      <c r="B6684" s="3">
        <v>5</v>
      </c>
      <c r="C6684" s="3">
        <v>3</v>
      </c>
      <c r="D6684" s="3">
        <v>78</v>
      </c>
      <c r="E6684" s="3">
        <v>1</v>
      </c>
      <c r="F6684" s="4" t="str">
        <f>HYPERLINK("http://141.218.60.56/~jnz1568/getInfo.php?workbook=20_05.xlsx&amp;sheet=U0&amp;row=6684&amp;col=6&amp;number=3&amp;sourceID=14","3")</f>
        <v>3</v>
      </c>
      <c r="G6684" s="4" t="str">
        <f>HYPERLINK("http://141.218.60.56/~jnz1568/getInfo.php?workbook=20_05.xlsx&amp;sheet=U0&amp;row=6684&amp;col=7&amp;number=0.00116&amp;sourceID=14","0.00116")</f>
        <v>0.00116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HYPERLINK("http://141.218.60.56/~jnz1568/getInfo.php?workbook=20_05.xlsx&amp;sheet=U0&amp;row=6685&amp;col=6&amp;number=3.1&amp;sourceID=14","3.1")</f>
        <v>3.1</v>
      </c>
      <c r="G6685" s="4" t="str">
        <f>HYPERLINK("http://141.218.60.56/~jnz1568/getInfo.php?workbook=20_05.xlsx&amp;sheet=U0&amp;row=6685&amp;col=7&amp;number=0.00116&amp;sourceID=14","0.00116")</f>
        <v>0.00116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HYPERLINK("http://141.218.60.56/~jnz1568/getInfo.php?workbook=20_05.xlsx&amp;sheet=U0&amp;row=6686&amp;col=6&amp;number=3.2&amp;sourceID=14","3.2")</f>
        <v>3.2</v>
      </c>
      <c r="G6686" s="4" t="str">
        <f>HYPERLINK("http://141.218.60.56/~jnz1568/getInfo.php?workbook=20_05.xlsx&amp;sheet=U0&amp;row=6686&amp;col=7&amp;number=0.00116&amp;sourceID=14","0.00116")</f>
        <v>0.00116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HYPERLINK("http://141.218.60.56/~jnz1568/getInfo.php?workbook=20_05.xlsx&amp;sheet=U0&amp;row=6687&amp;col=6&amp;number=3.3&amp;sourceID=14","3.3")</f>
        <v>3.3</v>
      </c>
      <c r="G6687" s="4" t="str">
        <f>HYPERLINK("http://141.218.60.56/~jnz1568/getInfo.php?workbook=20_05.xlsx&amp;sheet=U0&amp;row=6687&amp;col=7&amp;number=0.00116&amp;sourceID=14","0.00116")</f>
        <v>0.00116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HYPERLINK("http://141.218.60.56/~jnz1568/getInfo.php?workbook=20_05.xlsx&amp;sheet=U0&amp;row=6688&amp;col=6&amp;number=3.4&amp;sourceID=14","3.4")</f>
        <v>3.4</v>
      </c>
      <c r="G6688" s="4" t="str">
        <f>HYPERLINK("http://141.218.60.56/~jnz1568/getInfo.php?workbook=20_05.xlsx&amp;sheet=U0&amp;row=6688&amp;col=7&amp;number=0.00116&amp;sourceID=14","0.00116")</f>
        <v>0.00116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HYPERLINK("http://141.218.60.56/~jnz1568/getInfo.php?workbook=20_05.xlsx&amp;sheet=U0&amp;row=6689&amp;col=6&amp;number=3.5&amp;sourceID=14","3.5")</f>
        <v>3.5</v>
      </c>
      <c r="G6689" s="4" t="str">
        <f>HYPERLINK("http://141.218.60.56/~jnz1568/getInfo.php?workbook=20_05.xlsx&amp;sheet=U0&amp;row=6689&amp;col=7&amp;number=0.00116&amp;sourceID=14","0.00116")</f>
        <v>0.00116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HYPERLINK("http://141.218.60.56/~jnz1568/getInfo.php?workbook=20_05.xlsx&amp;sheet=U0&amp;row=6690&amp;col=6&amp;number=3.6&amp;sourceID=14","3.6")</f>
        <v>3.6</v>
      </c>
      <c r="G6690" s="4" t="str">
        <f>HYPERLINK("http://141.218.60.56/~jnz1568/getInfo.php?workbook=20_05.xlsx&amp;sheet=U0&amp;row=6690&amp;col=7&amp;number=0.00116&amp;sourceID=14","0.00116")</f>
        <v>0.00116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HYPERLINK("http://141.218.60.56/~jnz1568/getInfo.php?workbook=20_05.xlsx&amp;sheet=U0&amp;row=6691&amp;col=6&amp;number=3.7&amp;sourceID=14","3.7")</f>
        <v>3.7</v>
      </c>
      <c r="G6691" s="4" t="str">
        <f>HYPERLINK("http://141.218.60.56/~jnz1568/getInfo.php?workbook=20_05.xlsx&amp;sheet=U0&amp;row=6691&amp;col=7&amp;number=0.00116&amp;sourceID=14","0.00116")</f>
        <v>0.00116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HYPERLINK("http://141.218.60.56/~jnz1568/getInfo.php?workbook=20_05.xlsx&amp;sheet=U0&amp;row=6692&amp;col=6&amp;number=3.8&amp;sourceID=14","3.8")</f>
        <v>3.8</v>
      </c>
      <c r="G6692" s="4" t="str">
        <f>HYPERLINK("http://141.218.60.56/~jnz1568/getInfo.php?workbook=20_05.xlsx&amp;sheet=U0&amp;row=6692&amp;col=7&amp;number=0.00116&amp;sourceID=14","0.00116")</f>
        <v>0.00116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HYPERLINK("http://141.218.60.56/~jnz1568/getInfo.php?workbook=20_05.xlsx&amp;sheet=U0&amp;row=6693&amp;col=6&amp;number=3.9&amp;sourceID=14","3.9")</f>
        <v>3.9</v>
      </c>
      <c r="G6693" s="4" t="str">
        <f>HYPERLINK("http://141.218.60.56/~jnz1568/getInfo.php?workbook=20_05.xlsx&amp;sheet=U0&amp;row=6693&amp;col=7&amp;number=0.00116&amp;sourceID=14","0.00116")</f>
        <v>0.00116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HYPERLINK("http://141.218.60.56/~jnz1568/getInfo.php?workbook=20_05.xlsx&amp;sheet=U0&amp;row=6694&amp;col=6&amp;number=4&amp;sourceID=14","4")</f>
        <v>4</v>
      </c>
      <c r="G6694" s="4" t="str">
        <f>HYPERLINK("http://141.218.60.56/~jnz1568/getInfo.php?workbook=20_05.xlsx&amp;sheet=U0&amp;row=6694&amp;col=7&amp;number=0.00116&amp;sourceID=14","0.00116")</f>
        <v>0.00116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HYPERLINK("http://141.218.60.56/~jnz1568/getInfo.php?workbook=20_05.xlsx&amp;sheet=U0&amp;row=6695&amp;col=6&amp;number=4.1&amp;sourceID=14","4.1")</f>
        <v>4.1</v>
      </c>
      <c r="G6695" s="4" t="str">
        <f>HYPERLINK("http://141.218.60.56/~jnz1568/getInfo.php?workbook=20_05.xlsx&amp;sheet=U0&amp;row=6695&amp;col=7&amp;number=0.00116&amp;sourceID=14","0.00116")</f>
        <v>0.00116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HYPERLINK("http://141.218.60.56/~jnz1568/getInfo.php?workbook=20_05.xlsx&amp;sheet=U0&amp;row=6696&amp;col=6&amp;number=4.2&amp;sourceID=14","4.2")</f>
        <v>4.2</v>
      </c>
      <c r="G6696" s="4" t="str">
        <f>HYPERLINK("http://141.218.60.56/~jnz1568/getInfo.php?workbook=20_05.xlsx&amp;sheet=U0&amp;row=6696&amp;col=7&amp;number=0.00116&amp;sourceID=14","0.00116")</f>
        <v>0.00116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HYPERLINK("http://141.218.60.56/~jnz1568/getInfo.php?workbook=20_05.xlsx&amp;sheet=U0&amp;row=6697&amp;col=6&amp;number=4.3&amp;sourceID=14","4.3")</f>
        <v>4.3</v>
      </c>
      <c r="G6697" s="4" t="str">
        <f>HYPERLINK("http://141.218.60.56/~jnz1568/getInfo.php?workbook=20_05.xlsx&amp;sheet=U0&amp;row=6697&amp;col=7&amp;number=0.00116&amp;sourceID=14","0.00116")</f>
        <v>0.00116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HYPERLINK("http://141.218.60.56/~jnz1568/getInfo.php?workbook=20_05.xlsx&amp;sheet=U0&amp;row=6698&amp;col=6&amp;number=4.4&amp;sourceID=14","4.4")</f>
        <v>4.4</v>
      </c>
      <c r="G6698" s="4" t="str">
        <f>HYPERLINK("http://141.218.60.56/~jnz1568/getInfo.php?workbook=20_05.xlsx&amp;sheet=U0&amp;row=6698&amp;col=7&amp;number=0.00116&amp;sourceID=14","0.00116")</f>
        <v>0.00116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HYPERLINK("http://141.218.60.56/~jnz1568/getInfo.php?workbook=20_05.xlsx&amp;sheet=U0&amp;row=6699&amp;col=6&amp;number=4.5&amp;sourceID=14","4.5")</f>
        <v>4.5</v>
      </c>
      <c r="G6699" s="4" t="str">
        <f>HYPERLINK("http://141.218.60.56/~jnz1568/getInfo.php?workbook=20_05.xlsx&amp;sheet=U0&amp;row=6699&amp;col=7&amp;number=0.00116&amp;sourceID=14","0.00116")</f>
        <v>0.00116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HYPERLINK("http://141.218.60.56/~jnz1568/getInfo.php?workbook=20_05.xlsx&amp;sheet=U0&amp;row=6700&amp;col=6&amp;number=4.6&amp;sourceID=14","4.6")</f>
        <v>4.6</v>
      </c>
      <c r="G6700" s="4" t="str">
        <f>HYPERLINK("http://141.218.60.56/~jnz1568/getInfo.php?workbook=20_05.xlsx&amp;sheet=U0&amp;row=6700&amp;col=7&amp;number=0.00116&amp;sourceID=14","0.00116")</f>
        <v>0.00116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HYPERLINK("http://141.218.60.56/~jnz1568/getInfo.php?workbook=20_05.xlsx&amp;sheet=U0&amp;row=6701&amp;col=6&amp;number=4.7&amp;sourceID=14","4.7")</f>
        <v>4.7</v>
      </c>
      <c r="G6701" s="4" t="str">
        <f>HYPERLINK("http://141.218.60.56/~jnz1568/getInfo.php?workbook=20_05.xlsx&amp;sheet=U0&amp;row=6701&amp;col=7&amp;number=0.00116&amp;sourceID=14","0.00116")</f>
        <v>0.00116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HYPERLINK("http://141.218.60.56/~jnz1568/getInfo.php?workbook=20_05.xlsx&amp;sheet=U0&amp;row=6702&amp;col=6&amp;number=4.8&amp;sourceID=14","4.8")</f>
        <v>4.8</v>
      </c>
      <c r="G6702" s="4" t="str">
        <f>HYPERLINK("http://141.218.60.56/~jnz1568/getInfo.php?workbook=20_05.xlsx&amp;sheet=U0&amp;row=6702&amp;col=7&amp;number=0.00116&amp;sourceID=14","0.00116")</f>
        <v>0.00116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HYPERLINK("http://141.218.60.56/~jnz1568/getInfo.php?workbook=20_05.xlsx&amp;sheet=U0&amp;row=6703&amp;col=6&amp;number=4.9&amp;sourceID=14","4.9")</f>
        <v>4.9</v>
      </c>
      <c r="G6703" s="4" t="str">
        <f>HYPERLINK("http://141.218.60.56/~jnz1568/getInfo.php?workbook=20_05.xlsx&amp;sheet=U0&amp;row=6703&amp;col=7&amp;number=0.00116&amp;sourceID=14","0.00116")</f>
        <v>0.00116</v>
      </c>
    </row>
    <row r="6704" spans="1:7">
      <c r="A6704" s="3">
        <v>20</v>
      </c>
      <c r="B6704" s="3">
        <v>5</v>
      </c>
      <c r="C6704" s="3">
        <v>3</v>
      </c>
      <c r="D6704" s="3">
        <v>79</v>
      </c>
      <c r="E6704" s="3">
        <v>1</v>
      </c>
      <c r="F6704" s="4" t="str">
        <f>HYPERLINK("http://141.218.60.56/~jnz1568/getInfo.php?workbook=20_05.xlsx&amp;sheet=U0&amp;row=6704&amp;col=6&amp;number=3&amp;sourceID=14","3")</f>
        <v>3</v>
      </c>
      <c r="G6704" s="4" t="str">
        <f>HYPERLINK("http://141.218.60.56/~jnz1568/getInfo.php?workbook=20_05.xlsx&amp;sheet=U0&amp;row=6704&amp;col=7&amp;number=0.00111&amp;sourceID=14","0.00111")</f>
        <v>0.00111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HYPERLINK("http://141.218.60.56/~jnz1568/getInfo.php?workbook=20_05.xlsx&amp;sheet=U0&amp;row=6705&amp;col=6&amp;number=3.1&amp;sourceID=14","3.1")</f>
        <v>3.1</v>
      </c>
      <c r="G6705" s="4" t="str">
        <f>HYPERLINK("http://141.218.60.56/~jnz1568/getInfo.php?workbook=20_05.xlsx&amp;sheet=U0&amp;row=6705&amp;col=7&amp;number=0.00111&amp;sourceID=14","0.00111")</f>
        <v>0.00111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HYPERLINK("http://141.218.60.56/~jnz1568/getInfo.php?workbook=20_05.xlsx&amp;sheet=U0&amp;row=6706&amp;col=6&amp;number=3.2&amp;sourceID=14","3.2")</f>
        <v>3.2</v>
      </c>
      <c r="G6706" s="4" t="str">
        <f>HYPERLINK("http://141.218.60.56/~jnz1568/getInfo.php?workbook=20_05.xlsx&amp;sheet=U0&amp;row=6706&amp;col=7&amp;number=0.00111&amp;sourceID=14","0.00111")</f>
        <v>0.00111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HYPERLINK("http://141.218.60.56/~jnz1568/getInfo.php?workbook=20_05.xlsx&amp;sheet=U0&amp;row=6707&amp;col=6&amp;number=3.3&amp;sourceID=14","3.3")</f>
        <v>3.3</v>
      </c>
      <c r="G6707" s="4" t="str">
        <f>HYPERLINK("http://141.218.60.56/~jnz1568/getInfo.php?workbook=20_05.xlsx&amp;sheet=U0&amp;row=6707&amp;col=7&amp;number=0.00111&amp;sourceID=14","0.00111")</f>
        <v>0.00111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HYPERLINK("http://141.218.60.56/~jnz1568/getInfo.php?workbook=20_05.xlsx&amp;sheet=U0&amp;row=6708&amp;col=6&amp;number=3.4&amp;sourceID=14","3.4")</f>
        <v>3.4</v>
      </c>
      <c r="G6708" s="4" t="str">
        <f>HYPERLINK("http://141.218.60.56/~jnz1568/getInfo.php?workbook=20_05.xlsx&amp;sheet=U0&amp;row=6708&amp;col=7&amp;number=0.00111&amp;sourceID=14","0.00111")</f>
        <v>0.00111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HYPERLINK("http://141.218.60.56/~jnz1568/getInfo.php?workbook=20_05.xlsx&amp;sheet=U0&amp;row=6709&amp;col=6&amp;number=3.5&amp;sourceID=14","3.5")</f>
        <v>3.5</v>
      </c>
      <c r="G6709" s="4" t="str">
        <f>HYPERLINK("http://141.218.60.56/~jnz1568/getInfo.php?workbook=20_05.xlsx&amp;sheet=U0&amp;row=6709&amp;col=7&amp;number=0.00111&amp;sourceID=14","0.00111")</f>
        <v>0.00111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HYPERLINK("http://141.218.60.56/~jnz1568/getInfo.php?workbook=20_05.xlsx&amp;sheet=U0&amp;row=6710&amp;col=6&amp;number=3.6&amp;sourceID=14","3.6")</f>
        <v>3.6</v>
      </c>
      <c r="G6710" s="4" t="str">
        <f>HYPERLINK("http://141.218.60.56/~jnz1568/getInfo.php?workbook=20_05.xlsx&amp;sheet=U0&amp;row=6710&amp;col=7&amp;number=0.00111&amp;sourceID=14","0.00111")</f>
        <v>0.00111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HYPERLINK("http://141.218.60.56/~jnz1568/getInfo.php?workbook=20_05.xlsx&amp;sheet=U0&amp;row=6711&amp;col=6&amp;number=3.7&amp;sourceID=14","3.7")</f>
        <v>3.7</v>
      </c>
      <c r="G6711" s="4" t="str">
        <f>HYPERLINK("http://141.218.60.56/~jnz1568/getInfo.php?workbook=20_05.xlsx&amp;sheet=U0&amp;row=6711&amp;col=7&amp;number=0.00111&amp;sourceID=14","0.00111")</f>
        <v>0.00111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HYPERLINK("http://141.218.60.56/~jnz1568/getInfo.php?workbook=20_05.xlsx&amp;sheet=U0&amp;row=6712&amp;col=6&amp;number=3.8&amp;sourceID=14","3.8")</f>
        <v>3.8</v>
      </c>
      <c r="G6712" s="4" t="str">
        <f>HYPERLINK("http://141.218.60.56/~jnz1568/getInfo.php?workbook=20_05.xlsx&amp;sheet=U0&amp;row=6712&amp;col=7&amp;number=0.00111&amp;sourceID=14","0.00111")</f>
        <v>0.00111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HYPERLINK("http://141.218.60.56/~jnz1568/getInfo.php?workbook=20_05.xlsx&amp;sheet=U0&amp;row=6713&amp;col=6&amp;number=3.9&amp;sourceID=14","3.9")</f>
        <v>3.9</v>
      </c>
      <c r="G6713" s="4" t="str">
        <f>HYPERLINK("http://141.218.60.56/~jnz1568/getInfo.php?workbook=20_05.xlsx&amp;sheet=U0&amp;row=6713&amp;col=7&amp;number=0.00111&amp;sourceID=14","0.00111")</f>
        <v>0.00111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HYPERLINK("http://141.218.60.56/~jnz1568/getInfo.php?workbook=20_05.xlsx&amp;sheet=U0&amp;row=6714&amp;col=6&amp;number=4&amp;sourceID=14","4")</f>
        <v>4</v>
      </c>
      <c r="G6714" s="4" t="str">
        <f>HYPERLINK("http://141.218.60.56/~jnz1568/getInfo.php?workbook=20_05.xlsx&amp;sheet=U0&amp;row=6714&amp;col=7&amp;number=0.00111&amp;sourceID=14","0.00111")</f>
        <v>0.00111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HYPERLINK("http://141.218.60.56/~jnz1568/getInfo.php?workbook=20_05.xlsx&amp;sheet=U0&amp;row=6715&amp;col=6&amp;number=4.1&amp;sourceID=14","4.1")</f>
        <v>4.1</v>
      </c>
      <c r="G6715" s="4" t="str">
        <f>HYPERLINK("http://141.218.60.56/~jnz1568/getInfo.php?workbook=20_05.xlsx&amp;sheet=U0&amp;row=6715&amp;col=7&amp;number=0.00111&amp;sourceID=14","0.00111")</f>
        <v>0.00111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HYPERLINK("http://141.218.60.56/~jnz1568/getInfo.php?workbook=20_05.xlsx&amp;sheet=U0&amp;row=6716&amp;col=6&amp;number=4.2&amp;sourceID=14","4.2")</f>
        <v>4.2</v>
      </c>
      <c r="G6716" s="4" t="str">
        <f>HYPERLINK("http://141.218.60.56/~jnz1568/getInfo.php?workbook=20_05.xlsx&amp;sheet=U0&amp;row=6716&amp;col=7&amp;number=0.00111&amp;sourceID=14","0.00111")</f>
        <v>0.00111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HYPERLINK("http://141.218.60.56/~jnz1568/getInfo.php?workbook=20_05.xlsx&amp;sheet=U0&amp;row=6717&amp;col=6&amp;number=4.3&amp;sourceID=14","4.3")</f>
        <v>4.3</v>
      </c>
      <c r="G6717" s="4" t="str">
        <f>HYPERLINK("http://141.218.60.56/~jnz1568/getInfo.php?workbook=20_05.xlsx&amp;sheet=U0&amp;row=6717&amp;col=7&amp;number=0.00111&amp;sourceID=14","0.00111")</f>
        <v>0.00111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HYPERLINK("http://141.218.60.56/~jnz1568/getInfo.php?workbook=20_05.xlsx&amp;sheet=U0&amp;row=6718&amp;col=6&amp;number=4.4&amp;sourceID=14","4.4")</f>
        <v>4.4</v>
      </c>
      <c r="G6718" s="4" t="str">
        <f>HYPERLINK("http://141.218.60.56/~jnz1568/getInfo.php?workbook=20_05.xlsx&amp;sheet=U0&amp;row=6718&amp;col=7&amp;number=0.00111&amp;sourceID=14","0.00111")</f>
        <v>0.00111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HYPERLINK("http://141.218.60.56/~jnz1568/getInfo.php?workbook=20_05.xlsx&amp;sheet=U0&amp;row=6719&amp;col=6&amp;number=4.5&amp;sourceID=14","4.5")</f>
        <v>4.5</v>
      </c>
      <c r="G6719" s="4" t="str">
        <f>HYPERLINK("http://141.218.60.56/~jnz1568/getInfo.php?workbook=20_05.xlsx&amp;sheet=U0&amp;row=6719&amp;col=7&amp;number=0.00111&amp;sourceID=14","0.00111")</f>
        <v>0.00111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HYPERLINK("http://141.218.60.56/~jnz1568/getInfo.php?workbook=20_05.xlsx&amp;sheet=U0&amp;row=6720&amp;col=6&amp;number=4.6&amp;sourceID=14","4.6")</f>
        <v>4.6</v>
      </c>
      <c r="G6720" s="4" t="str">
        <f>HYPERLINK("http://141.218.60.56/~jnz1568/getInfo.php?workbook=20_05.xlsx&amp;sheet=U0&amp;row=6720&amp;col=7&amp;number=0.0011&amp;sourceID=14","0.0011")</f>
        <v>0.0011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HYPERLINK("http://141.218.60.56/~jnz1568/getInfo.php?workbook=20_05.xlsx&amp;sheet=U0&amp;row=6721&amp;col=6&amp;number=4.7&amp;sourceID=14","4.7")</f>
        <v>4.7</v>
      </c>
      <c r="G6721" s="4" t="str">
        <f>HYPERLINK("http://141.218.60.56/~jnz1568/getInfo.php?workbook=20_05.xlsx&amp;sheet=U0&amp;row=6721&amp;col=7&amp;number=0.0011&amp;sourceID=14","0.0011")</f>
        <v>0.0011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HYPERLINK("http://141.218.60.56/~jnz1568/getInfo.php?workbook=20_05.xlsx&amp;sheet=U0&amp;row=6722&amp;col=6&amp;number=4.8&amp;sourceID=14","4.8")</f>
        <v>4.8</v>
      </c>
      <c r="G6722" s="4" t="str">
        <f>HYPERLINK("http://141.218.60.56/~jnz1568/getInfo.php?workbook=20_05.xlsx&amp;sheet=U0&amp;row=6722&amp;col=7&amp;number=0.0011&amp;sourceID=14","0.0011")</f>
        <v>0.0011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HYPERLINK("http://141.218.60.56/~jnz1568/getInfo.php?workbook=20_05.xlsx&amp;sheet=U0&amp;row=6723&amp;col=6&amp;number=4.9&amp;sourceID=14","4.9")</f>
        <v>4.9</v>
      </c>
      <c r="G6723" s="4" t="str">
        <f>HYPERLINK("http://141.218.60.56/~jnz1568/getInfo.php?workbook=20_05.xlsx&amp;sheet=U0&amp;row=6723&amp;col=7&amp;number=0.00109&amp;sourceID=14","0.00109")</f>
        <v>0.00109</v>
      </c>
    </row>
    <row r="6724" spans="1:7">
      <c r="A6724" s="3">
        <v>20</v>
      </c>
      <c r="B6724" s="3">
        <v>5</v>
      </c>
      <c r="C6724" s="3">
        <v>3</v>
      </c>
      <c r="D6724" s="3">
        <v>80</v>
      </c>
      <c r="E6724" s="3">
        <v>1</v>
      </c>
      <c r="F6724" s="4" t="str">
        <f>HYPERLINK("http://141.218.60.56/~jnz1568/getInfo.php?workbook=20_05.xlsx&amp;sheet=U0&amp;row=6724&amp;col=6&amp;number=3&amp;sourceID=14","3")</f>
        <v>3</v>
      </c>
      <c r="G6724" s="4" t="str">
        <f>HYPERLINK("http://141.218.60.56/~jnz1568/getInfo.php?workbook=20_05.xlsx&amp;sheet=U0&amp;row=6724&amp;col=7&amp;number=0.000179&amp;sourceID=14","0.000179")</f>
        <v>0.000179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HYPERLINK("http://141.218.60.56/~jnz1568/getInfo.php?workbook=20_05.xlsx&amp;sheet=U0&amp;row=6725&amp;col=6&amp;number=3.1&amp;sourceID=14","3.1")</f>
        <v>3.1</v>
      </c>
      <c r="G6725" s="4" t="str">
        <f>HYPERLINK("http://141.218.60.56/~jnz1568/getInfo.php?workbook=20_05.xlsx&amp;sheet=U0&amp;row=6725&amp;col=7&amp;number=0.000179&amp;sourceID=14","0.000179")</f>
        <v>0.000179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HYPERLINK("http://141.218.60.56/~jnz1568/getInfo.php?workbook=20_05.xlsx&amp;sheet=U0&amp;row=6726&amp;col=6&amp;number=3.2&amp;sourceID=14","3.2")</f>
        <v>3.2</v>
      </c>
      <c r="G6726" s="4" t="str">
        <f>HYPERLINK("http://141.218.60.56/~jnz1568/getInfo.php?workbook=20_05.xlsx&amp;sheet=U0&amp;row=6726&amp;col=7&amp;number=0.000179&amp;sourceID=14","0.000179")</f>
        <v>0.000179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HYPERLINK("http://141.218.60.56/~jnz1568/getInfo.php?workbook=20_05.xlsx&amp;sheet=U0&amp;row=6727&amp;col=6&amp;number=3.3&amp;sourceID=14","3.3")</f>
        <v>3.3</v>
      </c>
      <c r="G6727" s="4" t="str">
        <f>HYPERLINK("http://141.218.60.56/~jnz1568/getInfo.php?workbook=20_05.xlsx&amp;sheet=U0&amp;row=6727&amp;col=7&amp;number=0.000179&amp;sourceID=14","0.000179")</f>
        <v>0.000179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HYPERLINK("http://141.218.60.56/~jnz1568/getInfo.php?workbook=20_05.xlsx&amp;sheet=U0&amp;row=6728&amp;col=6&amp;number=3.4&amp;sourceID=14","3.4")</f>
        <v>3.4</v>
      </c>
      <c r="G6728" s="4" t="str">
        <f>HYPERLINK("http://141.218.60.56/~jnz1568/getInfo.php?workbook=20_05.xlsx&amp;sheet=U0&amp;row=6728&amp;col=7&amp;number=0.000179&amp;sourceID=14","0.000179")</f>
        <v>0.000179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HYPERLINK("http://141.218.60.56/~jnz1568/getInfo.php?workbook=20_05.xlsx&amp;sheet=U0&amp;row=6729&amp;col=6&amp;number=3.5&amp;sourceID=14","3.5")</f>
        <v>3.5</v>
      </c>
      <c r="G6729" s="4" t="str">
        <f>HYPERLINK("http://141.218.60.56/~jnz1568/getInfo.php?workbook=20_05.xlsx&amp;sheet=U0&amp;row=6729&amp;col=7&amp;number=0.000179&amp;sourceID=14","0.000179")</f>
        <v>0.000179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HYPERLINK("http://141.218.60.56/~jnz1568/getInfo.php?workbook=20_05.xlsx&amp;sheet=U0&amp;row=6730&amp;col=6&amp;number=3.6&amp;sourceID=14","3.6")</f>
        <v>3.6</v>
      </c>
      <c r="G6730" s="4" t="str">
        <f>HYPERLINK("http://141.218.60.56/~jnz1568/getInfo.php?workbook=20_05.xlsx&amp;sheet=U0&amp;row=6730&amp;col=7&amp;number=0.000179&amp;sourceID=14","0.000179")</f>
        <v>0.000179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HYPERLINK("http://141.218.60.56/~jnz1568/getInfo.php?workbook=20_05.xlsx&amp;sheet=U0&amp;row=6731&amp;col=6&amp;number=3.7&amp;sourceID=14","3.7")</f>
        <v>3.7</v>
      </c>
      <c r="G6731" s="4" t="str">
        <f>HYPERLINK("http://141.218.60.56/~jnz1568/getInfo.php?workbook=20_05.xlsx&amp;sheet=U0&amp;row=6731&amp;col=7&amp;number=0.000179&amp;sourceID=14","0.000179")</f>
        <v>0.000179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HYPERLINK("http://141.218.60.56/~jnz1568/getInfo.php?workbook=20_05.xlsx&amp;sheet=U0&amp;row=6732&amp;col=6&amp;number=3.8&amp;sourceID=14","3.8")</f>
        <v>3.8</v>
      </c>
      <c r="G6732" s="4" t="str">
        <f>HYPERLINK("http://141.218.60.56/~jnz1568/getInfo.php?workbook=20_05.xlsx&amp;sheet=U0&amp;row=6732&amp;col=7&amp;number=0.000179&amp;sourceID=14","0.000179")</f>
        <v>0.000179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HYPERLINK("http://141.218.60.56/~jnz1568/getInfo.php?workbook=20_05.xlsx&amp;sheet=U0&amp;row=6733&amp;col=6&amp;number=3.9&amp;sourceID=14","3.9")</f>
        <v>3.9</v>
      </c>
      <c r="G6733" s="4" t="str">
        <f>HYPERLINK("http://141.218.60.56/~jnz1568/getInfo.php?workbook=20_05.xlsx&amp;sheet=U0&amp;row=6733&amp;col=7&amp;number=0.000179&amp;sourceID=14","0.000179")</f>
        <v>0.000179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HYPERLINK("http://141.218.60.56/~jnz1568/getInfo.php?workbook=20_05.xlsx&amp;sheet=U0&amp;row=6734&amp;col=6&amp;number=4&amp;sourceID=14","4")</f>
        <v>4</v>
      </c>
      <c r="G6734" s="4" t="str">
        <f>HYPERLINK("http://141.218.60.56/~jnz1568/getInfo.php?workbook=20_05.xlsx&amp;sheet=U0&amp;row=6734&amp;col=7&amp;number=0.000179&amp;sourceID=14","0.000179")</f>
        <v>0.000179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HYPERLINK("http://141.218.60.56/~jnz1568/getInfo.php?workbook=20_05.xlsx&amp;sheet=U0&amp;row=6735&amp;col=6&amp;number=4.1&amp;sourceID=14","4.1")</f>
        <v>4.1</v>
      </c>
      <c r="G6735" s="4" t="str">
        <f>HYPERLINK("http://141.218.60.56/~jnz1568/getInfo.php?workbook=20_05.xlsx&amp;sheet=U0&amp;row=6735&amp;col=7&amp;number=0.000179&amp;sourceID=14","0.000179")</f>
        <v>0.000179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HYPERLINK("http://141.218.60.56/~jnz1568/getInfo.php?workbook=20_05.xlsx&amp;sheet=U0&amp;row=6736&amp;col=6&amp;number=4.2&amp;sourceID=14","4.2")</f>
        <v>4.2</v>
      </c>
      <c r="G6736" s="4" t="str">
        <f>HYPERLINK("http://141.218.60.56/~jnz1568/getInfo.php?workbook=20_05.xlsx&amp;sheet=U0&amp;row=6736&amp;col=7&amp;number=0.000179&amp;sourceID=14","0.000179")</f>
        <v>0.000179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HYPERLINK("http://141.218.60.56/~jnz1568/getInfo.php?workbook=20_05.xlsx&amp;sheet=U0&amp;row=6737&amp;col=6&amp;number=4.3&amp;sourceID=14","4.3")</f>
        <v>4.3</v>
      </c>
      <c r="G6737" s="4" t="str">
        <f>HYPERLINK("http://141.218.60.56/~jnz1568/getInfo.php?workbook=20_05.xlsx&amp;sheet=U0&amp;row=6737&amp;col=7&amp;number=0.000179&amp;sourceID=14","0.000179")</f>
        <v>0.000179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HYPERLINK("http://141.218.60.56/~jnz1568/getInfo.php?workbook=20_05.xlsx&amp;sheet=U0&amp;row=6738&amp;col=6&amp;number=4.4&amp;sourceID=14","4.4")</f>
        <v>4.4</v>
      </c>
      <c r="G6738" s="4" t="str">
        <f>HYPERLINK("http://141.218.60.56/~jnz1568/getInfo.php?workbook=20_05.xlsx&amp;sheet=U0&amp;row=6738&amp;col=7&amp;number=0.00018&amp;sourceID=14","0.00018")</f>
        <v>0.00018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HYPERLINK("http://141.218.60.56/~jnz1568/getInfo.php?workbook=20_05.xlsx&amp;sheet=U0&amp;row=6739&amp;col=6&amp;number=4.5&amp;sourceID=14","4.5")</f>
        <v>4.5</v>
      </c>
      <c r="G6739" s="4" t="str">
        <f>HYPERLINK("http://141.218.60.56/~jnz1568/getInfo.php?workbook=20_05.xlsx&amp;sheet=U0&amp;row=6739&amp;col=7&amp;number=0.00018&amp;sourceID=14","0.00018")</f>
        <v>0.00018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HYPERLINK("http://141.218.60.56/~jnz1568/getInfo.php?workbook=20_05.xlsx&amp;sheet=U0&amp;row=6740&amp;col=6&amp;number=4.6&amp;sourceID=14","4.6")</f>
        <v>4.6</v>
      </c>
      <c r="G6740" s="4" t="str">
        <f>HYPERLINK("http://141.218.60.56/~jnz1568/getInfo.php?workbook=20_05.xlsx&amp;sheet=U0&amp;row=6740&amp;col=7&amp;number=0.00018&amp;sourceID=14","0.00018")</f>
        <v>0.00018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HYPERLINK("http://141.218.60.56/~jnz1568/getInfo.php?workbook=20_05.xlsx&amp;sheet=U0&amp;row=6741&amp;col=6&amp;number=4.7&amp;sourceID=14","4.7")</f>
        <v>4.7</v>
      </c>
      <c r="G6741" s="4" t="str">
        <f>HYPERLINK("http://141.218.60.56/~jnz1568/getInfo.php?workbook=20_05.xlsx&amp;sheet=U0&amp;row=6741&amp;col=7&amp;number=0.00018&amp;sourceID=14","0.00018")</f>
        <v>0.00018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HYPERLINK("http://141.218.60.56/~jnz1568/getInfo.php?workbook=20_05.xlsx&amp;sheet=U0&amp;row=6742&amp;col=6&amp;number=4.8&amp;sourceID=14","4.8")</f>
        <v>4.8</v>
      </c>
      <c r="G6742" s="4" t="str">
        <f>HYPERLINK("http://141.218.60.56/~jnz1568/getInfo.php?workbook=20_05.xlsx&amp;sheet=U0&amp;row=6742&amp;col=7&amp;number=0.00018&amp;sourceID=14","0.00018")</f>
        <v>0.00018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HYPERLINK("http://141.218.60.56/~jnz1568/getInfo.php?workbook=20_05.xlsx&amp;sheet=U0&amp;row=6743&amp;col=6&amp;number=4.9&amp;sourceID=14","4.9")</f>
        <v>4.9</v>
      </c>
      <c r="G6743" s="4" t="str">
        <f>HYPERLINK("http://141.218.60.56/~jnz1568/getInfo.php?workbook=20_05.xlsx&amp;sheet=U0&amp;row=6743&amp;col=7&amp;number=0.000181&amp;sourceID=14","0.000181")</f>
        <v>0.000181</v>
      </c>
    </row>
    <row r="6744" spans="1:7">
      <c r="A6744" s="3">
        <v>20</v>
      </c>
      <c r="B6744" s="3">
        <v>5</v>
      </c>
      <c r="C6744" s="3">
        <v>3</v>
      </c>
      <c r="D6744" s="3">
        <v>81</v>
      </c>
      <c r="E6744" s="3">
        <v>1</v>
      </c>
      <c r="F6744" s="4" t="str">
        <f>HYPERLINK("http://141.218.60.56/~jnz1568/getInfo.php?workbook=20_05.xlsx&amp;sheet=U0&amp;row=6744&amp;col=6&amp;number=3&amp;sourceID=14","3")</f>
        <v>3</v>
      </c>
      <c r="G6744" s="4" t="str">
        <f>HYPERLINK("http://141.218.60.56/~jnz1568/getInfo.php?workbook=20_05.xlsx&amp;sheet=U0&amp;row=6744&amp;col=7&amp;number=0.000989&amp;sourceID=14","0.000989")</f>
        <v>0.000989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HYPERLINK("http://141.218.60.56/~jnz1568/getInfo.php?workbook=20_05.xlsx&amp;sheet=U0&amp;row=6745&amp;col=6&amp;number=3.1&amp;sourceID=14","3.1")</f>
        <v>3.1</v>
      </c>
      <c r="G6745" s="4" t="str">
        <f>HYPERLINK("http://141.218.60.56/~jnz1568/getInfo.php?workbook=20_05.xlsx&amp;sheet=U0&amp;row=6745&amp;col=7&amp;number=0.000989&amp;sourceID=14","0.000989")</f>
        <v>0.000989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HYPERLINK("http://141.218.60.56/~jnz1568/getInfo.php?workbook=20_05.xlsx&amp;sheet=U0&amp;row=6746&amp;col=6&amp;number=3.2&amp;sourceID=14","3.2")</f>
        <v>3.2</v>
      </c>
      <c r="G6746" s="4" t="str">
        <f>HYPERLINK("http://141.218.60.56/~jnz1568/getInfo.php?workbook=20_05.xlsx&amp;sheet=U0&amp;row=6746&amp;col=7&amp;number=0.000989&amp;sourceID=14","0.000989")</f>
        <v>0.000989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HYPERLINK("http://141.218.60.56/~jnz1568/getInfo.php?workbook=20_05.xlsx&amp;sheet=U0&amp;row=6747&amp;col=6&amp;number=3.3&amp;sourceID=14","3.3")</f>
        <v>3.3</v>
      </c>
      <c r="G6747" s="4" t="str">
        <f>HYPERLINK("http://141.218.60.56/~jnz1568/getInfo.php?workbook=20_05.xlsx&amp;sheet=U0&amp;row=6747&amp;col=7&amp;number=0.000989&amp;sourceID=14","0.000989")</f>
        <v>0.000989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HYPERLINK("http://141.218.60.56/~jnz1568/getInfo.php?workbook=20_05.xlsx&amp;sheet=U0&amp;row=6748&amp;col=6&amp;number=3.4&amp;sourceID=14","3.4")</f>
        <v>3.4</v>
      </c>
      <c r="G6748" s="4" t="str">
        <f>HYPERLINK("http://141.218.60.56/~jnz1568/getInfo.php?workbook=20_05.xlsx&amp;sheet=U0&amp;row=6748&amp;col=7&amp;number=0.000989&amp;sourceID=14","0.000989")</f>
        <v>0.000989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HYPERLINK("http://141.218.60.56/~jnz1568/getInfo.php?workbook=20_05.xlsx&amp;sheet=U0&amp;row=6749&amp;col=6&amp;number=3.5&amp;sourceID=14","3.5")</f>
        <v>3.5</v>
      </c>
      <c r="G6749" s="4" t="str">
        <f>HYPERLINK("http://141.218.60.56/~jnz1568/getInfo.php?workbook=20_05.xlsx&amp;sheet=U0&amp;row=6749&amp;col=7&amp;number=0.000989&amp;sourceID=14","0.000989")</f>
        <v>0.000989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HYPERLINK("http://141.218.60.56/~jnz1568/getInfo.php?workbook=20_05.xlsx&amp;sheet=U0&amp;row=6750&amp;col=6&amp;number=3.6&amp;sourceID=14","3.6")</f>
        <v>3.6</v>
      </c>
      <c r="G6750" s="4" t="str">
        <f>HYPERLINK("http://141.218.60.56/~jnz1568/getInfo.php?workbook=20_05.xlsx&amp;sheet=U0&amp;row=6750&amp;col=7&amp;number=0.000989&amp;sourceID=14","0.000989")</f>
        <v>0.000989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HYPERLINK("http://141.218.60.56/~jnz1568/getInfo.php?workbook=20_05.xlsx&amp;sheet=U0&amp;row=6751&amp;col=6&amp;number=3.7&amp;sourceID=14","3.7")</f>
        <v>3.7</v>
      </c>
      <c r="G6751" s="4" t="str">
        <f>HYPERLINK("http://141.218.60.56/~jnz1568/getInfo.php?workbook=20_05.xlsx&amp;sheet=U0&amp;row=6751&amp;col=7&amp;number=0.000989&amp;sourceID=14","0.000989")</f>
        <v>0.000989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HYPERLINK("http://141.218.60.56/~jnz1568/getInfo.php?workbook=20_05.xlsx&amp;sheet=U0&amp;row=6752&amp;col=6&amp;number=3.8&amp;sourceID=14","3.8")</f>
        <v>3.8</v>
      </c>
      <c r="G6752" s="4" t="str">
        <f>HYPERLINK("http://141.218.60.56/~jnz1568/getInfo.php?workbook=20_05.xlsx&amp;sheet=U0&amp;row=6752&amp;col=7&amp;number=0.000989&amp;sourceID=14","0.000989")</f>
        <v>0.000989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HYPERLINK("http://141.218.60.56/~jnz1568/getInfo.php?workbook=20_05.xlsx&amp;sheet=U0&amp;row=6753&amp;col=6&amp;number=3.9&amp;sourceID=14","3.9")</f>
        <v>3.9</v>
      </c>
      <c r="G6753" s="4" t="str">
        <f>HYPERLINK("http://141.218.60.56/~jnz1568/getInfo.php?workbook=20_05.xlsx&amp;sheet=U0&amp;row=6753&amp;col=7&amp;number=0.00099&amp;sourceID=14","0.00099")</f>
        <v>0.00099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HYPERLINK("http://141.218.60.56/~jnz1568/getInfo.php?workbook=20_05.xlsx&amp;sheet=U0&amp;row=6754&amp;col=6&amp;number=4&amp;sourceID=14","4")</f>
        <v>4</v>
      </c>
      <c r="G6754" s="4" t="str">
        <f>HYPERLINK("http://141.218.60.56/~jnz1568/getInfo.php?workbook=20_05.xlsx&amp;sheet=U0&amp;row=6754&amp;col=7&amp;number=0.00099&amp;sourceID=14","0.00099")</f>
        <v>0.00099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HYPERLINK("http://141.218.60.56/~jnz1568/getInfo.php?workbook=20_05.xlsx&amp;sheet=U0&amp;row=6755&amp;col=6&amp;number=4.1&amp;sourceID=14","4.1")</f>
        <v>4.1</v>
      </c>
      <c r="G6755" s="4" t="str">
        <f>HYPERLINK("http://141.218.60.56/~jnz1568/getInfo.php?workbook=20_05.xlsx&amp;sheet=U0&amp;row=6755&amp;col=7&amp;number=0.00099&amp;sourceID=14","0.00099")</f>
        <v>0.00099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HYPERLINK("http://141.218.60.56/~jnz1568/getInfo.php?workbook=20_05.xlsx&amp;sheet=U0&amp;row=6756&amp;col=6&amp;number=4.2&amp;sourceID=14","4.2")</f>
        <v>4.2</v>
      </c>
      <c r="G6756" s="4" t="str">
        <f>HYPERLINK("http://141.218.60.56/~jnz1568/getInfo.php?workbook=20_05.xlsx&amp;sheet=U0&amp;row=6756&amp;col=7&amp;number=0.000991&amp;sourceID=14","0.000991")</f>
        <v>0.000991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HYPERLINK("http://141.218.60.56/~jnz1568/getInfo.php?workbook=20_05.xlsx&amp;sheet=U0&amp;row=6757&amp;col=6&amp;number=4.3&amp;sourceID=14","4.3")</f>
        <v>4.3</v>
      </c>
      <c r="G6757" s="4" t="str">
        <f>HYPERLINK("http://141.218.60.56/~jnz1568/getInfo.php?workbook=20_05.xlsx&amp;sheet=U0&amp;row=6757&amp;col=7&amp;number=0.000991&amp;sourceID=14","0.000991")</f>
        <v>0.000991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HYPERLINK("http://141.218.60.56/~jnz1568/getInfo.php?workbook=20_05.xlsx&amp;sheet=U0&amp;row=6758&amp;col=6&amp;number=4.4&amp;sourceID=14","4.4")</f>
        <v>4.4</v>
      </c>
      <c r="G6758" s="4" t="str">
        <f>HYPERLINK("http://141.218.60.56/~jnz1568/getInfo.php?workbook=20_05.xlsx&amp;sheet=U0&amp;row=6758&amp;col=7&amp;number=0.000992&amp;sourceID=14","0.000992")</f>
        <v>0.000992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HYPERLINK("http://141.218.60.56/~jnz1568/getInfo.php?workbook=20_05.xlsx&amp;sheet=U0&amp;row=6759&amp;col=6&amp;number=4.5&amp;sourceID=14","4.5")</f>
        <v>4.5</v>
      </c>
      <c r="G6759" s="4" t="str">
        <f>HYPERLINK("http://141.218.60.56/~jnz1568/getInfo.php?workbook=20_05.xlsx&amp;sheet=U0&amp;row=6759&amp;col=7&amp;number=0.000993&amp;sourceID=14","0.000993")</f>
        <v>0.000993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HYPERLINK("http://141.218.60.56/~jnz1568/getInfo.php?workbook=20_05.xlsx&amp;sheet=U0&amp;row=6760&amp;col=6&amp;number=4.6&amp;sourceID=14","4.6")</f>
        <v>4.6</v>
      </c>
      <c r="G6760" s="4" t="str">
        <f>HYPERLINK("http://141.218.60.56/~jnz1568/getInfo.php?workbook=20_05.xlsx&amp;sheet=U0&amp;row=6760&amp;col=7&amp;number=0.000994&amp;sourceID=14","0.000994")</f>
        <v>0.000994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HYPERLINK("http://141.218.60.56/~jnz1568/getInfo.php?workbook=20_05.xlsx&amp;sheet=U0&amp;row=6761&amp;col=6&amp;number=4.7&amp;sourceID=14","4.7")</f>
        <v>4.7</v>
      </c>
      <c r="G6761" s="4" t="str">
        <f>HYPERLINK("http://141.218.60.56/~jnz1568/getInfo.php?workbook=20_05.xlsx&amp;sheet=U0&amp;row=6761&amp;col=7&amp;number=0.000995&amp;sourceID=14","0.000995")</f>
        <v>0.000995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HYPERLINK("http://141.218.60.56/~jnz1568/getInfo.php?workbook=20_05.xlsx&amp;sheet=U0&amp;row=6762&amp;col=6&amp;number=4.8&amp;sourceID=14","4.8")</f>
        <v>4.8</v>
      </c>
      <c r="G6762" s="4" t="str">
        <f>HYPERLINK("http://141.218.60.56/~jnz1568/getInfo.php?workbook=20_05.xlsx&amp;sheet=U0&amp;row=6762&amp;col=7&amp;number=0.000997&amp;sourceID=14","0.000997")</f>
        <v>0.000997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HYPERLINK("http://141.218.60.56/~jnz1568/getInfo.php?workbook=20_05.xlsx&amp;sheet=U0&amp;row=6763&amp;col=6&amp;number=4.9&amp;sourceID=14","4.9")</f>
        <v>4.9</v>
      </c>
      <c r="G6763" s="4" t="str">
        <f>HYPERLINK("http://141.218.60.56/~jnz1568/getInfo.php?workbook=20_05.xlsx&amp;sheet=U0&amp;row=6763&amp;col=7&amp;number=0.000999&amp;sourceID=14","0.000999")</f>
        <v>0.000999</v>
      </c>
    </row>
    <row r="6764" spans="1:7">
      <c r="A6764" s="3">
        <v>20</v>
      </c>
      <c r="B6764" s="3">
        <v>5</v>
      </c>
      <c r="C6764" s="3">
        <v>3</v>
      </c>
      <c r="D6764" s="3">
        <v>82</v>
      </c>
      <c r="E6764" s="3">
        <v>1</v>
      </c>
      <c r="F6764" s="4" t="str">
        <f>HYPERLINK("http://141.218.60.56/~jnz1568/getInfo.php?workbook=20_05.xlsx&amp;sheet=U0&amp;row=6764&amp;col=6&amp;number=3&amp;sourceID=14","3")</f>
        <v>3</v>
      </c>
      <c r="G6764" s="4" t="str">
        <f>HYPERLINK("http://141.218.60.56/~jnz1568/getInfo.php?workbook=20_05.xlsx&amp;sheet=U0&amp;row=6764&amp;col=7&amp;number=0.000627&amp;sourceID=14","0.000627")</f>
        <v>0.000627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HYPERLINK("http://141.218.60.56/~jnz1568/getInfo.php?workbook=20_05.xlsx&amp;sheet=U0&amp;row=6765&amp;col=6&amp;number=3.1&amp;sourceID=14","3.1")</f>
        <v>3.1</v>
      </c>
      <c r="G6765" s="4" t="str">
        <f>HYPERLINK("http://141.218.60.56/~jnz1568/getInfo.php?workbook=20_05.xlsx&amp;sheet=U0&amp;row=6765&amp;col=7&amp;number=0.000627&amp;sourceID=14","0.000627")</f>
        <v>0.000627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HYPERLINK("http://141.218.60.56/~jnz1568/getInfo.php?workbook=20_05.xlsx&amp;sheet=U0&amp;row=6766&amp;col=6&amp;number=3.2&amp;sourceID=14","3.2")</f>
        <v>3.2</v>
      </c>
      <c r="G6766" s="4" t="str">
        <f>HYPERLINK("http://141.218.60.56/~jnz1568/getInfo.php?workbook=20_05.xlsx&amp;sheet=U0&amp;row=6766&amp;col=7&amp;number=0.000627&amp;sourceID=14","0.000627")</f>
        <v>0.000627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HYPERLINK("http://141.218.60.56/~jnz1568/getInfo.php?workbook=20_05.xlsx&amp;sheet=U0&amp;row=6767&amp;col=6&amp;number=3.3&amp;sourceID=14","3.3")</f>
        <v>3.3</v>
      </c>
      <c r="G6767" s="4" t="str">
        <f>HYPERLINK("http://141.218.60.56/~jnz1568/getInfo.php?workbook=20_05.xlsx&amp;sheet=U0&amp;row=6767&amp;col=7&amp;number=0.000627&amp;sourceID=14","0.000627")</f>
        <v>0.000627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HYPERLINK("http://141.218.60.56/~jnz1568/getInfo.php?workbook=20_05.xlsx&amp;sheet=U0&amp;row=6768&amp;col=6&amp;number=3.4&amp;sourceID=14","3.4")</f>
        <v>3.4</v>
      </c>
      <c r="G6768" s="4" t="str">
        <f>HYPERLINK("http://141.218.60.56/~jnz1568/getInfo.php?workbook=20_05.xlsx&amp;sheet=U0&amp;row=6768&amp;col=7&amp;number=0.000628&amp;sourceID=14","0.000628")</f>
        <v>0.000628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HYPERLINK("http://141.218.60.56/~jnz1568/getInfo.php?workbook=20_05.xlsx&amp;sheet=U0&amp;row=6769&amp;col=6&amp;number=3.5&amp;sourceID=14","3.5")</f>
        <v>3.5</v>
      </c>
      <c r="G6769" s="4" t="str">
        <f>HYPERLINK("http://141.218.60.56/~jnz1568/getInfo.php?workbook=20_05.xlsx&amp;sheet=U0&amp;row=6769&amp;col=7&amp;number=0.000628&amp;sourceID=14","0.000628")</f>
        <v>0.000628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HYPERLINK("http://141.218.60.56/~jnz1568/getInfo.php?workbook=20_05.xlsx&amp;sheet=U0&amp;row=6770&amp;col=6&amp;number=3.6&amp;sourceID=14","3.6")</f>
        <v>3.6</v>
      </c>
      <c r="G6770" s="4" t="str">
        <f>HYPERLINK("http://141.218.60.56/~jnz1568/getInfo.php?workbook=20_05.xlsx&amp;sheet=U0&amp;row=6770&amp;col=7&amp;number=0.000628&amp;sourceID=14","0.000628")</f>
        <v>0.000628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HYPERLINK("http://141.218.60.56/~jnz1568/getInfo.php?workbook=20_05.xlsx&amp;sheet=U0&amp;row=6771&amp;col=6&amp;number=3.7&amp;sourceID=14","3.7")</f>
        <v>3.7</v>
      </c>
      <c r="G6771" s="4" t="str">
        <f>HYPERLINK("http://141.218.60.56/~jnz1568/getInfo.php?workbook=20_05.xlsx&amp;sheet=U0&amp;row=6771&amp;col=7&amp;number=0.000628&amp;sourceID=14","0.000628")</f>
        <v>0.000628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HYPERLINK("http://141.218.60.56/~jnz1568/getInfo.php?workbook=20_05.xlsx&amp;sheet=U0&amp;row=6772&amp;col=6&amp;number=3.8&amp;sourceID=14","3.8")</f>
        <v>3.8</v>
      </c>
      <c r="G6772" s="4" t="str">
        <f>HYPERLINK("http://141.218.60.56/~jnz1568/getInfo.php?workbook=20_05.xlsx&amp;sheet=U0&amp;row=6772&amp;col=7&amp;number=0.000629&amp;sourceID=14","0.000629")</f>
        <v>0.000629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HYPERLINK("http://141.218.60.56/~jnz1568/getInfo.php?workbook=20_05.xlsx&amp;sheet=U0&amp;row=6773&amp;col=6&amp;number=3.9&amp;sourceID=14","3.9")</f>
        <v>3.9</v>
      </c>
      <c r="G6773" s="4" t="str">
        <f>HYPERLINK("http://141.218.60.56/~jnz1568/getInfo.php?workbook=20_05.xlsx&amp;sheet=U0&amp;row=6773&amp;col=7&amp;number=0.000629&amp;sourceID=14","0.000629")</f>
        <v>0.000629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HYPERLINK("http://141.218.60.56/~jnz1568/getInfo.php?workbook=20_05.xlsx&amp;sheet=U0&amp;row=6774&amp;col=6&amp;number=4&amp;sourceID=14","4")</f>
        <v>4</v>
      </c>
      <c r="G6774" s="4" t="str">
        <f>HYPERLINK("http://141.218.60.56/~jnz1568/getInfo.php?workbook=20_05.xlsx&amp;sheet=U0&amp;row=6774&amp;col=7&amp;number=0.00063&amp;sourceID=14","0.00063")</f>
        <v>0.00063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HYPERLINK("http://141.218.60.56/~jnz1568/getInfo.php?workbook=20_05.xlsx&amp;sheet=U0&amp;row=6775&amp;col=6&amp;number=4.1&amp;sourceID=14","4.1")</f>
        <v>4.1</v>
      </c>
      <c r="G6775" s="4" t="str">
        <f>HYPERLINK("http://141.218.60.56/~jnz1568/getInfo.php?workbook=20_05.xlsx&amp;sheet=U0&amp;row=6775&amp;col=7&amp;number=0.000631&amp;sourceID=14","0.000631")</f>
        <v>0.000631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HYPERLINK("http://141.218.60.56/~jnz1568/getInfo.php?workbook=20_05.xlsx&amp;sheet=U0&amp;row=6776&amp;col=6&amp;number=4.2&amp;sourceID=14","4.2")</f>
        <v>4.2</v>
      </c>
      <c r="G6776" s="4" t="str">
        <f>HYPERLINK("http://141.218.60.56/~jnz1568/getInfo.php?workbook=20_05.xlsx&amp;sheet=U0&amp;row=6776&amp;col=7&amp;number=0.000632&amp;sourceID=14","0.000632")</f>
        <v>0.000632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HYPERLINK("http://141.218.60.56/~jnz1568/getInfo.php?workbook=20_05.xlsx&amp;sheet=U0&amp;row=6777&amp;col=6&amp;number=4.3&amp;sourceID=14","4.3")</f>
        <v>4.3</v>
      </c>
      <c r="G6777" s="4" t="str">
        <f>HYPERLINK("http://141.218.60.56/~jnz1568/getInfo.php?workbook=20_05.xlsx&amp;sheet=U0&amp;row=6777&amp;col=7&amp;number=0.000633&amp;sourceID=14","0.000633")</f>
        <v>0.000633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HYPERLINK("http://141.218.60.56/~jnz1568/getInfo.php?workbook=20_05.xlsx&amp;sheet=U0&amp;row=6778&amp;col=6&amp;number=4.4&amp;sourceID=14","4.4")</f>
        <v>4.4</v>
      </c>
      <c r="G6778" s="4" t="str">
        <f>HYPERLINK("http://141.218.60.56/~jnz1568/getInfo.php?workbook=20_05.xlsx&amp;sheet=U0&amp;row=6778&amp;col=7&amp;number=0.000635&amp;sourceID=14","0.000635")</f>
        <v>0.000635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HYPERLINK("http://141.218.60.56/~jnz1568/getInfo.php?workbook=20_05.xlsx&amp;sheet=U0&amp;row=6779&amp;col=6&amp;number=4.5&amp;sourceID=14","4.5")</f>
        <v>4.5</v>
      </c>
      <c r="G6779" s="4" t="str">
        <f>HYPERLINK("http://141.218.60.56/~jnz1568/getInfo.php?workbook=20_05.xlsx&amp;sheet=U0&amp;row=6779&amp;col=7&amp;number=0.000637&amp;sourceID=14","0.000637")</f>
        <v>0.000637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HYPERLINK("http://141.218.60.56/~jnz1568/getInfo.php?workbook=20_05.xlsx&amp;sheet=U0&amp;row=6780&amp;col=6&amp;number=4.6&amp;sourceID=14","4.6")</f>
        <v>4.6</v>
      </c>
      <c r="G6780" s="4" t="str">
        <f>HYPERLINK("http://141.218.60.56/~jnz1568/getInfo.php?workbook=20_05.xlsx&amp;sheet=U0&amp;row=6780&amp;col=7&amp;number=0.00064&amp;sourceID=14","0.00064")</f>
        <v>0.00064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HYPERLINK("http://141.218.60.56/~jnz1568/getInfo.php?workbook=20_05.xlsx&amp;sheet=U0&amp;row=6781&amp;col=6&amp;number=4.7&amp;sourceID=14","4.7")</f>
        <v>4.7</v>
      </c>
      <c r="G6781" s="4" t="str">
        <f>HYPERLINK("http://141.218.60.56/~jnz1568/getInfo.php?workbook=20_05.xlsx&amp;sheet=U0&amp;row=6781&amp;col=7&amp;number=0.000643&amp;sourceID=14","0.000643")</f>
        <v>0.000643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HYPERLINK("http://141.218.60.56/~jnz1568/getInfo.php?workbook=20_05.xlsx&amp;sheet=U0&amp;row=6782&amp;col=6&amp;number=4.8&amp;sourceID=14","4.8")</f>
        <v>4.8</v>
      </c>
      <c r="G6782" s="4" t="str">
        <f>HYPERLINK("http://141.218.60.56/~jnz1568/getInfo.php?workbook=20_05.xlsx&amp;sheet=U0&amp;row=6782&amp;col=7&amp;number=0.000648&amp;sourceID=14","0.000648")</f>
        <v>0.000648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HYPERLINK("http://141.218.60.56/~jnz1568/getInfo.php?workbook=20_05.xlsx&amp;sheet=U0&amp;row=6783&amp;col=6&amp;number=4.9&amp;sourceID=14","4.9")</f>
        <v>4.9</v>
      </c>
      <c r="G6783" s="4" t="str">
        <f>HYPERLINK("http://141.218.60.56/~jnz1568/getInfo.php?workbook=20_05.xlsx&amp;sheet=U0&amp;row=6783&amp;col=7&amp;number=0.000653&amp;sourceID=14","0.000653")</f>
        <v>0.000653</v>
      </c>
    </row>
    <row r="6784" spans="1:7">
      <c r="A6784" s="3">
        <v>20</v>
      </c>
      <c r="B6784" s="3">
        <v>5</v>
      </c>
      <c r="C6784" s="3">
        <v>3</v>
      </c>
      <c r="D6784" s="3">
        <v>83</v>
      </c>
      <c r="E6784" s="3">
        <v>1</v>
      </c>
      <c r="F6784" s="4" t="str">
        <f>HYPERLINK("http://141.218.60.56/~jnz1568/getInfo.php?workbook=20_05.xlsx&amp;sheet=U0&amp;row=6784&amp;col=6&amp;number=3&amp;sourceID=14","3")</f>
        <v>3</v>
      </c>
      <c r="G6784" s="4" t="str">
        <f>HYPERLINK("http://141.218.60.56/~jnz1568/getInfo.php?workbook=20_05.xlsx&amp;sheet=U0&amp;row=6784&amp;col=7&amp;number=0.000296&amp;sourceID=14","0.000296")</f>
        <v>0.000296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HYPERLINK("http://141.218.60.56/~jnz1568/getInfo.php?workbook=20_05.xlsx&amp;sheet=U0&amp;row=6785&amp;col=6&amp;number=3.1&amp;sourceID=14","3.1")</f>
        <v>3.1</v>
      </c>
      <c r="G6785" s="4" t="str">
        <f>HYPERLINK("http://141.218.60.56/~jnz1568/getInfo.php?workbook=20_05.xlsx&amp;sheet=U0&amp;row=6785&amp;col=7&amp;number=0.000297&amp;sourceID=14","0.000297")</f>
        <v>0.000297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HYPERLINK("http://141.218.60.56/~jnz1568/getInfo.php?workbook=20_05.xlsx&amp;sheet=U0&amp;row=6786&amp;col=6&amp;number=3.2&amp;sourceID=14","3.2")</f>
        <v>3.2</v>
      </c>
      <c r="G6786" s="4" t="str">
        <f>HYPERLINK("http://141.218.60.56/~jnz1568/getInfo.php?workbook=20_05.xlsx&amp;sheet=U0&amp;row=6786&amp;col=7&amp;number=0.000297&amp;sourceID=14","0.000297")</f>
        <v>0.000297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HYPERLINK("http://141.218.60.56/~jnz1568/getInfo.php?workbook=20_05.xlsx&amp;sheet=U0&amp;row=6787&amp;col=6&amp;number=3.3&amp;sourceID=14","3.3")</f>
        <v>3.3</v>
      </c>
      <c r="G6787" s="4" t="str">
        <f>HYPERLINK("http://141.218.60.56/~jnz1568/getInfo.php?workbook=20_05.xlsx&amp;sheet=U0&amp;row=6787&amp;col=7&amp;number=0.000297&amp;sourceID=14","0.000297")</f>
        <v>0.000297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HYPERLINK("http://141.218.60.56/~jnz1568/getInfo.php?workbook=20_05.xlsx&amp;sheet=U0&amp;row=6788&amp;col=6&amp;number=3.4&amp;sourceID=14","3.4")</f>
        <v>3.4</v>
      </c>
      <c r="G6788" s="4" t="str">
        <f>HYPERLINK("http://141.218.60.56/~jnz1568/getInfo.php?workbook=20_05.xlsx&amp;sheet=U0&amp;row=6788&amp;col=7&amp;number=0.000297&amp;sourceID=14","0.000297")</f>
        <v>0.000297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HYPERLINK("http://141.218.60.56/~jnz1568/getInfo.php?workbook=20_05.xlsx&amp;sheet=U0&amp;row=6789&amp;col=6&amp;number=3.5&amp;sourceID=14","3.5")</f>
        <v>3.5</v>
      </c>
      <c r="G6789" s="4" t="str">
        <f>HYPERLINK("http://141.218.60.56/~jnz1568/getInfo.php?workbook=20_05.xlsx&amp;sheet=U0&amp;row=6789&amp;col=7&amp;number=0.000297&amp;sourceID=14","0.000297")</f>
        <v>0.000297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HYPERLINK("http://141.218.60.56/~jnz1568/getInfo.php?workbook=20_05.xlsx&amp;sheet=U0&amp;row=6790&amp;col=6&amp;number=3.6&amp;sourceID=14","3.6")</f>
        <v>3.6</v>
      </c>
      <c r="G6790" s="4" t="str">
        <f>HYPERLINK("http://141.218.60.56/~jnz1568/getInfo.php?workbook=20_05.xlsx&amp;sheet=U0&amp;row=6790&amp;col=7&amp;number=0.000297&amp;sourceID=14","0.000297")</f>
        <v>0.000297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HYPERLINK("http://141.218.60.56/~jnz1568/getInfo.php?workbook=20_05.xlsx&amp;sheet=U0&amp;row=6791&amp;col=6&amp;number=3.7&amp;sourceID=14","3.7")</f>
        <v>3.7</v>
      </c>
      <c r="G6791" s="4" t="str">
        <f>HYPERLINK("http://141.218.60.56/~jnz1568/getInfo.php?workbook=20_05.xlsx&amp;sheet=U0&amp;row=6791&amp;col=7&amp;number=0.000297&amp;sourceID=14","0.000297")</f>
        <v>0.000297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HYPERLINK("http://141.218.60.56/~jnz1568/getInfo.php?workbook=20_05.xlsx&amp;sheet=U0&amp;row=6792&amp;col=6&amp;number=3.8&amp;sourceID=14","3.8")</f>
        <v>3.8</v>
      </c>
      <c r="G6792" s="4" t="str">
        <f>HYPERLINK("http://141.218.60.56/~jnz1568/getInfo.php?workbook=20_05.xlsx&amp;sheet=U0&amp;row=6792&amp;col=7&amp;number=0.000297&amp;sourceID=14","0.000297")</f>
        <v>0.000297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HYPERLINK("http://141.218.60.56/~jnz1568/getInfo.php?workbook=20_05.xlsx&amp;sheet=U0&amp;row=6793&amp;col=6&amp;number=3.9&amp;sourceID=14","3.9")</f>
        <v>3.9</v>
      </c>
      <c r="G6793" s="4" t="str">
        <f>HYPERLINK("http://141.218.60.56/~jnz1568/getInfo.php?workbook=20_05.xlsx&amp;sheet=U0&amp;row=6793&amp;col=7&amp;number=0.000297&amp;sourceID=14","0.000297")</f>
        <v>0.000297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HYPERLINK("http://141.218.60.56/~jnz1568/getInfo.php?workbook=20_05.xlsx&amp;sheet=U0&amp;row=6794&amp;col=6&amp;number=4&amp;sourceID=14","4")</f>
        <v>4</v>
      </c>
      <c r="G6794" s="4" t="str">
        <f>HYPERLINK("http://141.218.60.56/~jnz1568/getInfo.php?workbook=20_05.xlsx&amp;sheet=U0&amp;row=6794&amp;col=7&amp;number=0.000297&amp;sourceID=14","0.000297")</f>
        <v>0.000297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HYPERLINK("http://141.218.60.56/~jnz1568/getInfo.php?workbook=20_05.xlsx&amp;sheet=U0&amp;row=6795&amp;col=6&amp;number=4.1&amp;sourceID=14","4.1")</f>
        <v>4.1</v>
      </c>
      <c r="G6795" s="4" t="str">
        <f>HYPERLINK("http://141.218.60.56/~jnz1568/getInfo.php?workbook=20_05.xlsx&amp;sheet=U0&amp;row=6795&amp;col=7&amp;number=0.000298&amp;sourceID=14","0.000298")</f>
        <v>0.000298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HYPERLINK("http://141.218.60.56/~jnz1568/getInfo.php?workbook=20_05.xlsx&amp;sheet=U0&amp;row=6796&amp;col=6&amp;number=4.2&amp;sourceID=14","4.2")</f>
        <v>4.2</v>
      </c>
      <c r="G6796" s="4" t="str">
        <f>HYPERLINK("http://141.218.60.56/~jnz1568/getInfo.php?workbook=20_05.xlsx&amp;sheet=U0&amp;row=6796&amp;col=7&amp;number=0.000298&amp;sourceID=14","0.000298")</f>
        <v>0.000298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HYPERLINK("http://141.218.60.56/~jnz1568/getInfo.php?workbook=20_05.xlsx&amp;sheet=U0&amp;row=6797&amp;col=6&amp;number=4.3&amp;sourceID=14","4.3")</f>
        <v>4.3</v>
      </c>
      <c r="G6797" s="4" t="str">
        <f>HYPERLINK("http://141.218.60.56/~jnz1568/getInfo.php?workbook=20_05.xlsx&amp;sheet=U0&amp;row=6797&amp;col=7&amp;number=0.000298&amp;sourceID=14","0.000298")</f>
        <v>0.000298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HYPERLINK("http://141.218.60.56/~jnz1568/getInfo.php?workbook=20_05.xlsx&amp;sheet=U0&amp;row=6798&amp;col=6&amp;number=4.4&amp;sourceID=14","4.4")</f>
        <v>4.4</v>
      </c>
      <c r="G6798" s="4" t="str">
        <f>HYPERLINK("http://141.218.60.56/~jnz1568/getInfo.php?workbook=20_05.xlsx&amp;sheet=U0&amp;row=6798&amp;col=7&amp;number=0.000299&amp;sourceID=14","0.000299")</f>
        <v>0.000299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HYPERLINK("http://141.218.60.56/~jnz1568/getInfo.php?workbook=20_05.xlsx&amp;sheet=U0&amp;row=6799&amp;col=6&amp;number=4.5&amp;sourceID=14","4.5")</f>
        <v>4.5</v>
      </c>
      <c r="G6799" s="4" t="str">
        <f>HYPERLINK("http://141.218.60.56/~jnz1568/getInfo.php?workbook=20_05.xlsx&amp;sheet=U0&amp;row=6799&amp;col=7&amp;number=0.000299&amp;sourceID=14","0.000299")</f>
        <v>0.000299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HYPERLINK("http://141.218.60.56/~jnz1568/getInfo.php?workbook=20_05.xlsx&amp;sheet=U0&amp;row=6800&amp;col=6&amp;number=4.6&amp;sourceID=14","4.6")</f>
        <v>4.6</v>
      </c>
      <c r="G6800" s="4" t="str">
        <f>HYPERLINK("http://141.218.60.56/~jnz1568/getInfo.php?workbook=20_05.xlsx&amp;sheet=U0&amp;row=6800&amp;col=7&amp;number=0.0003&amp;sourceID=14","0.0003")</f>
        <v>0.0003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HYPERLINK("http://141.218.60.56/~jnz1568/getInfo.php?workbook=20_05.xlsx&amp;sheet=U0&amp;row=6801&amp;col=6&amp;number=4.7&amp;sourceID=14","4.7")</f>
        <v>4.7</v>
      </c>
      <c r="G6801" s="4" t="str">
        <f>HYPERLINK("http://141.218.60.56/~jnz1568/getInfo.php?workbook=20_05.xlsx&amp;sheet=U0&amp;row=6801&amp;col=7&amp;number=0.000301&amp;sourceID=14","0.000301")</f>
        <v>0.000301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HYPERLINK("http://141.218.60.56/~jnz1568/getInfo.php?workbook=20_05.xlsx&amp;sheet=U0&amp;row=6802&amp;col=6&amp;number=4.8&amp;sourceID=14","4.8")</f>
        <v>4.8</v>
      </c>
      <c r="G6802" s="4" t="str">
        <f>HYPERLINK("http://141.218.60.56/~jnz1568/getInfo.php?workbook=20_05.xlsx&amp;sheet=U0&amp;row=6802&amp;col=7&amp;number=0.000302&amp;sourceID=14","0.000302")</f>
        <v>0.000302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HYPERLINK("http://141.218.60.56/~jnz1568/getInfo.php?workbook=20_05.xlsx&amp;sheet=U0&amp;row=6803&amp;col=6&amp;number=4.9&amp;sourceID=14","4.9")</f>
        <v>4.9</v>
      </c>
      <c r="G6803" s="4" t="str">
        <f>HYPERLINK("http://141.218.60.56/~jnz1568/getInfo.php?workbook=20_05.xlsx&amp;sheet=U0&amp;row=6803&amp;col=7&amp;number=0.000303&amp;sourceID=14","0.000303")</f>
        <v>0.000303</v>
      </c>
    </row>
    <row r="6804" spans="1:7">
      <c r="A6804" s="3">
        <v>20</v>
      </c>
      <c r="B6804" s="3">
        <v>5</v>
      </c>
      <c r="C6804" s="3">
        <v>3</v>
      </c>
      <c r="D6804" s="3">
        <v>84</v>
      </c>
      <c r="E6804" s="3">
        <v>1</v>
      </c>
      <c r="F6804" s="4" t="str">
        <f>HYPERLINK("http://141.218.60.56/~jnz1568/getInfo.php?workbook=20_05.xlsx&amp;sheet=U0&amp;row=6804&amp;col=6&amp;number=3&amp;sourceID=14","3")</f>
        <v>3</v>
      </c>
      <c r="G6804" s="4" t="str">
        <f>HYPERLINK("http://141.218.60.56/~jnz1568/getInfo.php?workbook=20_05.xlsx&amp;sheet=U0&amp;row=6804&amp;col=7&amp;number=0.00011&amp;sourceID=14","0.00011")</f>
        <v>0.00011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HYPERLINK("http://141.218.60.56/~jnz1568/getInfo.php?workbook=20_05.xlsx&amp;sheet=U0&amp;row=6805&amp;col=6&amp;number=3.1&amp;sourceID=14","3.1")</f>
        <v>3.1</v>
      </c>
      <c r="G6805" s="4" t="str">
        <f>HYPERLINK("http://141.218.60.56/~jnz1568/getInfo.php?workbook=20_05.xlsx&amp;sheet=U0&amp;row=6805&amp;col=7&amp;number=0.00011&amp;sourceID=14","0.00011")</f>
        <v>0.00011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HYPERLINK("http://141.218.60.56/~jnz1568/getInfo.php?workbook=20_05.xlsx&amp;sheet=U0&amp;row=6806&amp;col=6&amp;number=3.2&amp;sourceID=14","3.2")</f>
        <v>3.2</v>
      </c>
      <c r="G6806" s="4" t="str">
        <f>HYPERLINK("http://141.218.60.56/~jnz1568/getInfo.php?workbook=20_05.xlsx&amp;sheet=U0&amp;row=6806&amp;col=7&amp;number=0.00011&amp;sourceID=14","0.00011")</f>
        <v>0.00011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HYPERLINK("http://141.218.60.56/~jnz1568/getInfo.php?workbook=20_05.xlsx&amp;sheet=U0&amp;row=6807&amp;col=6&amp;number=3.3&amp;sourceID=14","3.3")</f>
        <v>3.3</v>
      </c>
      <c r="G6807" s="4" t="str">
        <f>HYPERLINK("http://141.218.60.56/~jnz1568/getInfo.php?workbook=20_05.xlsx&amp;sheet=U0&amp;row=6807&amp;col=7&amp;number=0.00011&amp;sourceID=14","0.00011")</f>
        <v>0.00011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HYPERLINK("http://141.218.60.56/~jnz1568/getInfo.php?workbook=20_05.xlsx&amp;sheet=U0&amp;row=6808&amp;col=6&amp;number=3.4&amp;sourceID=14","3.4")</f>
        <v>3.4</v>
      </c>
      <c r="G6808" s="4" t="str">
        <f>HYPERLINK("http://141.218.60.56/~jnz1568/getInfo.php?workbook=20_05.xlsx&amp;sheet=U0&amp;row=6808&amp;col=7&amp;number=0.00011&amp;sourceID=14","0.00011")</f>
        <v>0.00011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HYPERLINK("http://141.218.60.56/~jnz1568/getInfo.php?workbook=20_05.xlsx&amp;sheet=U0&amp;row=6809&amp;col=6&amp;number=3.5&amp;sourceID=14","3.5")</f>
        <v>3.5</v>
      </c>
      <c r="G6809" s="4" t="str">
        <f>HYPERLINK("http://141.218.60.56/~jnz1568/getInfo.php?workbook=20_05.xlsx&amp;sheet=U0&amp;row=6809&amp;col=7&amp;number=0.00011&amp;sourceID=14","0.00011")</f>
        <v>0.00011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HYPERLINK("http://141.218.60.56/~jnz1568/getInfo.php?workbook=20_05.xlsx&amp;sheet=U0&amp;row=6810&amp;col=6&amp;number=3.6&amp;sourceID=14","3.6")</f>
        <v>3.6</v>
      </c>
      <c r="G6810" s="4" t="str">
        <f>HYPERLINK("http://141.218.60.56/~jnz1568/getInfo.php?workbook=20_05.xlsx&amp;sheet=U0&amp;row=6810&amp;col=7&amp;number=0.00011&amp;sourceID=14","0.00011")</f>
        <v>0.00011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HYPERLINK("http://141.218.60.56/~jnz1568/getInfo.php?workbook=20_05.xlsx&amp;sheet=U0&amp;row=6811&amp;col=6&amp;number=3.7&amp;sourceID=14","3.7")</f>
        <v>3.7</v>
      </c>
      <c r="G6811" s="4" t="str">
        <f>HYPERLINK("http://141.218.60.56/~jnz1568/getInfo.php?workbook=20_05.xlsx&amp;sheet=U0&amp;row=6811&amp;col=7&amp;number=0.00011&amp;sourceID=14","0.00011")</f>
        <v>0.00011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HYPERLINK("http://141.218.60.56/~jnz1568/getInfo.php?workbook=20_05.xlsx&amp;sheet=U0&amp;row=6812&amp;col=6&amp;number=3.8&amp;sourceID=14","3.8")</f>
        <v>3.8</v>
      </c>
      <c r="G6812" s="4" t="str">
        <f>HYPERLINK("http://141.218.60.56/~jnz1568/getInfo.php?workbook=20_05.xlsx&amp;sheet=U0&amp;row=6812&amp;col=7&amp;number=0.00011&amp;sourceID=14","0.00011")</f>
        <v>0.00011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HYPERLINK("http://141.218.60.56/~jnz1568/getInfo.php?workbook=20_05.xlsx&amp;sheet=U0&amp;row=6813&amp;col=6&amp;number=3.9&amp;sourceID=14","3.9")</f>
        <v>3.9</v>
      </c>
      <c r="G6813" s="4" t="str">
        <f>HYPERLINK("http://141.218.60.56/~jnz1568/getInfo.php?workbook=20_05.xlsx&amp;sheet=U0&amp;row=6813&amp;col=7&amp;number=0.00011&amp;sourceID=14","0.00011")</f>
        <v>0.00011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HYPERLINK("http://141.218.60.56/~jnz1568/getInfo.php?workbook=20_05.xlsx&amp;sheet=U0&amp;row=6814&amp;col=6&amp;number=4&amp;sourceID=14","4")</f>
        <v>4</v>
      </c>
      <c r="G6814" s="4" t="str">
        <f>HYPERLINK("http://141.218.60.56/~jnz1568/getInfo.php?workbook=20_05.xlsx&amp;sheet=U0&amp;row=6814&amp;col=7&amp;number=0.00011&amp;sourceID=14","0.00011")</f>
        <v>0.00011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HYPERLINK("http://141.218.60.56/~jnz1568/getInfo.php?workbook=20_05.xlsx&amp;sheet=U0&amp;row=6815&amp;col=6&amp;number=4.1&amp;sourceID=14","4.1")</f>
        <v>4.1</v>
      </c>
      <c r="G6815" s="4" t="str">
        <f>HYPERLINK("http://141.218.60.56/~jnz1568/getInfo.php?workbook=20_05.xlsx&amp;sheet=U0&amp;row=6815&amp;col=7&amp;number=0.00011&amp;sourceID=14","0.00011")</f>
        <v>0.00011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HYPERLINK("http://141.218.60.56/~jnz1568/getInfo.php?workbook=20_05.xlsx&amp;sheet=U0&amp;row=6816&amp;col=6&amp;number=4.2&amp;sourceID=14","4.2")</f>
        <v>4.2</v>
      </c>
      <c r="G6816" s="4" t="str">
        <f>HYPERLINK("http://141.218.60.56/~jnz1568/getInfo.php?workbook=20_05.xlsx&amp;sheet=U0&amp;row=6816&amp;col=7&amp;number=0.00011&amp;sourceID=14","0.00011")</f>
        <v>0.00011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HYPERLINK("http://141.218.60.56/~jnz1568/getInfo.php?workbook=20_05.xlsx&amp;sheet=U0&amp;row=6817&amp;col=6&amp;number=4.3&amp;sourceID=14","4.3")</f>
        <v>4.3</v>
      </c>
      <c r="G6817" s="4" t="str">
        <f>HYPERLINK("http://141.218.60.56/~jnz1568/getInfo.php?workbook=20_05.xlsx&amp;sheet=U0&amp;row=6817&amp;col=7&amp;number=0.00011&amp;sourceID=14","0.00011")</f>
        <v>0.00011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HYPERLINK("http://141.218.60.56/~jnz1568/getInfo.php?workbook=20_05.xlsx&amp;sheet=U0&amp;row=6818&amp;col=6&amp;number=4.4&amp;sourceID=14","4.4")</f>
        <v>4.4</v>
      </c>
      <c r="G6818" s="4" t="str">
        <f>HYPERLINK("http://141.218.60.56/~jnz1568/getInfo.php?workbook=20_05.xlsx&amp;sheet=U0&amp;row=6818&amp;col=7&amp;number=0.00011&amp;sourceID=14","0.00011")</f>
        <v>0.00011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HYPERLINK("http://141.218.60.56/~jnz1568/getInfo.php?workbook=20_05.xlsx&amp;sheet=U0&amp;row=6819&amp;col=6&amp;number=4.5&amp;sourceID=14","4.5")</f>
        <v>4.5</v>
      </c>
      <c r="G6819" s="4" t="str">
        <f>HYPERLINK("http://141.218.60.56/~jnz1568/getInfo.php?workbook=20_05.xlsx&amp;sheet=U0&amp;row=6819&amp;col=7&amp;number=0.00011&amp;sourceID=14","0.00011")</f>
        <v>0.00011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HYPERLINK("http://141.218.60.56/~jnz1568/getInfo.php?workbook=20_05.xlsx&amp;sheet=U0&amp;row=6820&amp;col=6&amp;number=4.6&amp;sourceID=14","4.6")</f>
        <v>4.6</v>
      </c>
      <c r="G6820" s="4" t="str">
        <f>HYPERLINK("http://141.218.60.56/~jnz1568/getInfo.php?workbook=20_05.xlsx&amp;sheet=U0&amp;row=6820&amp;col=7&amp;number=0.00011&amp;sourceID=14","0.00011")</f>
        <v>0.00011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HYPERLINK("http://141.218.60.56/~jnz1568/getInfo.php?workbook=20_05.xlsx&amp;sheet=U0&amp;row=6821&amp;col=6&amp;number=4.7&amp;sourceID=14","4.7")</f>
        <v>4.7</v>
      </c>
      <c r="G6821" s="4" t="str">
        <f>HYPERLINK("http://141.218.60.56/~jnz1568/getInfo.php?workbook=20_05.xlsx&amp;sheet=U0&amp;row=6821&amp;col=7&amp;number=0.000109&amp;sourceID=14","0.000109")</f>
        <v>0.000109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HYPERLINK("http://141.218.60.56/~jnz1568/getInfo.php?workbook=20_05.xlsx&amp;sheet=U0&amp;row=6822&amp;col=6&amp;number=4.8&amp;sourceID=14","4.8")</f>
        <v>4.8</v>
      </c>
      <c r="G6822" s="4" t="str">
        <f>HYPERLINK("http://141.218.60.56/~jnz1568/getInfo.php?workbook=20_05.xlsx&amp;sheet=U0&amp;row=6822&amp;col=7&amp;number=0.000109&amp;sourceID=14","0.000109")</f>
        <v>0.000109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HYPERLINK("http://141.218.60.56/~jnz1568/getInfo.php?workbook=20_05.xlsx&amp;sheet=U0&amp;row=6823&amp;col=6&amp;number=4.9&amp;sourceID=14","4.9")</f>
        <v>4.9</v>
      </c>
      <c r="G6823" s="4" t="str">
        <f>HYPERLINK("http://141.218.60.56/~jnz1568/getInfo.php?workbook=20_05.xlsx&amp;sheet=U0&amp;row=6823&amp;col=7&amp;number=0.000109&amp;sourceID=14","0.000109")</f>
        <v>0.000109</v>
      </c>
    </row>
    <row r="6824" spans="1:7">
      <c r="A6824" s="3">
        <v>20</v>
      </c>
      <c r="B6824" s="3">
        <v>5</v>
      </c>
      <c r="C6824" s="3">
        <v>3</v>
      </c>
      <c r="D6824" s="3">
        <v>85</v>
      </c>
      <c r="E6824" s="3">
        <v>1</v>
      </c>
      <c r="F6824" s="4" t="str">
        <f>HYPERLINK("http://141.218.60.56/~jnz1568/getInfo.php?workbook=20_05.xlsx&amp;sheet=U0&amp;row=6824&amp;col=6&amp;number=3&amp;sourceID=14","3")</f>
        <v>3</v>
      </c>
      <c r="G6824" s="4" t="str">
        <f>HYPERLINK("http://141.218.60.56/~jnz1568/getInfo.php?workbook=20_05.xlsx&amp;sheet=U0&amp;row=6824&amp;col=7&amp;number=5.33e-05&amp;sourceID=14","5.33e-05")</f>
        <v>5.33e-05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HYPERLINK("http://141.218.60.56/~jnz1568/getInfo.php?workbook=20_05.xlsx&amp;sheet=U0&amp;row=6825&amp;col=6&amp;number=3.1&amp;sourceID=14","3.1")</f>
        <v>3.1</v>
      </c>
      <c r="G6825" s="4" t="str">
        <f>HYPERLINK("http://141.218.60.56/~jnz1568/getInfo.php?workbook=20_05.xlsx&amp;sheet=U0&amp;row=6825&amp;col=7&amp;number=5.33e-05&amp;sourceID=14","5.33e-05")</f>
        <v>5.33e-05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HYPERLINK("http://141.218.60.56/~jnz1568/getInfo.php?workbook=20_05.xlsx&amp;sheet=U0&amp;row=6826&amp;col=6&amp;number=3.2&amp;sourceID=14","3.2")</f>
        <v>3.2</v>
      </c>
      <c r="G6826" s="4" t="str">
        <f>HYPERLINK("http://141.218.60.56/~jnz1568/getInfo.php?workbook=20_05.xlsx&amp;sheet=U0&amp;row=6826&amp;col=7&amp;number=5.33e-05&amp;sourceID=14","5.33e-05")</f>
        <v>5.33e-05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HYPERLINK("http://141.218.60.56/~jnz1568/getInfo.php?workbook=20_05.xlsx&amp;sheet=U0&amp;row=6827&amp;col=6&amp;number=3.3&amp;sourceID=14","3.3")</f>
        <v>3.3</v>
      </c>
      <c r="G6827" s="4" t="str">
        <f>HYPERLINK("http://141.218.60.56/~jnz1568/getInfo.php?workbook=20_05.xlsx&amp;sheet=U0&amp;row=6827&amp;col=7&amp;number=5.33e-05&amp;sourceID=14","5.33e-05")</f>
        <v>5.33e-05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HYPERLINK("http://141.218.60.56/~jnz1568/getInfo.php?workbook=20_05.xlsx&amp;sheet=U0&amp;row=6828&amp;col=6&amp;number=3.4&amp;sourceID=14","3.4")</f>
        <v>3.4</v>
      </c>
      <c r="G6828" s="4" t="str">
        <f>HYPERLINK("http://141.218.60.56/~jnz1568/getInfo.php?workbook=20_05.xlsx&amp;sheet=U0&amp;row=6828&amp;col=7&amp;number=5.33e-05&amp;sourceID=14","5.33e-05")</f>
        <v>5.33e-05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HYPERLINK("http://141.218.60.56/~jnz1568/getInfo.php?workbook=20_05.xlsx&amp;sheet=U0&amp;row=6829&amp;col=6&amp;number=3.5&amp;sourceID=14","3.5")</f>
        <v>3.5</v>
      </c>
      <c r="G6829" s="4" t="str">
        <f>HYPERLINK("http://141.218.60.56/~jnz1568/getInfo.php?workbook=20_05.xlsx&amp;sheet=U0&amp;row=6829&amp;col=7&amp;number=5.33e-05&amp;sourceID=14","5.33e-05")</f>
        <v>5.33e-05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HYPERLINK("http://141.218.60.56/~jnz1568/getInfo.php?workbook=20_05.xlsx&amp;sheet=U0&amp;row=6830&amp;col=6&amp;number=3.6&amp;sourceID=14","3.6")</f>
        <v>3.6</v>
      </c>
      <c r="G6830" s="4" t="str">
        <f>HYPERLINK("http://141.218.60.56/~jnz1568/getInfo.php?workbook=20_05.xlsx&amp;sheet=U0&amp;row=6830&amp;col=7&amp;number=5.33e-05&amp;sourceID=14","5.33e-05")</f>
        <v>5.33e-05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HYPERLINK("http://141.218.60.56/~jnz1568/getInfo.php?workbook=20_05.xlsx&amp;sheet=U0&amp;row=6831&amp;col=6&amp;number=3.7&amp;sourceID=14","3.7")</f>
        <v>3.7</v>
      </c>
      <c r="G6831" s="4" t="str">
        <f>HYPERLINK("http://141.218.60.56/~jnz1568/getInfo.php?workbook=20_05.xlsx&amp;sheet=U0&amp;row=6831&amp;col=7&amp;number=5.32e-05&amp;sourceID=14","5.32e-05")</f>
        <v>5.32e-05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HYPERLINK("http://141.218.60.56/~jnz1568/getInfo.php?workbook=20_05.xlsx&amp;sheet=U0&amp;row=6832&amp;col=6&amp;number=3.8&amp;sourceID=14","3.8")</f>
        <v>3.8</v>
      </c>
      <c r="G6832" s="4" t="str">
        <f>HYPERLINK("http://141.218.60.56/~jnz1568/getInfo.php?workbook=20_05.xlsx&amp;sheet=U0&amp;row=6832&amp;col=7&amp;number=5.32e-05&amp;sourceID=14","5.32e-05")</f>
        <v>5.32e-05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HYPERLINK("http://141.218.60.56/~jnz1568/getInfo.php?workbook=20_05.xlsx&amp;sheet=U0&amp;row=6833&amp;col=6&amp;number=3.9&amp;sourceID=14","3.9")</f>
        <v>3.9</v>
      </c>
      <c r="G6833" s="4" t="str">
        <f>HYPERLINK("http://141.218.60.56/~jnz1568/getInfo.php?workbook=20_05.xlsx&amp;sheet=U0&amp;row=6833&amp;col=7&amp;number=5.32e-05&amp;sourceID=14","5.32e-05")</f>
        <v>5.32e-05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HYPERLINK("http://141.218.60.56/~jnz1568/getInfo.php?workbook=20_05.xlsx&amp;sheet=U0&amp;row=6834&amp;col=6&amp;number=4&amp;sourceID=14","4")</f>
        <v>4</v>
      </c>
      <c r="G6834" s="4" t="str">
        <f>HYPERLINK("http://141.218.60.56/~jnz1568/getInfo.php?workbook=20_05.xlsx&amp;sheet=U0&amp;row=6834&amp;col=7&amp;number=5.32e-05&amp;sourceID=14","5.32e-05")</f>
        <v>5.32e-05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HYPERLINK("http://141.218.60.56/~jnz1568/getInfo.php?workbook=20_05.xlsx&amp;sheet=U0&amp;row=6835&amp;col=6&amp;number=4.1&amp;sourceID=14","4.1")</f>
        <v>4.1</v>
      </c>
      <c r="G6835" s="4" t="str">
        <f>HYPERLINK("http://141.218.60.56/~jnz1568/getInfo.php?workbook=20_05.xlsx&amp;sheet=U0&amp;row=6835&amp;col=7&amp;number=5.32e-05&amp;sourceID=14","5.32e-05")</f>
        <v>5.32e-05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HYPERLINK("http://141.218.60.56/~jnz1568/getInfo.php?workbook=20_05.xlsx&amp;sheet=U0&amp;row=6836&amp;col=6&amp;number=4.2&amp;sourceID=14","4.2")</f>
        <v>4.2</v>
      </c>
      <c r="G6836" s="4" t="str">
        <f>HYPERLINK("http://141.218.60.56/~jnz1568/getInfo.php?workbook=20_05.xlsx&amp;sheet=U0&amp;row=6836&amp;col=7&amp;number=5.31e-05&amp;sourceID=14","5.31e-05")</f>
        <v>5.31e-05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HYPERLINK("http://141.218.60.56/~jnz1568/getInfo.php?workbook=20_05.xlsx&amp;sheet=U0&amp;row=6837&amp;col=6&amp;number=4.3&amp;sourceID=14","4.3")</f>
        <v>4.3</v>
      </c>
      <c r="G6837" s="4" t="str">
        <f>HYPERLINK("http://141.218.60.56/~jnz1568/getInfo.php?workbook=20_05.xlsx&amp;sheet=U0&amp;row=6837&amp;col=7&amp;number=5.31e-05&amp;sourceID=14","5.31e-05")</f>
        <v>5.31e-05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HYPERLINK("http://141.218.60.56/~jnz1568/getInfo.php?workbook=20_05.xlsx&amp;sheet=U0&amp;row=6838&amp;col=6&amp;number=4.4&amp;sourceID=14","4.4")</f>
        <v>4.4</v>
      </c>
      <c r="G6838" s="4" t="str">
        <f>HYPERLINK("http://141.218.60.56/~jnz1568/getInfo.php?workbook=20_05.xlsx&amp;sheet=U0&amp;row=6838&amp;col=7&amp;number=5.3e-05&amp;sourceID=14","5.3e-05")</f>
        <v>5.3e-05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HYPERLINK("http://141.218.60.56/~jnz1568/getInfo.php?workbook=20_05.xlsx&amp;sheet=U0&amp;row=6839&amp;col=6&amp;number=4.5&amp;sourceID=14","4.5")</f>
        <v>4.5</v>
      </c>
      <c r="G6839" s="4" t="str">
        <f>HYPERLINK("http://141.218.60.56/~jnz1568/getInfo.php?workbook=20_05.xlsx&amp;sheet=U0&amp;row=6839&amp;col=7&amp;number=5.29e-05&amp;sourceID=14","5.29e-05")</f>
        <v>5.29e-05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HYPERLINK("http://141.218.60.56/~jnz1568/getInfo.php?workbook=20_05.xlsx&amp;sheet=U0&amp;row=6840&amp;col=6&amp;number=4.6&amp;sourceID=14","4.6")</f>
        <v>4.6</v>
      </c>
      <c r="G6840" s="4" t="str">
        <f>HYPERLINK("http://141.218.60.56/~jnz1568/getInfo.php?workbook=20_05.xlsx&amp;sheet=U0&amp;row=6840&amp;col=7&amp;number=5.29e-05&amp;sourceID=14","5.29e-05")</f>
        <v>5.29e-05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HYPERLINK("http://141.218.60.56/~jnz1568/getInfo.php?workbook=20_05.xlsx&amp;sheet=U0&amp;row=6841&amp;col=6&amp;number=4.7&amp;sourceID=14","4.7")</f>
        <v>4.7</v>
      </c>
      <c r="G6841" s="4" t="str">
        <f>HYPERLINK("http://141.218.60.56/~jnz1568/getInfo.php?workbook=20_05.xlsx&amp;sheet=U0&amp;row=6841&amp;col=7&amp;number=5.27e-05&amp;sourceID=14","5.27e-05")</f>
        <v>5.27e-05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HYPERLINK("http://141.218.60.56/~jnz1568/getInfo.php?workbook=20_05.xlsx&amp;sheet=U0&amp;row=6842&amp;col=6&amp;number=4.8&amp;sourceID=14","4.8")</f>
        <v>4.8</v>
      </c>
      <c r="G6842" s="4" t="str">
        <f>HYPERLINK("http://141.218.60.56/~jnz1568/getInfo.php?workbook=20_05.xlsx&amp;sheet=U0&amp;row=6842&amp;col=7&amp;number=5.26e-05&amp;sourceID=14","5.26e-05")</f>
        <v>5.26e-05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HYPERLINK("http://141.218.60.56/~jnz1568/getInfo.php?workbook=20_05.xlsx&amp;sheet=U0&amp;row=6843&amp;col=6&amp;number=4.9&amp;sourceID=14","4.9")</f>
        <v>4.9</v>
      </c>
      <c r="G6843" s="4" t="str">
        <f>HYPERLINK("http://141.218.60.56/~jnz1568/getInfo.php?workbook=20_05.xlsx&amp;sheet=U0&amp;row=6843&amp;col=7&amp;number=5.24e-05&amp;sourceID=14","5.24e-05")</f>
        <v>5.24e-05</v>
      </c>
    </row>
    <row r="6844" spans="1:7">
      <c r="A6844" s="3">
        <v>20</v>
      </c>
      <c r="B6844" s="3">
        <v>5</v>
      </c>
      <c r="C6844" s="3">
        <v>3</v>
      </c>
      <c r="D6844" s="3">
        <v>86</v>
      </c>
      <c r="E6844" s="3">
        <v>1</v>
      </c>
      <c r="F6844" s="4" t="str">
        <f>HYPERLINK("http://141.218.60.56/~jnz1568/getInfo.php?workbook=20_05.xlsx&amp;sheet=U0&amp;row=6844&amp;col=6&amp;number=3&amp;sourceID=14","3")</f>
        <v>3</v>
      </c>
      <c r="G6844" s="4" t="str">
        <f>HYPERLINK("http://141.218.60.56/~jnz1568/getInfo.php?workbook=20_05.xlsx&amp;sheet=U0&amp;row=6844&amp;col=7&amp;number=6.44e-06&amp;sourceID=14","6.44e-06")</f>
        <v>6.44e-06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HYPERLINK("http://141.218.60.56/~jnz1568/getInfo.php?workbook=20_05.xlsx&amp;sheet=U0&amp;row=6845&amp;col=6&amp;number=3.1&amp;sourceID=14","3.1")</f>
        <v>3.1</v>
      </c>
      <c r="G6845" s="4" t="str">
        <f>HYPERLINK("http://141.218.60.56/~jnz1568/getInfo.php?workbook=20_05.xlsx&amp;sheet=U0&amp;row=6845&amp;col=7&amp;number=6.44e-06&amp;sourceID=14","6.44e-06")</f>
        <v>6.44e-06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HYPERLINK("http://141.218.60.56/~jnz1568/getInfo.php?workbook=20_05.xlsx&amp;sheet=U0&amp;row=6846&amp;col=6&amp;number=3.2&amp;sourceID=14","3.2")</f>
        <v>3.2</v>
      </c>
      <c r="G6846" s="4" t="str">
        <f>HYPERLINK("http://141.218.60.56/~jnz1568/getInfo.php?workbook=20_05.xlsx&amp;sheet=U0&amp;row=6846&amp;col=7&amp;number=6.44e-06&amp;sourceID=14","6.44e-06")</f>
        <v>6.44e-06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HYPERLINK("http://141.218.60.56/~jnz1568/getInfo.php?workbook=20_05.xlsx&amp;sheet=U0&amp;row=6847&amp;col=6&amp;number=3.3&amp;sourceID=14","3.3")</f>
        <v>3.3</v>
      </c>
      <c r="G6847" s="4" t="str">
        <f>HYPERLINK("http://141.218.60.56/~jnz1568/getInfo.php?workbook=20_05.xlsx&amp;sheet=U0&amp;row=6847&amp;col=7&amp;number=6.44e-06&amp;sourceID=14","6.44e-06")</f>
        <v>6.44e-06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HYPERLINK("http://141.218.60.56/~jnz1568/getInfo.php?workbook=20_05.xlsx&amp;sheet=U0&amp;row=6848&amp;col=6&amp;number=3.4&amp;sourceID=14","3.4")</f>
        <v>3.4</v>
      </c>
      <c r="G6848" s="4" t="str">
        <f>HYPERLINK("http://141.218.60.56/~jnz1568/getInfo.php?workbook=20_05.xlsx&amp;sheet=U0&amp;row=6848&amp;col=7&amp;number=6.44e-06&amp;sourceID=14","6.44e-06")</f>
        <v>6.44e-06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HYPERLINK("http://141.218.60.56/~jnz1568/getInfo.php?workbook=20_05.xlsx&amp;sheet=U0&amp;row=6849&amp;col=6&amp;number=3.5&amp;sourceID=14","3.5")</f>
        <v>3.5</v>
      </c>
      <c r="G6849" s="4" t="str">
        <f>HYPERLINK("http://141.218.60.56/~jnz1568/getInfo.php?workbook=20_05.xlsx&amp;sheet=U0&amp;row=6849&amp;col=7&amp;number=6.44e-06&amp;sourceID=14","6.44e-06")</f>
        <v>6.44e-06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HYPERLINK("http://141.218.60.56/~jnz1568/getInfo.php?workbook=20_05.xlsx&amp;sheet=U0&amp;row=6850&amp;col=6&amp;number=3.6&amp;sourceID=14","3.6")</f>
        <v>3.6</v>
      </c>
      <c r="G6850" s="4" t="str">
        <f>HYPERLINK("http://141.218.60.56/~jnz1568/getInfo.php?workbook=20_05.xlsx&amp;sheet=U0&amp;row=6850&amp;col=7&amp;number=6.44e-06&amp;sourceID=14","6.44e-06")</f>
        <v>6.44e-06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HYPERLINK("http://141.218.60.56/~jnz1568/getInfo.php?workbook=20_05.xlsx&amp;sheet=U0&amp;row=6851&amp;col=6&amp;number=3.7&amp;sourceID=14","3.7")</f>
        <v>3.7</v>
      </c>
      <c r="G6851" s="4" t="str">
        <f>HYPERLINK("http://141.218.60.56/~jnz1568/getInfo.php?workbook=20_05.xlsx&amp;sheet=U0&amp;row=6851&amp;col=7&amp;number=6.44e-06&amp;sourceID=14","6.44e-06")</f>
        <v>6.44e-06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HYPERLINK("http://141.218.60.56/~jnz1568/getInfo.php?workbook=20_05.xlsx&amp;sheet=U0&amp;row=6852&amp;col=6&amp;number=3.8&amp;sourceID=14","3.8")</f>
        <v>3.8</v>
      </c>
      <c r="G6852" s="4" t="str">
        <f>HYPERLINK("http://141.218.60.56/~jnz1568/getInfo.php?workbook=20_05.xlsx&amp;sheet=U0&amp;row=6852&amp;col=7&amp;number=6.44e-06&amp;sourceID=14","6.44e-06")</f>
        <v>6.44e-06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HYPERLINK("http://141.218.60.56/~jnz1568/getInfo.php?workbook=20_05.xlsx&amp;sheet=U0&amp;row=6853&amp;col=6&amp;number=3.9&amp;sourceID=14","3.9")</f>
        <v>3.9</v>
      </c>
      <c r="G6853" s="4" t="str">
        <f>HYPERLINK("http://141.218.60.56/~jnz1568/getInfo.php?workbook=20_05.xlsx&amp;sheet=U0&amp;row=6853&amp;col=7&amp;number=6.43e-06&amp;sourceID=14","6.43e-06")</f>
        <v>6.43e-06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HYPERLINK("http://141.218.60.56/~jnz1568/getInfo.php?workbook=20_05.xlsx&amp;sheet=U0&amp;row=6854&amp;col=6&amp;number=4&amp;sourceID=14","4")</f>
        <v>4</v>
      </c>
      <c r="G6854" s="4" t="str">
        <f>HYPERLINK("http://141.218.60.56/~jnz1568/getInfo.php?workbook=20_05.xlsx&amp;sheet=U0&amp;row=6854&amp;col=7&amp;number=6.43e-06&amp;sourceID=14","6.43e-06")</f>
        <v>6.43e-06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HYPERLINK("http://141.218.60.56/~jnz1568/getInfo.php?workbook=20_05.xlsx&amp;sheet=U0&amp;row=6855&amp;col=6&amp;number=4.1&amp;sourceID=14","4.1")</f>
        <v>4.1</v>
      </c>
      <c r="G6855" s="4" t="str">
        <f>HYPERLINK("http://141.218.60.56/~jnz1568/getInfo.php?workbook=20_05.xlsx&amp;sheet=U0&amp;row=6855&amp;col=7&amp;number=6.43e-06&amp;sourceID=14","6.43e-06")</f>
        <v>6.43e-06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HYPERLINK("http://141.218.60.56/~jnz1568/getInfo.php?workbook=20_05.xlsx&amp;sheet=U0&amp;row=6856&amp;col=6&amp;number=4.2&amp;sourceID=14","4.2")</f>
        <v>4.2</v>
      </c>
      <c r="G6856" s="4" t="str">
        <f>HYPERLINK("http://141.218.60.56/~jnz1568/getInfo.php?workbook=20_05.xlsx&amp;sheet=U0&amp;row=6856&amp;col=7&amp;number=6.42e-06&amp;sourceID=14","6.42e-06")</f>
        <v>6.42e-06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HYPERLINK("http://141.218.60.56/~jnz1568/getInfo.php?workbook=20_05.xlsx&amp;sheet=U0&amp;row=6857&amp;col=6&amp;number=4.3&amp;sourceID=14","4.3")</f>
        <v>4.3</v>
      </c>
      <c r="G6857" s="4" t="str">
        <f>HYPERLINK("http://141.218.60.56/~jnz1568/getInfo.php?workbook=20_05.xlsx&amp;sheet=U0&amp;row=6857&amp;col=7&amp;number=6.42e-06&amp;sourceID=14","6.42e-06")</f>
        <v>6.42e-06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HYPERLINK("http://141.218.60.56/~jnz1568/getInfo.php?workbook=20_05.xlsx&amp;sheet=U0&amp;row=6858&amp;col=6&amp;number=4.4&amp;sourceID=14","4.4")</f>
        <v>4.4</v>
      </c>
      <c r="G6858" s="4" t="str">
        <f>HYPERLINK("http://141.218.60.56/~jnz1568/getInfo.php?workbook=20_05.xlsx&amp;sheet=U0&amp;row=6858&amp;col=7&amp;number=6.41e-06&amp;sourceID=14","6.41e-06")</f>
        <v>6.41e-06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HYPERLINK("http://141.218.60.56/~jnz1568/getInfo.php?workbook=20_05.xlsx&amp;sheet=U0&amp;row=6859&amp;col=6&amp;number=4.5&amp;sourceID=14","4.5")</f>
        <v>4.5</v>
      </c>
      <c r="G6859" s="4" t="str">
        <f>HYPERLINK("http://141.218.60.56/~jnz1568/getInfo.php?workbook=20_05.xlsx&amp;sheet=U0&amp;row=6859&amp;col=7&amp;number=6.4e-06&amp;sourceID=14","6.4e-06")</f>
        <v>6.4e-06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HYPERLINK("http://141.218.60.56/~jnz1568/getInfo.php?workbook=20_05.xlsx&amp;sheet=U0&amp;row=6860&amp;col=6&amp;number=4.6&amp;sourceID=14","4.6")</f>
        <v>4.6</v>
      </c>
      <c r="G6860" s="4" t="str">
        <f>HYPERLINK("http://141.218.60.56/~jnz1568/getInfo.php?workbook=20_05.xlsx&amp;sheet=U0&amp;row=6860&amp;col=7&amp;number=6.39e-06&amp;sourceID=14","6.39e-06")</f>
        <v>6.39e-06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HYPERLINK("http://141.218.60.56/~jnz1568/getInfo.php?workbook=20_05.xlsx&amp;sheet=U0&amp;row=6861&amp;col=6&amp;number=4.7&amp;sourceID=14","4.7")</f>
        <v>4.7</v>
      </c>
      <c r="G6861" s="4" t="str">
        <f>HYPERLINK("http://141.218.60.56/~jnz1568/getInfo.php?workbook=20_05.xlsx&amp;sheet=U0&amp;row=6861&amp;col=7&amp;number=6.38e-06&amp;sourceID=14","6.38e-06")</f>
        <v>6.38e-06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HYPERLINK("http://141.218.60.56/~jnz1568/getInfo.php?workbook=20_05.xlsx&amp;sheet=U0&amp;row=6862&amp;col=6&amp;number=4.8&amp;sourceID=14","4.8")</f>
        <v>4.8</v>
      </c>
      <c r="G6862" s="4" t="str">
        <f>HYPERLINK("http://141.218.60.56/~jnz1568/getInfo.php?workbook=20_05.xlsx&amp;sheet=U0&amp;row=6862&amp;col=7&amp;number=6.36e-06&amp;sourceID=14","6.36e-06")</f>
        <v>6.36e-06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HYPERLINK("http://141.218.60.56/~jnz1568/getInfo.php?workbook=20_05.xlsx&amp;sheet=U0&amp;row=6863&amp;col=6&amp;number=4.9&amp;sourceID=14","4.9")</f>
        <v>4.9</v>
      </c>
      <c r="G6863" s="4" t="str">
        <f>HYPERLINK("http://141.218.60.56/~jnz1568/getInfo.php?workbook=20_05.xlsx&amp;sheet=U0&amp;row=6863&amp;col=7&amp;number=6.34e-06&amp;sourceID=14","6.34e-06")</f>
        <v>6.34e-06</v>
      </c>
    </row>
    <row r="6864" spans="1:7">
      <c r="A6864" s="3">
        <v>20</v>
      </c>
      <c r="B6864" s="3">
        <v>5</v>
      </c>
      <c r="C6864" s="3">
        <v>3</v>
      </c>
      <c r="D6864" s="3">
        <v>87</v>
      </c>
      <c r="E6864" s="3">
        <v>1</v>
      </c>
      <c r="F6864" s="4" t="str">
        <f>HYPERLINK("http://141.218.60.56/~jnz1568/getInfo.php?workbook=20_05.xlsx&amp;sheet=U0&amp;row=6864&amp;col=6&amp;number=3&amp;sourceID=14","3")</f>
        <v>3</v>
      </c>
      <c r="G6864" s="4" t="str">
        <f>HYPERLINK("http://141.218.60.56/~jnz1568/getInfo.php?workbook=20_05.xlsx&amp;sheet=U0&amp;row=6864&amp;col=7&amp;number=1.88e-05&amp;sourceID=14","1.88e-05")</f>
        <v>1.88e-05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HYPERLINK("http://141.218.60.56/~jnz1568/getInfo.php?workbook=20_05.xlsx&amp;sheet=U0&amp;row=6865&amp;col=6&amp;number=3.1&amp;sourceID=14","3.1")</f>
        <v>3.1</v>
      </c>
      <c r="G6865" s="4" t="str">
        <f>HYPERLINK("http://141.218.60.56/~jnz1568/getInfo.php?workbook=20_05.xlsx&amp;sheet=U0&amp;row=6865&amp;col=7&amp;number=1.88e-05&amp;sourceID=14","1.88e-05")</f>
        <v>1.88e-05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HYPERLINK("http://141.218.60.56/~jnz1568/getInfo.php?workbook=20_05.xlsx&amp;sheet=U0&amp;row=6866&amp;col=6&amp;number=3.2&amp;sourceID=14","3.2")</f>
        <v>3.2</v>
      </c>
      <c r="G6866" s="4" t="str">
        <f>HYPERLINK("http://141.218.60.56/~jnz1568/getInfo.php?workbook=20_05.xlsx&amp;sheet=U0&amp;row=6866&amp;col=7&amp;number=1.88e-05&amp;sourceID=14","1.88e-05")</f>
        <v>1.88e-05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HYPERLINK("http://141.218.60.56/~jnz1568/getInfo.php?workbook=20_05.xlsx&amp;sheet=U0&amp;row=6867&amp;col=6&amp;number=3.3&amp;sourceID=14","3.3")</f>
        <v>3.3</v>
      </c>
      <c r="G6867" s="4" t="str">
        <f>HYPERLINK("http://141.218.60.56/~jnz1568/getInfo.php?workbook=20_05.xlsx&amp;sheet=U0&amp;row=6867&amp;col=7&amp;number=1.88e-05&amp;sourceID=14","1.88e-05")</f>
        <v>1.88e-05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HYPERLINK("http://141.218.60.56/~jnz1568/getInfo.php?workbook=20_05.xlsx&amp;sheet=U0&amp;row=6868&amp;col=6&amp;number=3.4&amp;sourceID=14","3.4")</f>
        <v>3.4</v>
      </c>
      <c r="G6868" s="4" t="str">
        <f>HYPERLINK("http://141.218.60.56/~jnz1568/getInfo.php?workbook=20_05.xlsx&amp;sheet=U0&amp;row=6868&amp;col=7&amp;number=1.88e-05&amp;sourceID=14","1.88e-05")</f>
        <v>1.88e-05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HYPERLINK("http://141.218.60.56/~jnz1568/getInfo.php?workbook=20_05.xlsx&amp;sheet=U0&amp;row=6869&amp;col=6&amp;number=3.5&amp;sourceID=14","3.5")</f>
        <v>3.5</v>
      </c>
      <c r="G6869" s="4" t="str">
        <f>HYPERLINK("http://141.218.60.56/~jnz1568/getInfo.php?workbook=20_05.xlsx&amp;sheet=U0&amp;row=6869&amp;col=7&amp;number=1.88e-05&amp;sourceID=14","1.88e-05")</f>
        <v>1.88e-05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HYPERLINK("http://141.218.60.56/~jnz1568/getInfo.php?workbook=20_05.xlsx&amp;sheet=U0&amp;row=6870&amp;col=6&amp;number=3.6&amp;sourceID=14","3.6")</f>
        <v>3.6</v>
      </c>
      <c r="G6870" s="4" t="str">
        <f>HYPERLINK("http://141.218.60.56/~jnz1568/getInfo.php?workbook=20_05.xlsx&amp;sheet=U0&amp;row=6870&amp;col=7&amp;number=1.88e-05&amp;sourceID=14","1.88e-05")</f>
        <v>1.88e-05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HYPERLINK("http://141.218.60.56/~jnz1568/getInfo.php?workbook=20_05.xlsx&amp;sheet=U0&amp;row=6871&amp;col=6&amp;number=3.7&amp;sourceID=14","3.7")</f>
        <v>3.7</v>
      </c>
      <c r="G6871" s="4" t="str">
        <f>HYPERLINK("http://141.218.60.56/~jnz1568/getInfo.php?workbook=20_05.xlsx&amp;sheet=U0&amp;row=6871&amp;col=7&amp;number=1.88e-05&amp;sourceID=14","1.88e-05")</f>
        <v>1.88e-05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HYPERLINK("http://141.218.60.56/~jnz1568/getInfo.php?workbook=20_05.xlsx&amp;sheet=U0&amp;row=6872&amp;col=6&amp;number=3.8&amp;sourceID=14","3.8")</f>
        <v>3.8</v>
      </c>
      <c r="G6872" s="4" t="str">
        <f>HYPERLINK("http://141.218.60.56/~jnz1568/getInfo.php?workbook=20_05.xlsx&amp;sheet=U0&amp;row=6872&amp;col=7&amp;number=1.88e-05&amp;sourceID=14","1.88e-05")</f>
        <v>1.88e-05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HYPERLINK("http://141.218.60.56/~jnz1568/getInfo.php?workbook=20_05.xlsx&amp;sheet=U0&amp;row=6873&amp;col=6&amp;number=3.9&amp;sourceID=14","3.9")</f>
        <v>3.9</v>
      </c>
      <c r="G6873" s="4" t="str">
        <f>HYPERLINK("http://141.218.60.56/~jnz1568/getInfo.php?workbook=20_05.xlsx&amp;sheet=U0&amp;row=6873&amp;col=7&amp;number=1.88e-05&amp;sourceID=14","1.88e-05")</f>
        <v>1.88e-05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HYPERLINK("http://141.218.60.56/~jnz1568/getInfo.php?workbook=20_05.xlsx&amp;sheet=U0&amp;row=6874&amp;col=6&amp;number=4&amp;sourceID=14","4")</f>
        <v>4</v>
      </c>
      <c r="G6874" s="4" t="str">
        <f>HYPERLINK("http://141.218.60.56/~jnz1568/getInfo.php?workbook=20_05.xlsx&amp;sheet=U0&amp;row=6874&amp;col=7&amp;number=1.88e-05&amp;sourceID=14","1.88e-05")</f>
        <v>1.88e-05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HYPERLINK("http://141.218.60.56/~jnz1568/getInfo.php?workbook=20_05.xlsx&amp;sheet=U0&amp;row=6875&amp;col=6&amp;number=4.1&amp;sourceID=14","4.1")</f>
        <v>4.1</v>
      </c>
      <c r="G6875" s="4" t="str">
        <f>HYPERLINK("http://141.218.60.56/~jnz1568/getInfo.php?workbook=20_05.xlsx&amp;sheet=U0&amp;row=6875&amp;col=7&amp;number=1.87e-05&amp;sourceID=14","1.87e-05")</f>
        <v>1.87e-05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HYPERLINK("http://141.218.60.56/~jnz1568/getInfo.php?workbook=20_05.xlsx&amp;sheet=U0&amp;row=6876&amp;col=6&amp;number=4.2&amp;sourceID=14","4.2")</f>
        <v>4.2</v>
      </c>
      <c r="G6876" s="4" t="str">
        <f>HYPERLINK("http://141.218.60.56/~jnz1568/getInfo.php?workbook=20_05.xlsx&amp;sheet=U0&amp;row=6876&amp;col=7&amp;number=1.87e-05&amp;sourceID=14","1.87e-05")</f>
        <v>1.87e-05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HYPERLINK("http://141.218.60.56/~jnz1568/getInfo.php?workbook=20_05.xlsx&amp;sheet=U0&amp;row=6877&amp;col=6&amp;number=4.3&amp;sourceID=14","4.3")</f>
        <v>4.3</v>
      </c>
      <c r="G6877" s="4" t="str">
        <f>HYPERLINK("http://141.218.60.56/~jnz1568/getInfo.php?workbook=20_05.xlsx&amp;sheet=U0&amp;row=6877&amp;col=7&amp;number=1.87e-05&amp;sourceID=14","1.87e-05")</f>
        <v>1.87e-05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HYPERLINK("http://141.218.60.56/~jnz1568/getInfo.php?workbook=20_05.xlsx&amp;sheet=U0&amp;row=6878&amp;col=6&amp;number=4.4&amp;sourceID=14","4.4")</f>
        <v>4.4</v>
      </c>
      <c r="G6878" s="4" t="str">
        <f>HYPERLINK("http://141.218.60.56/~jnz1568/getInfo.php?workbook=20_05.xlsx&amp;sheet=U0&amp;row=6878&amp;col=7&amp;number=1.87e-05&amp;sourceID=14","1.87e-05")</f>
        <v>1.87e-05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HYPERLINK("http://141.218.60.56/~jnz1568/getInfo.php?workbook=20_05.xlsx&amp;sheet=U0&amp;row=6879&amp;col=6&amp;number=4.5&amp;sourceID=14","4.5")</f>
        <v>4.5</v>
      </c>
      <c r="G6879" s="4" t="str">
        <f>HYPERLINK("http://141.218.60.56/~jnz1568/getInfo.php?workbook=20_05.xlsx&amp;sheet=U0&amp;row=6879&amp;col=7&amp;number=1.87e-05&amp;sourceID=14","1.87e-05")</f>
        <v>1.87e-05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HYPERLINK("http://141.218.60.56/~jnz1568/getInfo.php?workbook=20_05.xlsx&amp;sheet=U0&amp;row=6880&amp;col=6&amp;number=4.6&amp;sourceID=14","4.6")</f>
        <v>4.6</v>
      </c>
      <c r="G6880" s="4" t="str">
        <f>HYPERLINK("http://141.218.60.56/~jnz1568/getInfo.php?workbook=20_05.xlsx&amp;sheet=U0&amp;row=6880&amp;col=7&amp;number=1.86e-05&amp;sourceID=14","1.86e-05")</f>
        <v>1.86e-05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HYPERLINK("http://141.218.60.56/~jnz1568/getInfo.php?workbook=20_05.xlsx&amp;sheet=U0&amp;row=6881&amp;col=6&amp;number=4.7&amp;sourceID=14","4.7")</f>
        <v>4.7</v>
      </c>
      <c r="G6881" s="4" t="str">
        <f>HYPERLINK("http://141.218.60.56/~jnz1568/getInfo.php?workbook=20_05.xlsx&amp;sheet=U0&amp;row=6881&amp;col=7&amp;number=1.86e-05&amp;sourceID=14","1.86e-05")</f>
        <v>1.86e-05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HYPERLINK("http://141.218.60.56/~jnz1568/getInfo.php?workbook=20_05.xlsx&amp;sheet=U0&amp;row=6882&amp;col=6&amp;number=4.8&amp;sourceID=14","4.8")</f>
        <v>4.8</v>
      </c>
      <c r="G6882" s="4" t="str">
        <f>HYPERLINK("http://141.218.60.56/~jnz1568/getInfo.php?workbook=20_05.xlsx&amp;sheet=U0&amp;row=6882&amp;col=7&amp;number=1.85e-05&amp;sourceID=14","1.85e-05")</f>
        <v>1.85e-05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HYPERLINK("http://141.218.60.56/~jnz1568/getInfo.php?workbook=20_05.xlsx&amp;sheet=U0&amp;row=6883&amp;col=6&amp;number=4.9&amp;sourceID=14","4.9")</f>
        <v>4.9</v>
      </c>
      <c r="G6883" s="4" t="str">
        <f>HYPERLINK("http://141.218.60.56/~jnz1568/getInfo.php?workbook=20_05.xlsx&amp;sheet=U0&amp;row=6883&amp;col=7&amp;number=1.85e-05&amp;sourceID=14","1.85e-05")</f>
        <v>1.85e-05</v>
      </c>
    </row>
    <row r="6884" spans="1:7">
      <c r="A6884" s="3">
        <v>20</v>
      </c>
      <c r="B6884" s="3">
        <v>5</v>
      </c>
      <c r="C6884" s="3">
        <v>3</v>
      </c>
      <c r="D6884" s="3">
        <v>88</v>
      </c>
      <c r="E6884" s="3">
        <v>1</v>
      </c>
      <c r="F6884" s="4" t="str">
        <f>HYPERLINK("http://141.218.60.56/~jnz1568/getInfo.php?workbook=20_05.xlsx&amp;sheet=U0&amp;row=6884&amp;col=6&amp;number=3&amp;sourceID=14","3")</f>
        <v>3</v>
      </c>
      <c r="G6884" s="4" t="str">
        <f>HYPERLINK("http://141.218.60.56/~jnz1568/getInfo.php?workbook=20_05.xlsx&amp;sheet=U0&amp;row=6884&amp;col=7&amp;number=0.00244&amp;sourceID=14","0.00244")</f>
        <v>0.00244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HYPERLINK("http://141.218.60.56/~jnz1568/getInfo.php?workbook=20_05.xlsx&amp;sheet=U0&amp;row=6885&amp;col=6&amp;number=3.1&amp;sourceID=14","3.1")</f>
        <v>3.1</v>
      </c>
      <c r="G6885" s="4" t="str">
        <f>HYPERLINK("http://141.218.60.56/~jnz1568/getInfo.php?workbook=20_05.xlsx&amp;sheet=U0&amp;row=6885&amp;col=7&amp;number=0.00244&amp;sourceID=14","0.00244")</f>
        <v>0.00244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HYPERLINK("http://141.218.60.56/~jnz1568/getInfo.php?workbook=20_05.xlsx&amp;sheet=U0&amp;row=6886&amp;col=6&amp;number=3.2&amp;sourceID=14","3.2")</f>
        <v>3.2</v>
      </c>
      <c r="G6886" s="4" t="str">
        <f>HYPERLINK("http://141.218.60.56/~jnz1568/getInfo.php?workbook=20_05.xlsx&amp;sheet=U0&amp;row=6886&amp;col=7&amp;number=0.00244&amp;sourceID=14","0.00244")</f>
        <v>0.00244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HYPERLINK("http://141.218.60.56/~jnz1568/getInfo.php?workbook=20_05.xlsx&amp;sheet=U0&amp;row=6887&amp;col=6&amp;number=3.3&amp;sourceID=14","3.3")</f>
        <v>3.3</v>
      </c>
      <c r="G6887" s="4" t="str">
        <f>HYPERLINK("http://141.218.60.56/~jnz1568/getInfo.php?workbook=20_05.xlsx&amp;sheet=U0&amp;row=6887&amp;col=7&amp;number=0.00244&amp;sourceID=14","0.00244")</f>
        <v>0.00244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HYPERLINK("http://141.218.60.56/~jnz1568/getInfo.php?workbook=20_05.xlsx&amp;sheet=U0&amp;row=6888&amp;col=6&amp;number=3.4&amp;sourceID=14","3.4")</f>
        <v>3.4</v>
      </c>
      <c r="G6888" s="4" t="str">
        <f>HYPERLINK("http://141.218.60.56/~jnz1568/getInfo.php?workbook=20_05.xlsx&amp;sheet=U0&amp;row=6888&amp;col=7&amp;number=0.00244&amp;sourceID=14","0.00244")</f>
        <v>0.00244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HYPERLINK("http://141.218.60.56/~jnz1568/getInfo.php?workbook=20_05.xlsx&amp;sheet=U0&amp;row=6889&amp;col=6&amp;number=3.5&amp;sourceID=14","3.5")</f>
        <v>3.5</v>
      </c>
      <c r="G6889" s="4" t="str">
        <f>HYPERLINK("http://141.218.60.56/~jnz1568/getInfo.php?workbook=20_05.xlsx&amp;sheet=U0&amp;row=6889&amp;col=7&amp;number=0.00244&amp;sourceID=14","0.00244")</f>
        <v>0.00244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HYPERLINK("http://141.218.60.56/~jnz1568/getInfo.php?workbook=20_05.xlsx&amp;sheet=U0&amp;row=6890&amp;col=6&amp;number=3.6&amp;sourceID=14","3.6")</f>
        <v>3.6</v>
      </c>
      <c r="G6890" s="4" t="str">
        <f>HYPERLINK("http://141.218.60.56/~jnz1568/getInfo.php?workbook=20_05.xlsx&amp;sheet=U0&amp;row=6890&amp;col=7&amp;number=0.00244&amp;sourceID=14","0.00244")</f>
        <v>0.00244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HYPERLINK("http://141.218.60.56/~jnz1568/getInfo.php?workbook=20_05.xlsx&amp;sheet=U0&amp;row=6891&amp;col=6&amp;number=3.7&amp;sourceID=14","3.7")</f>
        <v>3.7</v>
      </c>
      <c r="G6891" s="4" t="str">
        <f>HYPERLINK("http://141.218.60.56/~jnz1568/getInfo.php?workbook=20_05.xlsx&amp;sheet=U0&amp;row=6891&amp;col=7&amp;number=0.00244&amp;sourceID=14","0.00244")</f>
        <v>0.00244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HYPERLINK("http://141.218.60.56/~jnz1568/getInfo.php?workbook=20_05.xlsx&amp;sheet=U0&amp;row=6892&amp;col=6&amp;number=3.8&amp;sourceID=14","3.8")</f>
        <v>3.8</v>
      </c>
      <c r="G6892" s="4" t="str">
        <f>HYPERLINK("http://141.218.60.56/~jnz1568/getInfo.php?workbook=20_05.xlsx&amp;sheet=U0&amp;row=6892&amp;col=7&amp;number=0.00244&amp;sourceID=14","0.00244")</f>
        <v>0.00244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HYPERLINK("http://141.218.60.56/~jnz1568/getInfo.php?workbook=20_05.xlsx&amp;sheet=U0&amp;row=6893&amp;col=6&amp;number=3.9&amp;sourceID=14","3.9")</f>
        <v>3.9</v>
      </c>
      <c r="G6893" s="4" t="str">
        <f>HYPERLINK("http://141.218.60.56/~jnz1568/getInfo.php?workbook=20_05.xlsx&amp;sheet=U0&amp;row=6893&amp;col=7&amp;number=0.00244&amp;sourceID=14","0.00244")</f>
        <v>0.00244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HYPERLINK("http://141.218.60.56/~jnz1568/getInfo.php?workbook=20_05.xlsx&amp;sheet=U0&amp;row=6894&amp;col=6&amp;number=4&amp;sourceID=14","4")</f>
        <v>4</v>
      </c>
      <c r="G6894" s="4" t="str">
        <f>HYPERLINK("http://141.218.60.56/~jnz1568/getInfo.php?workbook=20_05.xlsx&amp;sheet=U0&amp;row=6894&amp;col=7&amp;number=0.00244&amp;sourceID=14","0.00244")</f>
        <v>0.00244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HYPERLINK("http://141.218.60.56/~jnz1568/getInfo.php?workbook=20_05.xlsx&amp;sheet=U0&amp;row=6895&amp;col=6&amp;number=4.1&amp;sourceID=14","4.1")</f>
        <v>4.1</v>
      </c>
      <c r="G6895" s="4" t="str">
        <f>HYPERLINK("http://141.218.60.56/~jnz1568/getInfo.php?workbook=20_05.xlsx&amp;sheet=U0&amp;row=6895&amp;col=7&amp;number=0.00245&amp;sourceID=14","0.00245")</f>
        <v>0.00245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HYPERLINK("http://141.218.60.56/~jnz1568/getInfo.php?workbook=20_05.xlsx&amp;sheet=U0&amp;row=6896&amp;col=6&amp;number=4.2&amp;sourceID=14","4.2")</f>
        <v>4.2</v>
      </c>
      <c r="G6896" s="4" t="str">
        <f>HYPERLINK("http://141.218.60.56/~jnz1568/getInfo.php?workbook=20_05.xlsx&amp;sheet=U0&amp;row=6896&amp;col=7&amp;number=0.00245&amp;sourceID=14","0.00245")</f>
        <v>0.00245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HYPERLINK("http://141.218.60.56/~jnz1568/getInfo.php?workbook=20_05.xlsx&amp;sheet=U0&amp;row=6897&amp;col=6&amp;number=4.3&amp;sourceID=14","4.3")</f>
        <v>4.3</v>
      </c>
      <c r="G6897" s="4" t="str">
        <f>HYPERLINK("http://141.218.60.56/~jnz1568/getInfo.php?workbook=20_05.xlsx&amp;sheet=U0&amp;row=6897&amp;col=7&amp;number=0.00245&amp;sourceID=14","0.00245")</f>
        <v>0.00245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HYPERLINK("http://141.218.60.56/~jnz1568/getInfo.php?workbook=20_05.xlsx&amp;sheet=U0&amp;row=6898&amp;col=6&amp;number=4.4&amp;sourceID=14","4.4")</f>
        <v>4.4</v>
      </c>
      <c r="G6898" s="4" t="str">
        <f>HYPERLINK("http://141.218.60.56/~jnz1568/getInfo.php?workbook=20_05.xlsx&amp;sheet=U0&amp;row=6898&amp;col=7&amp;number=0.00246&amp;sourceID=14","0.00246")</f>
        <v>0.00246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HYPERLINK("http://141.218.60.56/~jnz1568/getInfo.php?workbook=20_05.xlsx&amp;sheet=U0&amp;row=6899&amp;col=6&amp;number=4.5&amp;sourceID=14","4.5")</f>
        <v>4.5</v>
      </c>
      <c r="G6899" s="4" t="str">
        <f>HYPERLINK("http://141.218.60.56/~jnz1568/getInfo.php?workbook=20_05.xlsx&amp;sheet=U0&amp;row=6899&amp;col=7&amp;number=0.00246&amp;sourceID=14","0.00246")</f>
        <v>0.00246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HYPERLINK("http://141.218.60.56/~jnz1568/getInfo.php?workbook=20_05.xlsx&amp;sheet=U0&amp;row=6900&amp;col=6&amp;number=4.6&amp;sourceID=14","4.6")</f>
        <v>4.6</v>
      </c>
      <c r="G6900" s="4" t="str">
        <f>HYPERLINK("http://141.218.60.56/~jnz1568/getInfo.php?workbook=20_05.xlsx&amp;sheet=U0&amp;row=6900&amp;col=7&amp;number=0.00247&amp;sourceID=14","0.00247")</f>
        <v>0.00247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HYPERLINK("http://141.218.60.56/~jnz1568/getInfo.php?workbook=20_05.xlsx&amp;sheet=U0&amp;row=6901&amp;col=6&amp;number=4.7&amp;sourceID=14","4.7")</f>
        <v>4.7</v>
      </c>
      <c r="G6901" s="4" t="str">
        <f>HYPERLINK("http://141.218.60.56/~jnz1568/getInfo.php?workbook=20_05.xlsx&amp;sheet=U0&amp;row=6901&amp;col=7&amp;number=0.00248&amp;sourceID=14","0.00248")</f>
        <v>0.00248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HYPERLINK("http://141.218.60.56/~jnz1568/getInfo.php?workbook=20_05.xlsx&amp;sheet=U0&amp;row=6902&amp;col=6&amp;number=4.8&amp;sourceID=14","4.8")</f>
        <v>4.8</v>
      </c>
      <c r="G6902" s="4" t="str">
        <f>HYPERLINK("http://141.218.60.56/~jnz1568/getInfo.php?workbook=20_05.xlsx&amp;sheet=U0&amp;row=6902&amp;col=7&amp;number=0.00249&amp;sourceID=14","0.00249")</f>
        <v>0.00249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HYPERLINK("http://141.218.60.56/~jnz1568/getInfo.php?workbook=20_05.xlsx&amp;sheet=U0&amp;row=6903&amp;col=6&amp;number=4.9&amp;sourceID=14","4.9")</f>
        <v>4.9</v>
      </c>
      <c r="G6903" s="4" t="str">
        <f>HYPERLINK("http://141.218.60.56/~jnz1568/getInfo.php?workbook=20_05.xlsx&amp;sheet=U0&amp;row=6903&amp;col=7&amp;number=0.0025&amp;sourceID=14","0.0025")</f>
        <v>0.0025</v>
      </c>
    </row>
    <row r="6904" spans="1:7">
      <c r="A6904" s="3">
        <v>20</v>
      </c>
      <c r="B6904" s="3">
        <v>5</v>
      </c>
      <c r="C6904" s="3">
        <v>3</v>
      </c>
      <c r="D6904" s="3">
        <v>89</v>
      </c>
      <c r="E6904" s="3">
        <v>1</v>
      </c>
      <c r="F6904" s="4" t="str">
        <f>HYPERLINK("http://141.218.60.56/~jnz1568/getInfo.php?workbook=20_05.xlsx&amp;sheet=U0&amp;row=6904&amp;col=6&amp;number=3&amp;sourceID=14","3")</f>
        <v>3</v>
      </c>
      <c r="G6904" s="4" t="str">
        <f>HYPERLINK("http://141.218.60.56/~jnz1568/getInfo.php?workbook=20_05.xlsx&amp;sheet=U0&amp;row=6904&amp;col=7&amp;number=0.000316&amp;sourceID=14","0.000316")</f>
        <v>0.000316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HYPERLINK("http://141.218.60.56/~jnz1568/getInfo.php?workbook=20_05.xlsx&amp;sheet=U0&amp;row=6905&amp;col=6&amp;number=3.1&amp;sourceID=14","3.1")</f>
        <v>3.1</v>
      </c>
      <c r="G6905" s="4" t="str">
        <f>HYPERLINK("http://141.218.60.56/~jnz1568/getInfo.php?workbook=20_05.xlsx&amp;sheet=U0&amp;row=6905&amp;col=7&amp;number=0.000315&amp;sourceID=14","0.000315")</f>
        <v>0.000315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HYPERLINK("http://141.218.60.56/~jnz1568/getInfo.php?workbook=20_05.xlsx&amp;sheet=U0&amp;row=6906&amp;col=6&amp;number=3.2&amp;sourceID=14","3.2")</f>
        <v>3.2</v>
      </c>
      <c r="G6906" s="4" t="str">
        <f>HYPERLINK("http://141.218.60.56/~jnz1568/getInfo.php?workbook=20_05.xlsx&amp;sheet=U0&amp;row=6906&amp;col=7&amp;number=0.000315&amp;sourceID=14","0.000315")</f>
        <v>0.000315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HYPERLINK("http://141.218.60.56/~jnz1568/getInfo.php?workbook=20_05.xlsx&amp;sheet=U0&amp;row=6907&amp;col=6&amp;number=3.3&amp;sourceID=14","3.3")</f>
        <v>3.3</v>
      </c>
      <c r="G6907" s="4" t="str">
        <f>HYPERLINK("http://141.218.60.56/~jnz1568/getInfo.php?workbook=20_05.xlsx&amp;sheet=U0&amp;row=6907&amp;col=7&amp;number=0.000315&amp;sourceID=14","0.000315")</f>
        <v>0.000315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HYPERLINK("http://141.218.60.56/~jnz1568/getInfo.php?workbook=20_05.xlsx&amp;sheet=U0&amp;row=6908&amp;col=6&amp;number=3.4&amp;sourceID=14","3.4")</f>
        <v>3.4</v>
      </c>
      <c r="G6908" s="4" t="str">
        <f>HYPERLINK("http://141.218.60.56/~jnz1568/getInfo.php?workbook=20_05.xlsx&amp;sheet=U0&amp;row=6908&amp;col=7&amp;number=0.000315&amp;sourceID=14","0.000315")</f>
        <v>0.000315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HYPERLINK("http://141.218.60.56/~jnz1568/getInfo.php?workbook=20_05.xlsx&amp;sheet=U0&amp;row=6909&amp;col=6&amp;number=3.5&amp;sourceID=14","3.5")</f>
        <v>3.5</v>
      </c>
      <c r="G6909" s="4" t="str">
        <f>HYPERLINK("http://141.218.60.56/~jnz1568/getInfo.php?workbook=20_05.xlsx&amp;sheet=U0&amp;row=6909&amp;col=7&amp;number=0.000315&amp;sourceID=14","0.000315")</f>
        <v>0.000315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HYPERLINK("http://141.218.60.56/~jnz1568/getInfo.php?workbook=20_05.xlsx&amp;sheet=U0&amp;row=6910&amp;col=6&amp;number=3.6&amp;sourceID=14","3.6")</f>
        <v>3.6</v>
      </c>
      <c r="G6910" s="4" t="str">
        <f>HYPERLINK("http://141.218.60.56/~jnz1568/getInfo.php?workbook=20_05.xlsx&amp;sheet=U0&amp;row=6910&amp;col=7&amp;number=0.000315&amp;sourceID=14","0.000315")</f>
        <v>0.000315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HYPERLINK("http://141.218.60.56/~jnz1568/getInfo.php?workbook=20_05.xlsx&amp;sheet=U0&amp;row=6911&amp;col=6&amp;number=3.7&amp;sourceID=14","3.7")</f>
        <v>3.7</v>
      </c>
      <c r="G6911" s="4" t="str">
        <f>HYPERLINK("http://141.218.60.56/~jnz1568/getInfo.php?workbook=20_05.xlsx&amp;sheet=U0&amp;row=6911&amp;col=7&amp;number=0.000315&amp;sourceID=14","0.000315")</f>
        <v>0.000315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HYPERLINK("http://141.218.60.56/~jnz1568/getInfo.php?workbook=20_05.xlsx&amp;sheet=U0&amp;row=6912&amp;col=6&amp;number=3.8&amp;sourceID=14","3.8")</f>
        <v>3.8</v>
      </c>
      <c r="G6912" s="4" t="str">
        <f>HYPERLINK("http://141.218.60.56/~jnz1568/getInfo.php?workbook=20_05.xlsx&amp;sheet=U0&amp;row=6912&amp;col=7&amp;number=0.000315&amp;sourceID=14","0.000315")</f>
        <v>0.000315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HYPERLINK("http://141.218.60.56/~jnz1568/getInfo.php?workbook=20_05.xlsx&amp;sheet=U0&amp;row=6913&amp;col=6&amp;number=3.9&amp;sourceID=14","3.9")</f>
        <v>3.9</v>
      </c>
      <c r="G6913" s="4" t="str">
        <f>HYPERLINK("http://141.218.60.56/~jnz1568/getInfo.php?workbook=20_05.xlsx&amp;sheet=U0&amp;row=6913&amp;col=7&amp;number=0.000315&amp;sourceID=14","0.000315")</f>
        <v>0.000315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HYPERLINK("http://141.218.60.56/~jnz1568/getInfo.php?workbook=20_05.xlsx&amp;sheet=U0&amp;row=6914&amp;col=6&amp;number=4&amp;sourceID=14","4")</f>
        <v>4</v>
      </c>
      <c r="G6914" s="4" t="str">
        <f>HYPERLINK("http://141.218.60.56/~jnz1568/getInfo.php?workbook=20_05.xlsx&amp;sheet=U0&amp;row=6914&amp;col=7&amp;number=0.000315&amp;sourceID=14","0.000315")</f>
        <v>0.000315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HYPERLINK("http://141.218.60.56/~jnz1568/getInfo.php?workbook=20_05.xlsx&amp;sheet=U0&amp;row=6915&amp;col=6&amp;number=4.1&amp;sourceID=14","4.1")</f>
        <v>4.1</v>
      </c>
      <c r="G6915" s="4" t="str">
        <f>HYPERLINK("http://141.218.60.56/~jnz1568/getInfo.php?workbook=20_05.xlsx&amp;sheet=U0&amp;row=6915&amp;col=7&amp;number=0.000315&amp;sourceID=14","0.000315")</f>
        <v>0.000315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HYPERLINK("http://141.218.60.56/~jnz1568/getInfo.php?workbook=20_05.xlsx&amp;sheet=U0&amp;row=6916&amp;col=6&amp;number=4.2&amp;sourceID=14","4.2")</f>
        <v>4.2</v>
      </c>
      <c r="G6916" s="4" t="str">
        <f>HYPERLINK("http://141.218.60.56/~jnz1568/getInfo.php?workbook=20_05.xlsx&amp;sheet=U0&amp;row=6916&amp;col=7&amp;number=0.000315&amp;sourceID=14","0.000315")</f>
        <v>0.000315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HYPERLINK("http://141.218.60.56/~jnz1568/getInfo.php?workbook=20_05.xlsx&amp;sheet=U0&amp;row=6917&amp;col=6&amp;number=4.3&amp;sourceID=14","4.3")</f>
        <v>4.3</v>
      </c>
      <c r="G6917" s="4" t="str">
        <f>HYPERLINK("http://141.218.60.56/~jnz1568/getInfo.php?workbook=20_05.xlsx&amp;sheet=U0&amp;row=6917&amp;col=7&amp;number=0.000315&amp;sourceID=14","0.000315")</f>
        <v>0.000315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HYPERLINK("http://141.218.60.56/~jnz1568/getInfo.php?workbook=20_05.xlsx&amp;sheet=U0&amp;row=6918&amp;col=6&amp;number=4.4&amp;sourceID=14","4.4")</f>
        <v>4.4</v>
      </c>
      <c r="G6918" s="4" t="str">
        <f>HYPERLINK("http://141.218.60.56/~jnz1568/getInfo.php?workbook=20_05.xlsx&amp;sheet=U0&amp;row=6918&amp;col=7&amp;number=0.000314&amp;sourceID=14","0.000314")</f>
        <v>0.000314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HYPERLINK("http://141.218.60.56/~jnz1568/getInfo.php?workbook=20_05.xlsx&amp;sheet=U0&amp;row=6919&amp;col=6&amp;number=4.5&amp;sourceID=14","4.5")</f>
        <v>4.5</v>
      </c>
      <c r="G6919" s="4" t="str">
        <f>HYPERLINK("http://141.218.60.56/~jnz1568/getInfo.php?workbook=20_05.xlsx&amp;sheet=U0&amp;row=6919&amp;col=7&amp;number=0.000314&amp;sourceID=14","0.000314")</f>
        <v>0.000314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HYPERLINK("http://141.218.60.56/~jnz1568/getInfo.php?workbook=20_05.xlsx&amp;sheet=U0&amp;row=6920&amp;col=6&amp;number=4.6&amp;sourceID=14","4.6")</f>
        <v>4.6</v>
      </c>
      <c r="G6920" s="4" t="str">
        <f>HYPERLINK("http://141.218.60.56/~jnz1568/getInfo.php?workbook=20_05.xlsx&amp;sheet=U0&amp;row=6920&amp;col=7&amp;number=0.000313&amp;sourceID=14","0.000313")</f>
        <v>0.000313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HYPERLINK("http://141.218.60.56/~jnz1568/getInfo.php?workbook=20_05.xlsx&amp;sheet=U0&amp;row=6921&amp;col=6&amp;number=4.7&amp;sourceID=14","4.7")</f>
        <v>4.7</v>
      </c>
      <c r="G6921" s="4" t="str">
        <f>HYPERLINK("http://141.218.60.56/~jnz1568/getInfo.php?workbook=20_05.xlsx&amp;sheet=U0&amp;row=6921&amp;col=7&amp;number=0.000313&amp;sourceID=14","0.000313")</f>
        <v>0.000313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HYPERLINK("http://141.218.60.56/~jnz1568/getInfo.php?workbook=20_05.xlsx&amp;sheet=U0&amp;row=6922&amp;col=6&amp;number=4.8&amp;sourceID=14","4.8")</f>
        <v>4.8</v>
      </c>
      <c r="G6922" s="4" t="str">
        <f>HYPERLINK("http://141.218.60.56/~jnz1568/getInfo.php?workbook=20_05.xlsx&amp;sheet=U0&amp;row=6922&amp;col=7&amp;number=0.000312&amp;sourceID=14","0.000312")</f>
        <v>0.000312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HYPERLINK("http://141.218.60.56/~jnz1568/getInfo.php?workbook=20_05.xlsx&amp;sheet=U0&amp;row=6923&amp;col=6&amp;number=4.9&amp;sourceID=14","4.9")</f>
        <v>4.9</v>
      </c>
      <c r="G6923" s="4" t="str">
        <f>HYPERLINK("http://141.218.60.56/~jnz1568/getInfo.php?workbook=20_05.xlsx&amp;sheet=U0&amp;row=6923&amp;col=7&amp;number=0.000311&amp;sourceID=14","0.000311")</f>
        <v>0.000311</v>
      </c>
    </row>
    <row r="6924" spans="1:7">
      <c r="A6924" s="3">
        <v>20</v>
      </c>
      <c r="B6924" s="3">
        <v>5</v>
      </c>
      <c r="C6924" s="3">
        <v>3</v>
      </c>
      <c r="D6924" s="3">
        <v>90</v>
      </c>
      <c r="E6924" s="3">
        <v>1</v>
      </c>
      <c r="F6924" s="4" t="str">
        <f>HYPERLINK("http://141.218.60.56/~jnz1568/getInfo.php?workbook=20_05.xlsx&amp;sheet=U0&amp;row=6924&amp;col=6&amp;number=3&amp;sourceID=14","3")</f>
        <v>3</v>
      </c>
      <c r="G6924" s="4" t="str">
        <f>HYPERLINK("http://141.218.60.56/~jnz1568/getInfo.php?workbook=20_05.xlsx&amp;sheet=U0&amp;row=6924&amp;col=7&amp;number=0.00403&amp;sourceID=14","0.00403")</f>
        <v>0.00403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HYPERLINK("http://141.218.60.56/~jnz1568/getInfo.php?workbook=20_05.xlsx&amp;sheet=U0&amp;row=6925&amp;col=6&amp;number=3.1&amp;sourceID=14","3.1")</f>
        <v>3.1</v>
      </c>
      <c r="G6925" s="4" t="str">
        <f>HYPERLINK("http://141.218.60.56/~jnz1568/getInfo.php?workbook=20_05.xlsx&amp;sheet=U0&amp;row=6925&amp;col=7&amp;number=0.00403&amp;sourceID=14","0.00403")</f>
        <v>0.00403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HYPERLINK("http://141.218.60.56/~jnz1568/getInfo.php?workbook=20_05.xlsx&amp;sheet=U0&amp;row=6926&amp;col=6&amp;number=3.2&amp;sourceID=14","3.2")</f>
        <v>3.2</v>
      </c>
      <c r="G6926" s="4" t="str">
        <f>HYPERLINK("http://141.218.60.56/~jnz1568/getInfo.php?workbook=20_05.xlsx&amp;sheet=U0&amp;row=6926&amp;col=7&amp;number=0.00403&amp;sourceID=14","0.00403")</f>
        <v>0.00403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HYPERLINK("http://141.218.60.56/~jnz1568/getInfo.php?workbook=20_05.xlsx&amp;sheet=U0&amp;row=6927&amp;col=6&amp;number=3.3&amp;sourceID=14","3.3")</f>
        <v>3.3</v>
      </c>
      <c r="G6927" s="4" t="str">
        <f>HYPERLINK("http://141.218.60.56/~jnz1568/getInfo.php?workbook=20_05.xlsx&amp;sheet=U0&amp;row=6927&amp;col=7&amp;number=0.00403&amp;sourceID=14","0.00403")</f>
        <v>0.00403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HYPERLINK("http://141.218.60.56/~jnz1568/getInfo.php?workbook=20_05.xlsx&amp;sheet=U0&amp;row=6928&amp;col=6&amp;number=3.4&amp;sourceID=14","3.4")</f>
        <v>3.4</v>
      </c>
      <c r="G6928" s="4" t="str">
        <f>HYPERLINK("http://141.218.60.56/~jnz1568/getInfo.php?workbook=20_05.xlsx&amp;sheet=U0&amp;row=6928&amp;col=7&amp;number=0.00403&amp;sourceID=14","0.00403")</f>
        <v>0.00403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HYPERLINK("http://141.218.60.56/~jnz1568/getInfo.php?workbook=20_05.xlsx&amp;sheet=U0&amp;row=6929&amp;col=6&amp;number=3.5&amp;sourceID=14","3.5")</f>
        <v>3.5</v>
      </c>
      <c r="G6929" s="4" t="str">
        <f>HYPERLINK("http://141.218.60.56/~jnz1568/getInfo.php?workbook=20_05.xlsx&amp;sheet=U0&amp;row=6929&amp;col=7&amp;number=0.00403&amp;sourceID=14","0.00403")</f>
        <v>0.00403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HYPERLINK("http://141.218.60.56/~jnz1568/getInfo.php?workbook=20_05.xlsx&amp;sheet=U0&amp;row=6930&amp;col=6&amp;number=3.6&amp;sourceID=14","3.6")</f>
        <v>3.6</v>
      </c>
      <c r="G6930" s="4" t="str">
        <f>HYPERLINK("http://141.218.60.56/~jnz1568/getInfo.php?workbook=20_05.xlsx&amp;sheet=U0&amp;row=6930&amp;col=7&amp;number=0.00403&amp;sourceID=14","0.00403")</f>
        <v>0.00403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HYPERLINK("http://141.218.60.56/~jnz1568/getInfo.php?workbook=20_05.xlsx&amp;sheet=U0&amp;row=6931&amp;col=6&amp;number=3.7&amp;sourceID=14","3.7")</f>
        <v>3.7</v>
      </c>
      <c r="G6931" s="4" t="str">
        <f>HYPERLINK("http://141.218.60.56/~jnz1568/getInfo.php?workbook=20_05.xlsx&amp;sheet=U0&amp;row=6931&amp;col=7&amp;number=0.00403&amp;sourceID=14","0.00403")</f>
        <v>0.00403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HYPERLINK("http://141.218.60.56/~jnz1568/getInfo.php?workbook=20_05.xlsx&amp;sheet=U0&amp;row=6932&amp;col=6&amp;number=3.8&amp;sourceID=14","3.8")</f>
        <v>3.8</v>
      </c>
      <c r="G6932" s="4" t="str">
        <f>HYPERLINK("http://141.218.60.56/~jnz1568/getInfo.php?workbook=20_05.xlsx&amp;sheet=U0&amp;row=6932&amp;col=7&amp;number=0.00403&amp;sourceID=14","0.00403")</f>
        <v>0.00403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HYPERLINK("http://141.218.60.56/~jnz1568/getInfo.php?workbook=20_05.xlsx&amp;sheet=U0&amp;row=6933&amp;col=6&amp;number=3.9&amp;sourceID=14","3.9")</f>
        <v>3.9</v>
      </c>
      <c r="G6933" s="4" t="str">
        <f>HYPERLINK("http://141.218.60.56/~jnz1568/getInfo.php?workbook=20_05.xlsx&amp;sheet=U0&amp;row=6933&amp;col=7&amp;number=0.00403&amp;sourceID=14","0.00403")</f>
        <v>0.00403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HYPERLINK("http://141.218.60.56/~jnz1568/getInfo.php?workbook=20_05.xlsx&amp;sheet=U0&amp;row=6934&amp;col=6&amp;number=4&amp;sourceID=14","4")</f>
        <v>4</v>
      </c>
      <c r="G6934" s="4" t="str">
        <f>HYPERLINK("http://141.218.60.56/~jnz1568/getInfo.php?workbook=20_05.xlsx&amp;sheet=U0&amp;row=6934&amp;col=7&amp;number=0.00403&amp;sourceID=14","0.00403")</f>
        <v>0.00403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HYPERLINK("http://141.218.60.56/~jnz1568/getInfo.php?workbook=20_05.xlsx&amp;sheet=U0&amp;row=6935&amp;col=6&amp;number=4.1&amp;sourceID=14","4.1")</f>
        <v>4.1</v>
      </c>
      <c r="G6935" s="4" t="str">
        <f>HYPERLINK("http://141.218.60.56/~jnz1568/getInfo.php?workbook=20_05.xlsx&amp;sheet=U0&amp;row=6935&amp;col=7&amp;number=0.00403&amp;sourceID=14","0.00403")</f>
        <v>0.00403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HYPERLINK("http://141.218.60.56/~jnz1568/getInfo.php?workbook=20_05.xlsx&amp;sheet=U0&amp;row=6936&amp;col=6&amp;number=4.2&amp;sourceID=14","4.2")</f>
        <v>4.2</v>
      </c>
      <c r="G6936" s="4" t="str">
        <f>HYPERLINK("http://141.218.60.56/~jnz1568/getInfo.php?workbook=20_05.xlsx&amp;sheet=U0&amp;row=6936&amp;col=7&amp;number=0.00403&amp;sourceID=14","0.00403")</f>
        <v>0.00403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HYPERLINK("http://141.218.60.56/~jnz1568/getInfo.php?workbook=20_05.xlsx&amp;sheet=U0&amp;row=6937&amp;col=6&amp;number=4.3&amp;sourceID=14","4.3")</f>
        <v>4.3</v>
      </c>
      <c r="G6937" s="4" t="str">
        <f>HYPERLINK("http://141.218.60.56/~jnz1568/getInfo.php?workbook=20_05.xlsx&amp;sheet=U0&amp;row=6937&amp;col=7&amp;number=0.00402&amp;sourceID=14","0.00402")</f>
        <v>0.00402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HYPERLINK("http://141.218.60.56/~jnz1568/getInfo.php?workbook=20_05.xlsx&amp;sheet=U0&amp;row=6938&amp;col=6&amp;number=4.4&amp;sourceID=14","4.4")</f>
        <v>4.4</v>
      </c>
      <c r="G6938" s="4" t="str">
        <f>HYPERLINK("http://141.218.60.56/~jnz1568/getInfo.php?workbook=20_05.xlsx&amp;sheet=U0&amp;row=6938&amp;col=7&amp;number=0.00402&amp;sourceID=14","0.00402")</f>
        <v>0.00402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HYPERLINK("http://141.218.60.56/~jnz1568/getInfo.php?workbook=20_05.xlsx&amp;sheet=U0&amp;row=6939&amp;col=6&amp;number=4.5&amp;sourceID=14","4.5")</f>
        <v>4.5</v>
      </c>
      <c r="G6939" s="4" t="str">
        <f>HYPERLINK("http://141.218.60.56/~jnz1568/getInfo.php?workbook=20_05.xlsx&amp;sheet=U0&amp;row=6939&amp;col=7&amp;number=0.00402&amp;sourceID=14","0.00402")</f>
        <v>0.00402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HYPERLINK("http://141.218.60.56/~jnz1568/getInfo.php?workbook=20_05.xlsx&amp;sheet=U0&amp;row=6940&amp;col=6&amp;number=4.6&amp;sourceID=14","4.6")</f>
        <v>4.6</v>
      </c>
      <c r="G6940" s="4" t="str">
        <f>HYPERLINK("http://141.218.60.56/~jnz1568/getInfo.php?workbook=20_05.xlsx&amp;sheet=U0&amp;row=6940&amp;col=7&amp;number=0.00401&amp;sourceID=14","0.00401")</f>
        <v>0.00401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HYPERLINK("http://141.218.60.56/~jnz1568/getInfo.php?workbook=20_05.xlsx&amp;sheet=U0&amp;row=6941&amp;col=6&amp;number=4.7&amp;sourceID=14","4.7")</f>
        <v>4.7</v>
      </c>
      <c r="G6941" s="4" t="str">
        <f>HYPERLINK("http://141.218.60.56/~jnz1568/getInfo.php?workbook=20_05.xlsx&amp;sheet=U0&amp;row=6941&amp;col=7&amp;number=0.00401&amp;sourceID=14","0.00401")</f>
        <v>0.00401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HYPERLINK("http://141.218.60.56/~jnz1568/getInfo.php?workbook=20_05.xlsx&amp;sheet=U0&amp;row=6942&amp;col=6&amp;number=4.8&amp;sourceID=14","4.8")</f>
        <v>4.8</v>
      </c>
      <c r="G6942" s="4" t="str">
        <f>HYPERLINK("http://141.218.60.56/~jnz1568/getInfo.php?workbook=20_05.xlsx&amp;sheet=U0&amp;row=6942&amp;col=7&amp;number=0.004&amp;sourceID=14","0.004")</f>
        <v>0.004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HYPERLINK("http://141.218.60.56/~jnz1568/getInfo.php?workbook=20_05.xlsx&amp;sheet=U0&amp;row=6943&amp;col=6&amp;number=4.9&amp;sourceID=14","4.9")</f>
        <v>4.9</v>
      </c>
      <c r="G6943" s="4" t="str">
        <f>HYPERLINK("http://141.218.60.56/~jnz1568/getInfo.php?workbook=20_05.xlsx&amp;sheet=U0&amp;row=6943&amp;col=7&amp;number=0.00399&amp;sourceID=14","0.00399")</f>
        <v>0.00399</v>
      </c>
    </row>
    <row r="6944" spans="1:7">
      <c r="A6944" s="3">
        <v>20</v>
      </c>
      <c r="B6944" s="3">
        <v>5</v>
      </c>
      <c r="C6944" s="3">
        <v>3</v>
      </c>
      <c r="D6944" s="3">
        <v>91</v>
      </c>
      <c r="E6944" s="3">
        <v>1</v>
      </c>
      <c r="F6944" s="4" t="str">
        <f>HYPERLINK("http://141.218.60.56/~jnz1568/getInfo.php?workbook=20_05.xlsx&amp;sheet=U0&amp;row=6944&amp;col=6&amp;number=3&amp;sourceID=14","3")</f>
        <v>3</v>
      </c>
      <c r="G6944" s="4" t="str">
        <f>HYPERLINK("http://141.218.60.56/~jnz1568/getInfo.php?workbook=20_05.xlsx&amp;sheet=U0&amp;row=6944&amp;col=7&amp;number=0.079&amp;sourceID=14","0.079")</f>
        <v>0.079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HYPERLINK("http://141.218.60.56/~jnz1568/getInfo.php?workbook=20_05.xlsx&amp;sheet=U0&amp;row=6945&amp;col=6&amp;number=3.1&amp;sourceID=14","3.1")</f>
        <v>3.1</v>
      </c>
      <c r="G6945" s="4" t="str">
        <f>HYPERLINK("http://141.218.60.56/~jnz1568/getInfo.php?workbook=20_05.xlsx&amp;sheet=U0&amp;row=6945&amp;col=7&amp;number=0.079&amp;sourceID=14","0.079")</f>
        <v>0.079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HYPERLINK("http://141.218.60.56/~jnz1568/getInfo.php?workbook=20_05.xlsx&amp;sheet=U0&amp;row=6946&amp;col=6&amp;number=3.2&amp;sourceID=14","3.2")</f>
        <v>3.2</v>
      </c>
      <c r="G6946" s="4" t="str">
        <f>HYPERLINK("http://141.218.60.56/~jnz1568/getInfo.php?workbook=20_05.xlsx&amp;sheet=U0&amp;row=6946&amp;col=7&amp;number=0.079&amp;sourceID=14","0.079")</f>
        <v>0.079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HYPERLINK("http://141.218.60.56/~jnz1568/getInfo.php?workbook=20_05.xlsx&amp;sheet=U0&amp;row=6947&amp;col=6&amp;number=3.3&amp;sourceID=14","3.3")</f>
        <v>3.3</v>
      </c>
      <c r="G6947" s="4" t="str">
        <f>HYPERLINK("http://141.218.60.56/~jnz1568/getInfo.php?workbook=20_05.xlsx&amp;sheet=U0&amp;row=6947&amp;col=7&amp;number=0.079&amp;sourceID=14","0.079")</f>
        <v>0.079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HYPERLINK("http://141.218.60.56/~jnz1568/getInfo.php?workbook=20_05.xlsx&amp;sheet=U0&amp;row=6948&amp;col=6&amp;number=3.4&amp;sourceID=14","3.4")</f>
        <v>3.4</v>
      </c>
      <c r="G6948" s="4" t="str">
        <f>HYPERLINK("http://141.218.60.56/~jnz1568/getInfo.php?workbook=20_05.xlsx&amp;sheet=U0&amp;row=6948&amp;col=7&amp;number=0.079&amp;sourceID=14","0.079")</f>
        <v>0.079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HYPERLINK("http://141.218.60.56/~jnz1568/getInfo.php?workbook=20_05.xlsx&amp;sheet=U0&amp;row=6949&amp;col=6&amp;number=3.5&amp;sourceID=14","3.5")</f>
        <v>3.5</v>
      </c>
      <c r="G6949" s="4" t="str">
        <f>HYPERLINK("http://141.218.60.56/~jnz1568/getInfo.php?workbook=20_05.xlsx&amp;sheet=U0&amp;row=6949&amp;col=7&amp;number=0.079&amp;sourceID=14","0.079")</f>
        <v>0.079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HYPERLINK("http://141.218.60.56/~jnz1568/getInfo.php?workbook=20_05.xlsx&amp;sheet=U0&amp;row=6950&amp;col=6&amp;number=3.6&amp;sourceID=14","3.6")</f>
        <v>3.6</v>
      </c>
      <c r="G6950" s="4" t="str">
        <f>HYPERLINK("http://141.218.60.56/~jnz1568/getInfo.php?workbook=20_05.xlsx&amp;sheet=U0&amp;row=6950&amp;col=7&amp;number=0.079&amp;sourceID=14","0.079")</f>
        <v>0.079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HYPERLINK("http://141.218.60.56/~jnz1568/getInfo.php?workbook=20_05.xlsx&amp;sheet=U0&amp;row=6951&amp;col=6&amp;number=3.7&amp;sourceID=14","3.7")</f>
        <v>3.7</v>
      </c>
      <c r="G6951" s="4" t="str">
        <f>HYPERLINK("http://141.218.60.56/~jnz1568/getInfo.php?workbook=20_05.xlsx&amp;sheet=U0&amp;row=6951&amp;col=7&amp;number=0.079&amp;sourceID=14","0.079")</f>
        <v>0.079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HYPERLINK("http://141.218.60.56/~jnz1568/getInfo.php?workbook=20_05.xlsx&amp;sheet=U0&amp;row=6952&amp;col=6&amp;number=3.8&amp;sourceID=14","3.8")</f>
        <v>3.8</v>
      </c>
      <c r="G6952" s="4" t="str">
        <f>HYPERLINK("http://141.218.60.56/~jnz1568/getInfo.php?workbook=20_05.xlsx&amp;sheet=U0&amp;row=6952&amp;col=7&amp;number=0.079&amp;sourceID=14","0.079")</f>
        <v>0.079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HYPERLINK("http://141.218.60.56/~jnz1568/getInfo.php?workbook=20_05.xlsx&amp;sheet=U0&amp;row=6953&amp;col=6&amp;number=3.9&amp;sourceID=14","3.9")</f>
        <v>3.9</v>
      </c>
      <c r="G6953" s="4" t="str">
        <f>HYPERLINK("http://141.218.60.56/~jnz1568/getInfo.php?workbook=20_05.xlsx&amp;sheet=U0&amp;row=6953&amp;col=7&amp;number=0.0791&amp;sourceID=14","0.0791")</f>
        <v>0.0791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HYPERLINK("http://141.218.60.56/~jnz1568/getInfo.php?workbook=20_05.xlsx&amp;sheet=U0&amp;row=6954&amp;col=6&amp;number=4&amp;sourceID=14","4")</f>
        <v>4</v>
      </c>
      <c r="G6954" s="4" t="str">
        <f>HYPERLINK("http://141.218.60.56/~jnz1568/getInfo.php?workbook=20_05.xlsx&amp;sheet=U0&amp;row=6954&amp;col=7&amp;number=0.0791&amp;sourceID=14","0.0791")</f>
        <v>0.0791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HYPERLINK("http://141.218.60.56/~jnz1568/getInfo.php?workbook=20_05.xlsx&amp;sheet=U0&amp;row=6955&amp;col=6&amp;number=4.1&amp;sourceID=14","4.1")</f>
        <v>4.1</v>
      </c>
      <c r="G6955" s="4" t="str">
        <f>HYPERLINK("http://141.218.60.56/~jnz1568/getInfo.php?workbook=20_05.xlsx&amp;sheet=U0&amp;row=6955&amp;col=7&amp;number=0.0791&amp;sourceID=14","0.0791")</f>
        <v>0.0791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HYPERLINK("http://141.218.60.56/~jnz1568/getInfo.php?workbook=20_05.xlsx&amp;sheet=U0&amp;row=6956&amp;col=6&amp;number=4.2&amp;sourceID=14","4.2")</f>
        <v>4.2</v>
      </c>
      <c r="G6956" s="4" t="str">
        <f>HYPERLINK("http://141.218.60.56/~jnz1568/getInfo.php?workbook=20_05.xlsx&amp;sheet=U0&amp;row=6956&amp;col=7&amp;number=0.0792&amp;sourceID=14","0.0792")</f>
        <v>0.0792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HYPERLINK("http://141.218.60.56/~jnz1568/getInfo.php?workbook=20_05.xlsx&amp;sheet=U0&amp;row=6957&amp;col=6&amp;number=4.3&amp;sourceID=14","4.3")</f>
        <v>4.3</v>
      </c>
      <c r="G6957" s="4" t="str">
        <f>HYPERLINK("http://141.218.60.56/~jnz1568/getInfo.php?workbook=20_05.xlsx&amp;sheet=U0&amp;row=6957&amp;col=7&amp;number=0.0792&amp;sourceID=14","0.0792")</f>
        <v>0.0792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HYPERLINK("http://141.218.60.56/~jnz1568/getInfo.php?workbook=20_05.xlsx&amp;sheet=U0&amp;row=6958&amp;col=6&amp;number=4.4&amp;sourceID=14","4.4")</f>
        <v>4.4</v>
      </c>
      <c r="G6958" s="4" t="str">
        <f>HYPERLINK("http://141.218.60.56/~jnz1568/getInfo.php?workbook=20_05.xlsx&amp;sheet=U0&amp;row=6958&amp;col=7&amp;number=0.0793&amp;sourceID=14","0.0793")</f>
        <v>0.0793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HYPERLINK("http://141.218.60.56/~jnz1568/getInfo.php?workbook=20_05.xlsx&amp;sheet=U0&amp;row=6959&amp;col=6&amp;number=4.5&amp;sourceID=14","4.5")</f>
        <v>4.5</v>
      </c>
      <c r="G6959" s="4" t="str">
        <f>HYPERLINK("http://141.218.60.56/~jnz1568/getInfo.php?workbook=20_05.xlsx&amp;sheet=U0&amp;row=6959&amp;col=7&amp;number=0.0794&amp;sourceID=14","0.0794")</f>
        <v>0.0794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HYPERLINK("http://141.218.60.56/~jnz1568/getInfo.php?workbook=20_05.xlsx&amp;sheet=U0&amp;row=6960&amp;col=6&amp;number=4.6&amp;sourceID=14","4.6")</f>
        <v>4.6</v>
      </c>
      <c r="G6960" s="4" t="str">
        <f>HYPERLINK("http://141.218.60.56/~jnz1568/getInfo.php?workbook=20_05.xlsx&amp;sheet=U0&amp;row=6960&amp;col=7&amp;number=0.0795&amp;sourceID=14","0.0795")</f>
        <v>0.0795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HYPERLINK("http://141.218.60.56/~jnz1568/getInfo.php?workbook=20_05.xlsx&amp;sheet=U0&amp;row=6961&amp;col=6&amp;number=4.7&amp;sourceID=14","4.7")</f>
        <v>4.7</v>
      </c>
      <c r="G6961" s="4" t="str">
        <f>HYPERLINK("http://141.218.60.56/~jnz1568/getInfo.php?workbook=20_05.xlsx&amp;sheet=U0&amp;row=6961&amp;col=7&amp;number=0.0797&amp;sourceID=14","0.0797")</f>
        <v>0.0797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HYPERLINK("http://141.218.60.56/~jnz1568/getInfo.php?workbook=20_05.xlsx&amp;sheet=U0&amp;row=6962&amp;col=6&amp;number=4.8&amp;sourceID=14","4.8")</f>
        <v>4.8</v>
      </c>
      <c r="G6962" s="4" t="str">
        <f>HYPERLINK("http://141.218.60.56/~jnz1568/getInfo.php?workbook=20_05.xlsx&amp;sheet=U0&amp;row=6962&amp;col=7&amp;number=0.0799&amp;sourceID=14","0.0799")</f>
        <v>0.0799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HYPERLINK("http://141.218.60.56/~jnz1568/getInfo.php?workbook=20_05.xlsx&amp;sheet=U0&amp;row=6963&amp;col=6&amp;number=4.9&amp;sourceID=14","4.9")</f>
        <v>4.9</v>
      </c>
      <c r="G6963" s="4" t="str">
        <f>HYPERLINK("http://141.218.60.56/~jnz1568/getInfo.php?workbook=20_05.xlsx&amp;sheet=U0&amp;row=6963&amp;col=7&amp;number=0.0801&amp;sourceID=14","0.0801")</f>
        <v>0.0801</v>
      </c>
    </row>
    <row r="6964" spans="1:7">
      <c r="A6964" s="3">
        <v>20</v>
      </c>
      <c r="B6964" s="3">
        <v>5</v>
      </c>
      <c r="C6964" s="3">
        <v>3</v>
      </c>
      <c r="D6964" s="3">
        <v>92</v>
      </c>
      <c r="E6964" s="3">
        <v>1</v>
      </c>
      <c r="F6964" s="4" t="str">
        <f>HYPERLINK("http://141.218.60.56/~jnz1568/getInfo.php?workbook=20_05.xlsx&amp;sheet=U0&amp;row=6964&amp;col=6&amp;number=3&amp;sourceID=14","3")</f>
        <v>3</v>
      </c>
      <c r="G6964" s="4" t="str">
        <f>HYPERLINK("http://141.218.60.56/~jnz1568/getInfo.php?workbook=20_05.xlsx&amp;sheet=U0&amp;row=6964&amp;col=7&amp;number=0.00535&amp;sourceID=14","0.00535")</f>
        <v>0.00535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HYPERLINK("http://141.218.60.56/~jnz1568/getInfo.php?workbook=20_05.xlsx&amp;sheet=U0&amp;row=6965&amp;col=6&amp;number=3.1&amp;sourceID=14","3.1")</f>
        <v>3.1</v>
      </c>
      <c r="G6965" s="4" t="str">
        <f>HYPERLINK("http://141.218.60.56/~jnz1568/getInfo.php?workbook=20_05.xlsx&amp;sheet=U0&amp;row=6965&amp;col=7&amp;number=0.00535&amp;sourceID=14","0.00535")</f>
        <v>0.00535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HYPERLINK("http://141.218.60.56/~jnz1568/getInfo.php?workbook=20_05.xlsx&amp;sheet=U0&amp;row=6966&amp;col=6&amp;number=3.2&amp;sourceID=14","3.2")</f>
        <v>3.2</v>
      </c>
      <c r="G6966" s="4" t="str">
        <f>HYPERLINK("http://141.218.60.56/~jnz1568/getInfo.php?workbook=20_05.xlsx&amp;sheet=U0&amp;row=6966&amp;col=7&amp;number=0.00535&amp;sourceID=14","0.00535")</f>
        <v>0.00535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HYPERLINK("http://141.218.60.56/~jnz1568/getInfo.php?workbook=20_05.xlsx&amp;sheet=U0&amp;row=6967&amp;col=6&amp;number=3.3&amp;sourceID=14","3.3")</f>
        <v>3.3</v>
      </c>
      <c r="G6967" s="4" t="str">
        <f>HYPERLINK("http://141.218.60.56/~jnz1568/getInfo.php?workbook=20_05.xlsx&amp;sheet=U0&amp;row=6967&amp;col=7&amp;number=0.00535&amp;sourceID=14","0.00535")</f>
        <v>0.00535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HYPERLINK("http://141.218.60.56/~jnz1568/getInfo.php?workbook=20_05.xlsx&amp;sheet=U0&amp;row=6968&amp;col=6&amp;number=3.4&amp;sourceID=14","3.4")</f>
        <v>3.4</v>
      </c>
      <c r="G6968" s="4" t="str">
        <f>HYPERLINK("http://141.218.60.56/~jnz1568/getInfo.php?workbook=20_05.xlsx&amp;sheet=U0&amp;row=6968&amp;col=7&amp;number=0.00535&amp;sourceID=14","0.00535")</f>
        <v>0.00535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HYPERLINK("http://141.218.60.56/~jnz1568/getInfo.php?workbook=20_05.xlsx&amp;sheet=U0&amp;row=6969&amp;col=6&amp;number=3.5&amp;sourceID=14","3.5")</f>
        <v>3.5</v>
      </c>
      <c r="G6969" s="4" t="str">
        <f>HYPERLINK("http://141.218.60.56/~jnz1568/getInfo.php?workbook=20_05.xlsx&amp;sheet=U0&amp;row=6969&amp;col=7&amp;number=0.00535&amp;sourceID=14","0.00535")</f>
        <v>0.00535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HYPERLINK("http://141.218.60.56/~jnz1568/getInfo.php?workbook=20_05.xlsx&amp;sheet=U0&amp;row=6970&amp;col=6&amp;number=3.6&amp;sourceID=14","3.6")</f>
        <v>3.6</v>
      </c>
      <c r="G6970" s="4" t="str">
        <f>HYPERLINK("http://141.218.60.56/~jnz1568/getInfo.php?workbook=20_05.xlsx&amp;sheet=U0&amp;row=6970&amp;col=7&amp;number=0.00535&amp;sourceID=14","0.00535")</f>
        <v>0.00535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HYPERLINK("http://141.218.60.56/~jnz1568/getInfo.php?workbook=20_05.xlsx&amp;sheet=U0&amp;row=6971&amp;col=6&amp;number=3.7&amp;sourceID=14","3.7")</f>
        <v>3.7</v>
      </c>
      <c r="G6971" s="4" t="str">
        <f>HYPERLINK("http://141.218.60.56/~jnz1568/getInfo.php?workbook=20_05.xlsx&amp;sheet=U0&amp;row=6971&amp;col=7&amp;number=0.00535&amp;sourceID=14","0.00535")</f>
        <v>0.00535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HYPERLINK("http://141.218.60.56/~jnz1568/getInfo.php?workbook=20_05.xlsx&amp;sheet=U0&amp;row=6972&amp;col=6&amp;number=3.8&amp;sourceID=14","3.8")</f>
        <v>3.8</v>
      </c>
      <c r="G6972" s="4" t="str">
        <f>HYPERLINK("http://141.218.60.56/~jnz1568/getInfo.php?workbook=20_05.xlsx&amp;sheet=U0&amp;row=6972&amp;col=7&amp;number=0.00535&amp;sourceID=14","0.00535")</f>
        <v>0.00535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HYPERLINK("http://141.218.60.56/~jnz1568/getInfo.php?workbook=20_05.xlsx&amp;sheet=U0&amp;row=6973&amp;col=6&amp;number=3.9&amp;sourceID=14","3.9")</f>
        <v>3.9</v>
      </c>
      <c r="G6973" s="4" t="str">
        <f>HYPERLINK("http://141.218.60.56/~jnz1568/getInfo.php?workbook=20_05.xlsx&amp;sheet=U0&amp;row=6973&amp;col=7&amp;number=0.00535&amp;sourceID=14","0.00535")</f>
        <v>0.00535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HYPERLINK("http://141.218.60.56/~jnz1568/getInfo.php?workbook=20_05.xlsx&amp;sheet=U0&amp;row=6974&amp;col=6&amp;number=4&amp;sourceID=14","4")</f>
        <v>4</v>
      </c>
      <c r="G6974" s="4" t="str">
        <f>HYPERLINK("http://141.218.60.56/~jnz1568/getInfo.php?workbook=20_05.xlsx&amp;sheet=U0&amp;row=6974&amp;col=7&amp;number=0.00535&amp;sourceID=14","0.00535")</f>
        <v>0.00535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HYPERLINK("http://141.218.60.56/~jnz1568/getInfo.php?workbook=20_05.xlsx&amp;sheet=U0&amp;row=6975&amp;col=6&amp;number=4.1&amp;sourceID=14","4.1")</f>
        <v>4.1</v>
      </c>
      <c r="G6975" s="4" t="str">
        <f>HYPERLINK("http://141.218.60.56/~jnz1568/getInfo.php?workbook=20_05.xlsx&amp;sheet=U0&amp;row=6975&amp;col=7&amp;number=0.00535&amp;sourceID=14","0.00535")</f>
        <v>0.00535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HYPERLINK("http://141.218.60.56/~jnz1568/getInfo.php?workbook=20_05.xlsx&amp;sheet=U0&amp;row=6976&amp;col=6&amp;number=4.2&amp;sourceID=14","4.2")</f>
        <v>4.2</v>
      </c>
      <c r="G6976" s="4" t="str">
        <f>HYPERLINK("http://141.218.60.56/~jnz1568/getInfo.php?workbook=20_05.xlsx&amp;sheet=U0&amp;row=6976&amp;col=7&amp;number=0.00536&amp;sourceID=14","0.00536")</f>
        <v>0.00536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HYPERLINK("http://141.218.60.56/~jnz1568/getInfo.php?workbook=20_05.xlsx&amp;sheet=U0&amp;row=6977&amp;col=6&amp;number=4.3&amp;sourceID=14","4.3")</f>
        <v>4.3</v>
      </c>
      <c r="G6977" s="4" t="str">
        <f>HYPERLINK("http://141.218.60.56/~jnz1568/getInfo.php?workbook=20_05.xlsx&amp;sheet=U0&amp;row=6977&amp;col=7&amp;number=0.00536&amp;sourceID=14","0.00536")</f>
        <v>0.00536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HYPERLINK("http://141.218.60.56/~jnz1568/getInfo.php?workbook=20_05.xlsx&amp;sheet=U0&amp;row=6978&amp;col=6&amp;number=4.4&amp;sourceID=14","4.4")</f>
        <v>4.4</v>
      </c>
      <c r="G6978" s="4" t="str">
        <f>HYPERLINK("http://141.218.60.56/~jnz1568/getInfo.php?workbook=20_05.xlsx&amp;sheet=U0&amp;row=6978&amp;col=7&amp;number=0.00536&amp;sourceID=14","0.00536")</f>
        <v>0.00536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HYPERLINK("http://141.218.60.56/~jnz1568/getInfo.php?workbook=20_05.xlsx&amp;sheet=U0&amp;row=6979&amp;col=6&amp;number=4.5&amp;sourceID=14","4.5")</f>
        <v>4.5</v>
      </c>
      <c r="G6979" s="4" t="str">
        <f>HYPERLINK("http://141.218.60.56/~jnz1568/getInfo.php?workbook=20_05.xlsx&amp;sheet=U0&amp;row=6979&amp;col=7&amp;number=0.00536&amp;sourceID=14","0.00536")</f>
        <v>0.00536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HYPERLINK("http://141.218.60.56/~jnz1568/getInfo.php?workbook=20_05.xlsx&amp;sheet=U0&amp;row=6980&amp;col=6&amp;number=4.6&amp;sourceID=14","4.6")</f>
        <v>4.6</v>
      </c>
      <c r="G6980" s="4" t="str">
        <f>HYPERLINK("http://141.218.60.56/~jnz1568/getInfo.php?workbook=20_05.xlsx&amp;sheet=U0&amp;row=6980&amp;col=7&amp;number=0.00536&amp;sourceID=14","0.00536")</f>
        <v>0.00536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HYPERLINK("http://141.218.60.56/~jnz1568/getInfo.php?workbook=20_05.xlsx&amp;sheet=U0&amp;row=6981&amp;col=6&amp;number=4.7&amp;sourceID=14","4.7")</f>
        <v>4.7</v>
      </c>
      <c r="G6981" s="4" t="str">
        <f>HYPERLINK("http://141.218.60.56/~jnz1568/getInfo.php?workbook=20_05.xlsx&amp;sheet=U0&amp;row=6981&amp;col=7&amp;number=0.00536&amp;sourceID=14","0.00536")</f>
        <v>0.00536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HYPERLINK("http://141.218.60.56/~jnz1568/getInfo.php?workbook=20_05.xlsx&amp;sheet=U0&amp;row=6982&amp;col=6&amp;number=4.8&amp;sourceID=14","4.8")</f>
        <v>4.8</v>
      </c>
      <c r="G6982" s="4" t="str">
        <f>HYPERLINK("http://141.218.60.56/~jnz1568/getInfo.php?workbook=20_05.xlsx&amp;sheet=U0&amp;row=6982&amp;col=7&amp;number=0.00537&amp;sourceID=14","0.00537")</f>
        <v>0.00537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HYPERLINK("http://141.218.60.56/~jnz1568/getInfo.php?workbook=20_05.xlsx&amp;sheet=U0&amp;row=6983&amp;col=6&amp;number=4.9&amp;sourceID=14","4.9")</f>
        <v>4.9</v>
      </c>
      <c r="G6983" s="4" t="str">
        <f>HYPERLINK("http://141.218.60.56/~jnz1568/getInfo.php?workbook=20_05.xlsx&amp;sheet=U0&amp;row=6983&amp;col=7&amp;number=0.00537&amp;sourceID=14","0.00537")</f>
        <v>0.00537</v>
      </c>
    </row>
    <row r="6984" spans="1:7">
      <c r="A6984" s="3">
        <v>20</v>
      </c>
      <c r="B6984" s="3">
        <v>5</v>
      </c>
      <c r="C6984" s="3">
        <v>3</v>
      </c>
      <c r="D6984" s="3">
        <v>93</v>
      </c>
      <c r="E6984" s="3">
        <v>1</v>
      </c>
      <c r="F6984" s="4" t="str">
        <f>HYPERLINK("http://141.218.60.56/~jnz1568/getInfo.php?workbook=20_05.xlsx&amp;sheet=U0&amp;row=6984&amp;col=6&amp;number=3&amp;sourceID=14","3")</f>
        <v>3</v>
      </c>
      <c r="G6984" s="4" t="str">
        <f>HYPERLINK("http://141.218.60.56/~jnz1568/getInfo.php?workbook=20_05.xlsx&amp;sheet=U0&amp;row=6984&amp;col=7&amp;number=0.00648&amp;sourceID=14","0.00648")</f>
        <v>0.00648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HYPERLINK("http://141.218.60.56/~jnz1568/getInfo.php?workbook=20_05.xlsx&amp;sheet=U0&amp;row=6985&amp;col=6&amp;number=3.1&amp;sourceID=14","3.1")</f>
        <v>3.1</v>
      </c>
      <c r="G6985" s="4" t="str">
        <f>HYPERLINK("http://141.218.60.56/~jnz1568/getInfo.php?workbook=20_05.xlsx&amp;sheet=U0&amp;row=6985&amp;col=7&amp;number=0.00648&amp;sourceID=14","0.00648")</f>
        <v>0.00648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HYPERLINK("http://141.218.60.56/~jnz1568/getInfo.php?workbook=20_05.xlsx&amp;sheet=U0&amp;row=6986&amp;col=6&amp;number=3.2&amp;sourceID=14","3.2")</f>
        <v>3.2</v>
      </c>
      <c r="G6986" s="4" t="str">
        <f>HYPERLINK("http://141.218.60.56/~jnz1568/getInfo.php?workbook=20_05.xlsx&amp;sheet=U0&amp;row=6986&amp;col=7&amp;number=0.00648&amp;sourceID=14","0.00648")</f>
        <v>0.00648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HYPERLINK("http://141.218.60.56/~jnz1568/getInfo.php?workbook=20_05.xlsx&amp;sheet=U0&amp;row=6987&amp;col=6&amp;number=3.3&amp;sourceID=14","3.3")</f>
        <v>3.3</v>
      </c>
      <c r="G6987" s="4" t="str">
        <f>HYPERLINK("http://141.218.60.56/~jnz1568/getInfo.php?workbook=20_05.xlsx&amp;sheet=U0&amp;row=6987&amp;col=7&amp;number=0.00648&amp;sourceID=14","0.00648")</f>
        <v>0.00648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HYPERLINK("http://141.218.60.56/~jnz1568/getInfo.php?workbook=20_05.xlsx&amp;sheet=U0&amp;row=6988&amp;col=6&amp;number=3.4&amp;sourceID=14","3.4")</f>
        <v>3.4</v>
      </c>
      <c r="G6988" s="4" t="str">
        <f>HYPERLINK("http://141.218.60.56/~jnz1568/getInfo.php?workbook=20_05.xlsx&amp;sheet=U0&amp;row=6988&amp;col=7&amp;number=0.00648&amp;sourceID=14","0.00648")</f>
        <v>0.00648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HYPERLINK("http://141.218.60.56/~jnz1568/getInfo.php?workbook=20_05.xlsx&amp;sheet=U0&amp;row=6989&amp;col=6&amp;number=3.5&amp;sourceID=14","3.5")</f>
        <v>3.5</v>
      </c>
      <c r="G6989" s="4" t="str">
        <f>HYPERLINK("http://141.218.60.56/~jnz1568/getInfo.php?workbook=20_05.xlsx&amp;sheet=U0&amp;row=6989&amp;col=7&amp;number=0.00648&amp;sourceID=14","0.00648")</f>
        <v>0.00648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HYPERLINK("http://141.218.60.56/~jnz1568/getInfo.php?workbook=20_05.xlsx&amp;sheet=U0&amp;row=6990&amp;col=6&amp;number=3.6&amp;sourceID=14","3.6")</f>
        <v>3.6</v>
      </c>
      <c r="G6990" s="4" t="str">
        <f>HYPERLINK("http://141.218.60.56/~jnz1568/getInfo.php?workbook=20_05.xlsx&amp;sheet=U0&amp;row=6990&amp;col=7&amp;number=0.00648&amp;sourceID=14","0.00648")</f>
        <v>0.00648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HYPERLINK("http://141.218.60.56/~jnz1568/getInfo.php?workbook=20_05.xlsx&amp;sheet=U0&amp;row=6991&amp;col=6&amp;number=3.7&amp;sourceID=14","3.7")</f>
        <v>3.7</v>
      </c>
      <c r="G6991" s="4" t="str">
        <f>HYPERLINK("http://141.218.60.56/~jnz1568/getInfo.php?workbook=20_05.xlsx&amp;sheet=U0&amp;row=6991&amp;col=7&amp;number=0.00648&amp;sourceID=14","0.00648")</f>
        <v>0.00648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HYPERLINK("http://141.218.60.56/~jnz1568/getInfo.php?workbook=20_05.xlsx&amp;sheet=U0&amp;row=6992&amp;col=6&amp;number=3.8&amp;sourceID=14","3.8")</f>
        <v>3.8</v>
      </c>
      <c r="G6992" s="4" t="str">
        <f>HYPERLINK("http://141.218.60.56/~jnz1568/getInfo.php?workbook=20_05.xlsx&amp;sheet=U0&amp;row=6992&amp;col=7&amp;number=0.00648&amp;sourceID=14","0.00648")</f>
        <v>0.00648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HYPERLINK("http://141.218.60.56/~jnz1568/getInfo.php?workbook=20_05.xlsx&amp;sheet=U0&amp;row=6993&amp;col=6&amp;number=3.9&amp;sourceID=14","3.9")</f>
        <v>3.9</v>
      </c>
      <c r="G6993" s="4" t="str">
        <f>HYPERLINK("http://141.218.60.56/~jnz1568/getInfo.php?workbook=20_05.xlsx&amp;sheet=U0&amp;row=6993&amp;col=7&amp;number=0.00648&amp;sourceID=14","0.00648")</f>
        <v>0.00648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HYPERLINK("http://141.218.60.56/~jnz1568/getInfo.php?workbook=20_05.xlsx&amp;sheet=U0&amp;row=6994&amp;col=6&amp;number=4&amp;sourceID=14","4")</f>
        <v>4</v>
      </c>
      <c r="G6994" s="4" t="str">
        <f>HYPERLINK("http://141.218.60.56/~jnz1568/getInfo.php?workbook=20_05.xlsx&amp;sheet=U0&amp;row=6994&amp;col=7&amp;number=0.00648&amp;sourceID=14","0.00648")</f>
        <v>0.00648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HYPERLINK("http://141.218.60.56/~jnz1568/getInfo.php?workbook=20_05.xlsx&amp;sheet=U0&amp;row=6995&amp;col=6&amp;number=4.1&amp;sourceID=14","4.1")</f>
        <v>4.1</v>
      </c>
      <c r="G6995" s="4" t="str">
        <f>HYPERLINK("http://141.218.60.56/~jnz1568/getInfo.php?workbook=20_05.xlsx&amp;sheet=U0&amp;row=6995&amp;col=7&amp;number=0.00648&amp;sourceID=14","0.00648")</f>
        <v>0.00648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HYPERLINK("http://141.218.60.56/~jnz1568/getInfo.php?workbook=20_05.xlsx&amp;sheet=U0&amp;row=6996&amp;col=6&amp;number=4.2&amp;sourceID=14","4.2")</f>
        <v>4.2</v>
      </c>
      <c r="G6996" s="4" t="str">
        <f>HYPERLINK("http://141.218.60.56/~jnz1568/getInfo.php?workbook=20_05.xlsx&amp;sheet=U0&amp;row=6996&amp;col=7&amp;number=0.00648&amp;sourceID=14","0.00648")</f>
        <v>0.00648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HYPERLINK("http://141.218.60.56/~jnz1568/getInfo.php?workbook=20_05.xlsx&amp;sheet=U0&amp;row=6997&amp;col=6&amp;number=4.3&amp;sourceID=14","4.3")</f>
        <v>4.3</v>
      </c>
      <c r="G6997" s="4" t="str">
        <f>HYPERLINK("http://141.218.60.56/~jnz1568/getInfo.php?workbook=20_05.xlsx&amp;sheet=U0&amp;row=6997&amp;col=7&amp;number=0.00648&amp;sourceID=14","0.00648")</f>
        <v>0.00648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HYPERLINK("http://141.218.60.56/~jnz1568/getInfo.php?workbook=20_05.xlsx&amp;sheet=U0&amp;row=6998&amp;col=6&amp;number=4.4&amp;sourceID=14","4.4")</f>
        <v>4.4</v>
      </c>
      <c r="G6998" s="4" t="str">
        <f>HYPERLINK("http://141.218.60.56/~jnz1568/getInfo.php?workbook=20_05.xlsx&amp;sheet=U0&amp;row=6998&amp;col=7&amp;number=0.00648&amp;sourceID=14","0.00648")</f>
        <v>0.00648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HYPERLINK("http://141.218.60.56/~jnz1568/getInfo.php?workbook=20_05.xlsx&amp;sheet=U0&amp;row=6999&amp;col=6&amp;number=4.5&amp;sourceID=14","4.5")</f>
        <v>4.5</v>
      </c>
      <c r="G6999" s="4" t="str">
        <f>HYPERLINK("http://141.218.60.56/~jnz1568/getInfo.php?workbook=20_05.xlsx&amp;sheet=U0&amp;row=6999&amp;col=7&amp;number=0.00648&amp;sourceID=14","0.00648")</f>
        <v>0.00648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HYPERLINK("http://141.218.60.56/~jnz1568/getInfo.php?workbook=20_05.xlsx&amp;sheet=U0&amp;row=7000&amp;col=6&amp;number=4.6&amp;sourceID=14","4.6")</f>
        <v>4.6</v>
      </c>
      <c r="G7000" s="4" t="str">
        <f>HYPERLINK("http://141.218.60.56/~jnz1568/getInfo.php?workbook=20_05.xlsx&amp;sheet=U0&amp;row=7000&amp;col=7&amp;number=0.00649&amp;sourceID=14","0.00649")</f>
        <v>0.00649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HYPERLINK("http://141.218.60.56/~jnz1568/getInfo.php?workbook=20_05.xlsx&amp;sheet=U0&amp;row=7001&amp;col=6&amp;number=4.7&amp;sourceID=14","4.7")</f>
        <v>4.7</v>
      </c>
      <c r="G7001" s="4" t="str">
        <f>HYPERLINK("http://141.218.60.56/~jnz1568/getInfo.php?workbook=20_05.xlsx&amp;sheet=U0&amp;row=7001&amp;col=7&amp;number=0.00649&amp;sourceID=14","0.00649")</f>
        <v>0.00649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HYPERLINK("http://141.218.60.56/~jnz1568/getInfo.php?workbook=20_05.xlsx&amp;sheet=U0&amp;row=7002&amp;col=6&amp;number=4.8&amp;sourceID=14","4.8")</f>
        <v>4.8</v>
      </c>
      <c r="G7002" s="4" t="str">
        <f>HYPERLINK("http://141.218.60.56/~jnz1568/getInfo.php?workbook=20_05.xlsx&amp;sheet=U0&amp;row=7002&amp;col=7&amp;number=0.00649&amp;sourceID=14","0.00649")</f>
        <v>0.00649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HYPERLINK("http://141.218.60.56/~jnz1568/getInfo.php?workbook=20_05.xlsx&amp;sheet=U0&amp;row=7003&amp;col=6&amp;number=4.9&amp;sourceID=14","4.9")</f>
        <v>4.9</v>
      </c>
      <c r="G7003" s="4" t="str">
        <f>HYPERLINK("http://141.218.60.56/~jnz1568/getInfo.php?workbook=20_05.xlsx&amp;sheet=U0&amp;row=7003&amp;col=7&amp;number=0.00649&amp;sourceID=14","0.00649")</f>
        <v>0.00649</v>
      </c>
    </row>
    <row r="7004" spans="1:7">
      <c r="A7004" s="3">
        <v>20</v>
      </c>
      <c r="B7004" s="3">
        <v>5</v>
      </c>
      <c r="C7004" s="3">
        <v>3</v>
      </c>
      <c r="D7004" s="3">
        <v>94</v>
      </c>
      <c r="E7004" s="3">
        <v>1</v>
      </c>
      <c r="F7004" s="4" t="str">
        <f>HYPERLINK("http://141.218.60.56/~jnz1568/getInfo.php?workbook=20_05.xlsx&amp;sheet=U0&amp;row=7004&amp;col=6&amp;number=3&amp;sourceID=14","3")</f>
        <v>3</v>
      </c>
      <c r="G7004" s="4" t="str">
        <f>HYPERLINK("http://141.218.60.56/~jnz1568/getInfo.php?workbook=20_05.xlsx&amp;sheet=U0&amp;row=7004&amp;col=7&amp;number=0.00389&amp;sourceID=14","0.00389")</f>
        <v>0.00389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HYPERLINK("http://141.218.60.56/~jnz1568/getInfo.php?workbook=20_05.xlsx&amp;sheet=U0&amp;row=7005&amp;col=6&amp;number=3.1&amp;sourceID=14","3.1")</f>
        <v>3.1</v>
      </c>
      <c r="G7005" s="4" t="str">
        <f>HYPERLINK("http://141.218.60.56/~jnz1568/getInfo.php?workbook=20_05.xlsx&amp;sheet=U0&amp;row=7005&amp;col=7&amp;number=0.00389&amp;sourceID=14","0.00389")</f>
        <v>0.00389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HYPERLINK("http://141.218.60.56/~jnz1568/getInfo.php?workbook=20_05.xlsx&amp;sheet=U0&amp;row=7006&amp;col=6&amp;number=3.2&amp;sourceID=14","3.2")</f>
        <v>3.2</v>
      </c>
      <c r="G7006" s="4" t="str">
        <f>HYPERLINK("http://141.218.60.56/~jnz1568/getInfo.php?workbook=20_05.xlsx&amp;sheet=U0&amp;row=7006&amp;col=7&amp;number=0.00389&amp;sourceID=14","0.00389")</f>
        <v>0.00389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HYPERLINK("http://141.218.60.56/~jnz1568/getInfo.php?workbook=20_05.xlsx&amp;sheet=U0&amp;row=7007&amp;col=6&amp;number=3.3&amp;sourceID=14","3.3")</f>
        <v>3.3</v>
      </c>
      <c r="G7007" s="4" t="str">
        <f>HYPERLINK("http://141.218.60.56/~jnz1568/getInfo.php?workbook=20_05.xlsx&amp;sheet=U0&amp;row=7007&amp;col=7&amp;number=0.00389&amp;sourceID=14","0.00389")</f>
        <v>0.00389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HYPERLINK("http://141.218.60.56/~jnz1568/getInfo.php?workbook=20_05.xlsx&amp;sheet=U0&amp;row=7008&amp;col=6&amp;number=3.4&amp;sourceID=14","3.4")</f>
        <v>3.4</v>
      </c>
      <c r="G7008" s="4" t="str">
        <f>HYPERLINK("http://141.218.60.56/~jnz1568/getInfo.php?workbook=20_05.xlsx&amp;sheet=U0&amp;row=7008&amp;col=7&amp;number=0.0039&amp;sourceID=14","0.0039")</f>
        <v>0.0039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HYPERLINK("http://141.218.60.56/~jnz1568/getInfo.php?workbook=20_05.xlsx&amp;sheet=U0&amp;row=7009&amp;col=6&amp;number=3.5&amp;sourceID=14","3.5")</f>
        <v>3.5</v>
      </c>
      <c r="G7009" s="4" t="str">
        <f>HYPERLINK("http://141.218.60.56/~jnz1568/getInfo.php?workbook=20_05.xlsx&amp;sheet=U0&amp;row=7009&amp;col=7&amp;number=0.0039&amp;sourceID=14","0.0039")</f>
        <v>0.0039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HYPERLINK("http://141.218.60.56/~jnz1568/getInfo.php?workbook=20_05.xlsx&amp;sheet=U0&amp;row=7010&amp;col=6&amp;number=3.6&amp;sourceID=14","3.6")</f>
        <v>3.6</v>
      </c>
      <c r="G7010" s="4" t="str">
        <f>HYPERLINK("http://141.218.60.56/~jnz1568/getInfo.php?workbook=20_05.xlsx&amp;sheet=U0&amp;row=7010&amp;col=7&amp;number=0.0039&amp;sourceID=14","0.0039")</f>
        <v>0.0039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HYPERLINK("http://141.218.60.56/~jnz1568/getInfo.php?workbook=20_05.xlsx&amp;sheet=U0&amp;row=7011&amp;col=6&amp;number=3.7&amp;sourceID=14","3.7")</f>
        <v>3.7</v>
      </c>
      <c r="G7011" s="4" t="str">
        <f>HYPERLINK("http://141.218.60.56/~jnz1568/getInfo.php?workbook=20_05.xlsx&amp;sheet=U0&amp;row=7011&amp;col=7&amp;number=0.0039&amp;sourceID=14","0.0039")</f>
        <v>0.0039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HYPERLINK("http://141.218.60.56/~jnz1568/getInfo.php?workbook=20_05.xlsx&amp;sheet=U0&amp;row=7012&amp;col=6&amp;number=3.8&amp;sourceID=14","3.8")</f>
        <v>3.8</v>
      </c>
      <c r="G7012" s="4" t="str">
        <f>HYPERLINK("http://141.218.60.56/~jnz1568/getInfo.php?workbook=20_05.xlsx&amp;sheet=U0&amp;row=7012&amp;col=7&amp;number=0.0039&amp;sourceID=14","0.0039")</f>
        <v>0.0039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HYPERLINK("http://141.218.60.56/~jnz1568/getInfo.php?workbook=20_05.xlsx&amp;sheet=U0&amp;row=7013&amp;col=6&amp;number=3.9&amp;sourceID=14","3.9")</f>
        <v>3.9</v>
      </c>
      <c r="G7013" s="4" t="str">
        <f>HYPERLINK("http://141.218.60.56/~jnz1568/getInfo.php?workbook=20_05.xlsx&amp;sheet=U0&amp;row=7013&amp;col=7&amp;number=0.0039&amp;sourceID=14","0.0039")</f>
        <v>0.0039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HYPERLINK("http://141.218.60.56/~jnz1568/getInfo.php?workbook=20_05.xlsx&amp;sheet=U0&amp;row=7014&amp;col=6&amp;number=4&amp;sourceID=14","4")</f>
        <v>4</v>
      </c>
      <c r="G7014" s="4" t="str">
        <f>HYPERLINK("http://141.218.60.56/~jnz1568/getInfo.php?workbook=20_05.xlsx&amp;sheet=U0&amp;row=7014&amp;col=7&amp;number=0.0039&amp;sourceID=14","0.0039")</f>
        <v>0.0039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HYPERLINK("http://141.218.60.56/~jnz1568/getInfo.php?workbook=20_05.xlsx&amp;sheet=U0&amp;row=7015&amp;col=6&amp;number=4.1&amp;sourceID=14","4.1")</f>
        <v>4.1</v>
      </c>
      <c r="G7015" s="4" t="str">
        <f>HYPERLINK("http://141.218.60.56/~jnz1568/getInfo.php?workbook=20_05.xlsx&amp;sheet=U0&amp;row=7015&amp;col=7&amp;number=0.0039&amp;sourceID=14","0.0039")</f>
        <v>0.0039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HYPERLINK("http://141.218.60.56/~jnz1568/getInfo.php?workbook=20_05.xlsx&amp;sheet=U0&amp;row=7016&amp;col=6&amp;number=4.2&amp;sourceID=14","4.2")</f>
        <v>4.2</v>
      </c>
      <c r="G7016" s="4" t="str">
        <f>HYPERLINK("http://141.218.60.56/~jnz1568/getInfo.php?workbook=20_05.xlsx&amp;sheet=U0&amp;row=7016&amp;col=7&amp;number=0.0039&amp;sourceID=14","0.0039")</f>
        <v>0.0039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HYPERLINK("http://141.218.60.56/~jnz1568/getInfo.php?workbook=20_05.xlsx&amp;sheet=U0&amp;row=7017&amp;col=6&amp;number=4.3&amp;sourceID=14","4.3")</f>
        <v>4.3</v>
      </c>
      <c r="G7017" s="4" t="str">
        <f>HYPERLINK("http://141.218.60.56/~jnz1568/getInfo.php?workbook=20_05.xlsx&amp;sheet=U0&amp;row=7017&amp;col=7&amp;number=0.0039&amp;sourceID=14","0.0039")</f>
        <v>0.0039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HYPERLINK("http://141.218.60.56/~jnz1568/getInfo.php?workbook=20_05.xlsx&amp;sheet=U0&amp;row=7018&amp;col=6&amp;number=4.4&amp;sourceID=14","4.4")</f>
        <v>4.4</v>
      </c>
      <c r="G7018" s="4" t="str">
        <f>HYPERLINK("http://141.218.60.56/~jnz1568/getInfo.php?workbook=20_05.xlsx&amp;sheet=U0&amp;row=7018&amp;col=7&amp;number=0.00391&amp;sourceID=14","0.00391")</f>
        <v>0.00391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HYPERLINK("http://141.218.60.56/~jnz1568/getInfo.php?workbook=20_05.xlsx&amp;sheet=U0&amp;row=7019&amp;col=6&amp;number=4.5&amp;sourceID=14","4.5")</f>
        <v>4.5</v>
      </c>
      <c r="G7019" s="4" t="str">
        <f>HYPERLINK("http://141.218.60.56/~jnz1568/getInfo.php?workbook=20_05.xlsx&amp;sheet=U0&amp;row=7019&amp;col=7&amp;number=0.00391&amp;sourceID=14","0.00391")</f>
        <v>0.00391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HYPERLINK("http://141.218.60.56/~jnz1568/getInfo.php?workbook=20_05.xlsx&amp;sheet=U0&amp;row=7020&amp;col=6&amp;number=4.6&amp;sourceID=14","4.6")</f>
        <v>4.6</v>
      </c>
      <c r="G7020" s="4" t="str">
        <f>HYPERLINK("http://141.218.60.56/~jnz1568/getInfo.php?workbook=20_05.xlsx&amp;sheet=U0&amp;row=7020&amp;col=7&amp;number=0.00391&amp;sourceID=14","0.00391")</f>
        <v>0.00391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HYPERLINK("http://141.218.60.56/~jnz1568/getInfo.php?workbook=20_05.xlsx&amp;sheet=U0&amp;row=7021&amp;col=6&amp;number=4.7&amp;sourceID=14","4.7")</f>
        <v>4.7</v>
      </c>
      <c r="G7021" s="4" t="str">
        <f>HYPERLINK("http://141.218.60.56/~jnz1568/getInfo.php?workbook=20_05.xlsx&amp;sheet=U0&amp;row=7021&amp;col=7&amp;number=0.00392&amp;sourceID=14","0.00392")</f>
        <v>0.00392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HYPERLINK("http://141.218.60.56/~jnz1568/getInfo.php?workbook=20_05.xlsx&amp;sheet=U0&amp;row=7022&amp;col=6&amp;number=4.8&amp;sourceID=14","4.8")</f>
        <v>4.8</v>
      </c>
      <c r="G7022" s="4" t="str">
        <f>HYPERLINK("http://141.218.60.56/~jnz1568/getInfo.php?workbook=20_05.xlsx&amp;sheet=U0&amp;row=7022&amp;col=7&amp;number=0.00392&amp;sourceID=14","0.00392")</f>
        <v>0.00392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HYPERLINK("http://141.218.60.56/~jnz1568/getInfo.php?workbook=20_05.xlsx&amp;sheet=U0&amp;row=7023&amp;col=6&amp;number=4.9&amp;sourceID=14","4.9")</f>
        <v>4.9</v>
      </c>
      <c r="G7023" s="4" t="str">
        <f>HYPERLINK("http://141.218.60.56/~jnz1568/getInfo.php?workbook=20_05.xlsx&amp;sheet=U0&amp;row=7023&amp;col=7&amp;number=0.00393&amp;sourceID=14","0.00393")</f>
        <v>0.00393</v>
      </c>
    </row>
    <row r="7024" spans="1:7">
      <c r="A7024" s="3">
        <v>20</v>
      </c>
      <c r="B7024" s="3">
        <v>5</v>
      </c>
      <c r="C7024" s="3">
        <v>3</v>
      </c>
      <c r="D7024" s="3">
        <v>95</v>
      </c>
      <c r="E7024" s="3">
        <v>1</v>
      </c>
      <c r="F7024" s="4" t="str">
        <f>HYPERLINK("http://141.218.60.56/~jnz1568/getInfo.php?workbook=20_05.xlsx&amp;sheet=U0&amp;row=7024&amp;col=6&amp;number=3&amp;sourceID=14","3")</f>
        <v>3</v>
      </c>
      <c r="G7024" s="4" t="str">
        <f>HYPERLINK("http://141.218.60.56/~jnz1568/getInfo.php?workbook=20_05.xlsx&amp;sheet=U0&amp;row=7024&amp;col=7&amp;number=0.00189&amp;sourceID=14","0.00189")</f>
        <v>0.00189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HYPERLINK("http://141.218.60.56/~jnz1568/getInfo.php?workbook=20_05.xlsx&amp;sheet=U0&amp;row=7025&amp;col=6&amp;number=3.1&amp;sourceID=14","3.1")</f>
        <v>3.1</v>
      </c>
      <c r="G7025" s="4" t="str">
        <f>HYPERLINK("http://141.218.60.56/~jnz1568/getInfo.php?workbook=20_05.xlsx&amp;sheet=U0&amp;row=7025&amp;col=7&amp;number=0.00189&amp;sourceID=14","0.00189")</f>
        <v>0.00189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HYPERLINK("http://141.218.60.56/~jnz1568/getInfo.php?workbook=20_05.xlsx&amp;sheet=U0&amp;row=7026&amp;col=6&amp;number=3.2&amp;sourceID=14","3.2")</f>
        <v>3.2</v>
      </c>
      <c r="G7026" s="4" t="str">
        <f>HYPERLINK("http://141.218.60.56/~jnz1568/getInfo.php?workbook=20_05.xlsx&amp;sheet=U0&amp;row=7026&amp;col=7&amp;number=0.00189&amp;sourceID=14","0.00189")</f>
        <v>0.00189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HYPERLINK("http://141.218.60.56/~jnz1568/getInfo.php?workbook=20_05.xlsx&amp;sheet=U0&amp;row=7027&amp;col=6&amp;number=3.3&amp;sourceID=14","3.3")</f>
        <v>3.3</v>
      </c>
      <c r="G7027" s="4" t="str">
        <f>HYPERLINK("http://141.218.60.56/~jnz1568/getInfo.php?workbook=20_05.xlsx&amp;sheet=U0&amp;row=7027&amp;col=7&amp;number=0.00189&amp;sourceID=14","0.00189")</f>
        <v>0.00189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HYPERLINK("http://141.218.60.56/~jnz1568/getInfo.php?workbook=20_05.xlsx&amp;sheet=U0&amp;row=7028&amp;col=6&amp;number=3.4&amp;sourceID=14","3.4")</f>
        <v>3.4</v>
      </c>
      <c r="G7028" s="4" t="str">
        <f>HYPERLINK("http://141.218.60.56/~jnz1568/getInfo.php?workbook=20_05.xlsx&amp;sheet=U0&amp;row=7028&amp;col=7&amp;number=0.00189&amp;sourceID=14","0.00189")</f>
        <v>0.00189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HYPERLINK("http://141.218.60.56/~jnz1568/getInfo.php?workbook=20_05.xlsx&amp;sheet=U0&amp;row=7029&amp;col=6&amp;number=3.5&amp;sourceID=14","3.5")</f>
        <v>3.5</v>
      </c>
      <c r="G7029" s="4" t="str">
        <f>HYPERLINK("http://141.218.60.56/~jnz1568/getInfo.php?workbook=20_05.xlsx&amp;sheet=U0&amp;row=7029&amp;col=7&amp;number=0.00189&amp;sourceID=14","0.00189")</f>
        <v>0.00189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HYPERLINK("http://141.218.60.56/~jnz1568/getInfo.php?workbook=20_05.xlsx&amp;sheet=U0&amp;row=7030&amp;col=6&amp;number=3.6&amp;sourceID=14","3.6")</f>
        <v>3.6</v>
      </c>
      <c r="G7030" s="4" t="str">
        <f>HYPERLINK("http://141.218.60.56/~jnz1568/getInfo.php?workbook=20_05.xlsx&amp;sheet=U0&amp;row=7030&amp;col=7&amp;number=0.00189&amp;sourceID=14","0.00189")</f>
        <v>0.00189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HYPERLINK("http://141.218.60.56/~jnz1568/getInfo.php?workbook=20_05.xlsx&amp;sheet=U0&amp;row=7031&amp;col=6&amp;number=3.7&amp;sourceID=14","3.7")</f>
        <v>3.7</v>
      </c>
      <c r="G7031" s="4" t="str">
        <f>HYPERLINK("http://141.218.60.56/~jnz1568/getInfo.php?workbook=20_05.xlsx&amp;sheet=U0&amp;row=7031&amp;col=7&amp;number=0.00189&amp;sourceID=14","0.00189")</f>
        <v>0.00189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HYPERLINK("http://141.218.60.56/~jnz1568/getInfo.php?workbook=20_05.xlsx&amp;sheet=U0&amp;row=7032&amp;col=6&amp;number=3.8&amp;sourceID=14","3.8")</f>
        <v>3.8</v>
      </c>
      <c r="G7032" s="4" t="str">
        <f>HYPERLINK("http://141.218.60.56/~jnz1568/getInfo.php?workbook=20_05.xlsx&amp;sheet=U0&amp;row=7032&amp;col=7&amp;number=0.00189&amp;sourceID=14","0.00189")</f>
        <v>0.00189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HYPERLINK("http://141.218.60.56/~jnz1568/getInfo.php?workbook=20_05.xlsx&amp;sheet=U0&amp;row=7033&amp;col=6&amp;number=3.9&amp;sourceID=14","3.9")</f>
        <v>3.9</v>
      </c>
      <c r="G7033" s="4" t="str">
        <f>HYPERLINK("http://141.218.60.56/~jnz1568/getInfo.php?workbook=20_05.xlsx&amp;sheet=U0&amp;row=7033&amp;col=7&amp;number=0.00189&amp;sourceID=14","0.00189")</f>
        <v>0.00189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HYPERLINK("http://141.218.60.56/~jnz1568/getInfo.php?workbook=20_05.xlsx&amp;sheet=U0&amp;row=7034&amp;col=6&amp;number=4&amp;sourceID=14","4")</f>
        <v>4</v>
      </c>
      <c r="G7034" s="4" t="str">
        <f>HYPERLINK("http://141.218.60.56/~jnz1568/getInfo.php?workbook=20_05.xlsx&amp;sheet=U0&amp;row=7034&amp;col=7&amp;number=0.00189&amp;sourceID=14","0.00189")</f>
        <v>0.00189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HYPERLINK("http://141.218.60.56/~jnz1568/getInfo.php?workbook=20_05.xlsx&amp;sheet=U0&amp;row=7035&amp;col=6&amp;number=4.1&amp;sourceID=14","4.1")</f>
        <v>4.1</v>
      </c>
      <c r="G7035" s="4" t="str">
        <f>HYPERLINK("http://141.218.60.56/~jnz1568/getInfo.php?workbook=20_05.xlsx&amp;sheet=U0&amp;row=7035&amp;col=7&amp;number=0.00188&amp;sourceID=14","0.00188")</f>
        <v>0.00188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HYPERLINK("http://141.218.60.56/~jnz1568/getInfo.php?workbook=20_05.xlsx&amp;sheet=U0&amp;row=7036&amp;col=6&amp;number=4.2&amp;sourceID=14","4.2")</f>
        <v>4.2</v>
      </c>
      <c r="G7036" s="4" t="str">
        <f>HYPERLINK("http://141.218.60.56/~jnz1568/getInfo.php?workbook=20_05.xlsx&amp;sheet=U0&amp;row=7036&amp;col=7&amp;number=0.00188&amp;sourceID=14","0.00188")</f>
        <v>0.00188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HYPERLINK("http://141.218.60.56/~jnz1568/getInfo.php?workbook=20_05.xlsx&amp;sheet=U0&amp;row=7037&amp;col=6&amp;number=4.3&amp;sourceID=14","4.3")</f>
        <v>4.3</v>
      </c>
      <c r="G7037" s="4" t="str">
        <f>HYPERLINK("http://141.218.60.56/~jnz1568/getInfo.php?workbook=20_05.xlsx&amp;sheet=U0&amp;row=7037&amp;col=7&amp;number=0.00188&amp;sourceID=14","0.00188")</f>
        <v>0.00188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HYPERLINK("http://141.218.60.56/~jnz1568/getInfo.php?workbook=20_05.xlsx&amp;sheet=U0&amp;row=7038&amp;col=6&amp;number=4.4&amp;sourceID=14","4.4")</f>
        <v>4.4</v>
      </c>
      <c r="G7038" s="4" t="str">
        <f>HYPERLINK("http://141.218.60.56/~jnz1568/getInfo.php?workbook=20_05.xlsx&amp;sheet=U0&amp;row=7038&amp;col=7&amp;number=0.00188&amp;sourceID=14","0.00188")</f>
        <v>0.00188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HYPERLINK("http://141.218.60.56/~jnz1568/getInfo.php?workbook=20_05.xlsx&amp;sheet=U0&amp;row=7039&amp;col=6&amp;number=4.5&amp;sourceID=14","4.5")</f>
        <v>4.5</v>
      </c>
      <c r="G7039" s="4" t="str">
        <f>HYPERLINK("http://141.218.60.56/~jnz1568/getInfo.php?workbook=20_05.xlsx&amp;sheet=U0&amp;row=7039&amp;col=7&amp;number=0.00188&amp;sourceID=14","0.00188")</f>
        <v>0.00188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HYPERLINK("http://141.218.60.56/~jnz1568/getInfo.php?workbook=20_05.xlsx&amp;sheet=U0&amp;row=7040&amp;col=6&amp;number=4.6&amp;sourceID=14","4.6")</f>
        <v>4.6</v>
      </c>
      <c r="G7040" s="4" t="str">
        <f>HYPERLINK("http://141.218.60.56/~jnz1568/getInfo.php?workbook=20_05.xlsx&amp;sheet=U0&amp;row=7040&amp;col=7&amp;number=0.00187&amp;sourceID=14","0.00187")</f>
        <v>0.00187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HYPERLINK("http://141.218.60.56/~jnz1568/getInfo.php?workbook=20_05.xlsx&amp;sheet=U0&amp;row=7041&amp;col=6&amp;number=4.7&amp;sourceID=14","4.7")</f>
        <v>4.7</v>
      </c>
      <c r="G7041" s="4" t="str">
        <f>HYPERLINK("http://141.218.60.56/~jnz1568/getInfo.php?workbook=20_05.xlsx&amp;sheet=U0&amp;row=7041&amp;col=7&amp;number=0.00187&amp;sourceID=14","0.00187")</f>
        <v>0.00187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HYPERLINK("http://141.218.60.56/~jnz1568/getInfo.php?workbook=20_05.xlsx&amp;sheet=U0&amp;row=7042&amp;col=6&amp;number=4.8&amp;sourceID=14","4.8")</f>
        <v>4.8</v>
      </c>
      <c r="G7042" s="4" t="str">
        <f>HYPERLINK("http://141.218.60.56/~jnz1568/getInfo.php?workbook=20_05.xlsx&amp;sheet=U0&amp;row=7042&amp;col=7&amp;number=0.00186&amp;sourceID=14","0.00186")</f>
        <v>0.00186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HYPERLINK("http://141.218.60.56/~jnz1568/getInfo.php?workbook=20_05.xlsx&amp;sheet=U0&amp;row=7043&amp;col=6&amp;number=4.9&amp;sourceID=14","4.9")</f>
        <v>4.9</v>
      </c>
      <c r="G7043" s="4" t="str">
        <f>HYPERLINK("http://141.218.60.56/~jnz1568/getInfo.php?workbook=20_05.xlsx&amp;sheet=U0&amp;row=7043&amp;col=7&amp;number=0.00185&amp;sourceID=14","0.00185")</f>
        <v>0.00185</v>
      </c>
    </row>
    <row r="7044" spans="1:7">
      <c r="A7044" s="3">
        <v>20</v>
      </c>
      <c r="B7044" s="3">
        <v>5</v>
      </c>
      <c r="C7044" s="3">
        <v>3</v>
      </c>
      <c r="D7044" s="3">
        <v>96</v>
      </c>
      <c r="E7044" s="3">
        <v>1</v>
      </c>
      <c r="F7044" s="4" t="str">
        <f>HYPERLINK("http://141.218.60.56/~jnz1568/getInfo.php?workbook=20_05.xlsx&amp;sheet=U0&amp;row=7044&amp;col=6&amp;number=3&amp;sourceID=14","3")</f>
        <v>3</v>
      </c>
      <c r="G7044" s="4" t="str">
        <f>HYPERLINK("http://141.218.60.56/~jnz1568/getInfo.php?workbook=20_05.xlsx&amp;sheet=U0&amp;row=7044&amp;col=7&amp;number=9.93e-05&amp;sourceID=14","9.93e-05")</f>
        <v>9.93e-05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HYPERLINK("http://141.218.60.56/~jnz1568/getInfo.php?workbook=20_05.xlsx&amp;sheet=U0&amp;row=7045&amp;col=6&amp;number=3.1&amp;sourceID=14","3.1")</f>
        <v>3.1</v>
      </c>
      <c r="G7045" s="4" t="str">
        <f>HYPERLINK("http://141.218.60.56/~jnz1568/getInfo.php?workbook=20_05.xlsx&amp;sheet=U0&amp;row=7045&amp;col=7&amp;number=9.93e-05&amp;sourceID=14","9.93e-05")</f>
        <v>9.93e-05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HYPERLINK("http://141.218.60.56/~jnz1568/getInfo.php?workbook=20_05.xlsx&amp;sheet=U0&amp;row=7046&amp;col=6&amp;number=3.2&amp;sourceID=14","3.2")</f>
        <v>3.2</v>
      </c>
      <c r="G7046" s="4" t="str">
        <f>HYPERLINK("http://141.218.60.56/~jnz1568/getInfo.php?workbook=20_05.xlsx&amp;sheet=U0&amp;row=7046&amp;col=7&amp;number=9.93e-05&amp;sourceID=14","9.93e-05")</f>
        <v>9.93e-05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HYPERLINK("http://141.218.60.56/~jnz1568/getInfo.php?workbook=20_05.xlsx&amp;sheet=U0&amp;row=7047&amp;col=6&amp;number=3.3&amp;sourceID=14","3.3")</f>
        <v>3.3</v>
      </c>
      <c r="G7047" s="4" t="str">
        <f>HYPERLINK("http://141.218.60.56/~jnz1568/getInfo.php?workbook=20_05.xlsx&amp;sheet=U0&amp;row=7047&amp;col=7&amp;number=9.92e-05&amp;sourceID=14","9.92e-05")</f>
        <v>9.92e-05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HYPERLINK("http://141.218.60.56/~jnz1568/getInfo.php?workbook=20_05.xlsx&amp;sheet=U0&amp;row=7048&amp;col=6&amp;number=3.4&amp;sourceID=14","3.4")</f>
        <v>3.4</v>
      </c>
      <c r="G7048" s="4" t="str">
        <f>HYPERLINK("http://141.218.60.56/~jnz1568/getInfo.php?workbook=20_05.xlsx&amp;sheet=U0&amp;row=7048&amp;col=7&amp;number=9.92e-05&amp;sourceID=14","9.92e-05")</f>
        <v>9.92e-05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HYPERLINK("http://141.218.60.56/~jnz1568/getInfo.php?workbook=20_05.xlsx&amp;sheet=U0&amp;row=7049&amp;col=6&amp;number=3.5&amp;sourceID=14","3.5")</f>
        <v>3.5</v>
      </c>
      <c r="G7049" s="4" t="str">
        <f>HYPERLINK("http://141.218.60.56/~jnz1568/getInfo.php?workbook=20_05.xlsx&amp;sheet=U0&amp;row=7049&amp;col=7&amp;number=9.92e-05&amp;sourceID=14","9.92e-05")</f>
        <v>9.92e-05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HYPERLINK("http://141.218.60.56/~jnz1568/getInfo.php?workbook=20_05.xlsx&amp;sheet=U0&amp;row=7050&amp;col=6&amp;number=3.6&amp;sourceID=14","3.6")</f>
        <v>3.6</v>
      </c>
      <c r="G7050" s="4" t="str">
        <f>HYPERLINK("http://141.218.60.56/~jnz1568/getInfo.php?workbook=20_05.xlsx&amp;sheet=U0&amp;row=7050&amp;col=7&amp;number=9.92e-05&amp;sourceID=14","9.92e-05")</f>
        <v>9.92e-05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HYPERLINK("http://141.218.60.56/~jnz1568/getInfo.php?workbook=20_05.xlsx&amp;sheet=U0&amp;row=7051&amp;col=6&amp;number=3.7&amp;sourceID=14","3.7")</f>
        <v>3.7</v>
      </c>
      <c r="G7051" s="4" t="str">
        <f>HYPERLINK("http://141.218.60.56/~jnz1568/getInfo.php?workbook=20_05.xlsx&amp;sheet=U0&amp;row=7051&amp;col=7&amp;number=9.92e-05&amp;sourceID=14","9.92e-05")</f>
        <v>9.92e-05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HYPERLINK("http://141.218.60.56/~jnz1568/getInfo.php?workbook=20_05.xlsx&amp;sheet=U0&amp;row=7052&amp;col=6&amp;number=3.8&amp;sourceID=14","3.8")</f>
        <v>3.8</v>
      </c>
      <c r="G7052" s="4" t="str">
        <f>HYPERLINK("http://141.218.60.56/~jnz1568/getInfo.php?workbook=20_05.xlsx&amp;sheet=U0&amp;row=7052&amp;col=7&amp;number=9.91e-05&amp;sourceID=14","9.91e-05")</f>
        <v>9.91e-05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HYPERLINK("http://141.218.60.56/~jnz1568/getInfo.php?workbook=20_05.xlsx&amp;sheet=U0&amp;row=7053&amp;col=6&amp;number=3.9&amp;sourceID=14","3.9")</f>
        <v>3.9</v>
      </c>
      <c r="G7053" s="4" t="str">
        <f>HYPERLINK("http://141.218.60.56/~jnz1568/getInfo.php?workbook=20_05.xlsx&amp;sheet=U0&amp;row=7053&amp;col=7&amp;number=9.91e-05&amp;sourceID=14","9.91e-05")</f>
        <v>9.91e-05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HYPERLINK("http://141.218.60.56/~jnz1568/getInfo.php?workbook=20_05.xlsx&amp;sheet=U0&amp;row=7054&amp;col=6&amp;number=4&amp;sourceID=14","4")</f>
        <v>4</v>
      </c>
      <c r="G7054" s="4" t="str">
        <f>HYPERLINK("http://141.218.60.56/~jnz1568/getInfo.php?workbook=20_05.xlsx&amp;sheet=U0&amp;row=7054&amp;col=7&amp;number=9.91e-05&amp;sourceID=14","9.91e-05")</f>
        <v>9.91e-05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HYPERLINK("http://141.218.60.56/~jnz1568/getInfo.php?workbook=20_05.xlsx&amp;sheet=U0&amp;row=7055&amp;col=6&amp;number=4.1&amp;sourceID=14","4.1")</f>
        <v>4.1</v>
      </c>
      <c r="G7055" s="4" t="str">
        <f>HYPERLINK("http://141.218.60.56/~jnz1568/getInfo.php?workbook=20_05.xlsx&amp;sheet=U0&amp;row=7055&amp;col=7&amp;number=9.9e-05&amp;sourceID=14","9.9e-05")</f>
        <v>9.9e-05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HYPERLINK("http://141.218.60.56/~jnz1568/getInfo.php?workbook=20_05.xlsx&amp;sheet=U0&amp;row=7056&amp;col=6&amp;number=4.2&amp;sourceID=14","4.2")</f>
        <v>4.2</v>
      </c>
      <c r="G7056" s="4" t="str">
        <f>HYPERLINK("http://141.218.60.56/~jnz1568/getInfo.php?workbook=20_05.xlsx&amp;sheet=U0&amp;row=7056&amp;col=7&amp;number=9.89e-05&amp;sourceID=14","9.89e-05")</f>
        <v>9.89e-05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HYPERLINK("http://141.218.60.56/~jnz1568/getInfo.php?workbook=20_05.xlsx&amp;sheet=U0&amp;row=7057&amp;col=6&amp;number=4.3&amp;sourceID=14","4.3")</f>
        <v>4.3</v>
      </c>
      <c r="G7057" s="4" t="str">
        <f>HYPERLINK("http://141.218.60.56/~jnz1568/getInfo.php?workbook=20_05.xlsx&amp;sheet=U0&amp;row=7057&amp;col=7&amp;number=9.88e-05&amp;sourceID=14","9.88e-05")</f>
        <v>9.88e-05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HYPERLINK("http://141.218.60.56/~jnz1568/getInfo.php?workbook=20_05.xlsx&amp;sheet=U0&amp;row=7058&amp;col=6&amp;number=4.4&amp;sourceID=14","4.4")</f>
        <v>4.4</v>
      </c>
      <c r="G7058" s="4" t="str">
        <f>HYPERLINK("http://141.218.60.56/~jnz1568/getInfo.php?workbook=20_05.xlsx&amp;sheet=U0&amp;row=7058&amp;col=7&amp;number=9.87e-05&amp;sourceID=14","9.87e-05")</f>
        <v>9.87e-05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HYPERLINK("http://141.218.60.56/~jnz1568/getInfo.php?workbook=20_05.xlsx&amp;sheet=U0&amp;row=7059&amp;col=6&amp;number=4.5&amp;sourceID=14","4.5")</f>
        <v>4.5</v>
      </c>
      <c r="G7059" s="4" t="str">
        <f>HYPERLINK("http://141.218.60.56/~jnz1568/getInfo.php?workbook=20_05.xlsx&amp;sheet=U0&amp;row=7059&amp;col=7&amp;number=9.85e-05&amp;sourceID=14","9.85e-05")</f>
        <v>9.85e-05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HYPERLINK("http://141.218.60.56/~jnz1568/getInfo.php?workbook=20_05.xlsx&amp;sheet=U0&amp;row=7060&amp;col=6&amp;number=4.6&amp;sourceID=14","4.6")</f>
        <v>4.6</v>
      </c>
      <c r="G7060" s="4" t="str">
        <f>HYPERLINK("http://141.218.60.56/~jnz1568/getInfo.php?workbook=20_05.xlsx&amp;sheet=U0&amp;row=7060&amp;col=7&amp;number=9.83e-05&amp;sourceID=14","9.83e-05")</f>
        <v>9.83e-05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HYPERLINK("http://141.218.60.56/~jnz1568/getInfo.php?workbook=20_05.xlsx&amp;sheet=U0&amp;row=7061&amp;col=6&amp;number=4.7&amp;sourceID=14","4.7")</f>
        <v>4.7</v>
      </c>
      <c r="G7061" s="4" t="str">
        <f>HYPERLINK("http://141.218.60.56/~jnz1568/getInfo.php?workbook=20_05.xlsx&amp;sheet=U0&amp;row=7061&amp;col=7&amp;number=9.81e-05&amp;sourceID=14","9.81e-05")</f>
        <v>9.81e-05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HYPERLINK("http://141.218.60.56/~jnz1568/getInfo.php?workbook=20_05.xlsx&amp;sheet=U0&amp;row=7062&amp;col=6&amp;number=4.8&amp;sourceID=14","4.8")</f>
        <v>4.8</v>
      </c>
      <c r="G7062" s="4" t="str">
        <f>HYPERLINK("http://141.218.60.56/~jnz1568/getInfo.php?workbook=20_05.xlsx&amp;sheet=U0&amp;row=7062&amp;col=7&amp;number=9.78e-05&amp;sourceID=14","9.78e-05")</f>
        <v>9.78e-05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HYPERLINK("http://141.218.60.56/~jnz1568/getInfo.php?workbook=20_05.xlsx&amp;sheet=U0&amp;row=7063&amp;col=6&amp;number=4.9&amp;sourceID=14","4.9")</f>
        <v>4.9</v>
      </c>
      <c r="G7063" s="4" t="str">
        <f>HYPERLINK("http://141.218.60.56/~jnz1568/getInfo.php?workbook=20_05.xlsx&amp;sheet=U0&amp;row=7063&amp;col=7&amp;number=9.74e-05&amp;sourceID=14","9.74e-05")</f>
        <v>9.74e-05</v>
      </c>
    </row>
    <row r="7064" spans="1:7">
      <c r="A7064" s="3">
        <v>20</v>
      </c>
      <c r="B7064" s="3">
        <v>5</v>
      </c>
      <c r="C7064" s="3">
        <v>3</v>
      </c>
      <c r="D7064" s="3">
        <v>97</v>
      </c>
      <c r="E7064" s="3">
        <v>1</v>
      </c>
      <c r="F7064" s="4" t="str">
        <f>HYPERLINK("http://141.218.60.56/~jnz1568/getInfo.php?workbook=20_05.xlsx&amp;sheet=U0&amp;row=7064&amp;col=6&amp;number=3&amp;sourceID=14","3")</f>
        <v>3</v>
      </c>
      <c r="G7064" s="4" t="str">
        <f>HYPERLINK("http://141.218.60.56/~jnz1568/getInfo.php?workbook=20_05.xlsx&amp;sheet=U0&amp;row=7064&amp;col=7&amp;number=4.32e-05&amp;sourceID=14","4.32e-05")</f>
        <v>4.32e-05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HYPERLINK("http://141.218.60.56/~jnz1568/getInfo.php?workbook=20_05.xlsx&amp;sheet=U0&amp;row=7065&amp;col=6&amp;number=3.1&amp;sourceID=14","3.1")</f>
        <v>3.1</v>
      </c>
      <c r="G7065" s="4" t="str">
        <f>HYPERLINK("http://141.218.60.56/~jnz1568/getInfo.php?workbook=20_05.xlsx&amp;sheet=U0&amp;row=7065&amp;col=7&amp;number=4.32e-05&amp;sourceID=14","4.32e-05")</f>
        <v>4.32e-05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HYPERLINK("http://141.218.60.56/~jnz1568/getInfo.php?workbook=20_05.xlsx&amp;sheet=U0&amp;row=7066&amp;col=6&amp;number=3.2&amp;sourceID=14","3.2")</f>
        <v>3.2</v>
      </c>
      <c r="G7066" s="4" t="str">
        <f>HYPERLINK("http://141.218.60.56/~jnz1568/getInfo.php?workbook=20_05.xlsx&amp;sheet=U0&amp;row=7066&amp;col=7&amp;number=4.32e-05&amp;sourceID=14","4.32e-05")</f>
        <v>4.32e-05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HYPERLINK("http://141.218.60.56/~jnz1568/getInfo.php?workbook=20_05.xlsx&amp;sheet=U0&amp;row=7067&amp;col=6&amp;number=3.3&amp;sourceID=14","3.3")</f>
        <v>3.3</v>
      </c>
      <c r="G7067" s="4" t="str">
        <f>HYPERLINK("http://141.218.60.56/~jnz1568/getInfo.php?workbook=20_05.xlsx&amp;sheet=U0&amp;row=7067&amp;col=7&amp;number=4.32e-05&amp;sourceID=14","4.32e-05")</f>
        <v>4.32e-05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HYPERLINK("http://141.218.60.56/~jnz1568/getInfo.php?workbook=20_05.xlsx&amp;sheet=U0&amp;row=7068&amp;col=6&amp;number=3.4&amp;sourceID=14","3.4")</f>
        <v>3.4</v>
      </c>
      <c r="G7068" s="4" t="str">
        <f>HYPERLINK("http://141.218.60.56/~jnz1568/getInfo.php?workbook=20_05.xlsx&amp;sheet=U0&amp;row=7068&amp;col=7&amp;number=4.33e-05&amp;sourceID=14","4.33e-05")</f>
        <v>4.33e-05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HYPERLINK("http://141.218.60.56/~jnz1568/getInfo.php?workbook=20_05.xlsx&amp;sheet=U0&amp;row=7069&amp;col=6&amp;number=3.5&amp;sourceID=14","3.5")</f>
        <v>3.5</v>
      </c>
      <c r="G7069" s="4" t="str">
        <f>HYPERLINK("http://141.218.60.56/~jnz1568/getInfo.php?workbook=20_05.xlsx&amp;sheet=U0&amp;row=7069&amp;col=7&amp;number=4.33e-05&amp;sourceID=14","4.33e-05")</f>
        <v>4.33e-05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HYPERLINK("http://141.218.60.56/~jnz1568/getInfo.php?workbook=20_05.xlsx&amp;sheet=U0&amp;row=7070&amp;col=6&amp;number=3.6&amp;sourceID=14","3.6")</f>
        <v>3.6</v>
      </c>
      <c r="G7070" s="4" t="str">
        <f>HYPERLINK("http://141.218.60.56/~jnz1568/getInfo.php?workbook=20_05.xlsx&amp;sheet=U0&amp;row=7070&amp;col=7&amp;number=4.33e-05&amp;sourceID=14","4.33e-05")</f>
        <v>4.33e-05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HYPERLINK("http://141.218.60.56/~jnz1568/getInfo.php?workbook=20_05.xlsx&amp;sheet=U0&amp;row=7071&amp;col=6&amp;number=3.7&amp;sourceID=14","3.7")</f>
        <v>3.7</v>
      </c>
      <c r="G7071" s="4" t="str">
        <f>HYPERLINK("http://141.218.60.56/~jnz1568/getInfo.php?workbook=20_05.xlsx&amp;sheet=U0&amp;row=7071&amp;col=7&amp;number=4.33e-05&amp;sourceID=14","4.33e-05")</f>
        <v>4.33e-05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HYPERLINK("http://141.218.60.56/~jnz1568/getInfo.php?workbook=20_05.xlsx&amp;sheet=U0&amp;row=7072&amp;col=6&amp;number=3.8&amp;sourceID=14","3.8")</f>
        <v>3.8</v>
      </c>
      <c r="G7072" s="4" t="str">
        <f>HYPERLINK("http://141.218.60.56/~jnz1568/getInfo.php?workbook=20_05.xlsx&amp;sheet=U0&amp;row=7072&amp;col=7&amp;number=4.33e-05&amp;sourceID=14","4.33e-05")</f>
        <v>4.33e-05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HYPERLINK("http://141.218.60.56/~jnz1568/getInfo.php?workbook=20_05.xlsx&amp;sheet=U0&amp;row=7073&amp;col=6&amp;number=3.9&amp;sourceID=14","3.9")</f>
        <v>3.9</v>
      </c>
      <c r="G7073" s="4" t="str">
        <f>HYPERLINK("http://141.218.60.56/~jnz1568/getInfo.php?workbook=20_05.xlsx&amp;sheet=U0&amp;row=7073&amp;col=7&amp;number=4.33e-05&amp;sourceID=14","4.33e-05")</f>
        <v>4.33e-05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HYPERLINK("http://141.218.60.56/~jnz1568/getInfo.php?workbook=20_05.xlsx&amp;sheet=U0&amp;row=7074&amp;col=6&amp;number=4&amp;sourceID=14","4")</f>
        <v>4</v>
      </c>
      <c r="G7074" s="4" t="str">
        <f>HYPERLINK("http://141.218.60.56/~jnz1568/getInfo.php?workbook=20_05.xlsx&amp;sheet=U0&amp;row=7074&amp;col=7&amp;number=4.34e-05&amp;sourceID=14","4.34e-05")</f>
        <v>4.34e-05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HYPERLINK("http://141.218.60.56/~jnz1568/getInfo.php?workbook=20_05.xlsx&amp;sheet=U0&amp;row=7075&amp;col=6&amp;number=4.1&amp;sourceID=14","4.1")</f>
        <v>4.1</v>
      </c>
      <c r="G7075" s="4" t="str">
        <f>HYPERLINK("http://141.218.60.56/~jnz1568/getInfo.php?workbook=20_05.xlsx&amp;sheet=U0&amp;row=7075&amp;col=7&amp;number=4.34e-05&amp;sourceID=14","4.34e-05")</f>
        <v>4.34e-05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HYPERLINK("http://141.218.60.56/~jnz1568/getInfo.php?workbook=20_05.xlsx&amp;sheet=U0&amp;row=7076&amp;col=6&amp;number=4.2&amp;sourceID=14","4.2")</f>
        <v>4.2</v>
      </c>
      <c r="G7076" s="4" t="str">
        <f>HYPERLINK("http://141.218.60.56/~jnz1568/getInfo.php?workbook=20_05.xlsx&amp;sheet=U0&amp;row=7076&amp;col=7&amp;number=4.34e-05&amp;sourceID=14","4.34e-05")</f>
        <v>4.34e-05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HYPERLINK("http://141.218.60.56/~jnz1568/getInfo.php?workbook=20_05.xlsx&amp;sheet=U0&amp;row=7077&amp;col=6&amp;number=4.3&amp;sourceID=14","4.3")</f>
        <v>4.3</v>
      </c>
      <c r="G7077" s="4" t="str">
        <f>HYPERLINK("http://141.218.60.56/~jnz1568/getInfo.php?workbook=20_05.xlsx&amp;sheet=U0&amp;row=7077&amp;col=7&amp;number=4.35e-05&amp;sourceID=14","4.35e-05")</f>
        <v>4.35e-05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HYPERLINK("http://141.218.60.56/~jnz1568/getInfo.php?workbook=20_05.xlsx&amp;sheet=U0&amp;row=7078&amp;col=6&amp;number=4.4&amp;sourceID=14","4.4")</f>
        <v>4.4</v>
      </c>
      <c r="G7078" s="4" t="str">
        <f>HYPERLINK("http://141.218.60.56/~jnz1568/getInfo.php?workbook=20_05.xlsx&amp;sheet=U0&amp;row=7078&amp;col=7&amp;number=4.36e-05&amp;sourceID=14","4.36e-05")</f>
        <v>4.36e-05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HYPERLINK("http://141.218.60.56/~jnz1568/getInfo.php?workbook=20_05.xlsx&amp;sheet=U0&amp;row=7079&amp;col=6&amp;number=4.5&amp;sourceID=14","4.5")</f>
        <v>4.5</v>
      </c>
      <c r="G7079" s="4" t="str">
        <f>HYPERLINK("http://141.218.60.56/~jnz1568/getInfo.php?workbook=20_05.xlsx&amp;sheet=U0&amp;row=7079&amp;col=7&amp;number=4.36e-05&amp;sourceID=14","4.36e-05")</f>
        <v>4.36e-05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HYPERLINK("http://141.218.60.56/~jnz1568/getInfo.php?workbook=20_05.xlsx&amp;sheet=U0&amp;row=7080&amp;col=6&amp;number=4.6&amp;sourceID=14","4.6")</f>
        <v>4.6</v>
      </c>
      <c r="G7080" s="4" t="str">
        <f>HYPERLINK("http://141.218.60.56/~jnz1568/getInfo.php?workbook=20_05.xlsx&amp;sheet=U0&amp;row=7080&amp;col=7&amp;number=4.37e-05&amp;sourceID=14","4.37e-05")</f>
        <v>4.37e-05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HYPERLINK("http://141.218.60.56/~jnz1568/getInfo.php?workbook=20_05.xlsx&amp;sheet=U0&amp;row=7081&amp;col=6&amp;number=4.7&amp;sourceID=14","4.7")</f>
        <v>4.7</v>
      </c>
      <c r="G7081" s="4" t="str">
        <f>HYPERLINK("http://141.218.60.56/~jnz1568/getInfo.php?workbook=20_05.xlsx&amp;sheet=U0&amp;row=7081&amp;col=7&amp;number=4.39e-05&amp;sourceID=14","4.39e-05")</f>
        <v>4.39e-05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HYPERLINK("http://141.218.60.56/~jnz1568/getInfo.php?workbook=20_05.xlsx&amp;sheet=U0&amp;row=7082&amp;col=6&amp;number=4.8&amp;sourceID=14","4.8")</f>
        <v>4.8</v>
      </c>
      <c r="G7082" s="4" t="str">
        <f>HYPERLINK("http://141.218.60.56/~jnz1568/getInfo.php?workbook=20_05.xlsx&amp;sheet=U0&amp;row=7082&amp;col=7&amp;number=4.41e-05&amp;sourceID=14","4.41e-05")</f>
        <v>4.41e-05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HYPERLINK("http://141.218.60.56/~jnz1568/getInfo.php?workbook=20_05.xlsx&amp;sheet=U0&amp;row=7083&amp;col=6&amp;number=4.9&amp;sourceID=14","4.9")</f>
        <v>4.9</v>
      </c>
      <c r="G7083" s="4" t="str">
        <f>HYPERLINK("http://141.218.60.56/~jnz1568/getInfo.php?workbook=20_05.xlsx&amp;sheet=U0&amp;row=7083&amp;col=7&amp;number=4.43e-05&amp;sourceID=14","4.43e-05")</f>
        <v>4.43e-05</v>
      </c>
    </row>
    <row r="7084" spans="1:7">
      <c r="A7084" s="3">
        <v>20</v>
      </c>
      <c r="B7084" s="3">
        <v>5</v>
      </c>
      <c r="C7084" s="3">
        <v>3</v>
      </c>
      <c r="D7084" s="3">
        <v>98</v>
      </c>
      <c r="E7084" s="3">
        <v>1</v>
      </c>
      <c r="F7084" s="4" t="str">
        <f>HYPERLINK("http://141.218.60.56/~jnz1568/getInfo.php?workbook=20_05.xlsx&amp;sheet=U0&amp;row=7084&amp;col=6&amp;number=3&amp;sourceID=14","3")</f>
        <v>3</v>
      </c>
      <c r="G7084" s="4" t="str">
        <f>HYPERLINK("http://141.218.60.56/~jnz1568/getInfo.php?workbook=20_05.xlsx&amp;sheet=U0&amp;row=7084&amp;col=7&amp;number=0.0022&amp;sourceID=14","0.0022")</f>
        <v>0.0022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HYPERLINK("http://141.218.60.56/~jnz1568/getInfo.php?workbook=20_05.xlsx&amp;sheet=U0&amp;row=7085&amp;col=6&amp;number=3.1&amp;sourceID=14","3.1")</f>
        <v>3.1</v>
      </c>
      <c r="G7085" s="4" t="str">
        <f>HYPERLINK("http://141.218.60.56/~jnz1568/getInfo.php?workbook=20_05.xlsx&amp;sheet=U0&amp;row=7085&amp;col=7&amp;number=0.0022&amp;sourceID=14","0.0022")</f>
        <v>0.0022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HYPERLINK("http://141.218.60.56/~jnz1568/getInfo.php?workbook=20_05.xlsx&amp;sheet=U0&amp;row=7086&amp;col=6&amp;number=3.2&amp;sourceID=14","3.2")</f>
        <v>3.2</v>
      </c>
      <c r="G7086" s="4" t="str">
        <f>HYPERLINK("http://141.218.60.56/~jnz1568/getInfo.php?workbook=20_05.xlsx&amp;sheet=U0&amp;row=7086&amp;col=7&amp;number=0.0022&amp;sourceID=14","0.0022")</f>
        <v>0.0022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HYPERLINK("http://141.218.60.56/~jnz1568/getInfo.php?workbook=20_05.xlsx&amp;sheet=U0&amp;row=7087&amp;col=6&amp;number=3.3&amp;sourceID=14","3.3")</f>
        <v>3.3</v>
      </c>
      <c r="G7087" s="4" t="str">
        <f>HYPERLINK("http://141.218.60.56/~jnz1568/getInfo.php?workbook=20_05.xlsx&amp;sheet=U0&amp;row=7087&amp;col=7&amp;number=0.0022&amp;sourceID=14","0.0022")</f>
        <v>0.0022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HYPERLINK("http://141.218.60.56/~jnz1568/getInfo.php?workbook=20_05.xlsx&amp;sheet=U0&amp;row=7088&amp;col=6&amp;number=3.4&amp;sourceID=14","3.4")</f>
        <v>3.4</v>
      </c>
      <c r="G7088" s="4" t="str">
        <f>HYPERLINK("http://141.218.60.56/~jnz1568/getInfo.php?workbook=20_05.xlsx&amp;sheet=U0&amp;row=7088&amp;col=7&amp;number=0.0022&amp;sourceID=14","0.0022")</f>
        <v>0.0022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HYPERLINK("http://141.218.60.56/~jnz1568/getInfo.php?workbook=20_05.xlsx&amp;sheet=U0&amp;row=7089&amp;col=6&amp;number=3.5&amp;sourceID=14","3.5")</f>
        <v>3.5</v>
      </c>
      <c r="G7089" s="4" t="str">
        <f>HYPERLINK("http://141.218.60.56/~jnz1568/getInfo.php?workbook=20_05.xlsx&amp;sheet=U0&amp;row=7089&amp;col=7&amp;number=0.0022&amp;sourceID=14","0.0022")</f>
        <v>0.0022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HYPERLINK("http://141.218.60.56/~jnz1568/getInfo.php?workbook=20_05.xlsx&amp;sheet=U0&amp;row=7090&amp;col=6&amp;number=3.6&amp;sourceID=14","3.6")</f>
        <v>3.6</v>
      </c>
      <c r="G7090" s="4" t="str">
        <f>HYPERLINK("http://141.218.60.56/~jnz1568/getInfo.php?workbook=20_05.xlsx&amp;sheet=U0&amp;row=7090&amp;col=7&amp;number=0.0022&amp;sourceID=14","0.0022")</f>
        <v>0.0022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HYPERLINK("http://141.218.60.56/~jnz1568/getInfo.php?workbook=20_05.xlsx&amp;sheet=U0&amp;row=7091&amp;col=6&amp;number=3.7&amp;sourceID=14","3.7")</f>
        <v>3.7</v>
      </c>
      <c r="G7091" s="4" t="str">
        <f>HYPERLINK("http://141.218.60.56/~jnz1568/getInfo.php?workbook=20_05.xlsx&amp;sheet=U0&amp;row=7091&amp;col=7&amp;number=0.0022&amp;sourceID=14","0.0022")</f>
        <v>0.0022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HYPERLINK("http://141.218.60.56/~jnz1568/getInfo.php?workbook=20_05.xlsx&amp;sheet=U0&amp;row=7092&amp;col=6&amp;number=3.8&amp;sourceID=14","3.8")</f>
        <v>3.8</v>
      </c>
      <c r="G7092" s="4" t="str">
        <f>HYPERLINK("http://141.218.60.56/~jnz1568/getInfo.php?workbook=20_05.xlsx&amp;sheet=U0&amp;row=7092&amp;col=7&amp;number=0.0022&amp;sourceID=14","0.0022")</f>
        <v>0.0022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HYPERLINK("http://141.218.60.56/~jnz1568/getInfo.php?workbook=20_05.xlsx&amp;sheet=U0&amp;row=7093&amp;col=6&amp;number=3.9&amp;sourceID=14","3.9")</f>
        <v>3.9</v>
      </c>
      <c r="G7093" s="4" t="str">
        <f>HYPERLINK("http://141.218.60.56/~jnz1568/getInfo.php?workbook=20_05.xlsx&amp;sheet=U0&amp;row=7093&amp;col=7&amp;number=0.0022&amp;sourceID=14","0.0022")</f>
        <v>0.0022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HYPERLINK("http://141.218.60.56/~jnz1568/getInfo.php?workbook=20_05.xlsx&amp;sheet=U0&amp;row=7094&amp;col=6&amp;number=4&amp;sourceID=14","4")</f>
        <v>4</v>
      </c>
      <c r="G7094" s="4" t="str">
        <f>HYPERLINK("http://141.218.60.56/~jnz1568/getInfo.php?workbook=20_05.xlsx&amp;sheet=U0&amp;row=7094&amp;col=7&amp;number=0.0022&amp;sourceID=14","0.0022")</f>
        <v>0.0022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HYPERLINK("http://141.218.60.56/~jnz1568/getInfo.php?workbook=20_05.xlsx&amp;sheet=U0&amp;row=7095&amp;col=6&amp;number=4.1&amp;sourceID=14","4.1")</f>
        <v>4.1</v>
      </c>
      <c r="G7095" s="4" t="str">
        <f>HYPERLINK("http://141.218.60.56/~jnz1568/getInfo.php?workbook=20_05.xlsx&amp;sheet=U0&amp;row=7095&amp;col=7&amp;number=0.00221&amp;sourceID=14","0.00221")</f>
        <v>0.00221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HYPERLINK("http://141.218.60.56/~jnz1568/getInfo.php?workbook=20_05.xlsx&amp;sheet=U0&amp;row=7096&amp;col=6&amp;number=4.2&amp;sourceID=14","4.2")</f>
        <v>4.2</v>
      </c>
      <c r="G7096" s="4" t="str">
        <f>HYPERLINK("http://141.218.60.56/~jnz1568/getInfo.php?workbook=20_05.xlsx&amp;sheet=U0&amp;row=7096&amp;col=7&amp;number=0.00221&amp;sourceID=14","0.00221")</f>
        <v>0.00221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HYPERLINK("http://141.218.60.56/~jnz1568/getInfo.php?workbook=20_05.xlsx&amp;sheet=U0&amp;row=7097&amp;col=6&amp;number=4.3&amp;sourceID=14","4.3")</f>
        <v>4.3</v>
      </c>
      <c r="G7097" s="4" t="str">
        <f>HYPERLINK("http://141.218.60.56/~jnz1568/getInfo.php?workbook=20_05.xlsx&amp;sheet=U0&amp;row=7097&amp;col=7&amp;number=0.00221&amp;sourceID=14","0.00221")</f>
        <v>0.00221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HYPERLINK("http://141.218.60.56/~jnz1568/getInfo.php?workbook=20_05.xlsx&amp;sheet=U0&amp;row=7098&amp;col=6&amp;number=4.4&amp;sourceID=14","4.4")</f>
        <v>4.4</v>
      </c>
      <c r="G7098" s="4" t="str">
        <f>HYPERLINK("http://141.218.60.56/~jnz1568/getInfo.php?workbook=20_05.xlsx&amp;sheet=U0&amp;row=7098&amp;col=7&amp;number=0.00222&amp;sourceID=14","0.00222")</f>
        <v>0.00222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HYPERLINK("http://141.218.60.56/~jnz1568/getInfo.php?workbook=20_05.xlsx&amp;sheet=U0&amp;row=7099&amp;col=6&amp;number=4.5&amp;sourceID=14","4.5")</f>
        <v>4.5</v>
      </c>
      <c r="G7099" s="4" t="str">
        <f>HYPERLINK("http://141.218.60.56/~jnz1568/getInfo.php?workbook=20_05.xlsx&amp;sheet=U0&amp;row=7099&amp;col=7&amp;number=0.00222&amp;sourceID=14","0.00222")</f>
        <v>0.00222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HYPERLINK("http://141.218.60.56/~jnz1568/getInfo.php?workbook=20_05.xlsx&amp;sheet=U0&amp;row=7100&amp;col=6&amp;number=4.6&amp;sourceID=14","4.6")</f>
        <v>4.6</v>
      </c>
      <c r="G7100" s="4" t="str">
        <f>HYPERLINK("http://141.218.60.56/~jnz1568/getInfo.php?workbook=20_05.xlsx&amp;sheet=U0&amp;row=7100&amp;col=7&amp;number=0.00223&amp;sourceID=14","0.00223")</f>
        <v>0.00223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HYPERLINK("http://141.218.60.56/~jnz1568/getInfo.php?workbook=20_05.xlsx&amp;sheet=U0&amp;row=7101&amp;col=6&amp;number=4.7&amp;sourceID=14","4.7")</f>
        <v>4.7</v>
      </c>
      <c r="G7101" s="4" t="str">
        <f>HYPERLINK("http://141.218.60.56/~jnz1568/getInfo.php?workbook=20_05.xlsx&amp;sheet=U0&amp;row=7101&amp;col=7&amp;number=0.00224&amp;sourceID=14","0.00224")</f>
        <v>0.00224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HYPERLINK("http://141.218.60.56/~jnz1568/getInfo.php?workbook=20_05.xlsx&amp;sheet=U0&amp;row=7102&amp;col=6&amp;number=4.8&amp;sourceID=14","4.8")</f>
        <v>4.8</v>
      </c>
      <c r="G7102" s="4" t="str">
        <f>HYPERLINK("http://141.218.60.56/~jnz1568/getInfo.php?workbook=20_05.xlsx&amp;sheet=U0&amp;row=7102&amp;col=7&amp;number=0.00225&amp;sourceID=14","0.00225")</f>
        <v>0.00225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HYPERLINK("http://141.218.60.56/~jnz1568/getInfo.php?workbook=20_05.xlsx&amp;sheet=U0&amp;row=7103&amp;col=6&amp;number=4.9&amp;sourceID=14","4.9")</f>
        <v>4.9</v>
      </c>
      <c r="G7103" s="4" t="str">
        <f>HYPERLINK("http://141.218.60.56/~jnz1568/getInfo.php?workbook=20_05.xlsx&amp;sheet=U0&amp;row=7103&amp;col=7&amp;number=0.00227&amp;sourceID=14","0.00227")</f>
        <v>0.00227</v>
      </c>
    </row>
    <row r="7104" spans="1:7">
      <c r="A7104" s="3">
        <v>20</v>
      </c>
      <c r="B7104" s="3">
        <v>5</v>
      </c>
      <c r="C7104" s="3">
        <v>3</v>
      </c>
      <c r="D7104" s="3">
        <v>99</v>
      </c>
      <c r="E7104" s="3">
        <v>1</v>
      </c>
      <c r="F7104" s="4" t="str">
        <f>HYPERLINK("http://141.218.60.56/~jnz1568/getInfo.php?workbook=20_05.xlsx&amp;sheet=U0&amp;row=7104&amp;col=6&amp;number=3&amp;sourceID=14","3")</f>
        <v>3</v>
      </c>
      <c r="G7104" s="4" t="str">
        <f>HYPERLINK("http://141.218.60.56/~jnz1568/getInfo.php?workbook=20_05.xlsx&amp;sheet=U0&amp;row=7104&amp;col=7&amp;number=0.00167&amp;sourceID=14","0.00167")</f>
        <v>0.00167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HYPERLINK("http://141.218.60.56/~jnz1568/getInfo.php?workbook=20_05.xlsx&amp;sheet=U0&amp;row=7105&amp;col=6&amp;number=3.1&amp;sourceID=14","3.1")</f>
        <v>3.1</v>
      </c>
      <c r="G7105" s="4" t="str">
        <f>HYPERLINK("http://141.218.60.56/~jnz1568/getInfo.php?workbook=20_05.xlsx&amp;sheet=U0&amp;row=7105&amp;col=7&amp;number=0.00167&amp;sourceID=14","0.00167")</f>
        <v>0.00167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HYPERLINK("http://141.218.60.56/~jnz1568/getInfo.php?workbook=20_05.xlsx&amp;sheet=U0&amp;row=7106&amp;col=6&amp;number=3.2&amp;sourceID=14","3.2")</f>
        <v>3.2</v>
      </c>
      <c r="G7106" s="4" t="str">
        <f>HYPERLINK("http://141.218.60.56/~jnz1568/getInfo.php?workbook=20_05.xlsx&amp;sheet=U0&amp;row=7106&amp;col=7&amp;number=0.00167&amp;sourceID=14","0.00167")</f>
        <v>0.00167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HYPERLINK("http://141.218.60.56/~jnz1568/getInfo.php?workbook=20_05.xlsx&amp;sheet=U0&amp;row=7107&amp;col=6&amp;number=3.3&amp;sourceID=14","3.3")</f>
        <v>3.3</v>
      </c>
      <c r="G7107" s="4" t="str">
        <f>HYPERLINK("http://141.218.60.56/~jnz1568/getInfo.php?workbook=20_05.xlsx&amp;sheet=U0&amp;row=7107&amp;col=7&amp;number=0.00167&amp;sourceID=14","0.00167")</f>
        <v>0.00167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HYPERLINK("http://141.218.60.56/~jnz1568/getInfo.php?workbook=20_05.xlsx&amp;sheet=U0&amp;row=7108&amp;col=6&amp;number=3.4&amp;sourceID=14","3.4")</f>
        <v>3.4</v>
      </c>
      <c r="G7108" s="4" t="str">
        <f>HYPERLINK("http://141.218.60.56/~jnz1568/getInfo.php?workbook=20_05.xlsx&amp;sheet=U0&amp;row=7108&amp;col=7&amp;number=0.00167&amp;sourceID=14","0.00167")</f>
        <v>0.00167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HYPERLINK("http://141.218.60.56/~jnz1568/getInfo.php?workbook=20_05.xlsx&amp;sheet=U0&amp;row=7109&amp;col=6&amp;number=3.5&amp;sourceID=14","3.5")</f>
        <v>3.5</v>
      </c>
      <c r="G7109" s="4" t="str">
        <f>HYPERLINK("http://141.218.60.56/~jnz1568/getInfo.php?workbook=20_05.xlsx&amp;sheet=U0&amp;row=7109&amp;col=7&amp;number=0.00167&amp;sourceID=14","0.00167")</f>
        <v>0.00167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HYPERLINK("http://141.218.60.56/~jnz1568/getInfo.php?workbook=20_05.xlsx&amp;sheet=U0&amp;row=7110&amp;col=6&amp;number=3.6&amp;sourceID=14","3.6")</f>
        <v>3.6</v>
      </c>
      <c r="G7110" s="4" t="str">
        <f>HYPERLINK("http://141.218.60.56/~jnz1568/getInfo.php?workbook=20_05.xlsx&amp;sheet=U0&amp;row=7110&amp;col=7&amp;number=0.00167&amp;sourceID=14","0.00167")</f>
        <v>0.00167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HYPERLINK("http://141.218.60.56/~jnz1568/getInfo.php?workbook=20_05.xlsx&amp;sheet=U0&amp;row=7111&amp;col=6&amp;number=3.7&amp;sourceID=14","3.7")</f>
        <v>3.7</v>
      </c>
      <c r="G7111" s="4" t="str">
        <f>HYPERLINK("http://141.218.60.56/~jnz1568/getInfo.php?workbook=20_05.xlsx&amp;sheet=U0&amp;row=7111&amp;col=7&amp;number=0.00167&amp;sourceID=14","0.00167")</f>
        <v>0.00167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HYPERLINK("http://141.218.60.56/~jnz1568/getInfo.php?workbook=20_05.xlsx&amp;sheet=U0&amp;row=7112&amp;col=6&amp;number=3.8&amp;sourceID=14","3.8")</f>
        <v>3.8</v>
      </c>
      <c r="G7112" s="4" t="str">
        <f>HYPERLINK("http://141.218.60.56/~jnz1568/getInfo.php?workbook=20_05.xlsx&amp;sheet=U0&amp;row=7112&amp;col=7&amp;number=0.00167&amp;sourceID=14","0.00167")</f>
        <v>0.00167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HYPERLINK("http://141.218.60.56/~jnz1568/getInfo.php?workbook=20_05.xlsx&amp;sheet=U0&amp;row=7113&amp;col=6&amp;number=3.9&amp;sourceID=14","3.9")</f>
        <v>3.9</v>
      </c>
      <c r="G7113" s="4" t="str">
        <f>HYPERLINK("http://141.218.60.56/~jnz1568/getInfo.php?workbook=20_05.xlsx&amp;sheet=U0&amp;row=7113&amp;col=7&amp;number=0.00167&amp;sourceID=14","0.00167")</f>
        <v>0.00167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HYPERLINK("http://141.218.60.56/~jnz1568/getInfo.php?workbook=20_05.xlsx&amp;sheet=U0&amp;row=7114&amp;col=6&amp;number=4&amp;sourceID=14","4")</f>
        <v>4</v>
      </c>
      <c r="G7114" s="4" t="str">
        <f>HYPERLINK("http://141.218.60.56/~jnz1568/getInfo.php?workbook=20_05.xlsx&amp;sheet=U0&amp;row=7114&amp;col=7&amp;number=0.00167&amp;sourceID=14","0.00167")</f>
        <v>0.00167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HYPERLINK("http://141.218.60.56/~jnz1568/getInfo.php?workbook=20_05.xlsx&amp;sheet=U0&amp;row=7115&amp;col=6&amp;number=4.1&amp;sourceID=14","4.1")</f>
        <v>4.1</v>
      </c>
      <c r="G7115" s="4" t="str">
        <f>HYPERLINK("http://141.218.60.56/~jnz1568/getInfo.php?workbook=20_05.xlsx&amp;sheet=U0&amp;row=7115&amp;col=7&amp;number=0.00167&amp;sourceID=14","0.00167")</f>
        <v>0.00167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HYPERLINK("http://141.218.60.56/~jnz1568/getInfo.php?workbook=20_05.xlsx&amp;sheet=U0&amp;row=7116&amp;col=6&amp;number=4.2&amp;sourceID=14","4.2")</f>
        <v>4.2</v>
      </c>
      <c r="G7116" s="4" t="str">
        <f>HYPERLINK("http://141.218.60.56/~jnz1568/getInfo.php?workbook=20_05.xlsx&amp;sheet=U0&amp;row=7116&amp;col=7&amp;number=0.00167&amp;sourceID=14","0.00167")</f>
        <v>0.00167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HYPERLINK("http://141.218.60.56/~jnz1568/getInfo.php?workbook=20_05.xlsx&amp;sheet=U0&amp;row=7117&amp;col=6&amp;number=4.3&amp;sourceID=14","4.3")</f>
        <v>4.3</v>
      </c>
      <c r="G7117" s="4" t="str">
        <f>HYPERLINK("http://141.218.60.56/~jnz1568/getInfo.php?workbook=20_05.xlsx&amp;sheet=U0&amp;row=7117&amp;col=7&amp;number=0.00167&amp;sourceID=14","0.00167")</f>
        <v>0.00167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HYPERLINK("http://141.218.60.56/~jnz1568/getInfo.php?workbook=20_05.xlsx&amp;sheet=U0&amp;row=7118&amp;col=6&amp;number=4.4&amp;sourceID=14","4.4")</f>
        <v>4.4</v>
      </c>
      <c r="G7118" s="4" t="str">
        <f>HYPERLINK("http://141.218.60.56/~jnz1568/getInfo.php?workbook=20_05.xlsx&amp;sheet=U0&amp;row=7118&amp;col=7&amp;number=0.00168&amp;sourceID=14","0.00168")</f>
        <v>0.00168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HYPERLINK("http://141.218.60.56/~jnz1568/getInfo.php?workbook=20_05.xlsx&amp;sheet=U0&amp;row=7119&amp;col=6&amp;number=4.5&amp;sourceID=14","4.5")</f>
        <v>4.5</v>
      </c>
      <c r="G7119" s="4" t="str">
        <f>HYPERLINK("http://141.218.60.56/~jnz1568/getInfo.php?workbook=20_05.xlsx&amp;sheet=U0&amp;row=7119&amp;col=7&amp;number=0.00168&amp;sourceID=14","0.00168")</f>
        <v>0.00168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HYPERLINK("http://141.218.60.56/~jnz1568/getInfo.php?workbook=20_05.xlsx&amp;sheet=U0&amp;row=7120&amp;col=6&amp;number=4.6&amp;sourceID=14","4.6")</f>
        <v>4.6</v>
      </c>
      <c r="G7120" s="4" t="str">
        <f>HYPERLINK("http://141.218.60.56/~jnz1568/getInfo.php?workbook=20_05.xlsx&amp;sheet=U0&amp;row=7120&amp;col=7&amp;number=0.00168&amp;sourceID=14","0.00168")</f>
        <v>0.00168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HYPERLINK("http://141.218.60.56/~jnz1568/getInfo.php?workbook=20_05.xlsx&amp;sheet=U0&amp;row=7121&amp;col=6&amp;number=4.7&amp;sourceID=14","4.7")</f>
        <v>4.7</v>
      </c>
      <c r="G7121" s="4" t="str">
        <f>HYPERLINK("http://141.218.60.56/~jnz1568/getInfo.php?workbook=20_05.xlsx&amp;sheet=U0&amp;row=7121&amp;col=7&amp;number=0.00169&amp;sourceID=14","0.00169")</f>
        <v>0.00169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HYPERLINK("http://141.218.60.56/~jnz1568/getInfo.php?workbook=20_05.xlsx&amp;sheet=U0&amp;row=7122&amp;col=6&amp;number=4.8&amp;sourceID=14","4.8")</f>
        <v>4.8</v>
      </c>
      <c r="G7122" s="4" t="str">
        <f>HYPERLINK("http://141.218.60.56/~jnz1568/getInfo.php?workbook=20_05.xlsx&amp;sheet=U0&amp;row=7122&amp;col=7&amp;number=0.00169&amp;sourceID=14","0.00169")</f>
        <v>0.00169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HYPERLINK("http://141.218.60.56/~jnz1568/getInfo.php?workbook=20_05.xlsx&amp;sheet=U0&amp;row=7123&amp;col=6&amp;number=4.9&amp;sourceID=14","4.9")</f>
        <v>4.9</v>
      </c>
      <c r="G7123" s="4" t="str">
        <f>HYPERLINK("http://141.218.60.56/~jnz1568/getInfo.php?workbook=20_05.xlsx&amp;sheet=U0&amp;row=7123&amp;col=7&amp;number=0.0017&amp;sourceID=14","0.0017")</f>
        <v>0.0017</v>
      </c>
    </row>
    <row r="7124" spans="1:7">
      <c r="A7124" s="3">
        <v>20</v>
      </c>
      <c r="B7124" s="3">
        <v>5</v>
      </c>
      <c r="C7124" s="3">
        <v>3</v>
      </c>
      <c r="D7124" s="3">
        <v>100</v>
      </c>
      <c r="E7124" s="3">
        <v>1</v>
      </c>
      <c r="F7124" s="4" t="str">
        <f>HYPERLINK("http://141.218.60.56/~jnz1568/getInfo.php?workbook=20_05.xlsx&amp;sheet=U0&amp;row=7124&amp;col=6&amp;number=3&amp;sourceID=14","3")</f>
        <v>3</v>
      </c>
      <c r="G7124" s="4" t="str">
        <f>HYPERLINK("http://141.218.60.56/~jnz1568/getInfo.php?workbook=20_05.xlsx&amp;sheet=U0&amp;row=7124&amp;col=7&amp;number=0.000519&amp;sourceID=14","0.000519")</f>
        <v>0.000519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HYPERLINK("http://141.218.60.56/~jnz1568/getInfo.php?workbook=20_05.xlsx&amp;sheet=U0&amp;row=7125&amp;col=6&amp;number=3.1&amp;sourceID=14","3.1")</f>
        <v>3.1</v>
      </c>
      <c r="G7125" s="4" t="str">
        <f>HYPERLINK("http://141.218.60.56/~jnz1568/getInfo.php?workbook=20_05.xlsx&amp;sheet=U0&amp;row=7125&amp;col=7&amp;number=0.000519&amp;sourceID=14","0.000519")</f>
        <v>0.000519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HYPERLINK("http://141.218.60.56/~jnz1568/getInfo.php?workbook=20_05.xlsx&amp;sheet=U0&amp;row=7126&amp;col=6&amp;number=3.2&amp;sourceID=14","3.2")</f>
        <v>3.2</v>
      </c>
      <c r="G7126" s="4" t="str">
        <f>HYPERLINK("http://141.218.60.56/~jnz1568/getInfo.php?workbook=20_05.xlsx&amp;sheet=U0&amp;row=7126&amp;col=7&amp;number=0.000519&amp;sourceID=14","0.000519")</f>
        <v>0.000519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HYPERLINK("http://141.218.60.56/~jnz1568/getInfo.php?workbook=20_05.xlsx&amp;sheet=U0&amp;row=7127&amp;col=6&amp;number=3.3&amp;sourceID=14","3.3")</f>
        <v>3.3</v>
      </c>
      <c r="G7127" s="4" t="str">
        <f>HYPERLINK("http://141.218.60.56/~jnz1568/getInfo.php?workbook=20_05.xlsx&amp;sheet=U0&amp;row=7127&amp;col=7&amp;number=0.000519&amp;sourceID=14","0.000519")</f>
        <v>0.000519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HYPERLINK("http://141.218.60.56/~jnz1568/getInfo.php?workbook=20_05.xlsx&amp;sheet=U0&amp;row=7128&amp;col=6&amp;number=3.4&amp;sourceID=14","3.4")</f>
        <v>3.4</v>
      </c>
      <c r="G7128" s="4" t="str">
        <f>HYPERLINK("http://141.218.60.56/~jnz1568/getInfo.php?workbook=20_05.xlsx&amp;sheet=U0&amp;row=7128&amp;col=7&amp;number=0.000519&amp;sourceID=14","0.000519")</f>
        <v>0.000519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HYPERLINK("http://141.218.60.56/~jnz1568/getInfo.php?workbook=20_05.xlsx&amp;sheet=U0&amp;row=7129&amp;col=6&amp;number=3.5&amp;sourceID=14","3.5")</f>
        <v>3.5</v>
      </c>
      <c r="G7129" s="4" t="str">
        <f>HYPERLINK("http://141.218.60.56/~jnz1568/getInfo.php?workbook=20_05.xlsx&amp;sheet=U0&amp;row=7129&amp;col=7&amp;number=0.000519&amp;sourceID=14","0.000519")</f>
        <v>0.000519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HYPERLINK("http://141.218.60.56/~jnz1568/getInfo.php?workbook=20_05.xlsx&amp;sheet=U0&amp;row=7130&amp;col=6&amp;number=3.6&amp;sourceID=14","3.6")</f>
        <v>3.6</v>
      </c>
      <c r="G7130" s="4" t="str">
        <f>HYPERLINK("http://141.218.60.56/~jnz1568/getInfo.php?workbook=20_05.xlsx&amp;sheet=U0&amp;row=7130&amp;col=7&amp;number=0.000519&amp;sourceID=14","0.000519")</f>
        <v>0.000519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HYPERLINK("http://141.218.60.56/~jnz1568/getInfo.php?workbook=20_05.xlsx&amp;sheet=U0&amp;row=7131&amp;col=6&amp;number=3.7&amp;sourceID=14","3.7")</f>
        <v>3.7</v>
      </c>
      <c r="G7131" s="4" t="str">
        <f>HYPERLINK("http://141.218.60.56/~jnz1568/getInfo.php?workbook=20_05.xlsx&amp;sheet=U0&amp;row=7131&amp;col=7&amp;number=0.000519&amp;sourceID=14","0.000519")</f>
        <v>0.000519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HYPERLINK("http://141.218.60.56/~jnz1568/getInfo.php?workbook=20_05.xlsx&amp;sheet=U0&amp;row=7132&amp;col=6&amp;number=3.8&amp;sourceID=14","3.8")</f>
        <v>3.8</v>
      </c>
      <c r="G7132" s="4" t="str">
        <f>HYPERLINK("http://141.218.60.56/~jnz1568/getInfo.php?workbook=20_05.xlsx&amp;sheet=U0&amp;row=7132&amp;col=7&amp;number=0.00052&amp;sourceID=14","0.00052")</f>
        <v>0.00052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HYPERLINK("http://141.218.60.56/~jnz1568/getInfo.php?workbook=20_05.xlsx&amp;sheet=U0&amp;row=7133&amp;col=6&amp;number=3.9&amp;sourceID=14","3.9")</f>
        <v>3.9</v>
      </c>
      <c r="G7133" s="4" t="str">
        <f>HYPERLINK("http://141.218.60.56/~jnz1568/getInfo.php?workbook=20_05.xlsx&amp;sheet=U0&amp;row=7133&amp;col=7&amp;number=0.00052&amp;sourceID=14","0.00052")</f>
        <v>0.00052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HYPERLINK("http://141.218.60.56/~jnz1568/getInfo.php?workbook=20_05.xlsx&amp;sheet=U0&amp;row=7134&amp;col=6&amp;number=4&amp;sourceID=14","4")</f>
        <v>4</v>
      </c>
      <c r="G7134" s="4" t="str">
        <f>HYPERLINK("http://141.218.60.56/~jnz1568/getInfo.php?workbook=20_05.xlsx&amp;sheet=U0&amp;row=7134&amp;col=7&amp;number=0.00052&amp;sourceID=14","0.00052")</f>
        <v>0.00052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HYPERLINK("http://141.218.60.56/~jnz1568/getInfo.php?workbook=20_05.xlsx&amp;sheet=U0&amp;row=7135&amp;col=6&amp;number=4.1&amp;sourceID=14","4.1")</f>
        <v>4.1</v>
      </c>
      <c r="G7135" s="4" t="str">
        <f>HYPERLINK("http://141.218.60.56/~jnz1568/getInfo.php?workbook=20_05.xlsx&amp;sheet=U0&amp;row=7135&amp;col=7&amp;number=0.00052&amp;sourceID=14","0.00052")</f>
        <v>0.00052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HYPERLINK("http://141.218.60.56/~jnz1568/getInfo.php?workbook=20_05.xlsx&amp;sheet=U0&amp;row=7136&amp;col=6&amp;number=4.2&amp;sourceID=14","4.2")</f>
        <v>4.2</v>
      </c>
      <c r="G7136" s="4" t="str">
        <f>HYPERLINK("http://141.218.60.56/~jnz1568/getInfo.php?workbook=20_05.xlsx&amp;sheet=U0&amp;row=7136&amp;col=7&amp;number=0.00052&amp;sourceID=14","0.00052")</f>
        <v>0.00052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HYPERLINK("http://141.218.60.56/~jnz1568/getInfo.php?workbook=20_05.xlsx&amp;sheet=U0&amp;row=7137&amp;col=6&amp;number=4.3&amp;sourceID=14","4.3")</f>
        <v>4.3</v>
      </c>
      <c r="G7137" s="4" t="str">
        <f>HYPERLINK("http://141.218.60.56/~jnz1568/getInfo.php?workbook=20_05.xlsx&amp;sheet=U0&amp;row=7137&amp;col=7&amp;number=0.000521&amp;sourceID=14","0.000521")</f>
        <v>0.000521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HYPERLINK("http://141.218.60.56/~jnz1568/getInfo.php?workbook=20_05.xlsx&amp;sheet=U0&amp;row=7138&amp;col=6&amp;number=4.4&amp;sourceID=14","4.4")</f>
        <v>4.4</v>
      </c>
      <c r="G7138" s="4" t="str">
        <f>HYPERLINK("http://141.218.60.56/~jnz1568/getInfo.php?workbook=20_05.xlsx&amp;sheet=U0&amp;row=7138&amp;col=7&amp;number=0.000521&amp;sourceID=14","0.000521")</f>
        <v>0.000521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HYPERLINK("http://141.218.60.56/~jnz1568/getInfo.php?workbook=20_05.xlsx&amp;sheet=U0&amp;row=7139&amp;col=6&amp;number=4.5&amp;sourceID=14","4.5")</f>
        <v>4.5</v>
      </c>
      <c r="G7139" s="4" t="str">
        <f>HYPERLINK("http://141.218.60.56/~jnz1568/getInfo.php?workbook=20_05.xlsx&amp;sheet=U0&amp;row=7139&amp;col=7&amp;number=0.000522&amp;sourceID=14","0.000522")</f>
        <v>0.000522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HYPERLINK("http://141.218.60.56/~jnz1568/getInfo.php?workbook=20_05.xlsx&amp;sheet=U0&amp;row=7140&amp;col=6&amp;number=4.6&amp;sourceID=14","4.6")</f>
        <v>4.6</v>
      </c>
      <c r="G7140" s="4" t="str">
        <f>HYPERLINK("http://141.218.60.56/~jnz1568/getInfo.php?workbook=20_05.xlsx&amp;sheet=U0&amp;row=7140&amp;col=7&amp;number=0.000522&amp;sourceID=14","0.000522")</f>
        <v>0.000522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HYPERLINK("http://141.218.60.56/~jnz1568/getInfo.php?workbook=20_05.xlsx&amp;sheet=U0&amp;row=7141&amp;col=6&amp;number=4.7&amp;sourceID=14","4.7")</f>
        <v>4.7</v>
      </c>
      <c r="G7141" s="4" t="str">
        <f>HYPERLINK("http://141.218.60.56/~jnz1568/getInfo.php?workbook=20_05.xlsx&amp;sheet=U0&amp;row=7141&amp;col=7&amp;number=0.000523&amp;sourceID=14","0.000523")</f>
        <v>0.000523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HYPERLINK("http://141.218.60.56/~jnz1568/getInfo.php?workbook=20_05.xlsx&amp;sheet=U0&amp;row=7142&amp;col=6&amp;number=4.8&amp;sourceID=14","4.8")</f>
        <v>4.8</v>
      </c>
      <c r="G7142" s="4" t="str">
        <f>HYPERLINK("http://141.218.60.56/~jnz1568/getInfo.php?workbook=20_05.xlsx&amp;sheet=U0&amp;row=7142&amp;col=7&amp;number=0.000525&amp;sourceID=14","0.000525")</f>
        <v>0.000525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HYPERLINK("http://141.218.60.56/~jnz1568/getInfo.php?workbook=20_05.xlsx&amp;sheet=U0&amp;row=7143&amp;col=6&amp;number=4.9&amp;sourceID=14","4.9")</f>
        <v>4.9</v>
      </c>
      <c r="G7143" s="4" t="str">
        <f>HYPERLINK("http://141.218.60.56/~jnz1568/getInfo.php?workbook=20_05.xlsx&amp;sheet=U0&amp;row=7143&amp;col=7&amp;number=0.000526&amp;sourceID=14","0.000526")</f>
        <v>0.000526</v>
      </c>
    </row>
    <row r="7144" spans="1:7">
      <c r="A7144" s="3">
        <v>20</v>
      </c>
      <c r="B7144" s="3">
        <v>5</v>
      </c>
      <c r="C7144" s="3">
        <v>3</v>
      </c>
      <c r="D7144" s="3">
        <v>101</v>
      </c>
      <c r="E7144" s="3">
        <v>1</v>
      </c>
      <c r="F7144" s="4" t="str">
        <f>HYPERLINK("http://141.218.60.56/~jnz1568/getInfo.php?workbook=20_05.xlsx&amp;sheet=U0&amp;row=7144&amp;col=6&amp;number=3&amp;sourceID=14","3")</f>
        <v>3</v>
      </c>
      <c r="G7144" s="4" t="str">
        <f>HYPERLINK("http://141.218.60.56/~jnz1568/getInfo.php?workbook=20_05.xlsx&amp;sheet=U0&amp;row=7144&amp;col=7&amp;number=0.000579&amp;sourceID=14","0.000579")</f>
        <v>0.000579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HYPERLINK("http://141.218.60.56/~jnz1568/getInfo.php?workbook=20_05.xlsx&amp;sheet=U0&amp;row=7145&amp;col=6&amp;number=3.1&amp;sourceID=14","3.1")</f>
        <v>3.1</v>
      </c>
      <c r="G7145" s="4" t="str">
        <f>HYPERLINK("http://141.218.60.56/~jnz1568/getInfo.php?workbook=20_05.xlsx&amp;sheet=U0&amp;row=7145&amp;col=7&amp;number=0.000579&amp;sourceID=14","0.000579")</f>
        <v>0.000579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HYPERLINK("http://141.218.60.56/~jnz1568/getInfo.php?workbook=20_05.xlsx&amp;sheet=U0&amp;row=7146&amp;col=6&amp;number=3.2&amp;sourceID=14","3.2")</f>
        <v>3.2</v>
      </c>
      <c r="G7146" s="4" t="str">
        <f>HYPERLINK("http://141.218.60.56/~jnz1568/getInfo.php?workbook=20_05.xlsx&amp;sheet=U0&amp;row=7146&amp;col=7&amp;number=0.00058&amp;sourceID=14","0.00058")</f>
        <v>0.00058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HYPERLINK("http://141.218.60.56/~jnz1568/getInfo.php?workbook=20_05.xlsx&amp;sheet=U0&amp;row=7147&amp;col=6&amp;number=3.3&amp;sourceID=14","3.3")</f>
        <v>3.3</v>
      </c>
      <c r="G7147" s="4" t="str">
        <f>HYPERLINK("http://141.218.60.56/~jnz1568/getInfo.php?workbook=20_05.xlsx&amp;sheet=U0&amp;row=7147&amp;col=7&amp;number=0.00058&amp;sourceID=14","0.00058")</f>
        <v>0.00058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HYPERLINK("http://141.218.60.56/~jnz1568/getInfo.php?workbook=20_05.xlsx&amp;sheet=U0&amp;row=7148&amp;col=6&amp;number=3.4&amp;sourceID=14","3.4")</f>
        <v>3.4</v>
      </c>
      <c r="G7148" s="4" t="str">
        <f>HYPERLINK("http://141.218.60.56/~jnz1568/getInfo.php?workbook=20_05.xlsx&amp;sheet=U0&amp;row=7148&amp;col=7&amp;number=0.00058&amp;sourceID=14","0.00058")</f>
        <v>0.00058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HYPERLINK("http://141.218.60.56/~jnz1568/getInfo.php?workbook=20_05.xlsx&amp;sheet=U0&amp;row=7149&amp;col=6&amp;number=3.5&amp;sourceID=14","3.5")</f>
        <v>3.5</v>
      </c>
      <c r="G7149" s="4" t="str">
        <f>HYPERLINK("http://141.218.60.56/~jnz1568/getInfo.php?workbook=20_05.xlsx&amp;sheet=U0&amp;row=7149&amp;col=7&amp;number=0.00058&amp;sourceID=14","0.00058")</f>
        <v>0.00058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HYPERLINK("http://141.218.60.56/~jnz1568/getInfo.php?workbook=20_05.xlsx&amp;sheet=U0&amp;row=7150&amp;col=6&amp;number=3.6&amp;sourceID=14","3.6")</f>
        <v>3.6</v>
      </c>
      <c r="G7150" s="4" t="str">
        <f>HYPERLINK("http://141.218.60.56/~jnz1568/getInfo.php?workbook=20_05.xlsx&amp;sheet=U0&amp;row=7150&amp;col=7&amp;number=0.00058&amp;sourceID=14","0.00058")</f>
        <v>0.00058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HYPERLINK("http://141.218.60.56/~jnz1568/getInfo.php?workbook=20_05.xlsx&amp;sheet=U0&amp;row=7151&amp;col=6&amp;number=3.7&amp;sourceID=14","3.7")</f>
        <v>3.7</v>
      </c>
      <c r="G7151" s="4" t="str">
        <f>HYPERLINK("http://141.218.60.56/~jnz1568/getInfo.php?workbook=20_05.xlsx&amp;sheet=U0&amp;row=7151&amp;col=7&amp;number=0.00058&amp;sourceID=14","0.00058")</f>
        <v>0.00058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HYPERLINK("http://141.218.60.56/~jnz1568/getInfo.php?workbook=20_05.xlsx&amp;sheet=U0&amp;row=7152&amp;col=6&amp;number=3.8&amp;sourceID=14","3.8")</f>
        <v>3.8</v>
      </c>
      <c r="G7152" s="4" t="str">
        <f>HYPERLINK("http://141.218.60.56/~jnz1568/getInfo.php?workbook=20_05.xlsx&amp;sheet=U0&amp;row=7152&amp;col=7&amp;number=0.000581&amp;sourceID=14","0.000581")</f>
        <v>0.000581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HYPERLINK("http://141.218.60.56/~jnz1568/getInfo.php?workbook=20_05.xlsx&amp;sheet=U0&amp;row=7153&amp;col=6&amp;number=3.9&amp;sourceID=14","3.9")</f>
        <v>3.9</v>
      </c>
      <c r="G7153" s="4" t="str">
        <f>HYPERLINK("http://141.218.60.56/~jnz1568/getInfo.php?workbook=20_05.xlsx&amp;sheet=U0&amp;row=7153&amp;col=7&amp;number=0.000581&amp;sourceID=14","0.000581")</f>
        <v>0.000581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HYPERLINK("http://141.218.60.56/~jnz1568/getInfo.php?workbook=20_05.xlsx&amp;sheet=U0&amp;row=7154&amp;col=6&amp;number=4&amp;sourceID=14","4")</f>
        <v>4</v>
      </c>
      <c r="G7154" s="4" t="str">
        <f>HYPERLINK("http://141.218.60.56/~jnz1568/getInfo.php?workbook=20_05.xlsx&amp;sheet=U0&amp;row=7154&amp;col=7&amp;number=0.000582&amp;sourceID=14","0.000582")</f>
        <v>0.000582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HYPERLINK("http://141.218.60.56/~jnz1568/getInfo.php?workbook=20_05.xlsx&amp;sheet=U0&amp;row=7155&amp;col=6&amp;number=4.1&amp;sourceID=14","4.1")</f>
        <v>4.1</v>
      </c>
      <c r="G7155" s="4" t="str">
        <f>HYPERLINK("http://141.218.60.56/~jnz1568/getInfo.php?workbook=20_05.xlsx&amp;sheet=U0&amp;row=7155&amp;col=7&amp;number=0.000582&amp;sourceID=14","0.000582")</f>
        <v>0.000582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HYPERLINK("http://141.218.60.56/~jnz1568/getInfo.php?workbook=20_05.xlsx&amp;sheet=U0&amp;row=7156&amp;col=6&amp;number=4.2&amp;sourceID=14","4.2")</f>
        <v>4.2</v>
      </c>
      <c r="G7156" s="4" t="str">
        <f>HYPERLINK("http://141.218.60.56/~jnz1568/getInfo.php?workbook=20_05.xlsx&amp;sheet=U0&amp;row=7156&amp;col=7&amp;number=0.000583&amp;sourceID=14","0.000583")</f>
        <v>0.000583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HYPERLINK("http://141.218.60.56/~jnz1568/getInfo.php?workbook=20_05.xlsx&amp;sheet=U0&amp;row=7157&amp;col=6&amp;number=4.3&amp;sourceID=14","4.3")</f>
        <v>4.3</v>
      </c>
      <c r="G7157" s="4" t="str">
        <f>HYPERLINK("http://141.218.60.56/~jnz1568/getInfo.php?workbook=20_05.xlsx&amp;sheet=U0&amp;row=7157&amp;col=7&amp;number=0.000584&amp;sourceID=14","0.000584")</f>
        <v>0.000584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HYPERLINK("http://141.218.60.56/~jnz1568/getInfo.php?workbook=20_05.xlsx&amp;sheet=U0&amp;row=7158&amp;col=6&amp;number=4.4&amp;sourceID=14","4.4")</f>
        <v>4.4</v>
      </c>
      <c r="G7158" s="4" t="str">
        <f>HYPERLINK("http://141.218.60.56/~jnz1568/getInfo.php?workbook=20_05.xlsx&amp;sheet=U0&amp;row=7158&amp;col=7&amp;number=0.000585&amp;sourceID=14","0.000585")</f>
        <v>0.000585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HYPERLINK("http://141.218.60.56/~jnz1568/getInfo.php?workbook=20_05.xlsx&amp;sheet=U0&amp;row=7159&amp;col=6&amp;number=4.5&amp;sourceID=14","4.5")</f>
        <v>4.5</v>
      </c>
      <c r="G7159" s="4" t="str">
        <f>HYPERLINK("http://141.218.60.56/~jnz1568/getInfo.php?workbook=20_05.xlsx&amp;sheet=U0&amp;row=7159&amp;col=7&amp;number=0.000587&amp;sourceID=14","0.000587")</f>
        <v>0.000587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HYPERLINK("http://141.218.60.56/~jnz1568/getInfo.php?workbook=20_05.xlsx&amp;sheet=U0&amp;row=7160&amp;col=6&amp;number=4.6&amp;sourceID=14","4.6")</f>
        <v>4.6</v>
      </c>
      <c r="G7160" s="4" t="str">
        <f>HYPERLINK("http://141.218.60.56/~jnz1568/getInfo.php?workbook=20_05.xlsx&amp;sheet=U0&amp;row=7160&amp;col=7&amp;number=0.000588&amp;sourceID=14","0.000588")</f>
        <v>0.000588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HYPERLINK("http://141.218.60.56/~jnz1568/getInfo.php?workbook=20_05.xlsx&amp;sheet=U0&amp;row=7161&amp;col=6&amp;number=4.7&amp;sourceID=14","4.7")</f>
        <v>4.7</v>
      </c>
      <c r="G7161" s="4" t="str">
        <f>HYPERLINK("http://141.218.60.56/~jnz1568/getInfo.php?workbook=20_05.xlsx&amp;sheet=U0&amp;row=7161&amp;col=7&amp;number=0.000591&amp;sourceID=14","0.000591")</f>
        <v>0.000591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HYPERLINK("http://141.218.60.56/~jnz1568/getInfo.php?workbook=20_05.xlsx&amp;sheet=U0&amp;row=7162&amp;col=6&amp;number=4.8&amp;sourceID=14","4.8")</f>
        <v>4.8</v>
      </c>
      <c r="G7162" s="4" t="str">
        <f>HYPERLINK("http://141.218.60.56/~jnz1568/getInfo.php?workbook=20_05.xlsx&amp;sheet=U0&amp;row=7162&amp;col=7&amp;number=0.000594&amp;sourceID=14","0.000594")</f>
        <v>0.000594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HYPERLINK("http://141.218.60.56/~jnz1568/getInfo.php?workbook=20_05.xlsx&amp;sheet=U0&amp;row=7163&amp;col=6&amp;number=4.9&amp;sourceID=14","4.9")</f>
        <v>4.9</v>
      </c>
      <c r="G7163" s="4" t="str">
        <f>HYPERLINK("http://141.218.60.56/~jnz1568/getInfo.php?workbook=20_05.xlsx&amp;sheet=U0&amp;row=7163&amp;col=7&amp;number=0.000598&amp;sourceID=14","0.000598")</f>
        <v>0.000598</v>
      </c>
    </row>
    <row r="7164" spans="1:7">
      <c r="A7164" s="3">
        <v>20</v>
      </c>
      <c r="B7164" s="3">
        <v>5</v>
      </c>
      <c r="C7164" s="3">
        <v>3</v>
      </c>
      <c r="D7164" s="3">
        <v>102</v>
      </c>
      <c r="E7164" s="3">
        <v>1</v>
      </c>
      <c r="F7164" s="4" t="str">
        <f>HYPERLINK("http://141.218.60.56/~jnz1568/getInfo.php?workbook=20_05.xlsx&amp;sheet=U0&amp;row=7164&amp;col=6&amp;number=3&amp;sourceID=14","3")</f>
        <v>3</v>
      </c>
      <c r="G7164" s="4" t="str">
        <f>HYPERLINK("http://141.218.60.56/~jnz1568/getInfo.php?workbook=20_05.xlsx&amp;sheet=U0&amp;row=7164&amp;col=7&amp;number=0.000358&amp;sourceID=14","0.000358")</f>
        <v>0.000358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HYPERLINK("http://141.218.60.56/~jnz1568/getInfo.php?workbook=20_05.xlsx&amp;sheet=U0&amp;row=7165&amp;col=6&amp;number=3.1&amp;sourceID=14","3.1")</f>
        <v>3.1</v>
      </c>
      <c r="G7165" s="4" t="str">
        <f>HYPERLINK("http://141.218.60.56/~jnz1568/getInfo.php?workbook=20_05.xlsx&amp;sheet=U0&amp;row=7165&amp;col=7&amp;number=0.000358&amp;sourceID=14","0.000358")</f>
        <v>0.000358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HYPERLINK("http://141.218.60.56/~jnz1568/getInfo.php?workbook=20_05.xlsx&amp;sheet=U0&amp;row=7166&amp;col=6&amp;number=3.2&amp;sourceID=14","3.2")</f>
        <v>3.2</v>
      </c>
      <c r="G7166" s="4" t="str">
        <f>HYPERLINK("http://141.218.60.56/~jnz1568/getInfo.php?workbook=20_05.xlsx&amp;sheet=U0&amp;row=7166&amp;col=7&amp;number=0.000358&amp;sourceID=14","0.000358")</f>
        <v>0.000358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HYPERLINK("http://141.218.60.56/~jnz1568/getInfo.php?workbook=20_05.xlsx&amp;sheet=U0&amp;row=7167&amp;col=6&amp;number=3.3&amp;sourceID=14","3.3")</f>
        <v>3.3</v>
      </c>
      <c r="G7167" s="4" t="str">
        <f>HYPERLINK("http://141.218.60.56/~jnz1568/getInfo.php?workbook=20_05.xlsx&amp;sheet=U0&amp;row=7167&amp;col=7&amp;number=0.000358&amp;sourceID=14","0.000358")</f>
        <v>0.000358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HYPERLINK("http://141.218.60.56/~jnz1568/getInfo.php?workbook=20_05.xlsx&amp;sheet=U0&amp;row=7168&amp;col=6&amp;number=3.4&amp;sourceID=14","3.4")</f>
        <v>3.4</v>
      </c>
      <c r="G7168" s="4" t="str">
        <f>HYPERLINK("http://141.218.60.56/~jnz1568/getInfo.php?workbook=20_05.xlsx&amp;sheet=U0&amp;row=7168&amp;col=7&amp;number=0.000358&amp;sourceID=14","0.000358")</f>
        <v>0.000358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HYPERLINK("http://141.218.60.56/~jnz1568/getInfo.php?workbook=20_05.xlsx&amp;sheet=U0&amp;row=7169&amp;col=6&amp;number=3.5&amp;sourceID=14","3.5")</f>
        <v>3.5</v>
      </c>
      <c r="G7169" s="4" t="str">
        <f>HYPERLINK("http://141.218.60.56/~jnz1568/getInfo.php?workbook=20_05.xlsx&amp;sheet=U0&amp;row=7169&amp;col=7&amp;number=0.000358&amp;sourceID=14","0.000358")</f>
        <v>0.000358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HYPERLINK("http://141.218.60.56/~jnz1568/getInfo.php?workbook=20_05.xlsx&amp;sheet=U0&amp;row=7170&amp;col=6&amp;number=3.6&amp;sourceID=14","3.6")</f>
        <v>3.6</v>
      </c>
      <c r="G7170" s="4" t="str">
        <f>HYPERLINK("http://141.218.60.56/~jnz1568/getInfo.php?workbook=20_05.xlsx&amp;sheet=U0&amp;row=7170&amp;col=7&amp;number=0.000358&amp;sourceID=14","0.000358")</f>
        <v>0.000358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HYPERLINK("http://141.218.60.56/~jnz1568/getInfo.php?workbook=20_05.xlsx&amp;sheet=U0&amp;row=7171&amp;col=6&amp;number=3.7&amp;sourceID=14","3.7")</f>
        <v>3.7</v>
      </c>
      <c r="G7171" s="4" t="str">
        <f>HYPERLINK("http://141.218.60.56/~jnz1568/getInfo.php?workbook=20_05.xlsx&amp;sheet=U0&amp;row=7171&amp;col=7&amp;number=0.000358&amp;sourceID=14","0.000358")</f>
        <v>0.000358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HYPERLINK("http://141.218.60.56/~jnz1568/getInfo.php?workbook=20_05.xlsx&amp;sheet=U0&amp;row=7172&amp;col=6&amp;number=3.8&amp;sourceID=14","3.8")</f>
        <v>3.8</v>
      </c>
      <c r="G7172" s="4" t="str">
        <f>HYPERLINK("http://141.218.60.56/~jnz1568/getInfo.php?workbook=20_05.xlsx&amp;sheet=U0&amp;row=7172&amp;col=7&amp;number=0.000358&amp;sourceID=14","0.000358")</f>
        <v>0.000358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HYPERLINK("http://141.218.60.56/~jnz1568/getInfo.php?workbook=20_05.xlsx&amp;sheet=U0&amp;row=7173&amp;col=6&amp;number=3.9&amp;sourceID=14","3.9")</f>
        <v>3.9</v>
      </c>
      <c r="G7173" s="4" t="str">
        <f>HYPERLINK("http://141.218.60.56/~jnz1568/getInfo.php?workbook=20_05.xlsx&amp;sheet=U0&amp;row=7173&amp;col=7&amp;number=0.000358&amp;sourceID=14","0.000358")</f>
        <v>0.000358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HYPERLINK("http://141.218.60.56/~jnz1568/getInfo.php?workbook=20_05.xlsx&amp;sheet=U0&amp;row=7174&amp;col=6&amp;number=4&amp;sourceID=14","4")</f>
        <v>4</v>
      </c>
      <c r="G7174" s="4" t="str">
        <f>HYPERLINK("http://141.218.60.56/~jnz1568/getInfo.php?workbook=20_05.xlsx&amp;sheet=U0&amp;row=7174&amp;col=7&amp;number=0.000358&amp;sourceID=14","0.000358")</f>
        <v>0.000358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HYPERLINK("http://141.218.60.56/~jnz1568/getInfo.php?workbook=20_05.xlsx&amp;sheet=U0&amp;row=7175&amp;col=6&amp;number=4.1&amp;sourceID=14","4.1")</f>
        <v>4.1</v>
      </c>
      <c r="G7175" s="4" t="str">
        <f>HYPERLINK("http://141.218.60.56/~jnz1568/getInfo.php?workbook=20_05.xlsx&amp;sheet=U0&amp;row=7175&amp;col=7&amp;number=0.000358&amp;sourceID=14","0.000358")</f>
        <v>0.000358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HYPERLINK("http://141.218.60.56/~jnz1568/getInfo.php?workbook=20_05.xlsx&amp;sheet=U0&amp;row=7176&amp;col=6&amp;number=4.2&amp;sourceID=14","4.2")</f>
        <v>4.2</v>
      </c>
      <c r="G7176" s="4" t="str">
        <f>HYPERLINK("http://141.218.60.56/~jnz1568/getInfo.php?workbook=20_05.xlsx&amp;sheet=U0&amp;row=7176&amp;col=7&amp;number=0.000358&amp;sourceID=14","0.000358")</f>
        <v>0.000358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HYPERLINK("http://141.218.60.56/~jnz1568/getInfo.php?workbook=20_05.xlsx&amp;sheet=U0&amp;row=7177&amp;col=6&amp;number=4.3&amp;sourceID=14","4.3")</f>
        <v>4.3</v>
      </c>
      <c r="G7177" s="4" t="str">
        <f>HYPERLINK("http://141.218.60.56/~jnz1568/getInfo.php?workbook=20_05.xlsx&amp;sheet=U0&amp;row=7177&amp;col=7&amp;number=0.000358&amp;sourceID=14","0.000358")</f>
        <v>0.000358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HYPERLINK("http://141.218.60.56/~jnz1568/getInfo.php?workbook=20_05.xlsx&amp;sheet=U0&amp;row=7178&amp;col=6&amp;number=4.4&amp;sourceID=14","4.4")</f>
        <v>4.4</v>
      </c>
      <c r="G7178" s="4" t="str">
        <f>HYPERLINK("http://141.218.60.56/~jnz1568/getInfo.php?workbook=20_05.xlsx&amp;sheet=U0&amp;row=7178&amp;col=7&amp;number=0.000358&amp;sourceID=14","0.000358")</f>
        <v>0.000358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HYPERLINK("http://141.218.60.56/~jnz1568/getInfo.php?workbook=20_05.xlsx&amp;sheet=U0&amp;row=7179&amp;col=6&amp;number=4.5&amp;sourceID=14","4.5")</f>
        <v>4.5</v>
      </c>
      <c r="G7179" s="4" t="str">
        <f>HYPERLINK("http://141.218.60.56/~jnz1568/getInfo.php?workbook=20_05.xlsx&amp;sheet=U0&amp;row=7179&amp;col=7&amp;number=0.000358&amp;sourceID=14","0.000358")</f>
        <v>0.000358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HYPERLINK("http://141.218.60.56/~jnz1568/getInfo.php?workbook=20_05.xlsx&amp;sheet=U0&amp;row=7180&amp;col=6&amp;number=4.6&amp;sourceID=14","4.6")</f>
        <v>4.6</v>
      </c>
      <c r="G7180" s="4" t="str">
        <f>HYPERLINK("http://141.218.60.56/~jnz1568/getInfo.php?workbook=20_05.xlsx&amp;sheet=U0&amp;row=7180&amp;col=7&amp;number=0.000358&amp;sourceID=14","0.000358")</f>
        <v>0.000358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HYPERLINK("http://141.218.60.56/~jnz1568/getInfo.php?workbook=20_05.xlsx&amp;sheet=U0&amp;row=7181&amp;col=6&amp;number=4.7&amp;sourceID=14","4.7")</f>
        <v>4.7</v>
      </c>
      <c r="G7181" s="4" t="str">
        <f>HYPERLINK("http://141.218.60.56/~jnz1568/getInfo.php?workbook=20_05.xlsx&amp;sheet=U0&amp;row=7181&amp;col=7&amp;number=0.000358&amp;sourceID=14","0.000358")</f>
        <v>0.000358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HYPERLINK("http://141.218.60.56/~jnz1568/getInfo.php?workbook=20_05.xlsx&amp;sheet=U0&amp;row=7182&amp;col=6&amp;number=4.8&amp;sourceID=14","4.8")</f>
        <v>4.8</v>
      </c>
      <c r="G7182" s="4" t="str">
        <f>HYPERLINK("http://141.218.60.56/~jnz1568/getInfo.php?workbook=20_05.xlsx&amp;sheet=U0&amp;row=7182&amp;col=7&amp;number=0.000358&amp;sourceID=14","0.000358")</f>
        <v>0.000358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HYPERLINK("http://141.218.60.56/~jnz1568/getInfo.php?workbook=20_05.xlsx&amp;sheet=U0&amp;row=7183&amp;col=6&amp;number=4.9&amp;sourceID=14","4.9")</f>
        <v>4.9</v>
      </c>
      <c r="G7183" s="4" t="str">
        <f>HYPERLINK("http://141.218.60.56/~jnz1568/getInfo.php?workbook=20_05.xlsx&amp;sheet=U0&amp;row=7183&amp;col=7&amp;number=0.000358&amp;sourceID=14","0.000358")</f>
        <v>0.000358</v>
      </c>
    </row>
    <row r="7184" spans="1:7">
      <c r="A7184" s="3">
        <v>20</v>
      </c>
      <c r="B7184" s="3">
        <v>5</v>
      </c>
      <c r="C7184" s="3">
        <v>3</v>
      </c>
      <c r="D7184" s="3">
        <v>103</v>
      </c>
      <c r="E7184" s="3">
        <v>1</v>
      </c>
      <c r="F7184" s="4" t="str">
        <f>HYPERLINK("http://141.218.60.56/~jnz1568/getInfo.php?workbook=20_05.xlsx&amp;sheet=U0&amp;row=7184&amp;col=6&amp;number=3&amp;sourceID=14","3")</f>
        <v>3</v>
      </c>
      <c r="G7184" s="4" t="str">
        <f>HYPERLINK("http://141.218.60.56/~jnz1568/getInfo.php?workbook=20_05.xlsx&amp;sheet=U0&amp;row=7184&amp;col=7&amp;number=0.000175&amp;sourceID=14","0.000175")</f>
        <v>0.000175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HYPERLINK("http://141.218.60.56/~jnz1568/getInfo.php?workbook=20_05.xlsx&amp;sheet=U0&amp;row=7185&amp;col=6&amp;number=3.1&amp;sourceID=14","3.1")</f>
        <v>3.1</v>
      </c>
      <c r="G7185" s="4" t="str">
        <f>HYPERLINK("http://141.218.60.56/~jnz1568/getInfo.php?workbook=20_05.xlsx&amp;sheet=U0&amp;row=7185&amp;col=7&amp;number=0.000175&amp;sourceID=14","0.000175")</f>
        <v>0.000175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HYPERLINK("http://141.218.60.56/~jnz1568/getInfo.php?workbook=20_05.xlsx&amp;sheet=U0&amp;row=7186&amp;col=6&amp;number=3.2&amp;sourceID=14","3.2")</f>
        <v>3.2</v>
      </c>
      <c r="G7186" s="4" t="str">
        <f>HYPERLINK("http://141.218.60.56/~jnz1568/getInfo.php?workbook=20_05.xlsx&amp;sheet=U0&amp;row=7186&amp;col=7&amp;number=0.000175&amp;sourceID=14","0.000175")</f>
        <v>0.000175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HYPERLINK("http://141.218.60.56/~jnz1568/getInfo.php?workbook=20_05.xlsx&amp;sheet=U0&amp;row=7187&amp;col=6&amp;number=3.3&amp;sourceID=14","3.3")</f>
        <v>3.3</v>
      </c>
      <c r="G7187" s="4" t="str">
        <f>HYPERLINK("http://141.218.60.56/~jnz1568/getInfo.php?workbook=20_05.xlsx&amp;sheet=U0&amp;row=7187&amp;col=7&amp;number=0.000175&amp;sourceID=14","0.000175")</f>
        <v>0.000175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HYPERLINK("http://141.218.60.56/~jnz1568/getInfo.php?workbook=20_05.xlsx&amp;sheet=U0&amp;row=7188&amp;col=6&amp;number=3.4&amp;sourceID=14","3.4")</f>
        <v>3.4</v>
      </c>
      <c r="G7188" s="4" t="str">
        <f>HYPERLINK("http://141.218.60.56/~jnz1568/getInfo.php?workbook=20_05.xlsx&amp;sheet=U0&amp;row=7188&amp;col=7&amp;number=0.000175&amp;sourceID=14","0.000175")</f>
        <v>0.000175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HYPERLINK("http://141.218.60.56/~jnz1568/getInfo.php?workbook=20_05.xlsx&amp;sheet=U0&amp;row=7189&amp;col=6&amp;number=3.5&amp;sourceID=14","3.5")</f>
        <v>3.5</v>
      </c>
      <c r="G7189" s="4" t="str">
        <f>HYPERLINK("http://141.218.60.56/~jnz1568/getInfo.php?workbook=20_05.xlsx&amp;sheet=U0&amp;row=7189&amp;col=7&amp;number=0.000175&amp;sourceID=14","0.000175")</f>
        <v>0.000175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HYPERLINK("http://141.218.60.56/~jnz1568/getInfo.php?workbook=20_05.xlsx&amp;sheet=U0&amp;row=7190&amp;col=6&amp;number=3.6&amp;sourceID=14","3.6")</f>
        <v>3.6</v>
      </c>
      <c r="G7190" s="4" t="str">
        <f>HYPERLINK("http://141.218.60.56/~jnz1568/getInfo.php?workbook=20_05.xlsx&amp;sheet=U0&amp;row=7190&amp;col=7&amp;number=0.000175&amp;sourceID=14","0.000175")</f>
        <v>0.000175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HYPERLINK("http://141.218.60.56/~jnz1568/getInfo.php?workbook=20_05.xlsx&amp;sheet=U0&amp;row=7191&amp;col=6&amp;number=3.7&amp;sourceID=14","3.7")</f>
        <v>3.7</v>
      </c>
      <c r="G7191" s="4" t="str">
        <f>HYPERLINK("http://141.218.60.56/~jnz1568/getInfo.php?workbook=20_05.xlsx&amp;sheet=U0&amp;row=7191&amp;col=7&amp;number=0.000175&amp;sourceID=14","0.000175")</f>
        <v>0.000175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HYPERLINK("http://141.218.60.56/~jnz1568/getInfo.php?workbook=20_05.xlsx&amp;sheet=U0&amp;row=7192&amp;col=6&amp;number=3.8&amp;sourceID=14","3.8")</f>
        <v>3.8</v>
      </c>
      <c r="G7192" s="4" t="str">
        <f>HYPERLINK("http://141.218.60.56/~jnz1568/getInfo.php?workbook=20_05.xlsx&amp;sheet=U0&amp;row=7192&amp;col=7&amp;number=0.000175&amp;sourceID=14","0.000175")</f>
        <v>0.000175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HYPERLINK("http://141.218.60.56/~jnz1568/getInfo.php?workbook=20_05.xlsx&amp;sheet=U0&amp;row=7193&amp;col=6&amp;number=3.9&amp;sourceID=14","3.9")</f>
        <v>3.9</v>
      </c>
      <c r="G7193" s="4" t="str">
        <f>HYPERLINK("http://141.218.60.56/~jnz1568/getInfo.php?workbook=20_05.xlsx&amp;sheet=U0&amp;row=7193&amp;col=7&amp;number=0.000175&amp;sourceID=14","0.000175")</f>
        <v>0.000175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HYPERLINK("http://141.218.60.56/~jnz1568/getInfo.php?workbook=20_05.xlsx&amp;sheet=U0&amp;row=7194&amp;col=6&amp;number=4&amp;sourceID=14","4")</f>
        <v>4</v>
      </c>
      <c r="G7194" s="4" t="str">
        <f>HYPERLINK("http://141.218.60.56/~jnz1568/getInfo.php?workbook=20_05.xlsx&amp;sheet=U0&amp;row=7194&amp;col=7&amp;number=0.000175&amp;sourceID=14","0.000175")</f>
        <v>0.000175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HYPERLINK("http://141.218.60.56/~jnz1568/getInfo.php?workbook=20_05.xlsx&amp;sheet=U0&amp;row=7195&amp;col=6&amp;number=4.1&amp;sourceID=14","4.1")</f>
        <v>4.1</v>
      </c>
      <c r="G7195" s="4" t="str">
        <f>HYPERLINK("http://141.218.60.56/~jnz1568/getInfo.php?workbook=20_05.xlsx&amp;sheet=U0&amp;row=7195&amp;col=7&amp;number=0.000175&amp;sourceID=14","0.000175")</f>
        <v>0.000175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HYPERLINK("http://141.218.60.56/~jnz1568/getInfo.php?workbook=20_05.xlsx&amp;sheet=U0&amp;row=7196&amp;col=6&amp;number=4.2&amp;sourceID=14","4.2")</f>
        <v>4.2</v>
      </c>
      <c r="G7196" s="4" t="str">
        <f>HYPERLINK("http://141.218.60.56/~jnz1568/getInfo.php?workbook=20_05.xlsx&amp;sheet=U0&amp;row=7196&amp;col=7&amp;number=0.000175&amp;sourceID=14","0.000175")</f>
        <v>0.000175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HYPERLINK("http://141.218.60.56/~jnz1568/getInfo.php?workbook=20_05.xlsx&amp;sheet=U0&amp;row=7197&amp;col=6&amp;number=4.3&amp;sourceID=14","4.3")</f>
        <v>4.3</v>
      </c>
      <c r="G7197" s="4" t="str">
        <f>HYPERLINK("http://141.218.60.56/~jnz1568/getInfo.php?workbook=20_05.xlsx&amp;sheet=U0&amp;row=7197&amp;col=7&amp;number=0.000175&amp;sourceID=14","0.000175")</f>
        <v>0.000175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HYPERLINK("http://141.218.60.56/~jnz1568/getInfo.php?workbook=20_05.xlsx&amp;sheet=U0&amp;row=7198&amp;col=6&amp;number=4.4&amp;sourceID=14","4.4")</f>
        <v>4.4</v>
      </c>
      <c r="G7198" s="4" t="str">
        <f>HYPERLINK("http://141.218.60.56/~jnz1568/getInfo.php?workbook=20_05.xlsx&amp;sheet=U0&amp;row=7198&amp;col=7&amp;number=0.000175&amp;sourceID=14","0.000175")</f>
        <v>0.000175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HYPERLINK("http://141.218.60.56/~jnz1568/getInfo.php?workbook=20_05.xlsx&amp;sheet=U0&amp;row=7199&amp;col=6&amp;number=4.5&amp;sourceID=14","4.5")</f>
        <v>4.5</v>
      </c>
      <c r="G7199" s="4" t="str">
        <f>HYPERLINK("http://141.218.60.56/~jnz1568/getInfo.php?workbook=20_05.xlsx&amp;sheet=U0&amp;row=7199&amp;col=7&amp;number=0.000174&amp;sourceID=14","0.000174")</f>
        <v>0.000174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HYPERLINK("http://141.218.60.56/~jnz1568/getInfo.php?workbook=20_05.xlsx&amp;sheet=U0&amp;row=7200&amp;col=6&amp;number=4.6&amp;sourceID=14","4.6")</f>
        <v>4.6</v>
      </c>
      <c r="G7200" s="4" t="str">
        <f>HYPERLINK("http://141.218.60.56/~jnz1568/getInfo.php?workbook=20_05.xlsx&amp;sheet=U0&amp;row=7200&amp;col=7&amp;number=0.000174&amp;sourceID=14","0.000174")</f>
        <v>0.000174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HYPERLINK("http://141.218.60.56/~jnz1568/getInfo.php?workbook=20_05.xlsx&amp;sheet=U0&amp;row=7201&amp;col=6&amp;number=4.7&amp;sourceID=14","4.7")</f>
        <v>4.7</v>
      </c>
      <c r="G7201" s="4" t="str">
        <f>HYPERLINK("http://141.218.60.56/~jnz1568/getInfo.php?workbook=20_05.xlsx&amp;sheet=U0&amp;row=7201&amp;col=7&amp;number=0.000174&amp;sourceID=14","0.000174")</f>
        <v>0.000174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HYPERLINK("http://141.218.60.56/~jnz1568/getInfo.php?workbook=20_05.xlsx&amp;sheet=U0&amp;row=7202&amp;col=6&amp;number=4.8&amp;sourceID=14","4.8")</f>
        <v>4.8</v>
      </c>
      <c r="G7202" s="4" t="str">
        <f>HYPERLINK("http://141.218.60.56/~jnz1568/getInfo.php?workbook=20_05.xlsx&amp;sheet=U0&amp;row=7202&amp;col=7&amp;number=0.000173&amp;sourceID=14","0.000173")</f>
        <v>0.000173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HYPERLINK("http://141.218.60.56/~jnz1568/getInfo.php?workbook=20_05.xlsx&amp;sheet=U0&amp;row=7203&amp;col=6&amp;number=4.9&amp;sourceID=14","4.9")</f>
        <v>4.9</v>
      </c>
      <c r="G7203" s="4" t="str">
        <f>HYPERLINK("http://141.218.60.56/~jnz1568/getInfo.php?workbook=20_05.xlsx&amp;sheet=U0&amp;row=7203&amp;col=7&amp;number=0.000173&amp;sourceID=14","0.000173")</f>
        <v>0.000173</v>
      </c>
    </row>
    <row r="7204" spans="1:7">
      <c r="A7204" s="3">
        <v>20</v>
      </c>
      <c r="B7204" s="3">
        <v>5</v>
      </c>
      <c r="C7204" s="3">
        <v>3</v>
      </c>
      <c r="D7204" s="3">
        <v>104</v>
      </c>
      <c r="E7204" s="3">
        <v>1</v>
      </c>
      <c r="F7204" s="4" t="str">
        <f>HYPERLINK("http://141.218.60.56/~jnz1568/getInfo.php?workbook=20_05.xlsx&amp;sheet=U0&amp;row=7204&amp;col=6&amp;number=3&amp;sourceID=14","3")</f>
        <v>3</v>
      </c>
      <c r="G7204" s="4" t="str">
        <f>HYPERLINK("http://141.218.60.56/~jnz1568/getInfo.php?workbook=20_05.xlsx&amp;sheet=U0&amp;row=7204&amp;col=7&amp;number=1.36e-05&amp;sourceID=14","1.36e-05")</f>
        <v>1.36e-05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HYPERLINK("http://141.218.60.56/~jnz1568/getInfo.php?workbook=20_05.xlsx&amp;sheet=U0&amp;row=7205&amp;col=6&amp;number=3.1&amp;sourceID=14","3.1")</f>
        <v>3.1</v>
      </c>
      <c r="G7205" s="4" t="str">
        <f>HYPERLINK("http://141.218.60.56/~jnz1568/getInfo.php?workbook=20_05.xlsx&amp;sheet=U0&amp;row=7205&amp;col=7&amp;number=1.36e-05&amp;sourceID=14","1.36e-05")</f>
        <v>1.36e-05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HYPERLINK("http://141.218.60.56/~jnz1568/getInfo.php?workbook=20_05.xlsx&amp;sheet=U0&amp;row=7206&amp;col=6&amp;number=3.2&amp;sourceID=14","3.2")</f>
        <v>3.2</v>
      </c>
      <c r="G7206" s="4" t="str">
        <f>HYPERLINK("http://141.218.60.56/~jnz1568/getInfo.php?workbook=20_05.xlsx&amp;sheet=U0&amp;row=7206&amp;col=7&amp;number=1.36e-05&amp;sourceID=14","1.36e-05")</f>
        <v>1.36e-05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HYPERLINK("http://141.218.60.56/~jnz1568/getInfo.php?workbook=20_05.xlsx&amp;sheet=U0&amp;row=7207&amp;col=6&amp;number=3.3&amp;sourceID=14","3.3")</f>
        <v>3.3</v>
      </c>
      <c r="G7207" s="4" t="str">
        <f>HYPERLINK("http://141.218.60.56/~jnz1568/getInfo.php?workbook=20_05.xlsx&amp;sheet=U0&amp;row=7207&amp;col=7&amp;number=1.36e-05&amp;sourceID=14","1.36e-05")</f>
        <v>1.36e-05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HYPERLINK("http://141.218.60.56/~jnz1568/getInfo.php?workbook=20_05.xlsx&amp;sheet=U0&amp;row=7208&amp;col=6&amp;number=3.4&amp;sourceID=14","3.4")</f>
        <v>3.4</v>
      </c>
      <c r="G7208" s="4" t="str">
        <f>HYPERLINK("http://141.218.60.56/~jnz1568/getInfo.php?workbook=20_05.xlsx&amp;sheet=U0&amp;row=7208&amp;col=7&amp;number=1.36e-05&amp;sourceID=14","1.36e-05")</f>
        <v>1.36e-05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HYPERLINK("http://141.218.60.56/~jnz1568/getInfo.php?workbook=20_05.xlsx&amp;sheet=U0&amp;row=7209&amp;col=6&amp;number=3.5&amp;sourceID=14","3.5")</f>
        <v>3.5</v>
      </c>
      <c r="G7209" s="4" t="str">
        <f>HYPERLINK("http://141.218.60.56/~jnz1568/getInfo.php?workbook=20_05.xlsx&amp;sheet=U0&amp;row=7209&amp;col=7&amp;number=1.36e-05&amp;sourceID=14","1.36e-05")</f>
        <v>1.36e-05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HYPERLINK("http://141.218.60.56/~jnz1568/getInfo.php?workbook=20_05.xlsx&amp;sheet=U0&amp;row=7210&amp;col=6&amp;number=3.6&amp;sourceID=14","3.6")</f>
        <v>3.6</v>
      </c>
      <c r="G7210" s="4" t="str">
        <f>HYPERLINK("http://141.218.60.56/~jnz1568/getInfo.php?workbook=20_05.xlsx&amp;sheet=U0&amp;row=7210&amp;col=7&amp;number=1.36e-05&amp;sourceID=14","1.36e-05")</f>
        <v>1.36e-05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HYPERLINK("http://141.218.60.56/~jnz1568/getInfo.php?workbook=20_05.xlsx&amp;sheet=U0&amp;row=7211&amp;col=6&amp;number=3.7&amp;sourceID=14","3.7")</f>
        <v>3.7</v>
      </c>
      <c r="G7211" s="4" t="str">
        <f>HYPERLINK("http://141.218.60.56/~jnz1568/getInfo.php?workbook=20_05.xlsx&amp;sheet=U0&amp;row=7211&amp;col=7&amp;number=1.36e-05&amp;sourceID=14","1.36e-05")</f>
        <v>1.36e-05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HYPERLINK("http://141.218.60.56/~jnz1568/getInfo.php?workbook=20_05.xlsx&amp;sheet=U0&amp;row=7212&amp;col=6&amp;number=3.8&amp;sourceID=14","3.8")</f>
        <v>3.8</v>
      </c>
      <c r="G7212" s="4" t="str">
        <f>HYPERLINK("http://141.218.60.56/~jnz1568/getInfo.php?workbook=20_05.xlsx&amp;sheet=U0&amp;row=7212&amp;col=7&amp;number=1.36e-05&amp;sourceID=14","1.36e-05")</f>
        <v>1.36e-05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HYPERLINK("http://141.218.60.56/~jnz1568/getInfo.php?workbook=20_05.xlsx&amp;sheet=U0&amp;row=7213&amp;col=6&amp;number=3.9&amp;sourceID=14","3.9")</f>
        <v>3.9</v>
      </c>
      <c r="G7213" s="4" t="str">
        <f>HYPERLINK("http://141.218.60.56/~jnz1568/getInfo.php?workbook=20_05.xlsx&amp;sheet=U0&amp;row=7213&amp;col=7&amp;number=1.36e-05&amp;sourceID=14","1.36e-05")</f>
        <v>1.36e-05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HYPERLINK("http://141.218.60.56/~jnz1568/getInfo.php?workbook=20_05.xlsx&amp;sheet=U0&amp;row=7214&amp;col=6&amp;number=4&amp;sourceID=14","4")</f>
        <v>4</v>
      </c>
      <c r="G7214" s="4" t="str">
        <f>HYPERLINK("http://141.218.60.56/~jnz1568/getInfo.php?workbook=20_05.xlsx&amp;sheet=U0&amp;row=7214&amp;col=7&amp;number=1.36e-05&amp;sourceID=14","1.36e-05")</f>
        <v>1.36e-05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HYPERLINK("http://141.218.60.56/~jnz1568/getInfo.php?workbook=20_05.xlsx&amp;sheet=U0&amp;row=7215&amp;col=6&amp;number=4.1&amp;sourceID=14","4.1")</f>
        <v>4.1</v>
      </c>
      <c r="G7215" s="4" t="str">
        <f>HYPERLINK("http://141.218.60.56/~jnz1568/getInfo.php?workbook=20_05.xlsx&amp;sheet=U0&amp;row=7215&amp;col=7&amp;number=1.36e-05&amp;sourceID=14","1.36e-05")</f>
        <v>1.36e-05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HYPERLINK("http://141.218.60.56/~jnz1568/getInfo.php?workbook=20_05.xlsx&amp;sheet=U0&amp;row=7216&amp;col=6&amp;number=4.2&amp;sourceID=14","4.2")</f>
        <v>4.2</v>
      </c>
      <c r="G7216" s="4" t="str">
        <f>HYPERLINK("http://141.218.60.56/~jnz1568/getInfo.php?workbook=20_05.xlsx&amp;sheet=U0&amp;row=7216&amp;col=7&amp;number=1.35e-05&amp;sourceID=14","1.35e-05")</f>
        <v>1.35e-05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HYPERLINK("http://141.218.60.56/~jnz1568/getInfo.php?workbook=20_05.xlsx&amp;sheet=U0&amp;row=7217&amp;col=6&amp;number=4.3&amp;sourceID=14","4.3")</f>
        <v>4.3</v>
      </c>
      <c r="G7217" s="4" t="str">
        <f>HYPERLINK("http://141.218.60.56/~jnz1568/getInfo.php?workbook=20_05.xlsx&amp;sheet=U0&amp;row=7217&amp;col=7&amp;number=1.35e-05&amp;sourceID=14","1.35e-05")</f>
        <v>1.35e-05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HYPERLINK("http://141.218.60.56/~jnz1568/getInfo.php?workbook=20_05.xlsx&amp;sheet=U0&amp;row=7218&amp;col=6&amp;number=4.4&amp;sourceID=14","4.4")</f>
        <v>4.4</v>
      </c>
      <c r="G7218" s="4" t="str">
        <f>HYPERLINK("http://141.218.60.56/~jnz1568/getInfo.php?workbook=20_05.xlsx&amp;sheet=U0&amp;row=7218&amp;col=7&amp;number=1.35e-05&amp;sourceID=14","1.35e-05")</f>
        <v>1.35e-05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HYPERLINK("http://141.218.60.56/~jnz1568/getInfo.php?workbook=20_05.xlsx&amp;sheet=U0&amp;row=7219&amp;col=6&amp;number=4.5&amp;sourceID=14","4.5")</f>
        <v>4.5</v>
      </c>
      <c r="G7219" s="4" t="str">
        <f>HYPERLINK("http://141.218.60.56/~jnz1568/getInfo.php?workbook=20_05.xlsx&amp;sheet=U0&amp;row=7219&amp;col=7&amp;number=1.35e-05&amp;sourceID=14","1.35e-05")</f>
        <v>1.35e-05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HYPERLINK("http://141.218.60.56/~jnz1568/getInfo.php?workbook=20_05.xlsx&amp;sheet=U0&amp;row=7220&amp;col=6&amp;number=4.6&amp;sourceID=14","4.6")</f>
        <v>4.6</v>
      </c>
      <c r="G7220" s="4" t="str">
        <f>HYPERLINK("http://141.218.60.56/~jnz1568/getInfo.php?workbook=20_05.xlsx&amp;sheet=U0&amp;row=7220&amp;col=7&amp;number=1.35e-05&amp;sourceID=14","1.35e-05")</f>
        <v>1.35e-05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HYPERLINK("http://141.218.60.56/~jnz1568/getInfo.php?workbook=20_05.xlsx&amp;sheet=U0&amp;row=7221&amp;col=6&amp;number=4.7&amp;sourceID=14","4.7")</f>
        <v>4.7</v>
      </c>
      <c r="G7221" s="4" t="str">
        <f>HYPERLINK("http://141.218.60.56/~jnz1568/getInfo.php?workbook=20_05.xlsx&amp;sheet=U0&amp;row=7221&amp;col=7&amp;number=1.35e-05&amp;sourceID=14","1.35e-05")</f>
        <v>1.35e-05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HYPERLINK("http://141.218.60.56/~jnz1568/getInfo.php?workbook=20_05.xlsx&amp;sheet=U0&amp;row=7222&amp;col=6&amp;number=4.8&amp;sourceID=14","4.8")</f>
        <v>4.8</v>
      </c>
      <c r="G7222" s="4" t="str">
        <f>HYPERLINK("http://141.218.60.56/~jnz1568/getInfo.php?workbook=20_05.xlsx&amp;sheet=U0&amp;row=7222&amp;col=7&amp;number=1.34e-05&amp;sourceID=14","1.34e-05")</f>
        <v>1.34e-05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HYPERLINK("http://141.218.60.56/~jnz1568/getInfo.php?workbook=20_05.xlsx&amp;sheet=U0&amp;row=7223&amp;col=6&amp;number=4.9&amp;sourceID=14","4.9")</f>
        <v>4.9</v>
      </c>
      <c r="G7223" s="4" t="str">
        <f>HYPERLINK("http://141.218.60.56/~jnz1568/getInfo.php?workbook=20_05.xlsx&amp;sheet=U0&amp;row=7223&amp;col=7&amp;number=1.34e-05&amp;sourceID=14","1.34e-05")</f>
        <v>1.34e-05</v>
      </c>
    </row>
    <row r="7224" spans="1:7">
      <c r="A7224" s="3">
        <v>20</v>
      </c>
      <c r="B7224" s="3">
        <v>5</v>
      </c>
      <c r="C7224" s="3">
        <v>3</v>
      </c>
      <c r="D7224" s="3">
        <v>105</v>
      </c>
      <c r="E7224" s="3">
        <v>1</v>
      </c>
      <c r="F7224" s="4" t="str">
        <f>HYPERLINK("http://141.218.60.56/~jnz1568/getInfo.php?workbook=20_05.xlsx&amp;sheet=U0&amp;row=7224&amp;col=6&amp;number=3&amp;sourceID=14","3")</f>
        <v>3</v>
      </c>
      <c r="G7224" s="4" t="str">
        <f>HYPERLINK("http://141.218.60.56/~jnz1568/getInfo.php?workbook=20_05.xlsx&amp;sheet=U0&amp;row=7224&amp;col=7&amp;number=9.67e-07&amp;sourceID=14","9.67e-07")</f>
        <v>9.67e-07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HYPERLINK("http://141.218.60.56/~jnz1568/getInfo.php?workbook=20_05.xlsx&amp;sheet=U0&amp;row=7225&amp;col=6&amp;number=3.1&amp;sourceID=14","3.1")</f>
        <v>3.1</v>
      </c>
      <c r="G7225" s="4" t="str">
        <f>HYPERLINK("http://141.218.60.56/~jnz1568/getInfo.php?workbook=20_05.xlsx&amp;sheet=U0&amp;row=7225&amp;col=7&amp;number=9.67e-07&amp;sourceID=14","9.67e-07")</f>
        <v>9.67e-07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HYPERLINK("http://141.218.60.56/~jnz1568/getInfo.php?workbook=20_05.xlsx&amp;sheet=U0&amp;row=7226&amp;col=6&amp;number=3.2&amp;sourceID=14","3.2")</f>
        <v>3.2</v>
      </c>
      <c r="G7226" s="4" t="str">
        <f>HYPERLINK("http://141.218.60.56/~jnz1568/getInfo.php?workbook=20_05.xlsx&amp;sheet=U0&amp;row=7226&amp;col=7&amp;number=9.67e-07&amp;sourceID=14","9.67e-07")</f>
        <v>9.67e-07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HYPERLINK("http://141.218.60.56/~jnz1568/getInfo.php?workbook=20_05.xlsx&amp;sheet=U0&amp;row=7227&amp;col=6&amp;number=3.3&amp;sourceID=14","3.3")</f>
        <v>3.3</v>
      </c>
      <c r="G7227" s="4" t="str">
        <f>HYPERLINK("http://141.218.60.56/~jnz1568/getInfo.php?workbook=20_05.xlsx&amp;sheet=U0&amp;row=7227&amp;col=7&amp;number=9.67e-07&amp;sourceID=14","9.67e-07")</f>
        <v>9.67e-07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HYPERLINK("http://141.218.60.56/~jnz1568/getInfo.php?workbook=20_05.xlsx&amp;sheet=U0&amp;row=7228&amp;col=6&amp;number=3.4&amp;sourceID=14","3.4")</f>
        <v>3.4</v>
      </c>
      <c r="G7228" s="4" t="str">
        <f>HYPERLINK("http://141.218.60.56/~jnz1568/getInfo.php?workbook=20_05.xlsx&amp;sheet=U0&amp;row=7228&amp;col=7&amp;number=9.67e-07&amp;sourceID=14","9.67e-07")</f>
        <v>9.67e-07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HYPERLINK("http://141.218.60.56/~jnz1568/getInfo.php?workbook=20_05.xlsx&amp;sheet=U0&amp;row=7229&amp;col=6&amp;number=3.5&amp;sourceID=14","3.5")</f>
        <v>3.5</v>
      </c>
      <c r="G7229" s="4" t="str">
        <f>HYPERLINK("http://141.218.60.56/~jnz1568/getInfo.php?workbook=20_05.xlsx&amp;sheet=U0&amp;row=7229&amp;col=7&amp;number=9.67e-07&amp;sourceID=14","9.67e-07")</f>
        <v>9.67e-07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HYPERLINK("http://141.218.60.56/~jnz1568/getInfo.php?workbook=20_05.xlsx&amp;sheet=U0&amp;row=7230&amp;col=6&amp;number=3.6&amp;sourceID=14","3.6")</f>
        <v>3.6</v>
      </c>
      <c r="G7230" s="4" t="str">
        <f>HYPERLINK("http://141.218.60.56/~jnz1568/getInfo.php?workbook=20_05.xlsx&amp;sheet=U0&amp;row=7230&amp;col=7&amp;number=9.68e-07&amp;sourceID=14","9.68e-07")</f>
        <v>9.68e-07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HYPERLINK("http://141.218.60.56/~jnz1568/getInfo.php?workbook=20_05.xlsx&amp;sheet=U0&amp;row=7231&amp;col=6&amp;number=3.7&amp;sourceID=14","3.7")</f>
        <v>3.7</v>
      </c>
      <c r="G7231" s="4" t="str">
        <f>HYPERLINK("http://141.218.60.56/~jnz1568/getInfo.php?workbook=20_05.xlsx&amp;sheet=U0&amp;row=7231&amp;col=7&amp;number=9.68e-07&amp;sourceID=14","9.68e-07")</f>
        <v>9.68e-07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HYPERLINK("http://141.218.60.56/~jnz1568/getInfo.php?workbook=20_05.xlsx&amp;sheet=U0&amp;row=7232&amp;col=6&amp;number=3.8&amp;sourceID=14","3.8")</f>
        <v>3.8</v>
      </c>
      <c r="G7232" s="4" t="str">
        <f>HYPERLINK("http://141.218.60.56/~jnz1568/getInfo.php?workbook=20_05.xlsx&amp;sheet=U0&amp;row=7232&amp;col=7&amp;number=9.68e-07&amp;sourceID=14","9.68e-07")</f>
        <v>9.68e-07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HYPERLINK("http://141.218.60.56/~jnz1568/getInfo.php?workbook=20_05.xlsx&amp;sheet=U0&amp;row=7233&amp;col=6&amp;number=3.9&amp;sourceID=14","3.9")</f>
        <v>3.9</v>
      </c>
      <c r="G7233" s="4" t="str">
        <f>HYPERLINK("http://141.218.60.56/~jnz1568/getInfo.php?workbook=20_05.xlsx&amp;sheet=U0&amp;row=7233&amp;col=7&amp;number=9.68e-07&amp;sourceID=14","9.68e-07")</f>
        <v>9.68e-07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HYPERLINK("http://141.218.60.56/~jnz1568/getInfo.php?workbook=20_05.xlsx&amp;sheet=U0&amp;row=7234&amp;col=6&amp;number=4&amp;sourceID=14","4")</f>
        <v>4</v>
      </c>
      <c r="G7234" s="4" t="str">
        <f>HYPERLINK("http://141.218.60.56/~jnz1568/getInfo.php?workbook=20_05.xlsx&amp;sheet=U0&amp;row=7234&amp;col=7&amp;number=9.69e-07&amp;sourceID=14","9.69e-07")</f>
        <v>9.69e-07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HYPERLINK("http://141.218.60.56/~jnz1568/getInfo.php?workbook=20_05.xlsx&amp;sheet=U0&amp;row=7235&amp;col=6&amp;number=4.1&amp;sourceID=14","4.1")</f>
        <v>4.1</v>
      </c>
      <c r="G7235" s="4" t="str">
        <f>HYPERLINK("http://141.218.60.56/~jnz1568/getInfo.php?workbook=20_05.xlsx&amp;sheet=U0&amp;row=7235&amp;col=7&amp;number=9.69e-07&amp;sourceID=14","9.69e-07")</f>
        <v>9.69e-07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HYPERLINK("http://141.218.60.56/~jnz1568/getInfo.php?workbook=20_05.xlsx&amp;sheet=U0&amp;row=7236&amp;col=6&amp;number=4.2&amp;sourceID=14","4.2")</f>
        <v>4.2</v>
      </c>
      <c r="G7236" s="4" t="str">
        <f>HYPERLINK("http://141.218.60.56/~jnz1568/getInfo.php?workbook=20_05.xlsx&amp;sheet=U0&amp;row=7236&amp;col=7&amp;number=9.7e-07&amp;sourceID=14","9.7e-07")</f>
        <v>9.7e-07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HYPERLINK("http://141.218.60.56/~jnz1568/getInfo.php?workbook=20_05.xlsx&amp;sheet=U0&amp;row=7237&amp;col=6&amp;number=4.3&amp;sourceID=14","4.3")</f>
        <v>4.3</v>
      </c>
      <c r="G7237" s="4" t="str">
        <f>HYPERLINK("http://141.218.60.56/~jnz1568/getInfo.php?workbook=20_05.xlsx&amp;sheet=U0&amp;row=7237&amp;col=7&amp;number=9.7e-07&amp;sourceID=14","9.7e-07")</f>
        <v>9.7e-07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HYPERLINK("http://141.218.60.56/~jnz1568/getInfo.php?workbook=20_05.xlsx&amp;sheet=U0&amp;row=7238&amp;col=6&amp;number=4.4&amp;sourceID=14","4.4")</f>
        <v>4.4</v>
      </c>
      <c r="G7238" s="4" t="str">
        <f>HYPERLINK("http://141.218.60.56/~jnz1568/getInfo.php?workbook=20_05.xlsx&amp;sheet=U0&amp;row=7238&amp;col=7&amp;number=9.71e-07&amp;sourceID=14","9.71e-07")</f>
        <v>9.71e-07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HYPERLINK("http://141.218.60.56/~jnz1568/getInfo.php?workbook=20_05.xlsx&amp;sheet=U0&amp;row=7239&amp;col=6&amp;number=4.5&amp;sourceID=14","4.5")</f>
        <v>4.5</v>
      </c>
      <c r="G7239" s="4" t="str">
        <f>HYPERLINK("http://141.218.60.56/~jnz1568/getInfo.php?workbook=20_05.xlsx&amp;sheet=U0&amp;row=7239&amp;col=7&amp;number=9.72e-07&amp;sourceID=14","9.72e-07")</f>
        <v>9.72e-07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HYPERLINK("http://141.218.60.56/~jnz1568/getInfo.php?workbook=20_05.xlsx&amp;sheet=U0&amp;row=7240&amp;col=6&amp;number=4.6&amp;sourceID=14","4.6")</f>
        <v>4.6</v>
      </c>
      <c r="G7240" s="4" t="str">
        <f>HYPERLINK("http://141.218.60.56/~jnz1568/getInfo.php?workbook=20_05.xlsx&amp;sheet=U0&amp;row=7240&amp;col=7&amp;number=9.74e-07&amp;sourceID=14","9.74e-07")</f>
        <v>9.74e-07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HYPERLINK("http://141.218.60.56/~jnz1568/getInfo.php?workbook=20_05.xlsx&amp;sheet=U0&amp;row=7241&amp;col=6&amp;number=4.7&amp;sourceID=14","4.7")</f>
        <v>4.7</v>
      </c>
      <c r="G7241" s="4" t="str">
        <f>HYPERLINK("http://141.218.60.56/~jnz1568/getInfo.php?workbook=20_05.xlsx&amp;sheet=U0&amp;row=7241&amp;col=7&amp;number=9.76e-07&amp;sourceID=14","9.76e-07")</f>
        <v>9.76e-07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HYPERLINK("http://141.218.60.56/~jnz1568/getInfo.php?workbook=20_05.xlsx&amp;sheet=U0&amp;row=7242&amp;col=6&amp;number=4.8&amp;sourceID=14","4.8")</f>
        <v>4.8</v>
      </c>
      <c r="G7242" s="4" t="str">
        <f>HYPERLINK("http://141.218.60.56/~jnz1568/getInfo.php?workbook=20_05.xlsx&amp;sheet=U0&amp;row=7242&amp;col=7&amp;number=9.78e-07&amp;sourceID=14","9.78e-07")</f>
        <v>9.78e-07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HYPERLINK("http://141.218.60.56/~jnz1568/getInfo.php?workbook=20_05.xlsx&amp;sheet=U0&amp;row=7243&amp;col=6&amp;number=4.9&amp;sourceID=14","4.9")</f>
        <v>4.9</v>
      </c>
      <c r="G7243" s="4" t="str">
        <f>HYPERLINK("http://141.218.60.56/~jnz1568/getInfo.php?workbook=20_05.xlsx&amp;sheet=U0&amp;row=7243&amp;col=7&amp;number=9.81e-07&amp;sourceID=14","9.81e-07")</f>
        <v>9.81e-07</v>
      </c>
    </row>
    <row r="7244" spans="1:7">
      <c r="A7244" s="3">
        <v>20</v>
      </c>
      <c r="B7244" s="3">
        <v>5</v>
      </c>
      <c r="C7244" s="3">
        <v>3</v>
      </c>
      <c r="D7244" s="3">
        <v>106</v>
      </c>
      <c r="E7244" s="3">
        <v>1</v>
      </c>
      <c r="F7244" s="4" t="str">
        <f>HYPERLINK("http://141.218.60.56/~jnz1568/getInfo.php?workbook=20_05.xlsx&amp;sheet=U0&amp;row=7244&amp;col=6&amp;number=3&amp;sourceID=14","3")</f>
        <v>3</v>
      </c>
      <c r="G7244" s="4" t="str">
        <f>HYPERLINK("http://141.218.60.56/~jnz1568/getInfo.php?workbook=20_05.xlsx&amp;sheet=U0&amp;row=7244&amp;col=7&amp;number=0.000277&amp;sourceID=14","0.000277")</f>
        <v>0.000277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HYPERLINK("http://141.218.60.56/~jnz1568/getInfo.php?workbook=20_05.xlsx&amp;sheet=U0&amp;row=7245&amp;col=6&amp;number=3.1&amp;sourceID=14","3.1")</f>
        <v>3.1</v>
      </c>
      <c r="G7245" s="4" t="str">
        <f>HYPERLINK("http://141.218.60.56/~jnz1568/getInfo.php?workbook=20_05.xlsx&amp;sheet=U0&amp;row=7245&amp;col=7&amp;number=0.000277&amp;sourceID=14","0.000277")</f>
        <v>0.000277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HYPERLINK("http://141.218.60.56/~jnz1568/getInfo.php?workbook=20_05.xlsx&amp;sheet=U0&amp;row=7246&amp;col=6&amp;number=3.2&amp;sourceID=14","3.2")</f>
        <v>3.2</v>
      </c>
      <c r="G7246" s="4" t="str">
        <f>HYPERLINK("http://141.218.60.56/~jnz1568/getInfo.php?workbook=20_05.xlsx&amp;sheet=U0&amp;row=7246&amp;col=7&amp;number=0.000277&amp;sourceID=14","0.000277")</f>
        <v>0.000277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HYPERLINK("http://141.218.60.56/~jnz1568/getInfo.php?workbook=20_05.xlsx&amp;sheet=U0&amp;row=7247&amp;col=6&amp;number=3.3&amp;sourceID=14","3.3")</f>
        <v>3.3</v>
      </c>
      <c r="G7247" s="4" t="str">
        <f>HYPERLINK("http://141.218.60.56/~jnz1568/getInfo.php?workbook=20_05.xlsx&amp;sheet=U0&amp;row=7247&amp;col=7&amp;number=0.000277&amp;sourceID=14","0.000277")</f>
        <v>0.000277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HYPERLINK("http://141.218.60.56/~jnz1568/getInfo.php?workbook=20_05.xlsx&amp;sheet=U0&amp;row=7248&amp;col=6&amp;number=3.4&amp;sourceID=14","3.4")</f>
        <v>3.4</v>
      </c>
      <c r="G7248" s="4" t="str">
        <f>HYPERLINK("http://141.218.60.56/~jnz1568/getInfo.php?workbook=20_05.xlsx&amp;sheet=U0&amp;row=7248&amp;col=7&amp;number=0.000277&amp;sourceID=14","0.000277")</f>
        <v>0.000277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HYPERLINK("http://141.218.60.56/~jnz1568/getInfo.php?workbook=20_05.xlsx&amp;sheet=U0&amp;row=7249&amp;col=6&amp;number=3.5&amp;sourceID=14","3.5")</f>
        <v>3.5</v>
      </c>
      <c r="G7249" s="4" t="str">
        <f>HYPERLINK("http://141.218.60.56/~jnz1568/getInfo.php?workbook=20_05.xlsx&amp;sheet=U0&amp;row=7249&amp;col=7&amp;number=0.000277&amp;sourceID=14","0.000277")</f>
        <v>0.000277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HYPERLINK("http://141.218.60.56/~jnz1568/getInfo.php?workbook=20_05.xlsx&amp;sheet=U0&amp;row=7250&amp;col=6&amp;number=3.6&amp;sourceID=14","3.6")</f>
        <v>3.6</v>
      </c>
      <c r="G7250" s="4" t="str">
        <f>HYPERLINK("http://141.218.60.56/~jnz1568/getInfo.php?workbook=20_05.xlsx&amp;sheet=U0&amp;row=7250&amp;col=7&amp;number=0.000277&amp;sourceID=14","0.000277")</f>
        <v>0.000277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HYPERLINK("http://141.218.60.56/~jnz1568/getInfo.php?workbook=20_05.xlsx&amp;sheet=U0&amp;row=7251&amp;col=6&amp;number=3.7&amp;sourceID=14","3.7")</f>
        <v>3.7</v>
      </c>
      <c r="G7251" s="4" t="str">
        <f>HYPERLINK("http://141.218.60.56/~jnz1568/getInfo.php?workbook=20_05.xlsx&amp;sheet=U0&amp;row=7251&amp;col=7&amp;number=0.000277&amp;sourceID=14","0.000277")</f>
        <v>0.000277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HYPERLINK("http://141.218.60.56/~jnz1568/getInfo.php?workbook=20_05.xlsx&amp;sheet=U0&amp;row=7252&amp;col=6&amp;number=3.8&amp;sourceID=14","3.8")</f>
        <v>3.8</v>
      </c>
      <c r="G7252" s="4" t="str">
        <f>HYPERLINK("http://141.218.60.56/~jnz1568/getInfo.php?workbook=20_05.xlsx&amp;sheet=U0&amp;row=7252&amp;col=7&amp;number=0.000277&amp;sourceID=14","0.000277")</f>
        <v>0.000277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HYPERLINK("http://141.218.60.56/~jnz1568/getInfo.php?workbook=20_05.xlsx&amp;sheet=U0&amp;row=7253&amp;col=6&amp;number=3.9&amp;sourceID=14","3.9")</f>
        <v>3.9</v>
      </c>
      <c r="G7253" s="4" t="str">
        <f>HYPERLINK("http://141.218.60.56/~jnz1568/getInfo.php?workbook=20_05.xlsx&amp;sheet=U0&amp;row=7253&amp;col=7&amp;number=0.000277&amp;sourceID=14","0.000277")</f>
        <v>0.000277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HYPERLINK("http://141.218.60.56/~jnz1568/getInfo.php?workbook=20_05.xlsx&amp;sheet=U0&amp;row=7254&amp;col=6&amp;number=4&amp;sourceID=14","4")</f>
        <v>4</v>
      </c>
      <c r="G7254" s="4" t="str">
        <f>HYPERLINK("http://141.218.60.56/~jnz1568/getInfo.php?workbook=20_05.xlsx&amp;sheet=U0&amp;row=7254&amp;col=7&amp;number=0.000277&amp;sourceID=14","0.000277")</f>
        <v>0.000277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HYPERLINK("http://141.218.60.56/~jnz1568/getInfo.php?workbook=20_05.xlsx&amp;sheet=U0&amp;row=7255&amp;col=6&amp;number=4.1&amp;sourceID=14","4.1")</f>
        <v>4.1</v>
      </c>
      <c r="G7255" s="4" t="str">
        <f>HYPERLINK("http://141.218.60.56/~jnz1568/getInfo.php?workbook=20_05.xlsx&amp;sheet=U0&amp;row=7255&amp;col=7&amp;number=0.000276&amp;sourceID=14","0.000276")</f>
        <v>0.000276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HYPERLINK("http://141.218.60.56/~jnz1568/getInfo.php?workbook=20_05.xlsx&amp;sheet=U0&amp;row=7256&amp;col=6&amp;number=4.2&amp;sourceID=14","4.2")</f>
        <v>4.2</v>
      </c>
      <c r="G7256" s="4" t="str">
        <f>HYPERLINK("http://141.218.60.56/~jnz1568/getInfo.php?workbook=20_05.xlsx&amp;sheet=U0&amp;row=7256&amp;col=7&amp;number=0.000276&amp;sourceID=14","0.000276")</f>
        <v>0.000276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HYPERLINK("http://141.218.60.56/~jnz1568/getInfo.php?workbook=20_05.xlsx&amp;sheet=U0&amp;row=7257&amp;col=6&amp;number=4.3&amp;sourceID=14","4.3")</f>
        <v>4.3</v>
      </c>
      <c r="G7257" s="4" t="str">
        <f>HYPERLINK("http://141.218.60.56/~jnz1568/getInfo.php?workbook=20_05.xlsx&amp;sheet=U0&amp;row=7257&amp;col=7&amp;number=0.000276&amp;sourceID=14","0.000276")</f>
        <v>0.000276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HYPERLINK("http://141.218.60.56/~jnz1568/getInfo.php?workbook=20_05.xlsx&amp;sheet=U0&amp;row=7258&amp;col=6&amp;number=4.4&amp;sourceID=14","4.4")</f>
        <v>4.4</v>
      </c>
      <c r="G7258" s="4" t="str">
        <f>HYPERLINK("http://141.218.60.56/~jnz1568/getInfo.php?workbook=20_05.xlsx&amp;sheet=U0&amp;row=7258&amp;col=7&amp;number=0.000276&amp;sourceID=14","0.000276")</f>
        <v>0.000276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HYPERLINK("http://141.218.60.56/~jnz1568/getInfo.php?workbook=20_05.xlsx&amp;sheet=U0&amp;row=7259&amp;col=6&amp;number=4.5&amp;sourceID=14","4.5")</f>
        <v>4.5</v>
      </c>
      <c r="G7259" s="4" t="str">
        <f>HYPERLINK("http://141.218.60.56/~jnz1568/getInfo.php?workbook=20_05.xlsx&amp;sheet=U0&amp;row=7259&amp;col=7&amp;number=0.000275&amp;sourceID=14","0.000275")</f>
        <v>0.000275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HYPERLINK("http://141.218.60.56/~jnz1568/getInfo.php?workbook=20_05.xlsx&amp;sheet=U0&amp;row=7260&amp;col=6&amp;number=4.6&amp;sourceID=14","4.6")</f>
        <v>4.6</v>
      </c>
      <c r="G7260" s="4" t="str">
        <f>HYPERLINK("http://141.218.60.56/~jnz1568/getInfo.php?workbook=20_05.xlsx&amp;sheet=U0&amp;row=7260&amp;col=7&amp;number=0.000275&amp;sourceID=14","0.000275")</f>
        <v>0.000275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HYPERLINK("http://141.218.60.56/~jnz1568/getInfo.php?workbook=20_05.xlsx&amp;sheet=U0&amp;row=7261&amp;col=6&amp;number=4.7&amp;sourceID=14","4.7")</f>
        <v>4.7</v>
      </c>
      <c r="G7261" s="4" t="str">
        <f>HYPERLINK("http://141.218.60.56/~jnz1568/getInfo.php?workbook=20_05.xlsx&amp;sheet=U0&amp;row=7261&amp;col=7&amp;number=0.000274&amp;sourceID=14","0.000274")</f>
        <v>0.000274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HYPERLINK("http://141.218.60.56/~jnz1568/getInfo.php?workbook=20_05.xlsx&amp;sheet=U0&amp;row=7262&amp;col=6&amp;number=4.8&amp;sourceID=14","4.8")</f>
        <v>4.8</v>
      </c>
      <c r="G7262" s="4" t="str">
        <f>HYPERLINK("http://141.218.60.56/~jnz1568/getInfo.php?workbook=20_05.xlsx&amp;sheet=U0&amp;row=7262&amp;col=7&amp;number=0.000273&amp;sourceID=14","0.000273")</f>
        <v>0.000273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HYPERLINK("http://141.218.60.56/~jnz1568/getInfo.php?workbook=20_05.xlsx&amp;sheet=U0&amp;row=7263&amp;col=6&amp;number=4.9&amp;sourceID=14","4.9")</f>
        <v>4.9</v>
      </c>
      <c r="G7263" s="4" t="str">
        <f>HYPERLINK("http://141.218.60.56/~jnz1568/getInfo.php?workbook=20_05.xlsx&amp;sheet=U0&amp;row=7263&amp;col=7&amp;number=0.000272&amp;sourceID=14","0.000272")</f>
        <v>0.000272</v>
      </c>
    </row>
    <row r="7264" spans="1:7">
      <c r="A7264" s="3">
        <v>20</v>
      </c>
      <c r="B7264" s="3">
        <v>5</v>
      </c>
      <c r="C7264" s="3">
        <v>3</v>
      </c>
      <c r="D7264" s="3">
        <v>107</v>
      </c>
      <c r="E7264" s="3">
        <v>1</v>
      </c>
      <c r="F7264" s="4" t="str">
        <f>HYPERLINK("http://141.218.60.56/~jnz1568/getInfo.php?workbook=20_05.xlsx&amp;sheet=U0&amp;row=7264&amp;col=6&amp;number=3&amp;sourceID=14","3")</f>
        <v>3</v>
      </c>
      <c r="G7264" s="4" t="str">
        <f>HYPERLINK("http://141.218.60.56/~jnz1568/getInfo.php?workbook=20_05.xlsx&amp;sheet=U0&amp;row=7264&amp;col=7&amp;number=0.00519&amp;sourceID=14","0.00519")</f>
        <v>0.00519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HYPERLINK("http://141.218.60.56/~jnz1568/getInfo.php?workbook=20_05.xlsx&amp;sheet=U0&amp;row=7265&amp;col=6&amp;number=3.1&amp;sourceID=14","3.1")</f>
        <v>3.1</v>
      </c>
      <c r="G7265" s="4" t="str">
        <f>HYPERLINK("http://141.218.60.56/~jnz1568/getInfo.php?workbook=20_05.xlsx&amp;sheet=U0&amp;row=7265&amp;col=7&amp;number=0.00519&amp;sourceID=14","0.00519")</f>
        <v>0.00519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HYPERLINK("http://141.218.60.56/~jnz1568/getInfo.php?workbook=20_05.xlsx&amp;sheet=U0&amp;row=7266&amp;col=6&amp;number=3.2&amp;sourceID=14","3.2")</f>
        <v>3.2</v>
      </c>
      <c r="G7266" s="4" t="str">
        <f>HYPERLINK("http://141.218.60.56/~jnz1568/getInfo.php?workbook=20_05.xlsx&amp;sheet=U0&amp;row=7266&amp;col=7&amp;number=0.00519&amp;sourceID=14","0.00519")</f>
        <v>0.00519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HYPERLINK("http://141.218.60.56/~jnz1568/getInfo.php?workbook=20_05.xlsx&amp;sheet=U0&amp;row=7267&amp;col=6&amp;number=3.3&amp;sourceID=14","3.3")</f>
        <v>3.3</v>
      </c>
      <c r="G7267" s="4" t="str">
        <f>HYPERLINK("http://141.218.60.56/~jnz1568/getInfo.php?workbook=20_05.xlsx&amp;sheet=U0&amp;row=7267&amp;col=7&amp;number=0.00519&amp;sourceID=14","0.00519")</f>
        <v>0.00519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HYPERLINK("http://141.218.60.56/~jnz1568/getInfo.php?workbook=20_05.xlsx&amp;sheet=U0&amp;row=7268&amp;col=6&amp;number=3.4&amp;sourceID=14","3.4")</f>
        <v>3.4</v>
      </c>
      <c r="G7268" s="4" t="str">
        <f>HYPERLINK("http://141.218.60.56/~jnz1568/getInfo.php?workbook=20_05.xlsx&amp;sheet=U0&amp;row=7268&amp;col=7&amp;number=0.00519&amp;sourceID=14","0.00519")</f>
        <v>0.00519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HYPERLINK("http://141.218.60.56/~jnz1568/getInfo.php?workbook=20_05.xlsx&amp;sheet=U0&amp;row=7269&amp;col=6&amp;number=3.5&amp;sourceID=14","3.5")</f>
        <v>3.5</v>
      </c>
      <c r="G7269" s="4" t="str">
        <f>HYPERLINK("http://141.218.60.56/~jnz1568/getInfo.php?workbook=20_05.xlsx&amp;sheet=U0&amp;row=7269&amp;col=7&amp;number=0.00519&amp;sourceID=14","0.00519")</f>
        <v>0.00519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HYPERLINK("http://141.218.60.56/~jnz1568/getInfo.php?workbook=20_05.xlsx&amp;sheet=U0&amp;row=7270&amp;col=6&amp;number=3.6&amp;sourceID=14","3.6")</f>
        <v>3.6</v>
      </c>
      <c r="G7270" s="4" t="str">
        <f>HYPERLINK("http://141.218.60.56/~jnz1568/getInfo.php?workbook=20_05.xlsx&amp;sheet=U0&amp;row=7270&amp;col=7&amp;number=0.00519&amp;sourceID=14","0.00519")</f>
        <v>0.00519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HYPERLINK("http://141.218.60.56/~jnz1568/getInfo.php?workbook=20_05.xlsx&amp;sheet=U0&amp;row=7271&amp;col=6&amp;number=3.7&amp;sourceID=14","3.7")</f>
        <v>3.7</v>
      </c>
      <c r="G7271" s="4" t="str">
        <f>HYPERLINK("http://141.218.60.56/~jnz1568/getInfo.php?workbook=20_05.xlsx&amp;sheet=U0&amp;row=7271&amp;col=7&amp;number=0.00519&amp;sourceID=14","0.00519")</f>
        <v>0.00519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HYPERLINK("http://141.218.60.56/~jnz1568/getInfo.php?workbook=20_05.xlsx&amp;sheet=U0&amp;row=7272&amp;col=6&amp;number=3.8&amp;sourceID=14","3.8")</f>
        <v>3.8</v>
      </c>
      <c r="G7272" s="4" t="str">
        <f>HYPERLINK("http://141.218.60.56/~jnz1568/getInfo.php?workbook=20_05.xlsx&amp;sheet=U0&amp;row=7272&amp;col=7&amp;number=0.00519&amp;sourceID=14","0.00519")</f>
        <v>0.00519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HYPERLINK("http://141.218.60.56/~jnz1568/getInfo.php?workbook=20_05.xlsx&amp;sheet=U0&amp;row=7273&amp;col=6&amp;number=3.9&amp;sourceID=14","3.9")</f>
        <v>3.9</v>
      </c>
      <c r="G7273" s="4" t="str">
        <f>HYPERLINK("http://141.218.60.56/~jnz1568/getInfo.php?workbook=20_05.xlsx&amp;sheet=U0&amp;row=7273&amp;col=7&amp;number=0.00518&amp;sourceID=14","0.00518")</f>
        <v>0.00518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HYPERLINK("http://141.218.60.56/~jnz1568/getInfo.php?workbook=20_05.xlsx&amp;sheet=U0&amp;row=7274&amp;col=6&amp;number=4&amp;sourceID=14","4")</f>
        <v>4</v>
      </c>
      <c r="G7274" s="4" t="str">
        <f>HYPERLINK("http://141.218.60.56/~jnz1568/getInfo.php?workbook=20_05.xlsx&amp;sheet=U0&amp;row=7274&amp;col=7&amp;number=0.00518&amp;sourceID=14","0.00518")</f>
        <v>0.00518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HYPERLINK("http://141.218.60.56/~jnz1568/getInfo.php?workbook=20_05.xlsx&amp;sheet=U0&amp;row=7275&amp;col=6&amp;number=4.1&amp;sourceID=14","4.1")</f>
        <v>4.1</v>
      </c>
      <c r="G7275" s="4" t="str">
        <f>HYPERLINK("http://141.218.60.56/~jnz1568/getInfo.php?workbook=20_05.xlsx&amp;sheet=U0&amp;row=7275&amp;col=7&amp;number=0.00518&amp;sourceID=14","0.00518")</f>
        <v>0.00518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HYPERLINK("http://141.218.60.56/~jnz1568/getInfo.php?workbook=20_05.xlsx&amp;sheet=U0&amp;row=7276&amp;col=6&amp;number=4.2&amp;sourceID=14","4.2")</f>
        <v>4.2</v>
      </c>
      <c r="G7276" s="4" t="str">
        <f>HYPERLINK("http://141.218.60.56/~jnz1568/getInfo.php?workbook=20_05.xlsx&amp;sheet=U0&amp;row=7276&amp;col=7&amp;number=0.00518&amp;sourceID=14","0.00518")</f>
        <v>0.00518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HYPERLINK("http://141.218.60.56/~jnz1568/getInfo.php?workbook=20_05.xlsx&amp;sheet=U0&amp;row=7277&amp;col=6&amp;number=4.3&amp;sourceID=14","4.3")</f>
        <v>4.3</v>
      </c>
      <c r="G7277" s="4" t="str">
        <f>HYPERLINK("http://141.218.60.56/~jnz1568/getInfo.php?workbook=20_05.xlsx&amp;sheet=U0&amp;row=7277&amp;col=7&amp;number=0.00517&amp;sourceID=14","0.00517")</f>
        <v>0.00517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HYPERLINK("http://141.218.60.56/~jnz1568/getInfo.php?workbook=20_05.xlsx&amp;sheet=U0&amp;row=7278&amp;col=6&amp;number=4.4&amp;sourceID=14","4.4")</f>
        <v>4.4</v>
      </c>
      <c r="G7278" s="4" t="str">
        <f>HYPERLINK("http://141.218.60.56/~jnz1568/getInfo.php?workbook=20_05.xlsx&amp;sheet=U0&amp;row=7278&amp;col=7&amp;number=0.00517&amp;sourceID=14","0.00517")</f>
        <v>0.00517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HYPERLINK("http://141.218.60.56/~jnz1568/getInfo.php?workbook=20_05.xlsx&amp;sheet=U0&amp;row=7279&amp;col=6&amp;number=4.5&amp;sourceID=14","4.5")</f>
        <v>4.5</v>
      </c>
      <c r="G7279" s="4" t="str">
        <f>HYPERLINK("http://141.218.60.56/~jnz1568/getInfo.php?workbook=20_05.xlsx&amp;sheet=U0&amp;row=7279&amp;col=7&amp;number=0.00516&amp;sourceID=14","0.00516")</f>
        <v>0.00516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HYPERLINK("http://141.218.60.56/~jnz1568/getInfo.php?workbook=20_05.xlsx&amp;sheet=U0&amp;row=7280&amp;col=6&amp;number=4.6&amp;sourceID=14","4.6")</f>
        <v>4.6</v>
      </c>
      <c r="G7280" s="4" t="str">
        <f>HYPERLINK("http://141.218.60.56/~jnz1568/getInfo.php?workbook=20_05.xlsx&amp;sheet=U0&amp;row=7280&amp;col=7&amp;number=0.00515&amp;sourceID=14","0.00515")</f>
        <v>0.00515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HYPERLINK("http://141.218.60.56/~jnz1568/getInfo.php?workbook=20_05.xlsx&amp;sheet=U0&amp;row=7281&amp;col=6&amp;number=4.7&amp;sourceID=14","4.7")</f>
        <v>4.7</v>
      </c>
      <c r="G7281" s="4" t="str">
        <f>HYPERLINK("http://141.218.60.56/~jnz1568/getInfo.php?workbook=20_05.xlsx&amp;sheet=U0&amp;row=7281&amp;col=7&amp;number=0.00514&amp;sourceID=14","0.00514")</f>
        <v>0.00514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HYPERLINK("http://141.218.60.56/~jnz1568/getInfo.php?workbook=20_05.xlsx&amp;sheet=U0&amp;row=7282&amp;col=6&amp;number=4.8&amp;sourceID=14","4.8")</f>
        <v>4.8</v>
      </c>
      <c r="G7282" s="4" t="str">
        <f>HYPERLINK("http://141.218.60.56/~jnz1568/getInfo.php?workbook=20_05.xlsx&amp;sheet=U0&amp;row=7282&amp;col=7&amp;number=0.00513&amp;sourceID=14","0.00513")</f>
        <v>0.00513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HYPERLINK("http://141.218.60.56/~jnz1568/getInfo.php?workbook=20_05.xlsx&amp;sheet=U0&amp;row=7283&amp;col=6&amp;number=4.9&amp;sourceID=14","4.9")</f>
        <v>4.9</v>
      </c>
      <c r="G7283" s="4" t="str">
        <f>HYPERLINK("http://141.218.60.56/~jnz1568/getInfo.php?workbook=20_05.xlsx&amp;sheet=U0&amp;row=7283&amp;col=7&amp;number=0.00511&amp;sourceID=14","0.00511")</f>
        <v>0.00511</v>
      </c>
    </row>
    <row r="7284" spans="1:7">
      <c r="A7284" s="3">
        <v>20</v>
      </c>
      <c r="B7284" s="3">
        <v>5</v>
      </c>
      <c r="C7284" s="3">
        <v>3</v>
      </c>
      <c r="D7284" s="3">
        <v>108</v>
      </c>
      <c r="E7284" s="3">
        <v>1</v>
      </c>
      <c r="F7284" s="4" t="str">
        <f>HYPERLINK("http://141.218.60.56/~jnz1568/getInfo.php?workbook=20_05.xlsx&amp;sheet=U0&amp;row=7284&amp;col=6&amp;number=3&amp;sourceID=14","3")</f>
        <v>3</v>
      </c>
      <c r="G7284" s="4" t="str">
        <f>HYPERLINK("http://141.218.60.56/~jnz1568/getInfo.php?workbook=20_05.xlsx&amp;sheet=U0&amp;row=7284&amp;col=7&amp;number=0.00646&amp;sourceID=14","0.00646")</f>
        <v>0.00646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HYPERLINK("http://141.218.60.56/~jnz1568/getInfo.php?workbook=20_05.xlsx&amp;sheet=U0&amp;row=7285&amp;col=6&amp;number=3.1&amp;sourceID=14","3.1")</f>
        <v>3.1</v>
      </c>
      <c r="G7285" s="4" t="str">
        <f>HYPERLINK("http://141.218.60.56/~jnz1568/getInfo.php?workbook=20_05.xlsx&amp;sheet=U0&amp;row=7285&amp;col=7&amp;number=0.00646&amp;sourceID=14","0.00646")</f>
        <v>0.00646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HYPERLINK("http://141.218.60.56/~jnz1568/getInfo.php?workbook=20_05.xlsx&amp;sheet=U0&amp;row=7286&amp;col=6&amp;number=3.2&amp;sourceID=14","3.2")</f>
        <v>3.2</v>
      </c>
      <c r="G7286" s="4" t="str">
        <f>HYPERLINK("http://141.218.60.56/~jnz1568/getInfo.php?workbook=20_05.xlsx&amp;sheet=U0&amp;row=7286&amp;col=7&amp;number=0.00645&amp;sourceID=14","0.00645")</f>
        <v>0.00645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HYPERLINK("http://141.218.60.56/~jnz1568/getInfo.php?workbook=20_05.xlsx&amp;sheet=U0&amp;row=7287&amp;col=6&amp;number=3.3&amp;sourceID=14","3.3")</f>
        <v>3.3</v>
      </c>
      <c r="G7287" s="4" t="str">
        <f>HYPERLINK("http://141.218.60.56/~jnz1568/getInfo.php?workbook=20_05.xlsx&amp;sheet=U0&amp;row=7287&amp;col=7&amp;number=0.00645&amp;sourceID=14","0.00645")</f>
        <v>0.00645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HYPERLINK("http://141.218.60.56/~jnz1568/getInfo.php?workbook=20_05.xlsx&amp;sheet=U0&amp;row=7288&amp;col=6&amp;number=3.4&amp;sourceID=14","3.4")</f>
        <v>3.4</v>
      </c>
      <c r="G7288" s="4" t="str">
        <f>HYPERLINK("http://141.218.60.56/~jnz1568/getInfo.php?workbook=20_05.xlsx&amp;sheet=U0&amp;row=7288&amp;col=7&amp;number=0.00645&amp;sourceID=14","0.00645")</f>
        <v>0.00645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HYPERLINK("http://141.218.60.56/~jnz1568/getInfo.php?workbook=20_05.xlsx&amp;sheet=U0&amp;row=7289&amp;col=6&amp;number=3.5&amp;sourceID=14","3.5")</f>
        <v>3.5</v>
      </c>
      <c r="G7289" s="4" t="str">
        <f>HYPERLINK("http://141.218.60.56/~jnz1568/getInfo.php?workbook=20_05.xlsx&amp;sheet=U0&amp;row=7289&amp;col=7&amp;number=0.00645&amp;sourceID=14","0.00645")</f>
        <v>0.00645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HYPERLINK("http://141.218.60.56/~jnz1568/getInfo.php?workbook=20_05.xlsx&amp;sheet=U0&amp;row=7290&amp;col=6&amp;number=3.6&amp;sourceID=14","3.6")</f>
        <v>3.6</v>
      </c>
      <c r="G7290" s="4" t="str">
        <f>HYPERLINK("http://141.218.60.56/~jnz1568/getInfo.php?workbook=20_05.xlsx&amp;sheet=U0&amp;row=7290&amp;col=7&amp;number=0.00645&amp;sourceID=14","0.00645")</f>
        <v>0.00645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HYPERLINK("http://141.218.60.56/~jnz1568/getInfo.php?workbook=20_05.xlsx&amp;sheet=U0&amp;row=7291&amp;col=6&amp;number=3.7&amp;sourceID=14","3.7")</f>
        <v>3.7</v>
      </c>
      <c r="G7291" s="4" t="str">
        <f>HYPERLINK("http://141.218.60.56/~jnz1568/getInfo.php?workbook=20_05.xlsx&amp;sheet=U0&amp;row=7291&amp;col=7&amp;number=0.00645&amp;sourceID=14","0.00645")</f>
        <v>0.00645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HYPERLINK("http://141.218.60.56/~jnz1568/getInfo.php?workbook=20_05.xlsx&amp;sheet=U0&amp;row=7292&amp;col=6&amp;number=3.8&amp;sourceID=14","3.8")</f>
        <v>3.8</v>
      </c>
      <c r="G7292" s="4" t="str">
        <f>HYPERLINK("http://141.218.60.56/~jnz1568/getInfo.php?workbook=20_05.xlsx&amp;sheet=U0&amp;row=7292&amp;col=7&amp;number=0.00644&amp;sourceID=14","0.00644")</f>
        <v>0.00644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HYPERLINK("http://141.218.60.56/~jnz1568/getInfo.php?workbook=20_05.xlsx&amp;sheet=U0&amp;row=7293&amp;col=6&amp;number=3.9&amp;sourceID=14","3.9")</f>
        <v>3.9</v>
      </c>
      <c r="G7293" s="4" t="str">
        <f>HYPERLINK("http://141.218.60.56/~jnz1568/getInfo.php?workbook=20_05.xlsx&amp;sheet=U0&amp;row=7293&amp;col=7&amp;number=0.00644&amp;sourceID=14","0.00644")</f>
        <v>0.00644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HYPERLINK("http://141.218.60.56/~jnz1568/getInfo.php?workbook=20_05.xlsx&amp;sheet=U0&amp;row=7294&amp;col=6&amp;number=4&amp;sourceID=14","4")</f>
        <v>4</v>
      </c>
      <c r="G7294" s="4" t="str">
        <f>HYPERLINK("http://141.218.60.56/~jnz1568/getInfo.php?workbook=20_05.xlsx&amp;sheet=U0&amp;row=7294&amp;col=7&amp;number=0.00644&amp;sourceID=14","0.00644")</f>
        <v>0.00644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HYPERLINK("http://141.218.60.56/~jnz1568/getInfo.php?workbook=20_05.xlsx&amp;sheet=U0&amp;row=7295&amp;col=6&amp;number=4.1&amp;sourceID=14","4.1")</f>
        <v>4.1</v>
      </c>
      <c r="G7295" s="4" t="str">
        <f>HYPERLINK("http://141.218.60.56/~jnz1568/getInfo.php?workbook=20_05.xlsx&amp;sheet=U0&amp;row=7295&amp;col=7&amp;number=0.00643&amp;sourceID=14","0.00643")</f>
        <v>0.00643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HYPERLINK("http://141.218.60.56/~jnz1568/getInfo.php?workbook=20_05.xlsx&amp;sheet=U0&amp;row=7296&amp;col=6&amp;number=4.2&amp;sourceID=14","4.2")</f>
        <v>4.2</v>
      </c>
      <c r="G7296" s="4" t="str">
        <f>HYPERLINK("http://141.218.60.56/~jnz1568/getInfo.php?workbook=20_05.xlsx&amp;sheet=U0&amp;row=7296&amp;col=7&amp;number=0.00642&amp;sourceID=14","0.00642")</f>
        <v>0.00642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HYPERLINK("http://141.218.60.56/~jnz1568/getInfo.php?workbook=20_05.xlsx&amp;sheet=U0&amp;row=7297&amp;col=6&amp;number=4.3&amp;sourceID=14","4.3")</f>
        <v>4.3</v>
      </c>
      <c r="G7297" s="4" t="str">
        <f>HYPERLINK("http://141.218.60.56/~jnz1568/getInfo.php?workbook=20_05.xlsx&amp;sheet=U0&amp;row=7297&amp;col=7&amp;number=0.00641&amp;sourceID=14","0.00641")</f>
        <v>0.00641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HYPERLINK("http://141.218.60.56/~jnz1568/getInfo.php?workbook=20_05.xlsx&amp;sheet=U0&amp;row=7298&amp;col=6&amp;number=4.4&amp;sourceID=14","4.4")</f>
        <v>4.4</v>
      </c>
      <c r="G7298" s="4" t="str">
        <f>HYPERLINK("http://141.218.60.56/~jnz1568/getInfo.php?workbook=20_05.xlsx&amp;sheet=U0&amp;row=7298&amp;col=7&amp;number=0.0064&amp;sourceID=14","0.0064")</f>
        <v>0.0064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HYPERLINK("http://141.218.60.56/~jnz1568/getInfo.php?workbook=20_05.xlsx&amp;sheet=U0&amp;row=7299&amp;col=6&amp;number=4.5&amp;sourceID=14","4.5")</f>
        <v>4.5</v>
      </c>
      <c r="G7299" s="4" t="str">
        <f>HYPERLINK("http://141.218.60.56/~jnz1568/getInfo.php?workbook=20_05.xlsx&amp;sheet=U0&amp;row=7299&amp;col=7&amp;number=0.00639&amp;sourceID=14","0.00639")</f>
        <v>0.00639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HYPERLINK("http://141.218.60.56/~jnz1568/getInfo.php?workbook=20_05.xlsx&amp;sheet=U0&amp;row=7300&amp;col=6&amp;number=4.6&amp;sourceID=14","4.6")</f>
        <v>4.6</v>
      </c>
      <c r="G7300" s="4" t="str">
        <f>HYPERLINK("http://141.218.60.56/~jnz1568/getInfo.php?workbook=20_05.xlsx&amp;sheet=U0&amp;row=7300&amp;col=7&amp;number=0.00637&amp;sourceID=14","0.00637")</f>
        <v>0.00637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HYPERLINK("http://141.218.60.56/~jnz1568/getInfo.php?workbook=20_05.xlsx&amp;sheet=U0&amp;row=7301&amp;col=6&amp;number=4.7&amp;sourceID=14","4.7")</f>
        <v>4.7</v>
      </c>
      <c r="G7301" s="4" t="str">
        <f>HYPERLINK("http://141.218.60.56/~jnz1568/getInfo.php?workbook=20_05.xlsx&amp;sheet=U0&amp;row=7301&amp;col=7&amp;number=0.00635&amp;sourceID=14","0.00635")</f>
        <v>0.00635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HYPERLINK("http://141.218.60.56/~jnz1568/getInfo.php?workbook=20_05.xlsx&amp;sheet=U0&amp;row=7302&amp;col=6&amp;number=4.8&amp;sourceID=14","4.8")</f>
        <v>4.8</v>
      </c>
      <c r="G7302" s="4" t="str">
        <f>HYPERLINK("http://141.218.60.56/~jnz1568/getInfo.php?workbook=20_05.xlsx&amp;sheet=U0&amp;row=7302&amp;col=7&amp;number=0.00632&amp;sourceID=14","0.00632")</f>
        <v>0.00632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HYPERLINK("http://141.218.60.56/~jnz1568/getInfo.php?workbook=20_05.xlsx&amp;sheet=U0&amp;row=7303&amp;col=6&amp;number=4.9&amp;sourceID=14","4.9")</f>
        <v>4.9</v>
      </c>
      <c r="G7303" s="4" t="str">
        <f>HYPERLINK("http://141.218.60.56/~jnz1568/getInfo.php?workbook=20_05.xlsx&amp;sheet=U0&amp;row=7303&amp;col=7&amp;number=0.00629&amp;sourceID=14","0.00629")</f>
        <v>0.00629</v>
      </c>
    </row>
    <row r="7304" spans="1:7">
      <c r="A7304" s="3">
        <v>20</v>
      </c>
      <c r="B7304" s="3">
        <v>5</v>
      </c>
      <c r="C7304" s="3">
        <v>3</v>
      </c>
      <c r="D7304" s="3">
        <v>109</v>
      </c>
      <c r="E7304" s="3">
        <v>1</v>
      </c>
      <c r="F7304" s="4" t="str">
        <f>HYPERLINK("http://141.218.60.56/~jnz1568/getInfo.php?workbook=20_05.xlsx&amp;sheet=U0&amp;row=7304&amp;col=6&amp;number=3&amp;sourceID=14","3")</f>
        <v>3</v>
      </c>
      <c r="G7304" s="4" t="str">
        <f>HYPERLINK("http://141.218.60.56/~jnz1568/getInfo.php?workbook=20_05.xlsx&amp;sheet=U0&amp;row=7304&amp;col=7&amp;number=0.00272&amp;sourceID=14","0.00272")</f>
        <v>0.00272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HYPERLINK("http://141.218.60.56/~jnz1568/getInfo.php?workbook=20_05.xlsx&amp;sheet=U0&amp;row=7305&amp;col=6&amp;number=3.1&amp;sourceID=14","3.1")</f>
        <v>3.1</v>
      </c>
      <c r="G7305" s="4" t="str">
        <f>HYPERLINK("http://141.218.60.56/~jnz1568/getInfo.php?workbook=20_05.xlsx&amp;sheet=U0&amp;row=7305&amp;col=7&amp;number=0.00272&amp;sourceID=14","0.00272")</f>
        <v>0.00272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HYPERLINK("http://141.218.60.56/~jnz1568/getInfo.php?workbook=20_05.xlsx&amp;sheet=U0&amp;row=7306&amp;col=6&amp;number=3.2&amp;sourceID=14","3.2")</f>
        <v>3.2</v>
      </c>
      <c r="G7306" s="4" t="str">
        <f>HYPERLINK("http://141.218.60.56/~jnz1568/getInfo.php?workbook=20_05.xlsx&amp;sheet=U0&amp;row=7306&amp;col=7&amp;number=0.00272&amp;sourceID=14","0.00272")</f>
        <v>0.00272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HYPERLINK("http://141.218.60.56/~jnz1568/getInfo.php?workbook=20_05.xlsx&amp;sheet=U0&amp;row=7307&amp;col=6&amp;number=3.3&amp;sourceID=14","3.3")</f>
        <v>3.3</v>
      </c>
      <c r="G7307" s="4" t="str">
        <f>HYPERLINK("http://141.218.60.56/~jnz1568/getInfo.php?workbook=20_05.xlsx&amp;sheet=U0&amp;row=7307&amp;col=7&amp;number=0.00272&amp;sourceID=14","0.00272")</f>
        <v>0.00272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HYPERLINK("http://141.218.60.56/~jnz1568/getInfo.php?workbook=20_05.xlsx&amp;sheet=U0&amp;row=7308&amp;col=6&amp;number=3.4&amp;sourceID=14","3.4")</f>
        <v>3.4</v>
      </c>
      <c r="G7308" s="4" t="str">
        <f>HYPERLINK("http://141.218.60.56/~jnz1568/getInfo.php?workbook=20_05.xlsx&amp;sheet=U0&amp;row=7308&amp;col=7&amp;number=0.00272&amp;sourceID=14","0.00272")</f>
        <v>0.00272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HYPERLINK("http://141.218.60.56/~jnz1568/getInfo.php?workbook=20_05.xlsx&amp;sheet=U0&amp;row=7309&amp;col=6&amp;number=3.5&amp;sourceID=14","3.5")</f>
        <v>3.5</v>
      </c>
      <c r="G7309" s="4" t="str">
        <f>HYPERLINK("http://141.218.60.56/~jnz1568/getInfo.php?workbook=20_05.xlsx&amp;sheet=U0&amp;row=7309&amp;col=7&amp;number=0.00272&amp;sourceID=14","0.00272")</f>
        <v>0.00272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HYPERLINK("http://141.218.60.56/~jnz1568/getInfo.php?workbook=20_05.xlsx&amp;sheet=U0&amp;row=7310&amp;col=6&amp;number=3.6&amp;sourceID=14","3.6")</f>
        <v>3.6</v>
      </c>
      <c r="G7310" s="4" t="str">
        <f>HYPERLINK("http://141.218.60.56/~jnz1568/getInfo.php?workbook=20_05.xlsx&amp;sheet=U0&amp;row=7310&amp;col=7&amp;number=0.00271&amp;sourceID=14","0.00271")</f>
        <v>0.00271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HYPERLINK("http://141.218.60.56/~jnz1568/getInfo.php?workbook=20_05.xlsx&amp;sheet=U0&amp;row=7311&amp;col=6&amp;number=3.7&amp;sourceID=14","3.7")</f>
        <v>3.7</v>
      </c>
      <c r="G7311" s="4" t="str">
        <f>HYPERLINK("http://141.218.60.56/~jnz1568/getInfo.php?workbook=20_05.xlsx&amp;sheet=U0&amp;row=7311&amp;col=7&amp;number=0.00271&amp;sourceID=14","0.00271")</f>
        <v>0.00271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HYPERLINK("http://141.218.60.56/~jnz1568/getInfo.php?workbook=20_05.xlsx&amp;sheet=U0&amp;row=7312&amp;col=6&amp;number=3.8&amp;sourceID=14","3.8")</f>
        <v>3.8</v>
      </c>
      <c r="G7312" s="4" t="str">
        <f>HYPERLINK("http://141.218.60.56/~jnz1568/getInfo.php?workbook=20_05.xlsx&amp;sheet=U0&amp;row=7312&amp;col=7&amp;number=0.00271&amp;sourceID=14","0.00271")</f>
        <v>0.00271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HYPERLINK("http://141.218.60.56/~jnz1568/getInfo.php?workbook=20_05.xlsx&amp;sheet=U0&amp;row=7313&amp;col=6&amp;number=3.9&amp;sourceID=14","3.9")</f>
        <v>3.9</v>
      </c>
      <c r="G7313" s="4" t="str">
        <f>HYPERLINK("http://141.218.60.56/~jnz1568/getInfo.php?workbook=20_05.xlsx&amp;sheet=U0&amp;row=7313&amp;col=7&amp;number=0.00271&amp;sourceID=14","0.00271")</f>
        <v>0.00271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HYPERLINK("http://141.218.60.56/~jnz1568/getInfo.php?workbook=20_05.xlsx&amp;sheet=U0&amp;row=7314&amp;col=6&amp;number=4&amp;sourceID=14","4")</f>
        <v>4</v>
      </c>
      <c r="G7314" s="4" t="str">
        <f>HYPERLINK("http://141.218.60.56/~jnz1568/getInfo.php?workbook=20_05.xlsx&amp;sheet=U0&amp;row=7314&amp;col=7&amp;number=0.00271&amp;sourceID=14","0.00271")</f>
        <v>0.00271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HYPERLINK("http://141.218.60.56/~jnz1568/getInfo.php?workbook=20_05.xlsx&amp;sheet=U0&amp;row=7315&amp;col=6&amp;number=4.1&amp;sourceID=14","4.1")</f>
        <v>4.1</v>
      </c>
      <c r="G7315" s="4" t="str">
        <f>HYPERLINK("http://141.218.60.56/~jnz1568/getInfo.php?workbook=20_05.xlsx&amp;sheet=U0&amp;row=7315&amp;col=7&amp;number=0.00271&amp;sourceID=14","0.00271")</f>
        <v>0.00271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HYPERLINK("http://141.218.60.56/~jnz1568/getInfo.php?workbook=20_05.xlsx&amp;sheet=U0&amp;row=7316&amp;col=6&amp;number=4.2&amp;sourceID=14","4.2")</f>
        <v>4.2</v>
      </c>
      <c r="G7316" s="4" t="str">
        <f>HYPERLINK("http://141.218.60.56/~jnz1568/getInfo.php?workbook=20_05.xlsx&amp;sheet=U0&amp;row=7316&amp;col=7&amp;number=0.0027&amp;sourceID=14","0.0027")</f>
        <v>0.0027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HYPERLINK("http://141.218.60.56/~jnz1568/getInfo.php?workbook=20_05.xlsx&amp;sheet=U0&amp;row=7317&amp;col=6&amp;number=4.3&amp;sourceID=14","4.3")</f>
        <v>4.3</v>
      </c>
      <c r="G7317" s="4" t="str">
        <f>HYPERLINK("http://141.218.60.56/~jnz1568/getInfo.php?workbook=20_05.xlsx&amp;sheet=U0&amp;row=7317&amp;col=7&amp;number=0.0027&amp;sourceID=14","0.0027")</f>
        <v>0.0027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HYPERLINK("http://141.218.60.56/~jnz1568/getInfo.php?workbook=20_05.xlsx&amp;sheet=U0&amp;row=7318&amp;col=6&amp;number=4.4&amp;sourceID=14","4.4")</f>
        <v>4.4</v>
      </c>
      <c r="G7318" s="4" t="str">
        <f>HYPERLINK("http://141.218.60.56/~jnz1568/getInfo.php?workbook=20_05.xlsx&amp;sheet=U0&amp;row=7318&amp;col=7&amp;number=0.0027&amp;sourceID=14","0.0027")</f>
        <v>0.0027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HYPERLINK("http://141.218.60.56/~jnz1568/getInfo.php?workbook=20_05.xlsx&amp;sheet=U0&amp;row=7319&amp;col=6&amp;number=4.5&amp;sourceID=14","4.5")</f>
        <v>4.5</v>
      </c>
      <c r="G7319" s="4" t="str">
        <f>HYPERLINK("http://141.218.60.56/~jnz1568/getInfo.php?workbook=20_05.xlsx&amp;sheet=U0&amp;row=7319&amp;col=7&amp;number=0.00269&amp;sourceID=14","0.00269")</f>
        <v>0.00269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HYPERLINK("http://141.218.60.56/~jnz1568/getInfo.php?workbook=20_05.xlsx&amp;sheet=U0&amp;row=7320&amp;col=6&amp;number=4.6&amp;sourceID=14","4.6")</f>
        <v>4.6</v>
      </c>
      <c r="G7320" s="4" t="str">
        <f>HYPERLINK("http://141.218.60.56/~jnz1568/getInfo.php?workbook=20_05.xlsx&amp;sheet=U0&amp;row=7320&amp;col=7&amp;number=0.00268&amp;sourceID=14","0.00268")</f>
        <v>0.00268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HYPERLINK("http://141.218.60.56/~jnz1568/getInfo.php?workbook=20_05.xlsx&amp;sheet=U0&amp;row=7321&amp;col=6&amp;number=4.7&amp;sourceID=14","4.7")</f>
        <v>4.7</v>
      </c>
      <c r="G7321" s="4" t="str">
        <f>HYPERLINK("http://141.218.60.56/~jnz1568/getInfo.php?workbook=20_05.xlsx&amp;sheet=U0&amp;row=7321&amp;col=7&amp;number=0.00267&amp;sourceID=14","0.00267")</f>
        <v>0.00267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HYPERLINK("http://141.218.60.56/~jnz1568/getInfo.php?workbook=20_05.xlsx&amp;sheet=U0&amp;row=7322&amp;col=6&amp;number=4.8&amp;sourceID=14","4.8")</f>
        <v>4.8</v>
      </c>
      <c r="G7322" s="4" t="str">
        <f>HYPERLINK("http://141.218.60.56/~jnz1568/getInfo.php?workbook=20_05.xlsx&amp;sheet=U0&amp;row=7322&amp;col=7&amp;number=0.00266&amp;sourceID=14","0.00266")</f>
        <v>0.00266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HYPERLINK("http://141.218.60.56/~jnz1568/getInfo.php?workbook=20_05.xlsx&amp;sheet=U0&amp;row=7323&amp;col=6&amp;number=4.9&amp;sourceID=14","4.9")</f>
        <v>4.9</v>
      </c>
      <c r="G7323" s="4" t="str">
        <f>HYPERLINK("http://141.218.60.56/~jnz1568/getInfo.php?workbook=20_05.xlsx&amp;sheet=U0&amp;row=7323&amp;col=7&amp;number=0.00265&amp;sourceID=14","0.00265")</f>
        <v>0.00265</v>
      </c>
    </row>
    <row r="7324" spans="1:7">
      <c r="A7324" s="3">
        <v>20</v>
      </c>
      <c r="B7324" s="3">
        <v>5</v>
      </c>
      <c r="C7324" s="3">
        <v>3</v>
      </c>
      <c r="D7324" s="3">
        <v>110</v>
      </c>
      <c r="E7324" s="3">
        <v>1</v>
      </c>
      <c r="F7324" s="4" t="str">
        <f>HYPERLINK("http://141.218.60.56/~jnz1568/getInfo.php?workbook=20_05.xlsx&amp;sheet=U0&amp;row=7324&amp;col=6&amp;number=3&amp;sourceID=14","3")</f>
        <v>3</v>
      </c>
      <c r="G7324" s="4" t="str">
        <f>HYPERLINK("http://141.218.60.56/~jnz1568/getInfo.php?workbook=20_05.xlsx&amp;sheet=U0&amp;row=7324&amp;col=7&amp;number=0.00124&amp;sourceID=14","0.00124")</f>
        <v>0.00124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HYPERLINK("http://141.218.60.56/~jnz1568/getInfo.php?workbook=20_05.xlsx&amp;sheet=U0&amp;row=7325&amp;col=6&amp;number=3.1&amp;sourceID=14","3.1")</f>
        <v>3.1</v>
      </c>
      <c r="G7325" s="4" t="str">
        <f>HYPERLINK("http://141.218.60.56/~jnz1568/getInfo.php?workbook=20_05.xlsx&amp;sheet=U0&amp;row=7325&amp;col=7&amp;number=0.00124&amp;sourceID=14","0.00124")</f>
        <v>0.00124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HYPERLINK("http://141.218.60.56/~jnz1568/getInfo.php?workbook=20_05.xlsx&amp;sheet=U0&amp;row=7326&amp;col=6&amp;number=3.2&amp;sourceID=14","3.2")</f>
        <v>3.2</v>
      </c>
      <c r="G7326" s="4" t="str">
        <f>HYPERLINK("http://141.218.60.56/~jnz1568/getInfo.php?workbook=20_05.xlsx&amp;sheet=U0&amp;row=7326&amp;col=7&amp;number=0.00124&amp;sourceID=14","0.00124")</f>
        <v>0.00124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HYPERLINK("http://141.218.60.56/~jnz1568/getInfo.php?workbook=20_05.xlsx&amp;sheet=U0&amp;row=7327&amp;col=6&amp;number=3.3&amp;sourceID=14","3.3")</f>
        <v>3.3</v>
      </c>
      <c r="G7327" s="4" t="str">
        <f>HYPERLINK("http://141.218.60.56/~jnz1568/getInfo.php?workbook=20_05.xlsx&amp;sheet=U0&amp;row=7327&amp;col=7&amp;number=0.00124&amp;sourceID=14","0.00124")</f>
        <v>0.00124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HYPERLINK("http://141.218.60.56/~jnz1568/getInfo.php?workbook=20_05.xlsx&amp;sheet=U0&amp;row=7328&amp;col=6&amp;number=3.4&amp;sourceID=14","3.4")</f>
        <v>3.4</v>
      </c>
      <c r="G7328" s="4" t="str">
        <f>HYPERLINK("http://141.218.60.56/~jnz1568/getInfo.php?workbook=20_05.xlsx&amp;sheet=U0&amp;row=7328&amp;col=7&amp;number=0.00124&amp;sourceID=14","0.00124")</f>
        <v>0.00124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HYPERLINK("http://141.218.60.56/~jnz1568/getInfo.php?workbook=20_05.xlsx&amp;sheet=U0&amp;row=7329&amp;col=6&amp;number=3.5&amp;sourceID=14","3.5")</f>
        <v>3.5</v>
      </c>
      <c r="G7329" s="4" t="str">
        <f>HYPERLINK("http://141.218.60.56/~jnz1568/getInfo.php?workbook=20_05.xlsx&amp;sheet=U0&amp;row=7329&amp;col=7&amp;number=0.00124&amp;sourceID=14","0.00124")</f>
        <v>0.00124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HYPERLINK("http://141.218.60.56/~jnz1568/getInfo.php?workbook=20_05.xlsx&amp;sheet=U0&amp;row=7330&amp;col=6&amp;number=3.6&amp;sourceID=14","3.6")</f>
        <v>3.6</v>
      </c>
      <c r="G7330" s="4" t="str">
        <f>HYPERLINK("http://141.218.60.56/~jnz1568/getInfo.php?workbook=20_05.xlsx&amp;sheet=U0&amp;row=7330&amp;col=7&amp;number=0.00124&amp;sourceID=14","0.00124")</f>
        <v>0.00124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HYPERLINK("http://141.218.60.56/~jnz1568/getInfo.php?workbook=20_05.xlsx&amp;sheet=U0&amp;row=7331&amp;col=6&amp;number=3.7&amp;sourceID=14","3.7")</f>
        <v>3.7</v>
      </c>
      <c r="G7331" s="4" t="str">
        <f>HYPERLINK("http://141.218.60.56/~jnz1568/getInfo.php?workbook=20_05.xlsx&amp;sheet=U0&amp;row=7331&amp;col=7&amp;number=0.00124&amp;sourceID=14","0.00124")</f>
        <v>0.00124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HYPERLINK("http://141.218.60.56/~jnz1568/getInfo.php?workbook=20_05.xlsx&amp;sheet=U0&amp;row=7332&amp;col=6&amp;number=3.8&amp;sourceID=14","3.8")</f>
        <v>3.8</v>
      </c>
      <c r="G7332" s="4" t="str">
        <f>HYPERLINK("http://141.218.60.56/~jnz1568/getInfo.php?workbook=20_05.xlsx&amp;sheet=U0&amp;row=7332&amp;col=7&amp;number=0.00124&amp;sourceID=14","0.00124")</f>
        <v>0.00124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HYPERLINK("http://141.218.60.56/~jnz1568/getInfo.php?workbook=20_05.xlsx&amp;sheet=U0&amp;row=7333&amp;col=6&amp;number=3.9&amp;sourceID=14","3.9")</f>
        <v>3.9</v>
      </c>
      <c r="G7333" s="4" t="str">
        <f>HYPERLINK("http://141.218.60.56/~jnz1568/getInfo.php?workbook=20_05.xlsx&amp;sheet=U0&amp;row=7333&amp;col=7&amp;number=0.00124&amp;sourceID=14","0.00124")</f>
        <v>0.00124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HYPERLINK("http://141.218.60.56/~jnz1568/getInfo.php?workbook=20_05.xlsx&amp;sheet=U0&amp;row=7334&amp;col=6&amp;number=4&amp;sourceID=14","4")</f>
        <v>4</v>
      </c>
      <c r="G7334" s="4" t="str">
        <f>HYPERLINK("http://141.218.60.56/~jnz1568/getInfo.php?workbook=20_05.xlsx&amp;sheet=U0&amp;row=7334&amp;col=7&amp;number=0.00124&amp;sourceID=14","0.00124")</f>
        <v>0.00124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HYPERLINK("http://141.218.60.56/~jnz1568/getInfo.php?workbook=20_05.xlsx&amp;sheet=U0&amp;row=7335&amp;col=6&amp;number=4.1&amp;sourceID=14","4.1")</f>
        <v>4.1</v>
      </c>
      <c r="G7335" s="4" t="str">
        <f>HYPERLINK("http://141.218.60.56/~jnz1568/getInfo.php?workbook=20_05.xlsx&amp;sheet=U0&amp;row=7335&amp;col=7&amp;number=0.00124&amp;sourceID=14","0.00124")</f>
        <v>0.00124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HYPERLINK("http://141.218.60.56/~jnz1568/getInfo.php?workbook=20_05.xlsx&amp;sheet=U0&amp;row=7336&amp;col=6&amp;number=4.2&amp;sourceID=14","4.2")</f>
        <v>4.2</v>
      </c>
      <c r="G7336" s="4" t="str">
        <f>HYPERLINK("http://141.218.60.56/~jnz1568/getInfo.php?workbook=20_05.xlsx&amp;sheet=U0&amp;row=7336&amp;col=7&amp;number=0.00124&amp;sourceID=14","0.00124")</f>
        <v>0.00124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HYPERLINK("http://141.218.60.56/~jnz1568/getInfo.php?workbook=20_05.xlsx&amp;sheet=U0&amp;row=7337&amp;col=6&amp;number=4.3&amp;sourceID=14","4.3")</f>
        <v>4.3</v>
      </c>
      <c r="G7337" s="4" t="str">
        <f>HYPERLINK("http://141.218.60.56/~jnz1568/getInfo.php?workbook=20_05.xlsx&amp;sheet=U0&amp;row=7337&amp;col=7&amp;number=0.00123&amp;sourceID=14","0.00123")</f>
        <v>0.00123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HYPERLINK("http://141.218.60.56/~jnz1568/getInfo.php?workbook=20_05.xlsx&amp;sheet=U0&amp;row=7338&amp;col=6&amp;number=4.4&amp;sourceID=14","4.4")</f>
        <v>4.4</v>
      </c>
      <c r="G7338" s="4" t="str">
        <f>HYPERLINK("http://141.218.60.56/~jnz1568/getInfo.php?workbook=20_05.xlsx&amp;sheet=U0&amp;row=7338&amp;col=7&amp;number=0.00123&amp;sourceID=14","0.00123")</f>
        <v>0.00123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HYPERLINK("http://141.218.60.56/~jnz1568/getInfo.php?workbook=20_05.xlsx&amp;sheet=U0&amp;row=7339&amp;col=6&amp;number=4.5&amp;sourceID=14","4.5")</f>
        <v>4.5</v>
      </c>
      <c r="G7339" s="4" t="str">
        <f>HYPERLINK("http://141.218.60.56/~jnz1568/getInfo.php?workbook=20_05.xlsx&amp;sheet=U0&amp;row=7339&amp;col=7&amp;number=0.00123&amp;sourceID=14","0.00123")</f>
        <v>0.00123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HYPERLINK("http://141.218.60.56/~jnz1568/getInfo.php?workbook=20_05.xlsx&amp;sheet=U0&amp;row=7340&amp;col=6&amp;number=4.6&amp;sourceID=14","4.6")</f>
        <v>4.6</v>
      </c>
      <c r="G7340" s="4" t="str">
        <f>HYPERLINK("http://141.218.60.56/~jnz1568/getInfo.php?workbook=20_05.xlsx&amp;sheet=U0&amp;row=7340&amp;col=7&amp;number=0.00123&amp;sourceID=14","0.00123")</f>
        <v>0.00123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HYPERLINK("http://141.218.60.56/~jnz1568/getInfo.php?workbook=20_05.xlsx&amp;sheet=U0&amp;row=7341&amp;col=6&amp;number=4.7&amp;sourceID=14","4.7")</f>
        <v>4.7</v>
      </c>
      <c r="G7341" s="4" t="str">
        <f>HYPERLINK("http://141.218.60.56/~jnz1568/getInfo.php?workbook=20_05.xlsx&amp;sheet=U0&amp;row=7341&amp;col=7&amp;number=0.00122&amp;sourceID=14","0.00122")</f>
        <v>0.00122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HYPERLINK("http://141.218.60.56/~jnz1568/getInfo.php?workbook=20_05.xlsx&amp;sheet=U0&amp;row=7342&amp;col=6&amp;number=4.8&amp;sourceID=14","4.8")</f>
        <v>4.8</v>
      </c>
      <c r="G7342" s="4" t="str">
        <f>HYPERLINK("http://141.218.60.56/~jnz1568/getInfo.php?workbook=20_05.xlsx&amp;sheet=U0&amp;row=7342&amp;col=7&amp;number=0.00122&amp;sourceID=14","0.00122")</f>
        <v>0.00122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HYPERLINK("http://141.218.60.56/~jnz1568/getInfo.php?workbook=20_05.xlsx&amp;sheet=U0&amp;row=7343&amp;col=6&amp;number=4.9&amp;sourceID=14","4.9")</f>
        <v>4.9</v>
      </c>
      <c r="G7343" s="4" t="str">
        <f>HYPERLINK("http://141.218.60.56/~jnz1568/getInfo.php?workbook=20_05.xlsx&amp;sheet=U0&amp;row=7343&amp;col=7&amp;number=0.00121&amp;sourceID=14","0.00121")</f>
        <v>0.00121</v>
      </c>
    </row>
    <row r="7344" spans="1:7">
      <c r="A7344" s="3">
        <v>20</v>
      </c>
      <c r="B7344" s="3">
        <v>5</v>
      </c>
      <c r="C7344" s="3">
        <v>3</v>
      </c>
      <c r="D7344" s="3">
        <v>111</v>
      </c>
      <c r="E7344" s="3">
        <v>1</v>
      </c>
      <c r="F7344" s="4" t="str">
        <f>HYPERLINK("http://141.218.60.56/~jnz1568/getInfo.php?workbook=20_05.xlsx&amp;sheet=U0&amp;row=7344&amp;col=6&amp;number=3&amp;sourceID=14","3")</f>
        <v>3</v>
      </c>
      <c r="G7344" s="4" t="str">
        <f>HYPERLINK("http://141.218.60.56/~jnz1568/getInfo.php?workbook=20_05.xlsx&amp;sheet=U0&amp;row=7344&amp;col=7&amp;number=0.00358&amp;sourceID=14","0.00358")</f>
        <v>0.00358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HYPERLINK("http://141.218.60.56/~jnz1568/getInfo.php?workbook=20_05.xlsx&amp;sheet=U0&amp;row=7345&amp;col=6&amp;number=3.1&amp;sourceID=14","3.1")</f>
        <v>3.1</v>
      </c>
      <c r="G7345" s="4" t="str">
        <f>HYPERLINK("http://141.218.60.56/~jnz1568/getInfo.php?workbook=20_05.xlsx&amp;sheet=U0&amp;row=7345&amp;col=7&amp;number=0.00358&amp;sourceID=14","0.00358")</f>
        <v>0.00358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HYPERLINK("http://141.218.60.56/~jnz1568/getInfo.php?workbook=20_05.xlsx&amp;sheet=U0&amp;row=7346&amp;col=6&amp;number=3.2&amp;sourceID=14","3.2")</f>
        <v>3.2</v>
      </c>
      <c r="G7346" s="4" t="str">
        <f>HYPERLINK("http://141.218.60.56/~jnz1568/getInfo.php?workbook=20_05.xlsx&amp;sheet=U0&amp;row=7346&amp;col=7&amp;number=0.00358&amp;sourceID=14","0.00358")</f>
        <v>0.00358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HYPERLINK("http://141.218.60.56/~jnz1568/getInfo.php?workbook=20_05.xlsx&amp;sheet=U0&amp;row=7347&amp;col=6&amp;number=3.3&amp;sourceID=14","3.3")</f>
        <v>3.3</v>
      </c>
      <c r="G7347" s="4" t="str">
        <f>HYPERLINK("http://141.218.60.56/~jnz1568/getInfo.php?workbook=20_05.xlsx&amp;sheet=U0&amp;row=7347&amp;col=7&amp;number=0.00358&amp;sourceID=14","0.00358")</f>
        <v>0.00358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HYPERLINK("http://141.218.60.56/~jnz1568/getInfo.php?workbook=20_05.xlsx&amp;sheet=U0&amp;row=7348&amp;col=6&amp;number=3.4&amp;sourceID=14","3.4")</f>
        <v>3.4</v>
      </c>
      <c r="G7348" s="4" t="str">
        <f>HYPERLINK("http://141.218.60.56/~jnz1568/getInfo.php?workbook=20_05.xlsx&amp;sheet=U0&amp;row=7348&amp;col=7&amp;number=0.00358&amp;sourceID=14","0.00358")</f>
        <v>0.00358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HYPERLINK("http://141.218.60.56/~jnz1568/getInfo.php?workbook=20_05.xlsx&amp;sheet=U0&amp;row=7349&amp;col=6&amp;number=3.5&amp;sourceID=14","3.5")</f>
        <v>3.5</v>
      </c>
      <c r="G7349" s="4" t="str">
        <f>HYPERLINK("http://141.218.60.56/~jnz1568/getInfo.php?workbook=20_05.xlsx&amp;sheet=U0&amp;row=7349&amp;col=7&amp;number=0.00358&amp;sourceID=14","0.00358")</f>
        <v>0.00358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HYPERLINK("http://141.218.60.56/~jnz1568/getInfo.php?workbook=20_05.xlsx&amp;sheet=U0&amp;row=7350&amp;col=6&amp;number=3.6&amp;sourceID=14","3.6")</f>
        <v>3.6</v>
      </c>
      <c r="G7350" s="4" t="str">
        <f>HYPERLINK("http://141.218.60.56/~jnz1568/getInfo.php?workbook=20_05.xlsx&amp;sheet=U0&amp;row=7350&amp;col=7&amp;number=0.00358&amp;sourceID=14","0.00358")</f>
        <v>0.00358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HYPERLINK("http://141.218.60.56/~jnz1568/getInfo.php?workbook=20_05.xlsx&amp;sheet=U0&amp;row=7351&amp;col=6&amp;number=3.7&amp;sourceID=14","3.7")</f>
        <v>3.7</v>
      </c>
      <c r="G7351" s="4" t="str">
        <f>HYPERLINK("http://141.218.60.56/~jnz1568/getInfo.php?workbook=20_05.xlsx&amp;sheet=U0&amp;row=7351&amp;col=7&amp;number=0.00358&amp;sourceID=14","0.00358")</f>
        <v>0.00358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HYPERLINK("http://141.218.60.56/~jnz1568/getInfo.php?workbook=20_05.xlsx&amp;sheet=U0&amp;row=7352&amp;col=6&amp;number=3.8&amp;sourceID=14","3.8")</f>
        <v>3.8</v>
      </c>
      <c r="G7352" s="4" t="str">
        <f>HYPERLINK("http://141.218.60.56/~jnz1568/getInfo.php?workbook=20_05.xlsx&amp;sheet=U0&amp;row=7352&amp;col=7&amp;number=0.00357&amp;sourceID=14","0.00357")</f>
        <v>0.00357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HYPERLINK("http://141.218.60.56/~jnz1568/getInfo.php?workbook=20_05.xlsx&amp;sheet=U0&amp;row=7353&amp;col=6&amp;number=3.9&amp;sourceID=14","3.9")</f>
        <v>3.9</v>
      </c>
      <c r="G7353" s="4" t="str">
        <f>HYPERLINK("http://141.218.60.56/~jnz1568/getInfo.php?workbook=20_05.xlsx&amp;sheet=U0&amp;row=7353&amp;col=7&amp;number=0.00357&amp;sourceID=14","0.00357")</f>
        <v>0.00357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HYPERLINK("http://141.218.60.56/~jnz1568/getInfo.php?workbook=20_05.xlsx&amp;sheet=U0&amp;row=7354&amp;col=6&amp;number=4&amp;sourceID=14","4")</f>
        <v>4</v>
      </c>
      <c r="G7354" s="4" t="str">
        <f>HYPERLINK("http://141.218.60.56/~jnz1568/getInfo.php?workbook=20_05.xlsx&amp;sheet=U0&amp;row=7354&amp;col=7&amp;number=0.00357&amp;sourceID=14","0.00357")</f>
        <v>0.00357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HYPERLINK("http://141.218.60.56/~jnz1568/getInfo.php?workbook=20_05.xlsx&amp;sheet=U0&amp;row=7355&amp;col=6&amp;number=4.1&amp;sourceID=14","4.1")</f>
        <v>4.1</v>
      </c>
      <c r="G7355" s="4" t="str">
        <f>HYPERLINK("http://141.218.60.56/~jnz1568/getInfo.php?workbook=20_05.xlsx&amp;sheet=U0&amp;row=7355&amp;col=7&amp;number=0.00357&amp;sourceID=14","0.00357")</f>
        <v>0.00357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HYPERLINK("http://141.218.60.56/~jnz1568/getInfo.php?workbook=20_05.xlsx&amp;sheet=U0&amp;row=7356&amp;col=6&amp;number=4.2&amp;sourceID=14","4.2")</f>
        <v>4.2</v>
      </c>
      <c r="G7356" s="4" t="str">
        <f>HYPERLINK("http://141.218.60.56/~jnz1568/getInfo.php?workbook=20_05.xlsx&amp;sheet=U0&amp;row=7356&amp;col=7&amp;number=0.00356&amp;sourceID=14","0.00356")</f>
        <v>0.00356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HYPERLINK("http://141.218.60.56/~jnz1568/getInfo.php?workbook=20_05.xlsx&amp;sheet=U0&amp;row=7357&amp;col=6&amp;number=4.3&amp;sourceID=14","4.3")</f>
        <v>4.3</v>
      </c>
      <c r="G7357" s="4" t="str">
        <f>HYPERLINK("http://141.218.60.56/~jnz1568/getInfo.php?workbook=20_05.xlsx&amp;sheet=U0&amp;row=7357&amp;col=7&amp;number=0.00356&amp;sourceID=14","0.00356")</f>
        <v>0.00356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HYPERLINK("http://141.218.60.56/~jnz1568/getInfo.php?workbook=20_05.xlsx&amp;sheet=U0&amp;row=7358&amp;col=6&amp;number=4.4&amp;sourceID=14","4.4")</f>
        <v>4.4</v>
      </c>
      <c r="G7358" s="4" t="str">
        <f>HYPERLINK("http://141.218.60.56/~jnz1568/getInfo.php?workbook=20_05.xlsx&amp;sheet=U0&amp;row=7358&amp;col=7&amp;number=0.00355&amp;sourceID=14","0.00355")</f>
        <v>0.00355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HYPERLINK("http://141.218.60.56/~jnz1568/getInfo.php?workbook=20_05.xlsx&amp;sheet=U0&amp;row=7359&amp;col=6&amp;number=4.5&amp;sourceID=14","4.5")</f>
        <v>4.5</v>
      </c>
      <c r="G7359" s="4" t="str">
        <f>HYPERLINK("http://141.218.60.56/~jnz1568/getInfo.php?workbook=20_05.xlsx&amp;sheet=U0&amp;row=7359&amp;col=7&amp;number=0.00354&amp;sourceID=14","0.00354")</f>
        <v>0.00354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HYPERLINK("http://141.218.60.56/~jnz1568/getInfo.php?workbook=20_05.xlsx&amp;sheet=U0&amp;row=7360&amp;col=6&amp;number=4.6&amp;sourceID=14","4.6")</f>
        <v>4.6</v>
      </c>
      <c r="G7360" s="4" t="str">
        <f>HYPERLINK("http://141.218.60.56/~jnz1568/getInfo.php?workbook=20_05.xlsx&amp;sheet=U0&amp;row=7360&amp;col=7&amp;number=0.00353&amp;sourceID=14","0.00353")</f>
        <v>0.00353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HYPERLINK("http://141.218.60.56/~jnz1568/getInfo.php?workbook=20_05.xlsx&amp;sheet=U0&amp;row=7361&amp;col=6&amp;number=4.7&amp;sourceID=14","4.7")</f>
        <v>4.7</v>
      </c>
      <c r="G7361" s="4" t="str">
        <f>HYPERLINK("http://141.218.60.56/~jnz1568/getInfo.php?workbook=20_05.xlsx&amp;sheet=U0&amp;row=7361&amp;col=7&amp;number=0.00352&amp;sourceID=14","0.00352")</f>
        <v>0.00352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HYPERLINK("http://141.218.60.56/~jnz1568/getInfo.php?workbook=20_05.xlsx&amp;sheet=U0&amp;row=7362&amp;col=6&amp;number=4.8&amp;sourceID=14","4.8")</f>
        <v>4.8</v>
      </c>
      <c r="G7362" s="4" t="str">
        <f>HYPERLINK("http://141.218.60.56/~jnz1568/getInfo.php?workbook=20_05.xlsx&amp;sheet=U0&amp;row=7362&amp;col=7&amp;number=0.0035&amp;sourceID=14","0.0035")</f>
        <v>0.0035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HYPERLINK("http://141.218.60.56/~jnz1568/getInfo.php?workbook=20_05.xlsx&amp;sheet=U0&amp;row=7363&amp;col=6&amp;number=4.9&amp;sourceID=14","4.9")</f>
        <v>4.9</v>
      </c>
      <c r="G7363" s="4" t="str">
        <f>HYPERLINK("http://141.218.60.56/~jnz1568/getInfo.php?workbook=20_05.xlsx&amp;sheet=U0&amp;row=7363&amp;col=7&amp;number=0.00348&amp;sourceID=14","0.00348")</f>
        <v>0.00348</v>
      </c>
    </row>
    <row r="7364" spans="1:7">
      <c r="A7364" s="3">
        <v>20</v>
      </c>
      <c r="B7364" s="3">
        <v>5</v>
      </c>
      <c r="C7364" s="3">
        <v>3</v>
      </c>
      <c r="D7364" s="3">
        <v>112</v>
      </c>
      <c r="E7364" s="3">
        <v>1</v>
      </c>
      <c r="F7364" s="4" t="str">
        <f>HYPERLINK("http://141.218.60.56/~jnz1568/getInfo.php?workbook=20_05.xlsx&amp;sheet=U0&amp;row=7364&amp;col=6&amp;number=3&amp;sourceID=14","3")</f>
        <v>3</v>
      </c>
      <c r="G7364" s="4" t="str">
        <f>HYPERLINK("http://141.218.60.56/~jnz1568/getInfo.php?workbook=20_05.xlsx&amp;sheet=U0&amp;row=7364&amp;col=7&amp;number=0.000116&amp;sourceID=14","0.000116")</f>
        <v>0.000116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HYPERLINK("http://141.218.60.56/~jnz1568/getInfo.php?workbook=20_05.xlsx&amp;sheet=U0&amp;row=7365&amp;col=6&amp;number=3.1&amp;sourceID=14","3.1")</f>
        <v>3.1</v>
      </c>
      <c r="G7365" s="4" t="str">
        <f>HYPERLINK("http://141.218.60.56/~jnz1568/getInfo.php?workbook=20_05.xlsx&amp;sheet=U0&amp;row=7365&amp;col=7&amp;number=0.000116&amp;sourceID=14","0.000116")</f>
        <v>0.000116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HYPERLINK("http://141.218.60.56/~jnz1568/getInfo.php?workbook=20_05.xlsx&amp;sheet=U0&amp;row=7366&amp;col=6&amp;number=3.2&amp;sourceID=14","3.2")</f>
        <v>3.2</v>
      </c>
      <c r="G7366" s="4" t="str">
        <f>HYPERLINK("http://141.218.60.56/~jnz1568/getInfo.php?workbook=20_05.xlsx&amp;sheet=U0&amp;row=7366&amp;col=7&amp;number=0.000116&amp;sourceID=14","0.000116")</f>
        <v>0.000116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HYPERLINK("http://141.218.60.56/~jnz1568/getInfo.php?workbook=20_05.xlsx&amp;sheet=U0&amp;row=7367&amp;col=6&amp;number=3.3&amp;sourceID=14","3.3")</f>
        <v>3.3</v>
      </c>
      <c r="G7367" s="4" t="str">
        <f>HYPERLINK("http://141.218.60.56/~jnz1568/getInfo.php?workbook=20_05.xlsx&amp;sheet=U0&amp;row=7367&amp;col=7&amp;number=0.000116&amp;sourceID=14","0.000116")</f>
        <v>0.000116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HYPERLINK("http://141.218.60.56/~jnz1568/getInfo.php?workbook=20_05.xlsx&amp;sheet=U0&amp;row=7368&amp;col=6&amp;number=3.4&amp;sourceID=14","3.4")</f>
        <v>3.4</v>
      </c>
      <c r="G7368" s="4" t="str">
        <f>HYPERLINK("http://141.218.60.56/~jnz1568/getInfo.php?workbook=20_05.xlsx&amp;sheet=U0&amp;row=7368&amp;col=7&amp;number=0.000116&amp;sourceID=14","0.000116")</f>
        <v>0.000116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HYPERLINK("http://141.218.60.56/~jnz1568/getInfo.php?workbook=20_05.xlsx&amp;sheet=U0&amp;row=7369&amp;col=6&amp;number=3.5&amp;sourceID=14","3.5")</f>
        <v>3.5</v>
      </c>
      <c r="G7369" s="4" t="str">
        <f>HYPERLINK("http://141.218.60.56/~jnz1568/getInfo.php?workbook=20_05.xlsx&amp;sheet=U0&amp;row=7369&amp;col=7&amp;number=0.000116&amp;sourceID=14","0.000116")</f>
        <v>0.000116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HYPERLINK("http://141.218.60.56/~jnz1568/getInfo.php?workbook=20_05.xlsx&amp;sheet=U0&amp;row=7370&amp;col=6&amp;number=3.6&amp;sourceID=14","3.6")</f>
        <v>3.6</v>
      </c>
      <c r="G7370" s="4" t="str">
        <f>HYPERLINK("http://141.218.60.56/~jnz1568/getInfo.php?workbook=20_05.xlsx&amp;sheet=U0&amp;row=7370&amp;col=7&amp;number=0.000116&amp;sourceID=14","0.000116")</f>
        <v>0.000116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HYPERLINK("http://141.218.60.56/~jnz1568/getInfo.php?workbook=20_05.xlsx&amp;sheet=U0&amp;row=7371&amp;col=6&amp;number=3.7&amp;sourceID=14","3.7")</f>
        <v>3.7</v>
      </c>
      <c r="G7371" s="4" t="str">
        <f>HYPERLINK("http://141.218.60.56/~jnz1568/getInfo.php?workbook=20_05.xlsx&amp;sheet=U0&amp;row=7371&amp;col=7&amp;number=0.000116&amp;sourceID=14","0.000116")</f>
        <v>0.000116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HYPERLINK("http://141.218.60.56/~jnz1568/getInfo.php?workbook=20_05.xlsx&amp;sheet=U0&amp;row=7372&amp;col=6&amp;number=3.8&amp;sourceID=14","3.8")</f>
        <v>3.8</v>
      </c>
      <c r="G7372" s="4" t="str">
        <f>HYPERLINK("http://141.218.60.56/~jnz1568/getInfo.php?workbook=20_05.xlsx&amp;sheet=U0&amp;row=7372&amp;col=7&amp;number=0.000116&amp;sourceID=14","0.000116")</f>
        <v>0.000116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HYPERLINK("http://141.218.60.56/~jnz1568/getInfo.php?workbook=20_05.xlsx&amp;sheet=U0&amp;row=7373&amp;col=6&amp;number=3.9&amp;sourceID=14","3.9")</f>
        <v>3.9</v>
      </c>
      <c r="G7373" s="4" t="str">
        <f>HYPERLINK("http://141.218.60.56/~jnz1568/getInfo.php?workbook=20_05.xlsx&amp;sheet=U0&amp;row=7373&amp;col=7&amp;number=0.000116&amp;sourceID=14","0.000116")</f>
        <v>0.000116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HYPERLINK("http://141.218.60.56/~jnz1568/getInfo.php?workbook=20_05.xlsx&amp;sheet=U0&amp;row=7374&amp;col=6&amp;number=4&amp;sourceID=14","4")</f>
        <v>4</v>
      </c>
      <c r="G7374" s="4" t="str">
        <f>HYPERLINK("http://141.218.60.56/~jnz1568/getInfo.php?workbook=20_05.xlsx&amp;sheet=U0&amp;row=7374&amp;col=7&amp;number=0.000116&amp;sourceID=14","0.000116")</f>
        <v>0.000116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HYPERLINK("http://141.218.60.56/~jnz1568/getInfo.php?workbook=20_05.xlsx&amp;sheet=U0&amp;row=7375&amp;col=6&amp;number=4.1&amp;sourceID=14","4.1")</f>
        <v>4.1</v>
      </c>
      <c r="G7375" s="4" t="str">
        <f>HYPERLINK("http://141.218.60.56/~jnz1568/getInfo.php?workbook=20_05.xlsx&amp;sheet=U0&amp;row=7375&amp;col=7&amp;number=0.000116&amp;sourceID=14","0.000116")</f>
        <v>0.000116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HYPERLINK("http://141.218.60.56/~jnz1568/getInfo.php?workbook=20_05.xlsx&amp;sheet=U0&amp;row=7376&amp;col=6&amp;number=4.2&amp;sourceID=14","4.2")</f>
        <v>4.2</v>
      </c>
      <c r="G7376" s="4" t="str">
        <f>HYPERLINK("http://141.218.60.56/~jnz1568/getInfo.php?workbook=20_05.xlsx&amp;sheet=U0&amp;row=7376&amp;col=7&amp;number=0.000116&amp;sourceID=14","0.000116")</f>
        <v>0.000116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HYPERLINK("http://141.218.60.56/~jnz1568/getInfo.php?workbook=20_05.xlsx&amp;sheet=U0&amp;row=7377&amp;col=6&amp;number=4.3&amp;sourceID=14","4.3")</f>
        <v>4.3</v>
      </c>
      <c r="G7377" s="4" t="str">
        <f>HYPERLINK("http://141.218.60.56/~jnz1568/getInfo.php?workbook=20_05.xlsx&amp;sheet=U0&amp;row=7377&amp;col=7&amp;number=0.000116&amp;sourceID=14","0.000116")</f>
        <v>0.000116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HYPERLINK("http://141.218.60.56/~jnz1568/getInfo.php?workbook=20_05.xlsx&amp;sheet=U0&amp;row=7378&amp;col=6&amp;number=4.4&amp;sourceID=14","4.4")</f>
        <v>4.4</v>
      </c>
      <c r="G7378" s="4" t="str">
        <f>HYPERLINK("http://141.218.60.56/~jnz1568/getInfo.php?workbook=20_05.xlsx&amp;sheet=U0&amp;row=7378&amp;col=7&amp;number=0.000115&amp;sourceID=14","0.000115")</f>
        <v>0.000115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HYPERLINK("http://141.218.60.56/~jnz1568/getInfo.php?workbook=20_05.xlsx&amp;sheet=U0&amp;row=7379&amp;col=6&amp;number=4.5&amp;sourceID=14","4.5")</f>
        <v>4.5</v>
      </c>
      <c r="G7379" s="4" t="str">
        <f>HYPERLINK("http://141.218.60.56/~jnz1568/getInfo.php?workbook=20_05.xlsx&amp;sheet=U0&amp;row=7379&amp;col=7&amp;number=0.000115&amp;sourceID=14","0.000115")</f>
        <v>0.000115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HYPERLINK("http://141.218.60.56/~jnz1568/getInfo.php?workbook=20_05.xlsx&amp;sheet=U0&amp;row=7380&amp;col=6&amp;number=4.6&amp;sourceID=14","4.6")</f>
        <v>4.6</v>
      </c>
      <c r="G7380" s="4" t="str">
        <f>HYPERLINK("http://141.218.60.56/~jnz1568/getInfo.php?workbook=20_05.xlsx&amp;sheet=U0&amp;row=7380&amp;col=7&amp;number=0.000115&amp;sourceID=14","0.000115")</f>
        <v>0.000115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HYPERLINK("http://141.218.60.56/~jnz1568/getInfo.php?workbook=20_05.xlsx&amp;sheet=U0&amp;row=7381&amp;col=6&amp;number=4.7&amp;sourceID=14","4.7")</f>
        <v>4.7</v>
      </c>
      <c r="G7381" s="4" t="str">
        <f>HYPERLINK("http://141.218.60.56/~jnz1568/getInfo.php?workbook=20_05.xlsx&amp;sheet=U0&amp;row=7381&amp;col=7&amp;number=0.000114&amp;sourceID=14","0.000114")</f>
        <v>0.000114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HYPERLINK("http://141.218.60.56/~jnz1568/getInfo.php?workbook=20_05.xlsx&amp;sheet=U0&amp;row=7382&amp;col=6&amp;number=4.8&amp;sourceID=14","4.8")</f>
        <v>4.8</v>
      </c>
      <c r="G7382" s="4" t="str">
        <f>HYPERLINK("http://141.218.60.56/~jnz1568/getInfo.php?workbook=20_05.xlsx&amp;sheet=U0&amp;row=7382&amp;col=7&amp;number=0.000114&amp;sourceID=14","0.000114")</f>
        <v>0.000114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HYPERLINK("http://141.218.60.56/~jnz1568/getInfo.php?workbook=20_05.xlsx&amp;sheet=U0&amp;row=7383&amp;col=6&amp;number=4.9&amp;sourceID=14","4.9")</f>
        <v>4.9</v>
      </c>
      <c r="G7383" s="4" t="str">
        <f>HYPERLINK("http://141.218.60.56/~jnz1568/getInfo.php?workbook=20_05.xlsx&amp;sheet=U0&amp;row=7383&amp;col=7&amp;number=0.000113&amp;sourceID=14","0.000113")</f>
        <v>0.000113</v>
      </c>
    </row>
    <row r="7384" spans="1:7">
      <c r="A7384" s="3">
        <v>20</v>
      </c>
      <c r="B7384" s="3">
        <v>5</v>
      </c>
      <c r="C7384" s="3">
        <v>3</v>
      </c>
      <c r="D7384" s="3">
        <v>113</v>
      </c>
      <c r="E7384" s="3">
        <v>1</v>
      </c>
      <c r="F7384" s="4" t="str">
        <f>HYPERLINK("http://141.218.60.56/~jnz1568/getInfo.php?workbook=20_05.xlsx&amp;sheet=U0&amp;row=7384&amp;col=6&amp;number=3&amp;sourceID=14","3")</f>
        <v>3</v>
      </c>
      <c r="G7384" s="4" t="str">
        <f>HYPERLINK("http://141.218.60.56/~jnz1568/getInfo.php?workbook=20_05.xlsx&amp;sheet=U0&amp;row=7384&amp;col=7&amp;number=5.07e-05&amp;sourceID=14","5.07e-05")</f>
        <v>5.07e-05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HYPERLINK("http://141.218.60.56/~jnz1568/getInfo.php?workbook=20_05.xlsx&amp;sheet=U0&amp;row=7385&amp;col=6&amp;number=3.1&amp;sourceID=14","3.1")</f>
        <v>3.1</v>
      </c>
      <c r="G7385" s="4" t="str">
        <f>HYPERLINK("http://141.218.60.56/~jnz1568/getInfo.php?workbook=20_05.xlsx&amp;sheet=U0&amp;row=7385&amp;col=7&amp;number=5.07e-05&amp;sourceID=14","5.07e-05")</f>
        <v>5.07e-05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HYPERLINK("http://141.218.60.56/~jnz1568/getInfo.php?workbook=20_05.xlsx&amp;sheet=U0&amp;row=7386&amp;col=6&amp;number=3.2&amp;sourceID=14","3.2")</f>
        <v>3.2</v>
      </c>
      <c r="G7386" s="4" t="str">
        <f>HYPERLINK("http://141.218.60.56/~jnz1568/getInfo.php?workbook=20_05.xlsx&amp;sheet=U0&amp;row=7386&amp;col=7&amp;number=5.07e-05&amp;sourceID=14","5.07e-05")</f>
        <v>5.07e-05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HYPERLINK("http://141.218.60.56/~jnz1568/getInfo.php?workbook=20_05.xlsx&amp;sheet=U0&amp;row=7387&amp;col=6&amp;number=3.3&amp;sourceID=14","3.3")</f>
        <v>3.3</v>
      </c>
      <c r="G7387" s="4" t="str">
        <f>HYPERLINK("http://141.218.60.56/~jnz1568/getInfo.php?workbook=20_05.xlsx&amp;sheet=U0&amp;row=7387&amp;col=7&amp;number=5.07e-05&amp;sourceID=14","5.07e-05")</f>
        <v>5.07e-05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HYPERLINK("http://141.218.60.56/~jnz1568/getInfo.php?workbook=20_05.xlsx&amp;sheet=U0&amp;row=7388&amp;col=6&amp;number=3.4&amp;sourceID=14","3.4")</f>
        <v>3.4</v>
      </c>
      <c r="G7388" s="4" t="str">
        <f>HYPERLINK("http://141.218.60.56/~jnz1568/getInfo.php?workbook=20_05.xlsx&amp;sheet=U0&amp;row=7388&amp;col=7&amp;number=5.07e-05&amp;sourceID=14","5.07e-05")</f>
        <v>5.07e-05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HYPERLINK("http://141.218.60.56/~jnz1568/getInfo.php?workbook=20_05.xlsx&amp;sheet=U0&amp;row=7389&amp;col=6&amp;number=3.5&amp;sourceID=14","3.5")</f>
        <v>3.5</v>
      </c>
      <c r="G7389" s="4" t="str">
        <f>HYPERLINK("http://141.218.60.56/~jnz1568/getInfo.php?workbook=20_05.xlsx&amp;sheet=U0&amp;row=7389&amp;col=7&amp;number=5.07e-05&amp;sourceID=14","5.07e-05")</f>
        <v>5.07e-05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HYPERLINK("http://141.218.60.56/~jnz1568/getInfo.php?workbook=20_05.xlsx&amp;sheet=U0&amp;row=7390&amp;col=6&amp;number=3.6&amp;sourceID=14","3.6")</f>
        <v>3.6</v>
      </c>
      <c r="G7390" s="4" t="str">
        <f>HYPERLINK("http://141.218.60.56/~jnz1568/getInfo.php?workbook=20_05.xlsx&amp;sheet=U0&amp;row=7390&amp;col=7&amp;number=5.07e-05&amp;sourceID=14","5.07e-05")</f>
        <v>5.07e-05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HYPERLINK("http://141.218.60.56/~jnz1568/getInfo.php?workbook=20_05.xlsx&amp;sheet=U0&amp;row=7391&amp;col=6&amp;number=3.7&amp;sourceID=14","3.7")</f>
        <v>3.7</v>
      </c>
      <c r="G7391" s="4" t="str">
        <f>HYPERLINK("http://141.218.60.56/~jnz1568/getInfo.php?workbook=20_05.xlsx&amp;sheet=U0&amp;row=7391&amp;col=7&amp;number=5.07e-05&amp;sourceID=14","5.07e-05")</f>
        <v>5.07e-05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HYPERLINK("http://141.218.60.56/~jnz1568/getInfo.php?workbook=20_05.xlsx&amp;sheet=U0&amp;row=7392&amp;col=6&amp;number=3.8&amp;sourceID=14","3.8")</f>
        <v>3.8</v>
      </c>
      <c r="G7392" s="4" t="str">
        <f>HYPERLINK("http://141.218.60.56/~jnz1568/getInfo.php?workbook=20_05.xlsx&amp;sheet=U0&amp;row=7392&amp;col=7&amp;number=5.07e-05&amp;sourceID=14","5.07e-05")</f>
        <v>5.07e-05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HYPERLINK("http://141.218.60.56/~jnz1568/getInfo.php?workbook=20_05.xlsx&amp;sheet=U0&amp;row=7393&amp;col=6&amp;number=3.9&amp;sourceID=14","3.9")</f>
        <v>3.9</v>
      </c>
      <c r="G7393" s="4" t="str">
        <f>HYPERLINK("http://141.218.60.56/~jnz1568/getInfo.php?workbook=20_05.xlsx&amp;sheet=U0&amp;row=7393&amp;col=7&amp;number=5.06e-05&amp;sourceID=14","5.06e-05")</f>
        <v>5.06e-05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HYPERLINK("http://141.218.60.56/~jnz1568/getInfo.php?workbook=20_05.xlsx&amp;sheet=U0&amp;row=7394&amp;col=6&amp;number=4&amp;sourceID=14","4")</f>
        <v>4</v>
      </c>
      <c r="G7394" s="4" t="str">
        <f>HYPERLINK("http://141.218.60.56/~jnz1568/getInfo.php?workbook=20_05.xlsx&amp;sheet=U0&amp;row=7394&amp;col=7&amp;number=5.06e-05&amp;sourceID=14","5.06e-05")</f>
        <v>5.06e-05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HYPERLINK("http://141.218.60.56/~jnz1568/getInfo.php?workbook=20_05.xlsx&amp;sheet=U0&amp;row=7395&amp;col=6&amp;number=4.1&amp;sourceID=14","4.1")</f>
        <v>4.1</v>
      </c>
      <c r="G7395" s="4" t="str">
        <f>HYPERLINK("http://141.218.60.56/~jnz1568/getInfo.php?workbook=20_05.xlsx&amp;sheet=U0&amp;row=7395&amp;col=7&amp;number=5.06e-05&amp;sourceID=14","5.06e-05")</f>
        <v>5.06e-05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HYPERLINK("http://141.218.60.56/~jnz1568/getInfo.php?workbook=20_05.xlsx&amp;sheet=U0&amp;row=7396&amp;col=6&amp;number=4.2&amp;sourceID=14","4.2")</f>
        <v>4.2</v>
      </c>
      <c r="G7396" s="4" t="str">
        <f>HYPERLINK("http://141.218.60.56/~jnz1568/getInfo.php?workbook=20_05.xlsx&amp;sheet=U0&amp;row=7396&amp;col=7&amp;number=5.05e-05&amp;sourceID=14","5.05e-05")</f>
        <v>5.05e-05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HYPERLINK("http://141.218.60.56/~jnz1568/getInfo.php?workbook=20_05.xlsx&amp;sheet=U0&amp;row=7397&amp;col=6&amp;number=4.3&amp;sourceID=14","4.3")</f>
        <v>4.3</v>
      </c>
      <c r="G7397" s="4" t="str">
        <f>HYPERLINK("http://141.218.60.56/~jnz1568/getInfo.php?workbook=20_05.xlsx&amp;sheet=U0&amp;row=7397&amp;col=7&amp;number=5.04e-05&amp;sourceID=14","5.04e-05")</f>
        <v>5.04e-05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HYPERLINK("http://141.218.60.56/~jnz1568/getInfo.php?workbook=20_05.xlsx&amp;sheet=U0&amp;row=7398&amp;col=6&amp;number=4.4&amp;sourceID=14","4.4")</f>
        <v>4.4</v>
      </c>
      <c r="G7398" s="4" t="str">
        <f>HYPERLINK("http://141.218.60.56/~jnz1568/getInfo.php?workbook=20_05.xlsx&amp;sheet=U0&amp;row=7398&amp;col=7&amp;number=5.03e-05&amp;sourceID=14","5.03e-05")</f>
        <v>5.03e-05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HYPERLINK("http://141.218.60.56/~jnz1568/getInfo.php?workbook=20_05.xlsx&amp;sheet=U0&amp;row=7399&amp;col=6&amp;number=4.5&amp;sourceID=14","4.5")</f>
        <v>4.5</v>
      </c>
      <c r="G7399" s="4" t="str">
        <f>HYPERLINK("http://141.218.60.56/~jnz1568/getInfo.php?workbook=20_05.xlsx&amp;sheet=U0&amp;row=7399&amp;col=7&amp;number=5.02e-05&amp;sourceID=14","5.02e-05")</f>
        <v>5.02e-05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HYPERLINK("http://141.218.60.56/~jnz1568/getInfo.php?workbook=20_05.xlsx&amp;sheet=U0&amp;row=7400&amp;col=6&amp;number=4.6&amp;sourceID=14","4.6")</f>
        <v>4.6</v>
      </c>
      <c r="G7400" s="4" t="str">
        <f>HYPERLINK("http://141.218.60.56/~jnz1568/getInfo.php?workbook=20_05.xlsx&amp;sheet=U0&amp;row=7400&amp;col=7&amp;number=5.01e-05&amp;sourceID=14","5.01e-05")</f>
        <v>5.01e-05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HYPERLINK("http://141.218.60.56/~jnz1568/getInfo.php?workbook=20_05.xlsx&amp;sheet=U0&amp;row=7401&amp;col=6&amp;number=4.7&amp;sourceID=14","4.7")</f>
        <v>4.7</v>
      </c>
      <c r="G7401" s="4" t="str">
        <f>HYPERLINK("http://141.218.60.56/~jnz1568/getInfo.php?workbook=20_05.xlsx&amp;sheet=U0&amp;row=7401&amp;col=7&amp;number=4.99e-05&amp;sourceID=14","4.99e-05")</f>
        <v>4.99e-05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HYPERLINK("http://141.218.60.56/~jnz1568/getInfo.php?workbook=20_05.xlsx&amp;sheet=U0&amp;row=7402&amp;col=6&amp;number=4.8&amp;sourceID=14","4.8")</f>
        <v>4.8</v>
      </c>
      <c r="G7402" s="4" t="str">
        <f>HYPERLINK("http://141.218.60.56/~jnz1568/getInfo.php?workbook=20_05.xlsx&amp;sheet=U0&amp;row=7402&amp;col=7&amp;number=4.97e-05&amp;sourceID=14","4.97e-05")</f>
        <v>4.97e-05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HYPERLINK("http://141.218.60.56/~jnz1568/getInfo.php?workbook=20_05.xlsx&amp;sheet=U0&amp;row=7403&amp;col=6&amp;number=4.9&amp;sourceID=14","4.9")</f>
        <v>4.9</v>
      </c>
      <c r="G7403" s="4" t="str">
        <f>HYPERLINK("http://141.218.60.56/~jnz1568/getInfo.php?workbook=20_05.xlsx&amp;sheet=U0&amp;row=7403&amp;col=7&amp;number=4.95e-05&amp;sourceID=14","4.95e-05")</f>
        <v>4.95e-05</v>
      </c>
    </row>
    <row r="7404" spans="1:7">
      <c r="A7404" s="3">
        <v>20</v>
      </c>
      <c r="B7404" s="3">
        <v>5</v>
      </c>
      <c r="C7404" s="3">
        <v>3</v>
      </c>
      <c r="D7404" s="3">
        <v>114</v>
      </c>
      <c r="E7404" s="3">
        <v>1</v>
      </c>
      <c r="F7404" s="4" t="str">
        <f>HYPERLINK("http://141.218.60.56/~jnz1568/getInfo.php?workbook=20_05.xlsx&amp;sheet=U0&amp;row=7404&amp;col=6&amp;number=3&amp;sourceID=14","3")</f>
        <v>3</v>
      </c>
      <c r="G7404" s="4" t="str">
        <f>HYPERLINK("http://141.218.60.56/~jnz1568/getInfo.php?workbook=20_05.xlsx&amp;sheet=U0&amp;row=7404&amp;col=7&amp;number=0.0004&amp;sourceID=14","0.0004")</f>
        <v>0.0004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HYPERLINK("http://141.218.60.56/~jnz1568/getInfo.php?workbook=20_05.xlsx&amp;sheet=U0&amp;row=7405&amp;col=6&amp;number=3.1&amp;sourceID=14","3.1")</f>
        <v>3.1</v>
      </c>
      <c r="G7405" s="4" t="str">
        <f>HYPERLINK("http://141.218.60.56/~jnz1568/getInfo.php?workbook=20_05.xlsx&amp;sheet=U0&amp;row=7405&amp;col=7&amp;number=0.0004&amp;sourceID=14","0.0004")</f>
        <v>0.0004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HYPERLINK("http://141.218.60.56/~jnz1568/getInfo.php?workbook=20_05.xlsx&amp;sheet=U0&amp;row=7406&amp;col=6&amp;number=3.2&amp;sourceID=14","3.2")</f>
        <v>3.2</v>
      </c>
      <c r="G7406" s="4" t="str">
        <f>HYPERLINK("http://141.218.60.56/~jnz1568/getInfo.php?workbook=20_05.xlsx&amp;sheet=U0&amp;row=7406&amp;col=7&amp;number=0.0004&amp;sourceID=14","0.0004")</f>
        <v>0.0004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HYPERLINK("http://141.218.60.56/~jnz1568/getInfo.php?workbook=20_05.xlsx&amp;sheet=U0&amp;row=7407&amp;col=6&amp;number=3.3&amp;sourceID=14","3.3")</f>
        <v>3.3</v>
      </c>
      <c r="G7407" s="4" t="str">
        <f>HYPERLINK("http://141.218.60.56/~jnz1568/getInfo.php?workbook=20_05.xlsx&amp;sheet=U0&amp;row=7407&amp;col=7&amp;number=0.0004&amp;sourceID=14","0.0004")</f>
        <v>0.0004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HYPERLINK("http://141.218.60.56/~jnz1568/getInfo.php?workbook=20_05.xlsx&amp;sheet=U0&amp;row=7408&amp;col=6&amp;number=3.4&amp;sourceID=14","3.4")</f>
        <v>3.4</v>
      </c>
      <c r="G7408" s="4" t="str">
        <f>HYPERLINK("http://141.218.60.56/~jnz1568/getInfo.php?workbook=20_05.xlsx&amp;sheet=U0&amp;row=7408&amp;col=7&amp;number=0.0004&amp;sourceID=14","0.0004")</f>
        <v>0.0004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HYPERLINK("http://141.218.60.56/~jnz1568/getInfo.php?workbook=20_05.xlsx&amp;sheet=U0&amp;row=7409&amp;col=6&amp;number=3.5&amp;sourceID=14","3.5")</f>
        <v>3.5</v>
      </c>
      <c r="G7409" s="4" t="str">
        <f>HYPERLINK("http://141.218.60.56/~jnz1568/getInfo.php?workbook=20_05.xlsx&amp;sheet=U0&amp;row=7409&amp;col=7&amp;number=0.0004&amp;sourceID=14","0.0004")</f>
        <v>0.0004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HYPERLINK("http://141.218.60.56/~jnz1568/getInfo.php?workbook=20_05.xlsx&amp;sheet=U0&amp;row=7410&amp;col=6&amp;number=3.6&amp;sourceID=14","3.6")</f>
        <v>3.6</v>
      </c>
      <c r="G7410" s="4" t="str">
        <f>HYPERLINK("http://141.218.60.56/~jnz1568/getInfo.php?workbook=20_05.xlsx&amp;sheet=U0&amp;row=7410&amp;col=7&amp;number=0.0004&amp;sourceID=14","0.0004")</f>
        <v>0.0004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HYPERLINK("http://141.218.60.56/~jnz1568/getInfo.php?workbook=20_05.xlsx&amp;sheet=U0&amp;row=7411&amp;col=6&amp;number=3.7&amp;sourceID=14","3.7")</f>
        <v>3.7</v>
      </c>
      <c r="G7411" s="4" t="str">
        <f>HYPERLINK("http://141.218.60.56/~jnz1568/getInfo.php?workbook=20_05.xlsx&amp;sheet=U0&amp;row=7411&amp;col=7&amp;number=0.0004&amp;sourceID=14","0.0004")</f>
        <v>0.0004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HYPERLINK("http://141.218.60.56/~jnz1568/getInfo.php?workbook=20_05.xlsx&amp;sheet=U0&amp;row=7412&amp;col=6&amp;number=3.8&amp;sourceID=14","3.8")</f>
        <v>3.8</v>
      </c>
      <c r="G7412" s="4" t="str">
        <f>HYPERLINK("http://141.218.60.56/~jnz1568/getInfo.php?workbook=20_05.xlsx&amp;sheet=U0&amp;row=7412&amp;col=7&amp;number=0.0004&amp;sourceID=14","0.0004")</f>
        <v>0.0004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HYPERLINK("http://141.218.60.56/~jnz1568/getInfo.php?workbook=20_05.xlsx&amp;sheet=U0&amp;row=7413&amp;col=6&amp;number=3.9&amp;sourceID=14","3.9")</f>
        <v>3.9</v>
      </c>
      <c r="G7413" s="4" t="str">
        <f>HYPERLINK("http://141.218.60.56/~jnz1568/getInfo.php?workbook=20_05.xlsx&amp;sheet=U0&amp;row=7413&amp;col=7&amp;number=0.000399&amp;sourceID=14","0.000399")</f>
        <v>0.000399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HYPERLINK("http://141.218.60.56/~jnz1568/getInfo.php?workbook=20_05.xlsx&amp;sheet=U0&amp;row=7414&amp;col=6&amp;number=4&amp;sourceID=14","4")</f>
        <v>4</v>
      </c>
      <c r="G7414" s="4" t="str">
        <f>HYPERLINK("http://141.218.60.56/~jnz1568/getInfo.php?workbook=20_05.xlsx&amp;sheet=U0&amp;row=7414&amp;col=7&amp;number=0.000399&amp;sourceID=14","0.000399")</f>
        <v>0.000399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HYPERLINK("http://141.218.60.56/~jnz1568/getInfo.php?workbook=20_05.xlsx&amp;sheet=U0&amp;row=7415&amp;col=6&amp;number=4.1&amp;sourceID=14","4.1")</f>
        <v>4.1</v>
      </c>
      <c r="G7415" s="4" t="str">
        <f>HYPERLINK("http://141.218.60.56/~jnz1568/getInfo.php?workbook=20_05.xlsx&amp;sheet=U0&amp;row=7415&amp;col=7&amp;number=0.000399&amp;sourceID=14","0.000399")</f>
        <v>0.000399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HYPERLINK("http://141.218.60.56/~jnz1568/getInfo.php?workbook=20_05.xlsx&amp;sheet=U0&amp;row=7416&amp;col=6&amp;number=4.2&amp;sourceID=14","4.2")</f>
        <v>4.2</v>
      </c>
      <c r="G7416" s="4" t="str">
        <f>HYPERLINK("http://141.218.60.56/~jnz1568/getInfo.php?workbook=20_05.xlsx&amp;sheet=U0&amp;row=7416&amp;col=7&amp;number=0.000399&amp;sourceID=14","0.000399")</f>
        <v>0.000399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HYPERLINK("http://141.218.60.56/~jnz1568/getInfo.php?workbook=20_05.xlsx&amp;sheet=U0&amp;row=7417&amp;col=6&amp;number=4.3&amp;sourceID=14","4.3")</f>
        <v>4.3</v>
      </c>
      <c r="G7417" s="4" t="str">
        <f>HYPERLINK("http://141.218.60.56/~jnz1568/getInfo.php?workbook=20_05.xlsx&amp;sheet=U0&amp;row=7417&amp;col=7&amp;number=0.000398&amp;sourceID=14","0.000398")</f>
        <v>0.000398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HYPERLINK("http://141.218.60.56/~jnz1568/getInfo.php?workbook=20_05.xlsx&amp;sheet=U0&amp;row=7418&amp;col=6&amp;number=4.4&amp;sourceID=14","4.4")</f>
        <v>4.4</v>
      </c>
      <c r="G7418" s="4" t="str">
        <f>HYPERLINK("http://141.218.60.56/~jnz1568/getInfo.php?workbook=20_05.xlsx&amp;sheet=U0&amp;row=7418&amp;col=7&amp;number=0.000398&amp;sourceID=14","0.000398")</f>
        <v>0.000398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HYPERLINK("http://141.218.60.56/~jnz1568/getInfo.php?workbook=20_05.xlsx&amp;sheet=U0&amp;row=7419&amp;col=6&amp;number=4.5&amp;sourceID=14","4.5")</f>
        <v>4.5</v>
      </c>
      <c r="G7419" s="4" t="str">
        <f>HYPERLINK("http://141.218.60.56/~jnz1568/getInfo.php?workbook=20_05.xlsx&amp;sheet=U0&amp;row=7419&amp;col=7&amp;number=0.000397&amp;sourceID=14","0.000397")</f>
        <v>0.000397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HYPERLINK("http://141.218.60.56/~jnz1568/getInfo.php?workbook=20_05.xlsx&amp;sheet=U0&amp;row=7420&amp;col=6&amp;number=4.6&amp;sourceID=14","4.6")</f>
        <v>4.6</v>
      </c>
      <c r="G7420" s="4" t="str">
        <f>HYPERLINK("http://141.218.60.56/~jnz1568/getInfo.php?workbook=20_05.xlsx&amp;sheet=U0&amp;row=7420&amp;col=7&amp;number=0.000397&amp;sourceID=14","0.000397")</f>
        <v>0.000397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HYPERLINK("http://141.218.60.56/~jnz1568/getInfo.php?workbook=20_05.xlsx&amp;sheet=U0&amp;row=7421&amp;col=6&amp;number=4.7&amp;sourceID=14","4.7")</f>
        <v>4.7</v>
      </c>
      <c r="G7421" s="4" t="str">
        <f>HYPERLINK("http://141.218.60.56/~jnz1568/getInfo.php?workbook=20_05.xlsx&amp;sheet=U0&amp;row=7421&amp;col=7&amp;number=0.000396&amp;sourceID=14","0.000396")</f>
        <v>0.000396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HYPERLINK("http://141.218.60.56/~jnz1568/getInfo.php?workbook=20_05.xlsx&amp;sheet=U0&amp;row=7422&amp;col=6&amp;number=4.8&amp;sourceID=14","4.8")</f>
        <v>4.8</v>
      </c>
      <c r="G7422" s="4" t="str">
        <f>HYPERLINK("http://141.218.60.56/~jnz1568/getInfo.php?workbook=20_05.xlsx&amp;sheet=U0&amp;row=7422&amp;col=7&amp;number=0.000395&amp;sourceID=14","0.000395")</f>
        <v>0.000395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HYPERLINK("http://141.218.60.56/~jnz1568/getInfo.php?workbook=20_05.xlsx&amp;sheet=U0&amp;row=7423&amp;col=6&amp;number=4.9&amp;sourceID=14","4.9")</f>
        <v>4.9</v>
      </c>
      <c r="G7423" s="4" t="str">
        <f>HYPERLINK("http://141.218.60.56/~jnz1568/getInfo.php?workbook=20_05.xlsx&amp;sheet=U0&amp;row=7423&amp;col=7&amp;number=0.000393&amp;sourceID=14","0.000393")</f>
        <v>0.000393</v>
      </c>
    </row>
    <row r="7424" spans="1:7">
      <c r="A7424" s="3">
        <v>20</v>
      </c>
      <c r="B7424" s="3">
        <v>5</v>
      </c>
      <c r="C7424" s="3">
        <v>3</v>
      </c>
      <c r="D7424" s="3">
        <v>115</v>
      </c>
      <c r="E7424" s="3">
        <v>1</v>
      </c>
      <c r="F7424" s="4" t="str">
        <f>HYPERLINK("http://141.218.60.56/~jnz1568/getInfo.php?workbook=20_05.xlsx&amp;sheet=U0&amp;row=7424&amp;col=6&amp;number=3&amp;sourceID=14","3")</f>
        <v>3</v>
      </c>
      <c r="G7424" s="4" t="str">
        <f>HYPERLINK("http://141.218.60.56/~jnz1568/getInfo.php?workbook=20_05.xlsx&amp;sheet=U0&amp;row=7424&amp;col=7&amp;number=0.000103&amp;sourceID=14","0.000103")</f>
        <v>0.000103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HYPERLINK("http://141.218.60.56/~jnz1568/getInfo.php?workbook=20_05.xlsx&amp;sheet=U0&amp;row=7425&amp;col=6&amp;number=3.1&amp;sourceID=14","3.1")</f>
        <v>3.1</v>
      </c>
      <c r="G7425" s="4" t="str">
        <f>HYPERLINK("http://141.218.60.56/~jnz1568/getInfo.php?workbook=20_05.xlsx&amp;sheet=U0&amp;row=7425&amp;col=7&amp;number=0.000103&amp;sourceID=14","0.000103")</f>
        <v>0.000103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HYPERLINK("http://141.218.60.56/~jnz1568/getInfo.php?workbook=20_05.xlsx&amp;sheet=U0&amp;row=7426&amp;col=6&amp;number=3.2&amp;sourceID=14","3.2")</f>
        <v>3.2</v>
      </c>
      <c r="G7426" s="4" t="str">
        <f>HYPERLINK("http://141.218.60.56/~jnz1568/getInfo.php?workbook=20_05.xlsx&amp;sheet=U0&amp;row=7426&amp;col=7&amp;number=0.000103&amp;sourceID=14","0.000103")</f>
        <v>0.000103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HYPERLINK("http://141.218.60.56/~jnz1568/getInfo.php?workbook=20_05.xlsx&amp;sheet=U0&amp;row=7427&amp;col=6&amp;number=3.3&amp;sourceID=14","3.3")</f>
        <v>3.3</v>
      </c>
      <c r="G7427" s="4" t="str">
        <f>HYPERLINK("http://141.218.60.56/~jnz1568/getInfo.php?workbook=20_05.xlsx&amp;sheet=U0&amp;row=7427&amp;col=7&amp;number=0.000103&amp;sourceID=14","0.000103")</f>
        <v>0.000103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HYPERLINK("http://141.218.60.56/~jnz1568/getInfo.php?workbook=20_05.xlsx&amp;sheet=U0&amp;row=7428&amp;col=6&amp;number=3.4&amp;sourceID=14","3.4")</f>
        <v>3.4</v>
      </c>
      <c r="G7428" s="4" t="str">
        <f>HYPERLINK("http://141.218.60.56/~jnz1568/getInfo.php?workbook=20_05.xlsx&amp;sheet=U0&amp;row=7428&amp;col=7&amp;number=0.000103&amp;sourceID=14","0.000103")</f>
        <v>0.000103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HYPERLINK("http://141.218.60.56/~jnz1568/getInfo.php?workbook=20_05.xlsx&amp;sheet=U0&amp;row=7429&amp;col=6&amp;number=3.5&amp;sourceID=14","3.5")</f>
        <v>3.5</v>
      </c>
      <c r="G7429" s="4" t="str">
        <f>HYPERLINK("http://141.218.60.56/~jnz1568/getInfo.php?workbook=20_05.xlsx&amp;sheet=U0&amp;row=7429&amp;col=7&amp;number=0.000103&amp;sourceID=14","0.000103")</f>
        <v>0.000103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HYPERLINK("http://141.218.60.56/~jnz1568/getInfo.php?workbook=20_05.xlsx&amp;sheet=U0&amp;row=7430&amp;col=6&amp;number=3.6&amp;sourceID=14","3.6")</f>
        <v>3.6</v>
      </c>
      <c r="G7430" s="4" t="str">
        <f>HYPERLINK("http://141.218.60.56/~jnz1568/getInfo.php?workbook=20_05.xlsx&amp;sheet=U0&amp;row=7430&amp;col=7&amp;number=0.000103&amp;sourceID=14","0.000103")</f>
        <v>0.000103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HYPERLINK("http://141.218.60.56/~jnz1568/getInfo.php?workbook=20_05.xlsx&amp;sheet=U0&amp;row=7431&amp;col=6&amp;number=3.7&amp;sourceID=14","3.7")</f>
        <v>3.7</v>
      </c>
      <c r="G7431" s="4" t="str">
        <f>HYPERLINK("http://141.218.60.56/~jnz1568/getInfo.php?workbook=20_05.xlsx&amp;sheet=U0&amp;row=7431&amp;col=7&amp;number=0.000103&amp;sourceID=14","0.000103")</f>
        <v>0.000103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HYPERLINK("http://141.218.60.56/~jnz1568/getInfo.php?workbook=20_05.xlsx&amp;sheet=U0&amp;row=7432&amp;col=6&amp;number=3.8&amp;sourceID=14","3.8")</f>
        <v>3.8</v>
      </c>
      <c r="G7432" s="4" t="str">
        <f>HYPERLINK("http://141.218.60.56/~jnz1568/getInfo.php?workbook=20_05.xlsx&amp;sheet=U0&amp;row=7432&amp;col=7&amp;number=0.000103&amp;sourceID=14","0.000103")</f>
        <v>0.000103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HYPERLINK("http://141.218.60.56/~jnz1568/getInfo.php?workbook=20_05.xlsx&amp;sheet=U0&amp;row=7433&amp;col=6&amp;number=3.9&amp;sourceID=14","3.9")</f>
        <v>3.9</v>
      </c>
      <c r="G7433" s="4" t="str">
        <f>HYPERLINK("http://141.218.60.56/~jnz1568/getInfo.php?workbook=20_05.xlsx&amp;sheet=U0&amp;row=7433&amp;col=7&amp;number=0.000103&amp;sourceID=14","0.000103")</f>
        <v>0.000103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HYPERLINK("http://141.218.60.56/~jnz1568/getInfo.php?workbook=20_05.xlsx&amp;sheet=U0&amp;row=7434&amp;col=6&amp;number=4&amp;sourceID=14","4")</f>
        <v>4</v>
      </c>
      <c r="G7434" s="4" t="str">
        <f>HYPERLINK("http://141.218.60.56/~jnz1568/getInfo.php?workbook=20_05.xlsx&amp;sheet=U0&amp;row=7434&amp;col=7&amp;number=0.000103&amp;sourceID=14","0.000103")</f>
        <v>0.000103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HYPERLINK("http://141.218.60.56/~jnz1568/getInfo.php?workbook=20_05.xlsx&amp;sheet=U0&amp;row=7435&amp;col=6&amp;number=4.1&amp;sourceID=14","4.1")</f>
        <v>4.1</v>
      </c>
      <c r="G7435" s="4" t="str">
        <f>HYPERLINK("http://141.218.60.56/~jnz1568/getInfo.php?workbook=20_05.xlsx&amp;sheet=U0&amp;row=7435&amp;col=7&amp;number=0.000103&amp;sourceID=14","0.000103")</f>
        <v>0.000103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HYPERLINK("http://141.218.60.56/~jnz1568/getInfo.php?workbook=20_05.xlsx&amp;sheet=U0&amp;row=7436&amp;col=6&amp;number=4.2&amp;sourceID=14","4.2")</f>
        <v>4.2</v>
      </c>
      <c r="G7436" s="4" t="str">
        <f>HYPERLINK("http://141.218.60.56/~jnz1568/getInfo.php?workbook=20_05.xlsx&amp;sheet=U0&amp;row=7436&amp;col=7&amp;number=0.000103&amp;sourceID=14","0.000103")</f>
        <v>0.000103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HYPERLINK("http://141.218.60.56/~jnz1568/getInfo.php?workbook=20_05.xlsx&amp;sheet=U0&amp;row=7437&amp;col=6&amp;number=4.3&amp;sourceID=14","4.3")</f>
        <v>4.3</v>
      </c>
      <c r="G7437" s="4" t="str">
        <f>HYPERLINK("http://141.218.60.56/~jnz1568/getInfo.php?workbook=20_05.xlsx&amp;sheet=U0&amp;row=7437&amp;col=7&amp;number=0.000102&amp;sourceID=14","0.000102")</f>
        <v>0.000102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HYPERLINK("http://141.218.60.56/~jnz1568/getInfo.php?workbook=20_05.xlsx&amp;sheet=U0&amp;row=7438&amp;col=6&amp;number=4.4&amp;sourceID=14","4.4")</f>
        <v>4.4</v>
      </c>
      <c r="G7438" s="4" t="str">
        <f>HYPERLINK("http://141.218.60.56/~jnz1568/getInfo.php?workbook=20_05.xlsx&amp;sheet=U0&amp;row=7438&amp;col=7&amp;number=0.000102&amp;sourceID=14","0.000102")</f>
        <v>0.000102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HYPERLINK("http://141.218.60.56/~jnz1568/getInfo.php?workbook=20_05.xlsx&amp;sheet=U0&amp;row=7439&amp;col=6&amp;number=4.5&amp;sourceID=14","4.5")</f>
        <v>4.5</v>
      </c>
      <c r="G7439" s="4" t="str">
        <f>HYPERLINK("http://141.218.60.56/~jnz1568/getInfo.php?workbook=20_05.xlsx&amp;sheet=U0&amp;row=7439&amp;col=7&amp;number=0.000102&amp;sourceID=14","0.000102")</f>
        <v>0.000102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HYPERLINK("http://141.218.60.56/~jnz1568/getInfo.php?workbook=20_05.xlsx&amp;sheet=U0&amp;row=7440&amp;col=6&amp;number=4.6&amp;sourceID=14","4.6")</f>
        <v>4.6</v>
      </c>
      <c r="G7440" s="4" t="str">
        <f>HYPERLINK("http://141.218.60.56/~jnz1568/getInfo.php?workbook=20_05.xlsx&amp;sheet=U0&amp;row=7440&amp;col=7&amp;number=0.000102&amp;sourceID=14","0.000102")</f>
        <v>0.000102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HYPERLINK("http://141.218.60.56/~jnz1568/getInfo.php?workbook=20_05.xlsx&amp;sheet=U0&amp;row=7441&amp;col=6&amp;number=4.7&amp;sourceID=14","4.7")</f>
        <v>4.7</v>
      </c>
      <c r="G7441" s="4" t="str">
        <f>HYPERLINK("http://141.218.60.56/~jnz1568/getInfo.php?workbook=20_05.xlsx&amp;sheet=U0&amp;row=7441&amp;col=7&amp;number=0.000102&amp;sourceID=14","0.000102")</f>
        <v>0.000102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HYPERLINK("http://141.218.60.56/~jnz1568/getInfo.php?workbook=20_05.xlsx&amp;sheet=U0&amp;row=7442&amp;col=6&amp;number=4.8&amp;sourceID=14","4.8")</f>
        <v>4.8</v>
      </c>
      <c r="G7442" s="4" t="str">
        <f>HYPERLINK("http://141.218.60.56/~jnz1568/getInfo.php?workbook=20_05.xlsx&amp;sheet=U0&amp;row=7442&amp;col=7&amp;number=0.000101&amp;sourceID=14","0.000101")</f>
        <v>0.000101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HYPERLINK("http://141.218.60.56/~jnz1568/getInfo.php?workbook=20_05.xlsx&amp;sheet=U0&amp;row=7443&amp;col=6&amp;number=4.9&amp;sourceID=14","4.9")</f>
        <v>4.9</v>
      </c>
      <c r="G7443" s="4" t="str">
        <f>HYPERLINK("http://141.218.60.56/~jnz1568/getInfo.php?workbook=20_05.xlsx&amp;sheet=U0&amp;row=7443&amp;col=7&amp;number=0.000101&amp;sourceID=14","0.000101")</f>
        <v>0.000101</v>
      </c>
    </row>
    <row r="7444" spans="1:7">
      <c r="A7444" s="3">
        <v>20</v>
      </c>
      <c r="B7444" s="3">
        <v>5</v>
      </c>
      <c r="C7444" s="3">
        <v>3</v>
      </c>
      <c r="D7444" s="3">
        <v>116</v>
      </c>
      <c r="E7444" s="3">
        <v>1</v>
      </c>
      <c r="F7444" s="4" t="str">
        <f>HYPERLINK("http://141.218.60.56/~jnz1568/getInfo.php?workbook=20_05.xlsx&amp;sheet=U0&amp;row=7444&amp;col=6&amp;number=3&amp;sourceID=14","3")</f>
        <v>3</v>
      </c>
      <c r="G7444" s="4" t="str">
        <f>HYPERLINK("http://141.218.60.56/~jnz1568/getInfo.php?workbook=20_05.xlsx&amp;sheet=U0&amp;row=7444&amp;col=7&amp;number=2.5e-05&amp;sourceID=14","2.5e-05")</f>
        <v>2.5e-05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HYPERLINK("http://141.218.60.56/~jnz1568/getInfo.php?workbook=20_05.xlsx&amp;sheet=U0&amp;row=7445&amp;col=6&amp;number=3.1&amp;sourceID=14","3.1")</f>
        <v>3.1</v>
      </c>
      <c r="G7445" s="4" t="str">
        <f>HYPERLINK("http://141.218.60.56/~jnz1568/getInfo.php?workbook=20_05.xlsx&amp;sheet=U0&amp;row=7445&amp;col=7&amp;number=2.5e-05&amp;sourceID=14","2.5e-05")</f>
        <v>2.5e-05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HYPERLINK("http://141.218.60.56/~jnz1568/getInfo.php?workbook=20_05.xlsx&amp;sheet=U0&amp;row=7446&amp;col=6&amp;number=3.2&amp;sourceID=14","3.2")</f>
        <v>3.2</v>
      </c>
      <c r="G7446" s="4" t="str">
        <f>HYPERLINK("http://141.218.60.56/~jnz1568/getInfo.php?workbook=20_05.xlsx&amp;sheet=U0&amp;row=7446&amp;col=7&amp;number=2.5e-05&amp;sourceID=14","2.5e-05")</f>
        <v>2.5e-05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HYPERLINK("http://141.218.60.56/~jnz1568/getInfo.php?workbook=20_05.xlsx&amp;sheet=U0&amp;row=7447&amp;col=6&amp;number=3.3&amp;sourceID=14","3.3")</f>
        <v>3.3</v>
      </c>
      <c r="G7447" s="4" t="str">
        <f>HYPERLINK("http://141.218.60.56/~jnz1568/getInfo.php?workbook=20_05.xlsx&amp;sheet=U0&amp;row=7447&amp;col=7&amp;number=2.5e-05&amp;sourceID=14","2.5e-05")</f>
        <v>2.5e-05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HYPERLINK("http://141.218.60.56/~jnz1568/getInfo.php?workbook=20_05.xlsx&amp;sheet=U0&amp;row=7448&amp;col=6&amp;number=3.4&amp;sourceID=14","3.4")</f>
        <v>3.4</v>
      </c>
      <c r="G7448" s="4" t="str">
        <f>HYPERLINK("http://141.218.60.56/~jnz1568/getInfo.php?workbook=20_05.xlsx&amp;sheet=U0&amp;row=7448&amp;col=7&amp;number=2.5e-05&amp;sourceID=14","2.5e-05")</f>
        <v>2.5e-05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HYPERLINK("http://141.218.60.56/~jnz1568/getInfo.php?workbook=20_05.xlsx&amp;sheet=U0&amp;row=7449&amp;col=6&amp;number=3.5&amp;sourceID=14","3.5")</f>
        <v>3.5</v>
      </c>
      <c r="G7449" s="4" t="str">
        <f>HYPERLINK("http://141.218.60.56/~jnz1568/getInfo.php?workbook=20_05.xlsx&amp;sheet=U0&amp;row=7449&amp;col=7&amp;number=2.5e-05&amp;sourceID=14","2.5e-05")</f>
        <v>2.5e-05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HYPERLINK("http://141.218.60.56/~jnz1568/getInfo.php?workbook=20_05.xlsx&amp;sheet=U0&amp;row=7450&amp;col=6&amp;number=3.6&amp;sourceID=14","3.6")</f>
        <v>3.6</v>
      </c>
      <c r="G7450" s="4" t="str">
        <f>HYPERLINK("http://141.218.60.56/~jnz1568/getInfo.php?workbook=20_05.xlsx&amp;sheet=U0&amp;row=7450&amp;col=7&amp;number=2.5e-05&amp;sourceID=14","2.5e-05")</f>
        <v>2.5e-05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HYPERLINK("http://141.218.60.56/~jnz1568/getInfo.php?workbook=20_05.xlsx&amp;sheet=U0&amp;row=7451&amp;col=6&amp;number=3.7&amp;sourceID=14","3.7")</f>
        <v>3.7</v>
      </c>
      <c r="G7451" s="4" t="str">
        <f>HYPERLINK("http://141.218.60.56/~jnz1568/getInfo.php?workbook=20_05.xlsx&amp;sheet=U0&amp;row=7451&amp;col=7&amp;number=2.49e-05&amp;sourceID=14","2.49e-05")</f>
        <v>2.49e-05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HYPERLINK("http://141.218.60.56/~jnz1568/getInfo.php?workbook=20_05.xlsx&amp;sheet=U0&amp;row=7452&amp;col=6&amp;number=3.8&amp;sourceID=14","3.8")</f>
        <v>3.8</v>
      </c>
      <c r="G7452" s="4" t="str">
        <f>HYPERLINK("http://141.218.60.56/~jnz1568/getInfo.php?workbook=20_05.xlsx&amp;sheet=U0&amp;row=7452&amp;col=7&amp;number=2.49e-05&amp;sourceID=14","2.49e-05")</f>
        <v>2.49e-05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HYPERLINK("http://141.218.60.56/~jnz1568/getInfo.php?workbook=20_05.xlsx&amp;sheet=U0&amp;row=7453&amp;col=6&amp;number=3.9&amp;sourceID=14","3.9")</f>
        <v>3.9</v>
      </c>
      <c r="G7453" s="4" t="str">
        <f>HYPERLINK("http://141.218.60.56/~jnz1568/getInfo.php?workbook=20_05.xlsx&amp;sheet=U0&amp;row=7453&amp;col=7&amp;number=2.49e-05&amp;sourceID=14","2.49e-05")</f>
        <v>2.49e-05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HYPERLINK("http://141.218.60.56/~jnz1568/getInfo.php?workbook=20_05.xlsx&amp;sheet=U0&amp;row=7454&amp;col=6&amp;number=4&amp;sourceID=14","4")</f>
        <v>4</v>
      </c>
      <c r="G7454" s="4" t="str">
        <f>HYPERLINK("http://141.218.60.56/~jnz1568/getInfo.php?workbook=20_05.xlsx&amp;sheet=U0&amp;row=7454&amp;col=7&amp;number=2.49e-05&amp;sourceID=14","2.49e-05")</f>
        <v>2.49e-05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HYPERLINK("http://141.218.60.56/~jnz1568/getInfo.php?workbook=20_05.xlsx&amp;sheet=U0&amp;row=7455&amp;col=6&amp;number=4.1&amp;sourceID=14","4.1")</f>
        <v>4.1</v>
      </c>
      <c r="G7455" s="4" t="str">
        <f>HYPERLINK("http://141.218.60.56/~jnz1568/getInfo.php?workbook=20_05.xlsx&amp;sheet=U0&amp;row=7455&amp;col=7&amp;number=2.49e-05&amp;sourceID=14","2.49e-05")</f>
        <v>2.49e-05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HYPERLINK("http://141.218.60.56/~jnz1568/getInfo.php?workbook=20_05.xlsx&amp;sheet=U0&amp;row=7456&amp;col=6&amp;number=4.2&amp;sourceID=14","4.2")</f>
        <v>4.2</v>
      </c>
      <c r="G7456" s="4" t="str">
        <f>HYPERLINK("http://141.218.60.56/~jnz1568/getInfo.php?workbook=20_05.xlsx&amp;sheet=U0&amp;row=7456&amp;col=7&amp;number=2.49e-05&amp;sourceID=14","2.49e-05")</f>
        <v>2.49e-05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HYPERLINK("http://141.218.60.56/~jnz1568/getInfo.php?workbook=20_05.xlsx&amp;sheet=U0&amp;row=7457&amp;col=6&amp;number=4.3&amp;sourceID=14","4.3")</f>
        <v>4.3</v>
      </c>
      <c r="G7457" s="4" t="str">
        <f>HYPERLINK("http://141.218.60.56/~jnz1568/getInfo.php?workbook=20_05.xlsx&amp;sheet=U0&amp;row=7457&amp;col=7&amp;number=2.49e-05&amp;sourceID=14","2.49e-05")</f>
        <v>2.49e-05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HYPERLINK("http://141.218.60.56/~jnz1568/getInfo.php?workbook=20_05.xlsx&amp;sheet=U0&amp;row=7458&amp;col=6&amp;number=4.4&amp;sourceID=14","4.4")</f>
        <v>4.4</v>
      </c>
      <c r="G7458" s="4" t="str">
        <f>HYPERLINK("http://141.218.60.56/~jnz1568/getInfo.php?workbook=20_05.xlsx&amp;sheet=U0&amp;row=7458&amp;col=7&amp;number=2.48e-05&amp;sourceID=14","2.48e-05")</f>
        <v>2.48e-05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HYPERLINK("http://141.218.60.56/~jnz1568/getInfo.php?workbook=20_05.xlsx&amp;sheet=U0&amp;row=7459&amp;col=6&amp;number=4.5&amp;sourceID=14","4.5")</f>
        <v>4.5</v>
      </c>
      <c r="G7459" s="4" t="str">
        <f>HYPERLINK("http://141.218.60.56/~jnz1568/getInfo.php?workbook=20_05.xlsx&amp;sheet=U0&amp;row=7459&amp;col=7&amp;number=2.48e-05&amp;sourceID=14","2.48e-05")</f>
        <v>2.48e-05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HYPERLINK("http://141.218.60.56/~jnz1568/getInfo.php?workbook=20_05.xlsx&amp;sheet=U0&amp;row=7460&amp;col=6&amp;number=4.6&amp;sourceID=14","4.6")</f>
        <v>4.6</v>
      </c>
      <c r="G7460" s="4" t="str">
        <f>HYPERLINK("http://141.218.60.56/~jnz1568/getInfo.php?workbook=20_05.xlsx&amp;sheet=U0&amp;row=7460&amp;col=7&amp;number=2.47e-05&amp;sourceID=14","2.47e-05")</f>
        <v>2.47e-05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HYPERLINK("http://141.218.60.56/~jnz1568/getInfo.php?workbook=20_05.xlsx&amp;sheet=U0&amp;row=7461&amp;col=6&amp;number=4.7&amp;sourceID=14","4.7")</f>
        <v>4.7</v>
      </c>
      <c r="G7461" s="4" t="str">
        <f>HYPERLINK("http://141.218.60.56/~jnz1568/getInfo.php?workbook=20_05.xlsx&amp;sheet=U0&amp;row=7461&amp;col=7&amp;number=2.47e-05&amp;sourceID=14","2.47e-05")</f>
        <v>2.47e-05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HYPERLINK("http://141.218.60.56/~jnz1568/getInfo.php?workbook=20_05.xlsx&amp;sheet=U0&amp;row=7462&amp;col=6&amp;number=4.8&amp;sourceID=14","4.8")</f>
        <v>4.8</v>
      </c>
      <c r="G7462" s="4" t="str">
        <f>HYPERLINK("http://141.218.60.56/~jnz1568/getInfo.php?workbook=20_05.xlsx&amp;sheet=U0&amp;row=7462&amp;col=7&amp;number=2.46e-05&amp;sourceID=14","2.46e-05")</f>
        <v>2.46e-05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HYPERLINK("http://141.218.60.56/~jnz1568/getInfo.php?workbook=20_05.xlsx&amp;sheet=U0&amp;row=7463&amp;col=6&amp;number=4.9&amp;sourceID=14","4.9")</f>
        <v>4.9</v>
      </c>
      <c r="G7463" s="4" t="str">
        <f>HYPERLINK("http://141.218.60.56/~jnz1568/getInfo.php?workbook=20_05.xlsx&amp;sheet=U0&amp;row=7463&amp;col=7&amp;number=2.45e-05&amp;sourceID=14","2.45e-05")</f>
        <v>2.45e-05</v>
      </c>
    </row>
    <row r="7464" spans="1:7">
      <c r="A7464" s="3">
        <v>20</v>
      </c>
      <c r="B7464" s="3">
        <v>5</v>
      </c>
      <c r="C7464" s="3">
        <v>3</v>
      </c>
      <c r="D7464" s="3">
        <v>118</v>
      </c>
      <c r="E7464" s="3">
        <v>1</v>
      </c>
      <c r="F7464" s="4" t="str">
        <f>HYPERLINK("http://141.218.60.56/~jnz1568/getInfo.php?workbook=20_05.xlsx&amp;sheet=U0&amp;row=7464&amp;col=6&amp;number=3&amp;sourceID=14","3")</f>
        <v>3</v>
      </c>
      <c r="G7464" s="4" t="str">
        <f>HYPERLINK("http://141.218.60.56/~jnz1568/getInfo.php?workbook=20_05.xlsx&amp;sheet=U0&amp;row=7464&amp;col=7&amp;number=2.93e-05&amp;sourceID=14","2.93e-05")</f>
        <v>2.93e-05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HYPERLINK("http://141.218.60.56/~jnz1568/getInfo.php?workbook=20_05.xlsx&amp;sheet=U0&amp;row=7465&amp;col=6&amp;number=3.1&amp;sourceID=14","3.1")</f>
        <v>3.1</v>
      </c>
      <c r="G7465" s="4" t="str">
        <f>HYPERLINK("http://141.218.60.56/~jnz1568/getInfo.php?workbook=20_05.xlsx&amp;sheet=U0&amp;row=7465&amp;col=7&amp;number=2.93e-05&amp;sourceID=14","2.93e-05")</f>
        <v>2.93e-05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HYPERLINK("http://141.218.60.56/~jnz1568/getInfo.php?workbook=20_05.xlsx&amp;sheet=U0&amp;row=7466&amp;col=6&amp;number=3.2&amp;sourceID=14","3.2")</f>
        <v>3.2</v>
      </c>
      <c r="G7466" s="4" t="str">
        <f>HYPERLINK("http://141.218.60.56/~jnz1568/getInfo.php?workbook=20_05.xlsx&amp;sheet=U0&amp;row=7466&amp;col=7&amp;number=2.93e-05&amp;sourceID=14","2.93e-05")</f>
        <v>2.93e-05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HYPERLINK("http://141.218.60.56/~jnz1568/getInfo.php?workbook=20_05.xlsx&amp;sheet=U0&amp;row=7467&amp;col=6&amp;number=3.3&amp;sourceID=14","3.3")</f>
        <v>3.3</v>
      </c>
      <c r="G7467" s="4" t="str">
        <f>HYPERLINK("http://141.218.60.56/~jnz1568/getInfo.php?workbook=20_05.xlsx&amp;sheet=U0&amp;row=7467&amp;col=7&amp;number=2.93e-05&amp;sourceID=14","2.93e-05")</f>
        <v>2.93e-05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HYPERLINK("http://141.218.60.56/~jnz1568/getInfo.php?workbook=20_05.xlsx&amp;sheet=U0&amp;row=7468&amp;col=6&amp;number=3.4&amp;sourceID=14","3.4")</f>
        <v>3.4</v>
      </c>
      <c r="G7468" s="4" t="str">
        <f>HYPERLINK("http://141.218.60.56/~jnz1568/getInfo.php?workbook=20_05.xlsx&amp;sheet=U0&amp;row=7468&amp;col=7&amp;number=2.93e-05&amp;sourceID=14","2.93e-05")</f>
        <v>2.93e-05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HYPERLINK("http://141.218.60.56/~jnz1568/getInfo.php?workbook=20_05.xlsx&amp;sheet=U0&amp;row=7469&amp;col=6&amp;number=3.5&amp;sourceID=14","3.5")</f>
        <v>3.5</v>
      </c>
      <c r="G7469" s="4" t="str">
        <f>HYPERLINK("http://141.218.60.56/~jnz1568/getInfo.php?workbook=20_05.xlsx&amp;sheet=U0&amp;row=7469&amp;col=7&amp;number=2.93e-05&amp;sourceID=14","2.93e-05")</f>
        <v>2.93e-05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HYPERLINK("http://141.218.60.56/~jnz1568/getInfo.php?workbook=20_05.xlsx&amp;sheet=U0&amp;row=7470&amp;col=6&amp;number=3.6&amp;sourceID=14","3.6")</f>
        <v>3.6</v>
      </c>
      <c r="G7470" s="4" t="str">
        <f>HYPERLINK("http://141.218.60.56/~jnz1568/getInfo.php?workbook=20_05.xlsx&amp;sheet=U0&amp;row=7470&amp;col=7&amp;number=2.93e-05&amp;sourceID=14","2.93e-05")</f>
        <v>2.93e-05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HYPERLINK("http://141.218.60.56/~jnz1568/getInfo.php?workbook=20_05.xlsx&amp;sheet=U0&amp;row=7471&amp;col=6&amp;number=3.7&amp;sourceID=14","3.7")</f>
        <v>3.7</v>
      </c>
      <c r="G7471" s="4" t="str">
        <f>HYPERLINK("http://141.218.60.56/~jnz1568/getInfo.php?workbook=20_05.xlsx&amp;sheet=U0&amp;row=7471&amp;col=7&amp;number=2.93e-05&amp;sourceID=14","2.93e-05")</f>
        <v>2.93e-05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HYPERLINK("http://141.218.60.56/~jnz1568/getInfo.php?workbook=20_05.xlsx&amp;sheet=U0&amp;row=7472&amp;col=6&amp;number=3.8&amp;sourceID=14","3.8")</f>
        <v>3.8</v>
      </c>
      <c r="G7472" s="4" t="str">
        <f>HYPERLINK("http://141.218.60.56/~jnz1568/getInfo.php?workbook=20_05.xlsx&amp;sheet=U0&amp;row=7472&amp;col=7&amp;number=2.93e-05&amp;sourceID=14","2.93e-05")</f>
        <v>2.93e-05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HYPERLINK("http://141.218.60.56/~jnz1568/getInfo.php?workbook=20_05.xlsx&amp;sheet=U0&amp;row=7473&amp;col=6&amp;number=3.9&amp;sourceID=14","3.9")</f>
        <v>3.9</v>
      </c>
      <c r="G7473" s="4" t="str">
        <f>HYPERLINK("http://141.218.60.56/~jnz1568/getInfo.php?workbook=20_05.xlsx&amp;sheet=U0&amp;row=7473&amp;col=7&amp;number=2.93e-05&amp;sourceID=14","2.93e-05")</f>
        <v>2.93e-05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HYPERLINK("http://141.218.60.56/~jnz1568/getInfo.php?workbook=20_05.xlsx&amp;sheet=U0&amp;row=7474&amp;col=6&amp;number=4&amp;sourceID=14","4")</f>
        <v>4</v>
      </c>
      <c r="G7474" s="4" t="str">
        <f>HYPERLINK("http://141.218.60.56/~jnz1568/getInfo.php?workbook=20_05.xlsx&amp;sheet=U0&amp;row=7474&amp;col=7&amp;number=2.92e-05&amp;sourceID=14","2.92e-05")</f>
        <v>2.92e-05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HYPERLINK("http://141.218.60.56/~jnz1568/getInfo.php?workbook=20_05.xlsx&amp;sheet=U0&amp;row=7475&amp;col=6&amp;number=4.1&amp;sourceID=14","4.1")</f>
        <v>4.1</v>
      </c>
      <c r="G7475" s="4" t="str">
        <f>HYPERLINK("http://141.218.60.56/~jnz1568/getInfo.php?workbook=20_05.xlsx&amp;sheet=U0&amp;row=7475&amp;col=7&amp;number=2.92e-05&amp;sourceID=14","2.92e-05")</f>
        <v>2.92e-05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HYPERLINK("http://141.218.60.56/~jnz1568/getInfo.php?workbook=20_05.xlsx&amp;sheet=U0&amp;row=7476&amp;col=6&amp;number=4.2&amp;sourceID=14","4.2")</f>
        <v>4.2</v>
      </c>
      <c r="G7476" s="4" t="str">
        <f>HYPERLINK("http://141.218.60.56/~jnz1568/getInfo.php?workbook=20_05.xlsx&amp;sheet=U0&amp;row=7476&amp;col=7&amp;number=2.92e-05&amp;sourceID=14","2.92e-05")</f>
        <v>2.92e-05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HYPERLINK("http://141.218.60.56/~jnz1568/getInfo.php?workbook=20_05.xlsx&amp;sheet=U0&amp;row=7477&amp;col=6&amp;number=4.3&amp;sourceID=14","4.3")</f>
        <v>4.3</v>
      </c>
      <c r="G7477" s="4" t="str">
        <f>HYPERLINK("http://141.218.60.56/~jnz1568/getInfo.php?workbook=20_05.xlsx&amp;sheet=U0&amp;row=7477&amp;col=7&amp;number=2.92e-05&amp;sourceID=14","2.92e-05")</f>
        <v>2.92e-05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HYPERLINK("http://141.218.60.56/~jnz1568/getInfo.php?workbook=20_05.xlsx&amp;sheet=U0&amp;row=7478&amp;col=6&amp;number=4.4&amp;sourceID=14","4.4")</f>
        <v>4.4</v>
      </c>
      <c r="G7478" s="4" t="str">
        <f>HYPERLINK("http://141.218.60.56/~jnz1568/getInfo.php?workbook=20_05.xlsx&amp;sheet=U0&amp;row=7478&amp;col=7&amp;number=2.91e-05&amp;sourceID=14","2.91e-05")</f>
        <v>2.91e-05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HYPERLINK("http://141.218.60.56/~jnz1568/getInfo.php?workbook=20_05.xlsx&amp;sheet=U0&amp;row=7479&amp;col=6&amp;number=4.5&amp;sourceID=14","4.5")</f>
        <v>4.5</v>
      </c>
      <c r="G7479" s="4" t="str">
        <f>HYPERLINK("http://141.218.60.56/~jnz1568/getInfo.php?workbook=20_05.xlsx&amp;sheet=U0&amp;row=7479&amp;col=7&amp;number=2.91e-05&amp;sourceID=14","2.91e-05")</f>
        <v>2.91e-05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HYPERLINK("http://141.218.60.56/~jnz1568/getInfo.php?workbook=20_05.xlsx&amp;sheet=U0&amp;row=7480&amp;col=6&amp;number=4.6&amp;sourceID=14","4.6")</f>
        <v>4.6</v>
      </c>
      <c r="G7480" s="4" t="str">
        <f>HYPERLINK("http://141.218.60.56/~jnz1568/getInfo.php?workbook=20_05.xlsx&amp;sheet=U0&amp;row=7480&amp;col=7&amp;number=2.9e-05&amp;sourceID=14","2.9e-05")</f>
        <v>2.9e-05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HYPERLINK("http://141.218.60.56/~jnz1568/getInfo.php?workbook=20_05.xlsx&amp;sheet=U0&amp;row=7481&amp;col=6&amp;number=4.7&amp;sourceID=14","4.7")</f>
        <v>4.7</v>
      </c>
      <c r="G7481" s="4" t="str">
        <f>HYPERLINK("http://141.218.60.56/~jnz1568/getInfo.php?workbook=20_05.xlsx&amp;sheet=U0&amp;row=7481&amp;col=7&amp;number=2.9e-05&amp;sourceID=14","2.9e-05")</f>
        <v>2.9e-05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HYPERLINK("http://141.218.60.56/~jnz1568/getInfo.php?workbook=20_05.xlsx&amp;sheet=U0&amp;row=7482&amp;col=6&amp;number=4.8&amp;sourceID=14","4.8")</f>
        <v>4.8</v>
      </c>
      <c r="G7482" s="4" t="str">
        <f>HYPERLINK("http://141.218.60.56/~jnz1568/getInfo.php?workbook=20_05.xlsx&amp;sheet=U0&amp;row=7482&amp;col=7&amp;number=2.89e-05&amp;sourceID=14","2.89e-05")</f>
        <v>2.89e-05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HYPERLINK("http://141.218.60.56/~jnz1568/getInfo.php?workbook=20_05.xlsx&amp;sheet=U0&amp;row=7483&amp;col=6&amp;number=4.9&amp;sourceID=14","4.9")</f>
        <v>4.9</v>
      </c>
      <c r="G7483" s="4" t="str">
        <f>HYPERLINK("http://141.218.60.56/~jnz1568/getInfo.php?workbook=20_05.xlsx&amp;sheet=U0&amp;row=7483&amp;col=7&amp;number=2.88e-05&amp;sourceID=14","2.88e-05")</f>
        <v>2.88e-05</v>
      </c>
    </row>
    <row r="7484" spans="1:7">
      <c r="A7484" s="3">
        <v>20</v>
      </c>
      <c r="B7484" s="3">
        <v>5</v>
      </c>
      <c r="C7484" s="3">
        <v>3</v>
      </c>
      <c r="D7484" s="3">
        <v>119</v>
      </c>
      <c r="E7484" s="3">
        <v>1</v>
      </c>
      <c r="F7484" s="4" t="str">
        <f>HYPERLINK("http://141.218.60.56/~jnz1568/getInfo.php?workbook=20_05.xlsx&amp;sheet=U0&amp;row=7484&amp;col=6&amp;number=3&amp;sourceID=14","3")</f>
        <v>3</v>
      </c>
      <c r="G7484" s="4" t="str">
        <f>HYPERLINK("http://141.218.60.56/~jnz1568/getInfo.php?workbook=20_05.xlsx&amp;sheet=U0&amp;row=7484&amp;col=7&amp;number=0.00671&amp;sourceID=14","0.00671")</f>
        <v>0.00671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HYPERLINK("http://141.218.60.56/~jnz1568/getInfo.php?workbook=20_05.xlsx&amp;sheet=U0&amp;row=7485&amp;col=6&amp;number=3.1&amp;sourceID=14","3.1")</f>
        <v>3.1</v>
      </c>
      <c r="G7485" s="4" t="str">
        <f>HYPERLINK("http://141.218.60.56/~jnz1568/getInfo.php?workbook=20_05.xlsx&amp;sheet=U0&amp;row=7485&amp;col=7&amp;number=0.00671&amp;sourceID=14","0.00671")</f>
        <v>0.00671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HYPERLINK("http://141.218.60.56/~jnz1568/getInfo.php?workbook=20_05.xlsx&amp;sheet=U0&amp;row=7486&amp;col=6&amp;number=3.2&amp;sourceID=14","3.2")</f>
        <v>3.2</v>
      </c>
      <c r="G7486" s="4" t="str">
        <f>HYPERLINK("http://141.218.60.56/~jnz1568/getInfo.php?workbook=20_05.xlsx&amp;sheet=U0&amp;row=7486&amp;col=7&amp;number=0.0067&amp;sourceID=14","0.0067")</f>
        <v>0.0067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HYPERLINK("http://141.218.60.56/~jnz1568/getInfo.php?workbook=20_05.xlsx&amp;sheet=U0&amp;row=7487&amp;col=6&amp;number=3.3&amp;sourceID=14","3.3")</f>
        <v>3.3</v>
      </c>
      <c r="G7487" s="4" t="str">
        <f>HYPERLINK("http://141.218.60.56/~jnz1568/getInfo.php?workbook=20_05.xlsx&amp;sheet=U0&amp;row=7487&amp;col=7&amp;number=0.0067&amp;sourceID=14","0.0067")</f>
        <v>0.0067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HYPERLINK("http://141.218.60.56/~jnz1568/getInfo.php?workbook=20_05.xlsx&amp;sheet=U0&amp;row=7488&amp;col=6&amp;number=3.4&amp;sourceID=14","3.4")</f>
        <v>3.4</v>
      </c>
      <c r="G7488" s="4" t="str">
        <f>HYPERLINK("http://141.218.60.56/~jnz1568/getInfo.php?workbook=20_05.xlsx&amp;sheet=U0&amp;row=7488&amp;col=7&amp;number=0.0067&amp;sourceID=14","0.0067")</f>
        <v>0.0067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HYPERLINK("http://141.218.60.56/~jnz1568/getInfo.php?workbook=20_05.xlsx&amp;sheet=U0&amp;row=7489&amp;col=6&amp;number=3.5&amp;sourceID=14","3.5")</f>
        <v>3.5</v>
      </c>
      <c r="G7489" s="4" t="str">
        <f>HYPERLINK("http://141.218.60.56/~jnz1568/getInfo.php?workbook=20_05.xlsx&amp;sheet=U0&amp;row=7489&amp;col=7&amp;number=0.0067&amp;sourceID=14","0.0067")</f>
        <v>0.0067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HYPERLINK("http://141.218.60.56/~jnz1568/getInfo.php?workbook=20_05.xlsx&amp;sheet=U0&amp;row=7490&amp;col=6&amp;number=3.6&amp;sourceID=14","3.6")</f>
        <v>3.6</v>
      </c>
      <c r="G7490" s="4" t="str">
        <f>HYPERLINK("http://141.218.60.56/~jnz1568/getInfo.php?workbook=20_05.xlsx&amp;sheet=U0&amp;row=7490&amp;col=7&amp;number=0.0067&amp;sourceID=14","0.0067")</f>
        <v>0.0067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HYPERLINK("http://141.218.60.56/~jnz1568/getInfo.php?workbook=20_05.xlsx&amp;sheet=U0&amp;row=7491&amp;col=6&amp;number=3.7&amp;sourceID=14","3.7")</f>
        <v>3.7</v>
      </c>
      <c r="G7491" s="4" t="str">
        <f>HYPERLINK("http://141.218.60.56/~jnz1568/getInfo.php?workbook=20_05.xlsx&amp;sheet=U0&amp;row=7491&amp;col=7&amp;number=0.0067&amp;sourceID=14","0.0067")</f>
        <v>0.0067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HYPERLINK("http://141.218.60.56/~jnz1568/getInfo.php?workbook=20_05.xlsx&amp;sheet=U0&amp;row=7492&amp;col=6&amp;number=3.8&amp;sourceID=14","3.8")</f>
        <v>3.8</v>
      </c>
      <c r="G7492" s="4" t="str">
        <f>HYPERLINK("http://141.218.60.56/~jnz1568/getInfo.php?workbook=20_05.xlsx&amp;sheet=U0&amp;row=7492&amp;col=7&amp;number=0.0067&amp;sourceID=14","0.0067")</f>
        <v>0.0067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HYPERLINK("http://141.218.60.56/~jnz1568/getInfo.php?workbook=20_05.xlsx&amp;sheet=U0&amp;row=7493&amp;col=6&amp;number=3.9&amp;sourceID=14","3.9")</f>
        <v>3.9</v>
      </c>
      <c r="G7493" s="4" t="str">
        <f>HYPERLINK("http://141.218.60.56/~jnz1568/getInfo.php?workbook=20_05.xlsx&amp;sheet=U0&amp;row=7493&amp;col=7&amp;number=0.0067&amp;sourceID=14","0.0067")</f>
        <v>0.0067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HYPERLINK("http://141.218.60.56/~jnz1568/getInfo.php?workbook=20_05.xlsx&amp;sheet=U0&amp;row=7494&amp;col=6&amp;number=4&amp;sourceID=14","4")</f>
        <v>4</v>
      </c>
      <c r="G7494" s="4" t="str">
        <f>HYPERLINK("http://141.218.60.56/~jnz1568/getInfo.php?workbook=20_05.xlsx&amp;sheet=U0&amp;row=7494&amp;col=7&amp;number=0.0067&amp;sourceID=14","0.0067")</f>
        <v>0.0067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HYPERLINK("http://141.218.60.56/~jnz1568/getInfo.php?workbook=20_05.xlsx&amp;sheet=U0&amp;row=7495&amp;col=6&amp;number=4.1&amp;sourceID=14","4.1")</f>
        <v>4.1</v>
      </c>
      <c r="G7495" s="4" t="str">
        <f>HYPERLINK("http://141.218.60.56/~jnz1568/getInfo.php?workbook=20_05.xlsx&amp;sheet=U0&amp;row=7495&amp;col=7&amp;number=0.0067&amp;sourceID=14","0.0067")</f>
        <v>0.0067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HYPERLINK("http://141.218.60.56/~jnz1568/getInfo.php?workbook=20_05.xlsx&amp;sheet=U0&amp;row=7496&amp;col=6&amp;number=4.2&amp;sourceID=14","4.2")</f>
        <v>4.2</v>
      </c>
      <c r="G7496" s="4" t="str">
        <f>HYPERLINK("http://141.218.60.56/~jnz1568/getInfo.php?workbook=20_05.xlsx&amp;sheet=U0&amp;row=7496&amp;col=7&amp;number=0.00669&amp;sourceID=14","0.00669")</f>
        <v>0.00669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HYPERLINK("http://141.218.60.56/~jnz1568/getInfo.php?workbook=20_05.xlsx&amp;sheet=U0&amp;row=7497&amp;col=6&amp;number=4.3&amp;sourceID=14","4.3")</f>
        <v>4.3</v>
      </c>
      <c r="G7497" s="4" t="str">
        <f>HYPERLINK("http://141.218.60.56/~jnz1568/getInfo.php?workbook=20_05.xlsx&amp;sheet=U0&amp;row=7497&amp;col=7&amp;number=0.00669&amp;sourceID=14","0.00669")</f>
        <v>0.00669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HYPERLINK("http://141.218.60.56/~jnz1568/getInfo.php?workbook=20_05.xlsx&amp;sheet=U0&amp;row=7498&amp;col=6&amp;number=4.4&amp;sourceID=14","4.4")</f>
        <v>4.4</v>
      </c>
      <c r="G7498" s="4" t="str">
        <f>HYPERLINK("http://141.218.60.56/~jnz1568/getInfo.php?workbook=20_05.xlsx&amp;sheet=U0&amp;row=7498&amp;col=7&amp;number=0.00669&amp;sourceID=14","0.00669")</f>
        <v>0.00669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HYPERLINK("http://141.218.60.56/~jnz1568/getInfo.php?workbook=20_05.xlsx&amp;sheet=U0&amp;row=7499&amp;col=6&amp;number=4.5&amp;sourceID=14","4.5")</f>
        <v>4.5</v>
      </c>
      <c r="G7499" s="4" t="str">
        <f>HYPERLINK("http://141.218.60.56/~jnz1568/getInfo.php?workbook=20_05.xlsx&amp;sheet=U0&amp;row=7499&amp;col=7&amp;number=0.00668&amp;sourceID=14","0.00668")</f>
        <v>0.00668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HYPERLINK("http://141.218.60.56/~jnz1568/getInfo.php?workbook=20_05.xlsx&amp;sheet=U0&amp;row=7500&amp;col=6&amp;number=4.6&amp;sourceID=14","4.6")</f>
        <v>4.6</v>
      </c>
      <c r="G7500" s="4" t="str">
        <f>HYPERLINK("http://141.218.60.56/~jnz1568/getInfo.php?workbook=20_05.xlsx&amp;sheet=U0&amp;row=7500&amp;col=7&amp;number=0.00668&amp;sourceID=14","0.00668")</f>
        <v>0.00668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HYPERLINK("http://141.218.60.56/~jnz1568/getInfo.php?workbook=20_05.xlsx&amp;sheet=U0&amp;row=7501&amp;col=6&amp;number=4.7&amp;sourceID=14","4.7")</f>
        <v>4.7</v>
      </c>
      <c r="G7501" s="4" t="str">
        <f>HYPERLINK("http://141.218.60.56/~jnz1568/getInfo.php?workbook=20_05.xlsx&amp;sheet=U0&amp;row=7501&amp;col=7&amp;number=0.00667&amp;sourceID=14","0.00667")</f>
        <v>0.00667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HYPERLINK("http://141.218.60.56/~jnz1568/getInfo.php?workbook=20_05.xlsx&amp;sheet=U0&amp;row=7502&amp;col=6&amp;number=4.8&amp;sourceID=14","4.8")</f>
        <v>4.8</v>
      </c>
      <c r="G7502" s="4" t="str">
        <f>HYPERLINK("http://141.218.60.56/~jnz1568/getInfo.php?workbook=20_05.xlsx&amp;sheet=U0&amp;row=7502&amp;col=7&amp;number=0.00666&amp;sourceID=14","0.00666")</f>
        <v>0.00666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HYPERLINK("http://141.218.60.56/~jnz1568/getInfo.php?workbook=20_05.xlsx&amp;sheet=U0&amp;row=7503&amp;col=6&amp;number=4.9&amp;sourceID=14","4.9")</f>
        <v>4.9</v>
      </c>
      <c r="G7503" s="4" t="str">
        <f>HYPERLINK("http://141.218.60.56/~jnz1568/getInfo.php?workbook=20_05.xlsx&amp;sheet=U0&amp;row=7503&amp;col=7&amp;number=0.00665&amp;sourceID=14","0.00665")</f>
        <v>0.00665</v>
      </c>
    </row>
    <row r="7504" spans="1:7">
      <c r="A7504" s="3">
        <v>20</v>
      </c>
      <c r="B7504" s="3">
        <v>5</v>
      </c>
      <c r="C7504" s="3">
        <v>3</v>
      </c>
      <c r="D7504" s="3">
        <v>120</v>
      </c>
      <c r="E7504" s="3">
        <v>1</v>
      </c>
      <c r="F7504" s="4" t="str">
        <f>HYPERLINK("http://141.218.60.56/~jnz1568/getInfo.php?workbook=20_05.xlsx&amp;sheet=U0&amp;row=7504&amp;col=6&amp;number=3&amp;sourceID=14","3")</f>
        <v>3</v>
      </c>
      <c r="G7504" s="4" t="str">
        <f>HYPERLINK("http://141.218.60.56/~jnz1568/getInfo.php?workbook=20_05.xlsx&amp;sheet=U0&amp;row=7504&amp;col=7&amp;number=0.00198&amp;sourceID=14","0.00198")</f>
        <v>0.00198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HYPERLINK("http://141.218.60.56/~jnz1568/getInfo.php?workbook=20_05.xlsx&amp;sheet=U0&amp;row=7505&amp;col=6&amp;number=3.1&amp;sourceID=14","3.1")</f>
        <v>3.1</v>
      </c>
      <c r="G7505" s="4" t="str">
        <f>HYPERLINK("http://141.218.60.56/~jnz1568/getInfo.php?workbook=20_05.xlsx&amp;sheet=U0&amp;row=7505&amp;col=7&amp;number=0.00198&amp;sourceID=14","0.00198")</f>
        <v>0.00198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HYPERLINK("http://141.218.60.56/~jnz1568/getInfo.php?workbook=20_05.xlsx&amp;sheet=U0&amp;row=7506&amp;col=6&amp;number=3.2&amp;sourceID=14","3.2")</f>
        <v>3.2</v>
      </c>
      <c r="G7506" s="4" t="str">
        <f>HYPERLINK("http://141.218.60.56/~jnz1568/getInfo.php?workbook=20_05.xlsx&amp;sheet=U0&amp;row=7506&amp;col=7&amp;number=0.00198&amp;sourceID=14","0.00198")</f>
        <v>0.00198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HYPERLINK("http://141.218.60.56/~jnz1568/getInfo.php?workbook=20_05.xlsx&amp;sheet=U0&amp;row=7507&amp;col=6&amp;number=3.3&amp;sourceID=14","3.3")</f>
        <v>3.3</v>
      </c>
      <c r="G7507" s="4" t="str">
        <f>HYPERLINK("http://141.218.60.56/~jnz1568/getInfo.php?workbook=20_05.xlsx&amp;sheet=U0&amp;row=7507&amp;col=7&amp;number=0.00198&amp;sourceID=14","0.00198")</f>
        <v>0.00198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HYPERLINK("http://141.218.60.56/~jnz1568/getInfo.php?workbook=20_05.xlsx&amp;sheet=U0&amp;row=7508&amp;col=6&amp;number=3.4&amp;sourceID=14","3.4")</f>
        <v>3.4</v>
      </c>
      <c r="G7508" s="4" t="str">
        <f>HYPERLINK("http://141.218.60.56/~jnz1568/getInfo.php?workbook=20_05.xlsx&amp;sheet=U0&amp;row=7508&amp;col=7&amp;number=0.00198&amp;sourceID=14","0.00198")</f>
        <v>0.00198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HYPERLINK("http://141.218.60.56/~jnz1568/getInfo.php?workbook=20_05.xlsx&amp;sheet=U0&amp;row=7509&amp;col=6&amp;number=3.5&amp;sourceID=14","3.5")</f>
        <v>3.5</v>
      </c>
      <c r="G7509" s="4" t="str">
        <f>HYPERLINK("http://141.218.60.56/~jnz1568/getInfo.php?workbook=20_05.xlsx&amp;sheet=U0&amp;row=7509&amp;col=7&amp;number=0.00198&amp;sourceID=14","0.00198")</f>
        <v>0.00198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HYPERLINK("http://141.218.60.56/~jnz1568/getInfo.php?workbook=20_05.xlsx&amp;sheet=U0&amp;row=7510&amp;col=6&amp;number=3.6&amp;sourceID=14","3.6")</f>
        <v>3.6</v>
      </c>
      <c r="G7510" s="4" t="str">
        <f>HYPERLINK("http://141.218.60.56/~jnz1568/getInfo.php?workbook=20_05.xlsx&amp;sheet=U0&amp;row=7510&amp;col=7&amp;number=0.00198&amp;sourceID=14","0.00198")</f>
        <v>0.00198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HYPERLINK("http://141.218.60.56/~jnz1568/getInfo.php?workbook=20_05.xlsx&amp;sheet=U0&amp;row=7511&amp;col=6&amp;number=3.7&amp;sourceID=14","3.7")</f>
        <v>3.7</v>
      </c>
      <c r="G7511" s="4" t="str">
        <f>HYPERLINK("http://141.218.60.56/~jnz1568/getInfo.php?workbook=20_05.xlsx&amp;sheet=U0&amp;row=7511&amp;col=7&amp;number=0.00198&amp;sourceID=14","0.00198")</f>
        <v>0.00198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HYPERLINK("http://141.218.60.56/~jnz1568/getInfo.php?workbook=20_05.xlsx&amp;sheet=U0&amp;row=7512&amp;col=6&amp;number=3.8&amp;sourceID=14","3.8")</f>
        <v>3.8</v>
      </c>
      <c r="G7512" s="4" t="str">
        <f>HYPERLINK("http://141.218.60.56/~jnz1568/getInfo.php?workbook=20_05.xlsx&amp;sheet=U0&amp;row=7512&amp;col=7&amp;number=0.00198&amp;sourceID=14","0.00198")</f>
        <v>0.00198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HYPERLINK("http://141.218.60.56/~jnz1568/getInfo.php?workbook=20_05.xlsx&amp;sheet=U0&amp;row=7513&amp;col=6&amp;number=3.9&amp;sourceID=14","3.9")</f>
        <v>3.9</v>
      </c>
      <c r="G7513" s="4" t="str">
        <f>HYPERLINK("http://141.218.60.56/~jnz1568/getInfo.php?workbook=20_05.xlsx&amp;sheet=U0&amp;row=7513&amp;col=7&amp;number=0.00198&amp;sourceID=14","0.00198")</f>
        <v>0.00198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HYPERLINK("http://141.218.60.56/~jnz1568/getInfo.php?workbook=20_05.xlsx&amp;sheet=U0&amp;row=7514&amp;col=6&amp;number=4&amp;sourceID=14","4")</f>
        <v>4</v>
      </c>
      <c r="G7514" s="4" t="str">
        <f>HYPERLINK("http://141.218.60.56/~jnz1568/getInfo.php?workbook=20_05.xlsx&amp;sheet=U0&amp;row=7514&amp;col=7&amp;number=0.00198&amp;sourceID=14","0.00198")</f>
        <v>0.00198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HYPERLINK("http://141.218.60.56/~jnz1568/getInfo.php?workbook=20_05.xlsx&amp;sheet=U0&amp;row=7515&amp;col=6&amp;number=4.1&amp;sourceID=14","4.1")</f>
        <v>4.1</v>
      </c>
      <c r="G7515" s="4" t="str">
        <f>HYPERLINK("http://141.218.60.56/~jnz1568/getInfo.php?workbook=20_05.xlsx&amp;sheet=U0&amp;row=7515&amp;col=7&amp;number=0.00198&amp;sourceID=14","0.00198")</f>
        <v>0.00198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HYPERLINK("http://141.218.60.56/~jnz1568/getInfo.php?workbook=20_05.xlsx&amp;sheet=U0&amp;row=7516&amp;col=6&amp;number=4.2&amp;sourceID=14","4.2")</f>
        <v>4.2</v>
      </c>
      <c r="G7516" s="4" t="str">
        <f>HYPERLINK("http://141.218.60.56/~jnz1568/getInfo.php?workbook=20_05.xlsx&amp;sheet=U0&amp;row=7516&amp;col=7&amp;number=0.00198&amp;sourceID=14","0.00198")</f>
        <v>0.00198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HYPERLINK("http://141.218.60.56/~jnz1568/getInfo.php?workbook=20_05.xlsx&amp;sheet=U0&amp;row=7517&amp;col=6&amp;number=4.3&amp;sourceID=14","4.3")</f>
        <v>4.3</v>
      </c>
      <c r="G7517" s="4" t="str">
        <f>HYPERLINK("http://141.218.60.56/~jnz1568/getInfo.php?workbook=20_05.xlsx&amp;sheet=U0&amp;row=7517&amp;col=7&amp;number=0.00198&amp;sourceID=14","0.00198")</f>
        <v>0.00198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HYPERLINK("http://141.218.60.56/~jnz1568/getInfo.php?workbook=20_05.xlsx&amp;sheet=U0&amp;row=7518&amp;col=6&amp;number=4.4&amp;sourceID=14","4.4")</f>
        <v>4.4</v>
      </c>
      <c r="G7518" s="4" t="str">
        <f>HYPERLINK("http://141.218.60.56/~jnz1568/getInfo.php?workbook=20_05.xlsx&amp;sheet=U0&amp;row=7518&amp;col=7&amp;number=0.00197&amp;sourceID=14","0.00197")</f>
        <v>0.00197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HYPERLINK("http://141.218.60.56/~jnz1568/getInfo.php?workbook=20_05.xlsx&amp;sheet=U0&amp;row=7519&amp;col=6&amp;number=4.5&amp;sourceID=14","4.5")</f>
        <v>4.5</v>
      </c>
      <c r="G7519" s="4" t="str">
        <f>HYPERLINK("http://141.218.60.56/~jnz1568/getInfo.php?workbook=20_05.xlsx&amp;sheet=U0&amp;row=7519&amp;col=7&amp;number=0.00197&amp;sourceID=14","0.00197")</f>
        <v>0.00197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HYPERLINK("http://141.218.60.56/~jnz1568/getInfo.php?workbook=20_05.xlsx&amp;sheet=U0&amp;row=7520&amp;col=6&amp;number=4.6&amp;sourceID=14","4.6")</f>
        <v>4.6</v>
      </c>
      <c r="G7520" s="4" t="str">
        <f>HYPERLINK("http://141.218.60.56/~jnz1568/getInfo.php?workbook=20_05.xlsx&amp;sheet=U0&amp;row=7520&amp;col=7&amp;number=0.00197&amp;sourceID=14","0.00197")</f>
        <v>0.00197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HYPERLINK("http://141.218.60.56/~jnz1568/getInfo.php?workbook=20_05.xlsx&amp;sheet=U0&amp;row=7521&amp;col=6&amp;number=4.7&amp;sourceID=14","4.7")</f>
        <v>4.7</v>
      </c>
      <c r="G7521" s="4" t="str">
        <f>HYPERLINK("http://141.218.60.56/~jnz1568/getInfo.php?workbook=20_05.xlsx&amp;sheet=U0&amp;row=7521&amp;col=7&amp;number=0.00197&amp;sourceID=14","0.00197")</f>
        <v>0.00197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HYPERLINK("http://141.218.60.56/~jnz1568/getInfo.php?workbook=20_05.xlsx&amp;sheet=U0&amp;row=7522&amp;col=6&amp;number=4.8&amp;sourceID=14","4.8")</f>
        <v>4.8</v>
      </c>
      <c r="G7522" s="4" t="str">
        <f>HYPERLINK("http://141.218.60.56/~jnz1568/getInfo.php?workbook=20_05.xlsx&amp;sheet=U0&amp;row=7522&amp;col=7&amp;number=0.00196&amp;sourceID=14","0.00196")</f>
        <v>0.00196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HYPERLINK("http://141.218.60.56/~jnz1568/getInfo.php?workbook=20_05.xlsx&amp;sheet=U0&amp;row=7523&amp;col=6&amp;number=4.9&amp;sourceID=14","4.9")</f>
        <v>4.9</v>
      </c>
      <c r="G7523" s="4" t="str">
        <f>HYPERLINK("http://141.218.60.56/~jnz1568/getInfo.php?workbook=20_05.xlsx&amp;sheet=U0&amp;row=7523&amp;col=7&amp;number=0.00196&amp;sourceID=14","0.00196")</f>
        <v>0.00196</v>
      </c>
    </row>
    <row r="7524" spans="1:7">
      <c r="A7524" s="3">
        <v>20</v>
      </c>
      <c r="B7524" s="3">
        <v>5</v>
      </c>
      <c r="C7524" s="3">
        <v>3</v>
      </c>
      <c r="D7524" s="3">
        <v>121</v>
      </c>
      <c r="E7524" s="3">
        <v>1</v>
      </c>
      <c r="F7524" s="4" t="str">
        <f>HYPERLINK("http://141.218.60.56/~jnz1568/getInfo.php?workbook=20_05.xlsx&amp;sheet=U0&amp;row=7524&amp;col=6&amp;number=3&amp;sourceID=14","3")</f>
        <v>3</v>
      </c>
      <c r="G7524" s="4" t="str">
        <f>HYPERLINK("http://141.218.60.56/~jnz1568/getInfo.php?workbook=20_05.xlsx&amp;sheet=U0&amp;row=7524&amp;col=7&amp;number=0.00186&amp;sourceID=14","0.00186")</f>
        <v>0.00186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HYPERLINK("http://141.218.60.56/~jnz1568/getInfo.php?workbook=20_05.xlsx&amp;sheet=U0&amp;row=7525&amp;col=6&amp;number=3.1&amp;sourceID=14","3.1")</f>
        <v>3.1</v>
      </c>
      <c r="G7525" s="4" t="str">
        <f>HYPERLINK("http://141.218.60.56/~jnz1568/getInfo.php?workbook=20_05.xlsx&amp;sheet=U0&amp;row=7525&amp;col=7&amp;number=0.00186&amp;sourceID=14","0.00186")</f>
        <v>0.00186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HYPERLINK("http://141.218.60.56/~jnz1568/getInfo.php?workbook=20_05.xlsx&amp;sheet=U0&amp;row=7526&amp;col=6&amp;number=3.2&amp;sourceID=14","3.2")</f>
        <v>3.2</v>
      </c>
      <c r="G7526" s="4" t="str">
        <f>HYPERLINK("http://141.218.60.56/~jnz1568/getInfo.php?workbook=20_05.xlsx&amp;sheet=U0&amp;row=7526&amp;col=7&amp;number=0.00186&amp;sourceID=14","0.00186")</f>
        <v>0.00186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HYPERLINK("http://141.218.60.56/~jnz1568/getInfo.php?workbook=20_05.xlsx&amp;sheet=U0&amp;row=7527&amp;col=6&amp;number=3.3&amp;sourceID=14","3.3")</f>
        <v>3.3</v>
      </c>
      <c r="G7527" s="4" t="str">
        <f>HYPERLINK("http://141.218.60.56/~jnz1568/getInfo.php?workbook=20_05.xlsx&amp;sheet=U0&amp;row=7527&amp;col=7&amp;number=0.00186&amp;sourceID=14","0.00186")</f>
        <v>0.00186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HYPERLINK("http://141.218.60.56/~jnz1568/getInfo.php?workbook=20_05.xlsx&amp;sheet=U0&amp;row=7528&amp;col=6&amp;number=3.4&amp;sourceID=14","3.4")</f>
        <v>3.4</v>
      </c>
      <c r="G7528" s="4" t="str">
        <f>HYPERLINK("http://141.218.60.56/~jnz1568/getInfo.php?workbook=20_05.xlsx&amp;sheet=U0&amp;row=7528&amp;col=7&amp;number=0.00186&amp;sourceID=14","0.00186")</f>
        <v>0.00186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HYPERLINK("http://141.218.60.56/~jnz1568/getInfo.php?workbook=20_05.xlsx&amp;sheet=U0&amp;row=7529&amp;col=6&amp;number=3.5&amp;sourceID=14","3.5")</f>
        <v>3.5</v>
      </c>
      <c r="G7529" s="4" t="str">
        <f>HYPERLINK("http://141.218.60.56/~jnz1568/getInfo.php?workbook=20_05.xlsx&amp;sheet=U0&amp;row=7529&amp;col=7&amp;number=0.00186&amp;sourceID=14","0.00186")</f>
        <v>0.00186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HYPERLINK("http://141.218.60.56/~jnz1568/getInfo.php?workbook=20_05.xlsx&amp;sheet=U0&amp;row=7530&amp;col=6&amp;number=3.6&amp;sourceID=14","3.6")</f>
        <v>3.6</v>
      </c>
      <c r="G7530" s="4" t="str">
        <f>HYPERLINK("http://141.218.60.56/~jnz1568/getInfo.php?workbook=20_05.xlsx&amp;sheet=U0&amp;row=7530&amp;col=7&amp;number=0.00186&amp;sourceID=14","0.00186")</f>
        <v>0.00186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HYPERLINK("http://141.218.60.56/~jnz1568/getInfo.php?workbook=20_05.xlsx&amp;sheet=U0&amp;row=7531&amp;col=6&amp;number=3.7&amp;sourceID=14","3.7")</f>
        <v>3.7</v>
      </c>
      <c r="G7531" s="4" t="str">
        <f>HYPERLINK("http://141.218.60.56/~jnz1568/getInfo.php?workbook=20_05.xlsx&amp;sheet=U0&amp;row=7531&amp;col=7&amp;number=0.00186&amp;sourceID=14","0.00186")</f>
        <v>0.00186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HYPERLINK("http://141.218.60.56/~jnz1568/getInfo.php?workbook=20_05.xlsx&amp;sheet=U0&amp;row=7532&amp;col=6&amp;number=3.8&amp;sourceID=14","3.8")</f>
        <v>3.8</v>
      </c>
      <c r="G7532" s="4" t="str">
        <f>HYPERLINK("http://141.218.60.56/~jnz1568/getInfo.php?workbook=20_05.xlsx&amp;sheet=U0&amp;row=7532&amp;col=7&amp;number=0.00186&amp;sourceID=14","0.00186")</f>
        <v>0.00186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HYPERLINK("http://141.218.60.56/~jnz1568/getInfo.php?workbook=20_05.xlsx&amp;sheet=U0&amp;row=7533&amp;col=6&amp;number=3.9&amp;sourceID=14","3.9")</f>
        <v>3.9</v>
      </c>
      <c r="G7533" s="4" t="str">
        <f>HYPERLINK("http://141.218.60.56/~jnz1568/getInfo.php?workbook=20_05.xlsx&amp;sheet=U0&amp;row=7533&amp;col=7&amp;number=0.00186&amp;sourceID=14","0.00186")</f>
        <v>0.00186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HYPERLINK("http://141.218.60.56/~jnz1568/getInfo.php?workbook=20_05.xlsx&amp;sheet=U0&amp;row=7534&amp;col=6&amp;number=4&amp;sourceID=14","4")</f>
        <v>4</v>
      </c>
      <c r="G7534" s="4" t="str">
        <f>HYPERLINK("http://141.218.60.56/~jnz1568/getInfo.php?workbook=20_05.xlsx&amp;sheet=U0&amp;row=7534&amp;col=7&amp;number=0.00186&amp;sourceID=14","0.00186")</f>
        <v>0.00186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HYPERLINK("http://141.218.60.56/~jnz1568/getInfo.php?workbook=20_05.xlsx&amp;sheet=U0&amp;row=7535&amp;col=6&amp;number=4.1&amp;sourceID=14","4.1")</f>
        <v>4.1</v>
      </c>
      <c r="G7535" s="4" t="str">
        <f>HYPERLINK("http://141.218.60.56/~jnz1568/getInfo.php?workbook=20_05.xlsx&amp;sheet=U0&amp;row=7535&amp;col=7&amp;number=0.00186&amp;sourceID=14","0.00186")</f>
        <v>0.00186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HYPERLINK("http://141.218.60.56/~jnz1568/getInfo.php?workbook=20_05.xlsx&amp;sheet=U0&amp;row=7536&amp;col=6&amp;number=4.2&amp;sourceID=14","4.2")</f>
        <v>4.2</v>
      </c>
      <c r="G7536" s="4" t="str">
        <f>HYPERLINK("http://141.218.60.56/~jnz1568/getInfo.php?workbook=20_05.xlsx&amp;sheet=U0&amp;row=7536&amp;col=7&amp;number=0.00185&amp;sourceID=14","0.00185")</f>
        <v>0.00185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HYPERLINK("http://141.218.60.56/~jnz1568/getInfo.php?workbook=20_05.xlsx&amp;sheet=U0&amp;row=7537&amp;col=6&amp;number=4.3&amp;sourceID=14","4.3")</f>
        <v>4.3</v>
      </c>
      <c r="G7537" s="4" t="str">
        <f>HYPERLINK("http://141.218.60.56/~jnz1568/getInfo.php?workbook=20_05.xlsx&amp;sheet=U0&amp;row=7537&amp;col=7&amp;number=0.00185&amp;sourceID=14","0.00185")</f>
        <v>0.00185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HYPERLINK("http://141.218.60.56/~jnz1568/getInfo.php?workbook=20_05.xlsx&amp;sheet=U0&amp;row=7538&amp;col=6&amp;number=4.4&amp;sourceID=14","4.4")</f>
        <v>4.4</v>
      </c>
      <c r="G7538" s="4" t="str">
        <f>HYPERLINK("http://141.218.60.56/~jnz1568/getInfo.php?workbook=20_05.xlsx&amp;sheet=U0&amp;row=7538&amp;col=7&amp;number=0.00185&amp;sourceID=14","0.00185")</f>
        <v>0.00185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HYPERLINK("http://141.218.60.56/~jnz1568/getInfo.php?workbook=20_05.xlsx&amp;sheet=U0&amp;row=7539&amp;col=6&amp;number=4.5&amp;sourceID=14","4.5")</f>
        <v>4.5</v>
      </c>
      <c r="G7539" s="4" t="str">
        <f>HYPERLINK("http://141.218.60.56/~jnz1568/getInfo.php?workbook=20_05.xlsx&amp;sheet=U0&amp;row=7539&amp;col=7&amp;number=0.00184&amp;sourceID=14","0.00184")</f>
        <v>0.00184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HYPERLINK("http://141.218.60.56/~jnz1568/getInfo.php?workbook=20_05.xlsx&amp;sheet=U0&amp;row=7540&amp;col=6&amp;number=4.6&amp;sourceID=14","4.6")</f>
        <v>4.6</v>
      </c>
      <c r="G7540" s="4" t="str">
        <f>HYPERLINK("http://141.218.60.56/~jnz1568/getInfo.php?workbook=20_05.xlsx&amp;sheet=U0&amp;row=7540&amp;col=7&amp;number=0.00184&amp;sourceID=14","0.00184")</f>
        <v>0.00184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HYPERLINK("http://141.218.60.56/~jnz1568/getInfo.php?workbook=20_05.xlsx&amp;sheet=U0&amp;row=7541&amp;col=6&amp;number=4.7&amp;sourceID=14","4.7")</f>
        <v>4.7</v>
      </c>
      <c r="G7541" s="4" t="str">
        <f>HYPERLINK("http://141.218.60.56/~jnz1568/getInfo.php?workbook=20_05.xlsx&amp;sheet=U0&amp;row=7541&amp;col=7&amp;number=0.00183&amp;sourceID=14","0.00183")</f>
        <v>0.00183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HYPERLINK("http://141.218.60.56/~jnz1568/getInfo.php?workbook=20_05.xlsx&amp;sheet=U0&amp;row=7542&amp;col=6&amp;number=4.8&amp;sourceID=14","4.8")</f>
        <v>4.8</v>
      </c>
      <c r="G7542" s="4" t="str">
        <f>HYPERLINK("http://141.218.60.56/~jnz1568/getInfo.php?workbook=20_05.xlsx&amp;sheet=U0&amp;row=7542&amp;col=7&amp;number=0.00183&amp;sourceID=14","0.00183")</f>
        <v>0.00183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HYPERLINK("http://141.218.60.56/~jnz1568/getInfo.php?workbook=20_05.xlsx&amp;sheet=U0&amp;row=7543&amp;col=6&amp;number=4.9&amp;sourceID=14","4.9")</f>
        <v>4.9</v>
      </c>
      <c r="G7543" s="4" t="str">
        <f>HYPERLINK("http://141.218.60.56/~jnz1568/getInfo.php?workbook=20_05.xlsx&amp;sheet=U0&amp;row=7543&amp;col=7&amp;number=0.00182&amp;sourceID=14","0.00182")</f>
        <v>0.00182</v>
      </c>
    </row>
    <row r="7544" spans="1:7">
      <c r="A7544" s="3">
        <v>20</v>
      </c>
      <c r="B7544" s="3">
        <v>5</v>
      </c>
      <c r="C7544" s="3">
        <v>3</v>
      </c>
      <c r="D7544" s="3">
        <v>122</v>
      </c>
      <c r="E7544" s="3">
        <v>1</v>
      </c>
      <c r="F7544" s="4" t="str">
        <f>HYPERLINK("http://141.218.60.56/~jnz1568/getInfo.php?workbook=20_05.xlsx&amp;sheet=U0&amp;row=7544&amp;col=6&amp;number=3&amp;sourceID=14","3")</f>
        <v>3</v>
      </c>
      <c r="G7544" s="4" t="str">
        <f>HYPERLINK("http://141.218.60.56/~jnz1568/getInfo.php?workbook=20_05.xlsx&amp;sheet=U0&amp;row=7544&amp;col=7&amp;number=1.79e-05&amp;sourceID=14","1.79e-05")</f>
        <v>1.79e-05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HYPERLINK("http://141.218.60.56/~jnz1568/getInfo.php?workbook=20_05.xlsx&amp;sheet=U0&amp;row=7545&amp;col=6&amp;number=3.1&amp;sourceID=14","3.1")</f>
        <v>3.1</v>
      </c>
      <c r="G7545" s="4" t="str">
        <f>HYPERLINK("http://141.218.60.56/~jnz1568/getInfo.php?workbook=20_05.xlsx&amp;sheet=U0&amp;row=7545&amp;col=7&amp;number=1.79e-05&amp;sourceID=14","1.79e-05")</f>
        <v>1.79e-05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HYPERLINK("http://141.218.60.56/~jnz1568/getInfo.php?workbook=20_05.xlsx&amp;sheet=U0&amp;row=7546&amp;col=6&amp;number=3.2&amp;sourceID=14","3.2")</f>
        <v>3.2</v>
      </c>
      <c r="G7546" s="4" t="str">
        <f>HYPERLINK("http://141.218.60.56/~jnz1568/getInfo.php?workbook=20_05.xlsx&amp;sheet=U0&amp;row=7546&amp;col=7&amp;number=1.79e-05&amp;sourceID=14","1.79e-05")</f>
        <v>1.79e-05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HYPERLINK("http://141.218.60.56/~jnz1568/getInfo.php?workbook=20_05.xlsx&amp;sheet=U0&amp;row=7547&amp;col=6&amp;number=3.3&amp;sourceID=14","3.3")</f>
        <v>3.3</v>
      </c>
      <c r="G7547" s="4" t="str">
        <f>HYPERLINK("http://141.218.60.56/~jnz1568/getInfo.php?workbook=20_05.xlsx&amp;sheet=U0&amp;row=7547&amp;col=7&amp;number=1.79e-05&amp;sourceID=14","1.79e-05")</f>
        <v>1.79e-05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HYPERLINK("http://141.218.60.56/~jnz1568/getInfo.php?workbook=20_05.xlsx&amp;sheet=U0&amp;row=7548&amp;col=6&amp;number=3.4&amp;sourceID=14","3.4")</f>
        <v>3.4</v>
      </c>
      <c r="G7548" s="4" t="str">
        <f>HYPERLINK("http://141.218.60.56/~jnz1568/getInfo.php?workbook=20_05.xlsx&amp;sheet=U0&amp;row=7548&amp;col=7&amp;number=1.79e-05&amp;sourceID=14","1.79e-05")</f>
        <v>1.79e-05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HYPERLINK("http://141.218.60.56/~jnz1568/getInfo.php?workbook=20_05.xlsx&amp;sheet=U0&amp;row=7549&amp;col=6&amp;number=3.5&amp;sourceID=14","3.5")</f>
        <v>3.5</v>
      </c>
      <c r="G7549" s="4" t="str">
        <f>HYPERLINK("http://141.218.60.56/~jnz1568/getInfo.php?workbook=20_05.xlsx&amp;sheet=U0&amp;row=7549&amp;col=7&amp;number=1.79e-05&amp;sourceID=14","1.79e-05")</f>
        <v>1.79e-05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HYPERLINK("http://141.218.60.56/~jnz1568/getInfo.php?workbook=20_05.xlsx&amp;sheet=U0&amp;row=7550&amp;col=6&amp;number=3.6&amp;sourceID=14","3.6")</f>
        <v>3.6</v>
      </c>
      <c r="G7550" s="4" t="str">
        <f>HYPERLINK("http://141.218.60.56/~jnz1568/getInfo.php?workbook=20_05.xlsx&amp;sheet=U0&amp;row=7550&amp;col=7&amp;number=1.79e-05&amp;sourceID=14","1.79e-05")</f>
        <v>1.79e-05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HYPERLINK("http://141.218.60.56/~jnz1568/getInfo.php?workbook=20_05.xlsx&amp;sheet=U0&amp;row=7551&amp;col=6&amp;number=3.7&amp;sourceID=14","3.7")</f>
        <v>3.7</v>
      </c>
      <c r="G7551" s="4" t="str">
        <f>HYPERLINK("http://141.218.60.56/~jnz1568/getInfo.php?workbook=20_05.xlsx&amp;sheet=U0&amp;row=7551&amp;col=7&amp;number=1.79e-05&amp;sourceID=14","1.79e-05")</f>
        <v>1.79e-05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HYPERLINK("http://141.218.60.56/~jnz1568/getInfo.php?workbook=20_05.xlsx&amp;sheet=U0&amp;row=7552&amp;col=6&amp;number=3.8&amp;sourceID=14","3.8")</f>
        <v>3.8</v>
      </c>
      <c r="G7552" s="4" t="str">
        <f>HYPERLINK("http://141.218.60.56/~jnz1568/getInfo.php?workbook=20_05.xlsx&amp;sheet=U0&amp;row=7552&amp;col=7&amp;number=1.79e-05&amp;sourceID=14","1.79e-05")</f>
        <v>1.79e-05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HYPERLINK("http://141.218.60.56/~jnz1568/getInfo.php?workbook=20_05.xlsx&amp;sheet=U0&amp;row=7553&amp;col=6&amp;number=3.9&amp;sourceID=14","3.9")</f>
        <v>3.9</v>
      </c>
      <c r="G7553" s="4" t="str">
        <f>HYPERLINK("http://141.218.60.56/~jnz1568/getInfo.php?workbook=20_05.xlsx&amp;sheet=U0&amp;row=7553&amp;col=7&amp;number=1.79e-05&amp;sourceID=14","1.79e-05")</f>
        <v>1.79e-05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HYPERLINK("http://141.218.60.56/~jnz1568/getInfo.php?workbook=20_05.xlsx&amp;sheet=U0&amp;row=7554&amp;col=6&amp;number=4&amp;sourceID=14","4")</f>
        <v>4</v>
      </c>
      <c r="G7554" s="4" t="str">
        <f>HYPERLINK("http://141.218.60.56/~jnz1568/getInfo.php?workbook=20_05.xlsx&amp;sheet=U0&amp;row=7554&amp;col=7&amp;number=1.79e-05&amp;sourceID=14","1.79e-05")</f>
        <v>1.79e-05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HYPERLINK("http://141.218.60.56/~jnz1568/getInfo.php?workbook=20_05.xlsx&amp;sheet=U0&amp;row=7555&amp;col=6&amp;number=4.1&amp;sourceID=14","4.1")</f>
        <v>4.1</v>
      </c>
      <c r="G7555" s="4" t="str">
        <f>HYPERLINK("http://141.218.60.56/~jnz1568/getInfo.php?workbook=20_05.xlsx&amp;sheet=U0&amp;row=7555&amp;col=7&amp;number=1.79e-05&amp;sourceID=14","1.79e-05")</f>
        <v>1.79e-05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HYPERLINK("http://141.218.60.56/~jnz1568/getInfo.php?workbook=20_05.xlsx&amp;sheet=U0&amp;row=7556&amp;col=6&amp;number=4.2&amp;sourceID=14","4.2")</f>
        <v>4.2</v>
      </c>
      <c r="G7556" s="4" t="str">
        <f>HYPERLINK("http://141.218.60.56/~jnz1568/getInfo.php?workbook=20_05.xlsx&amp;sheet=U0&amp;row=7556&amp;col=7&amp;number=1.79e-05&amp;sourceID=14","1.79e-05")</f>
        <v>1.79e-05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HYPERLINK("http://141.218.60.56/~jnz1568/getInfo.php?workbook=20_05.xlsx&amp;sheet=U0&amp;row=7557&amp;col=6&amp;number=4.3&amp;sourceID=14","4.3")</f>
        <v>4.3</v>
      </c>
      <c r="G7557" s="4" t="str">
        <f>HYPERLINK("http://141.218.60.56/~jnz1568/getInfo.php?workbook=20_05.xlsx&amp;sheet=U0&amp;row=7557&amp;col=7&amp;number=1.78e-05&amp;sourceID=14","1.78e-05")</f>
        <v>1.78e-05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HYPERLINK("http://141.218.60.56/~jnz1568/getInfo.php?workbook=20_05.xlsx&amp;sheet=U0&amp;row=7558&amp;col=6&amp;number=4.4&amp;sourceID=14","4.4")</f>
        <v>4.4</v>
      </c>
      <c r="G7558" s="4" t="str">
        <f>HYPERLINK("http://141.218.60.56/~jnz1568/getInfo.php?workbook=20_05.xlsx&amp;sheet=U0&amp;row=7558&amp;col=7&amp;number=1.78e-05&amp;sourceID=14","1.78e-05")</f>
        <v>1.78e-05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HYPERLINK("http://141.218.60.56/~jnz1568/getInfo.php?workbook=20_05.xlsx&amp;sheet=U0&amp;row=7559&amp;col=6&amp;number=4.5&amp;sourceID=14","4.5")</f>
        <v>4.5</v>
      </c>
      <c r="G7559" s="4" t="str">
        <f>HYPERLINK("http://141.218.60.56/~jnz1568/getInfo.php?workbook=20_05.xlsx&amp;sheet=U0&amp;row=7559&amp;col=7&amp;number=1.78e-05&amp;sourceID=14","1.78e-05")</f>
        <v>1.78e-05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HYPERLINK("http://141.218.60.56/~jnz1568/getInfo.php?workbook=20_05.xlsx&amp;sheet=U0&amp;row=7560&amp;col=6&amp;number=4.6&amp;sourceID=14","4.6")</f>
        <v>4.6</v>
      </c>
      <c r="G7560" s="4" t="str">
        <f>HYPERLINK("http://141.218.60.56/~jnz1568/getInfo.php?workbook=20_05.xlsx&amp;sheet=U0&amp;row=7560&amp;col=7&amp;number=1.77e-05&amp;sourceID=14","1.77e-05")</f>
        <v>1.77e-05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HYPERLINK("http://141.218.60.56/~jnz1568/getInfo.php?workbook=20_05.xlsx&amp;sheet=U0&amp;row=7561&amp;col=6&amp;number=4.7&amp;sourceID=14","4.7")</f>
        <v>4.7</v>
      </c>
      <c r="G7561" s="4" t="str">
        <f>HYPERLINK("http://141.218.60.56/~jnz1568/getInfo.php?workbook=20_05.xlsx&amp;sheet=U0&amp;row=7561&amp;col=7&amp;number=1.77e-05&amp;sourceID=14","1.77e-05")</f>
        <v>1.77e-05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HYPERLINK("http://141.218.60.56/~jnz1568/getInfo.php?workbook=20_05.xlsx&amp;sheet=U0&amp;row=7562&amp;col=6&amp;number=4.8&amp;sourceID=14","4.8")</f>
        <v>4.8</v>
      </c>
      <c r="G7562" s="4" t="str">
        <f>HYPERLINK("http://141.218.60.56/~jnz1568/getInfo.php?workbook=20_05.xlsx&amp;sheet=U0&amp;row=7562&amp;col=7&amp;number=1.76e-05&amp;sourceID=14","1.76e-05")</f>
        <v>1.76e-05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HYPERLINK("http://141.218.60.56/~jnz1568/getInfo.php?workbook=20_05.xlsx&amp;sheet=U0&amp;row=7563&amp;col=6&amp;number=4.9&amp;sourceID=14","4.9")</f>
        <v>4.9</v>
      </c>
      <c r="G7563" s="4" t="str">
        <f>HYPERLINK("http://141.218.60.56/~jnz1568/getInfo.php?workbook=20_05.xlsx&amp;sheet=U0&amp;row=7563&amp;col=7&amp;number=1.75e-05&amp;sourceID=14","1.75e-05")</f>
        <v>1.75e-05</v>
      </c>
    </row>
    <row r="7564" spans="1:7">
      <c r="A7564" s="3">
        <v>20</v>
      </c>
      <c r="B7564" s="3">
        <v>5</v>
      </c>
      <c r="C7564" s="3">
        <v>3</v>
      </c>
      <c r="D7564" s="3">
        <v>123</v>
      </c>
      <c r="E7564" s="3">
        <v>1</v>
      </c>
      <c r="F7564" s="4" t="str">
        <f>HYPERLINK("http://141.218.60.56/~jnz1568/getInfo.php?workbook=20_05.xlsx&amp;sheet=U0&amp;row=7564&amp;col=6&amp;number=3&amp;sourceID=14","3")</f>
        <v>3</v>
      </c>
      <c r="G7564" s="4" t="str">
        <f>HYPERLINK("http://141.218.60.56/~jnz1568/getInfo.php?workbook=20_05.xlsx&amp;sheet=U0&amp;row=7564&amp;col=7&amp;number=4.18e-05&amp;sourceID=14","4.18e-05")</f>
        <v>4.18e-05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HYPERLINK("http://141.218.60.56/~jnz1568/getInfo.php?workbook=20_05.xlsx&amp;sheet=U0&amp;row=7565&amp;col=6&amp;number=3.1&amp;sourceID=14","3.1")</f>
        <v>3.1</v>
      </c>
      <c r="G7565" s="4" t="str">
        <f>HYPERLINK("http://141.218.60.56/~jnz1568/getInfo.php?workbook=20_05.xlsx&amp;sheet=U0&amp;row=7565&amp;col=7&amp;number=4.18e-05&amp;sourceID=14","4.18e-05")</f>
        <v>4.18e-05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HYPERLINK("http://141.218.60.56/~jnz1568/getInfo.php?workbook=20_05.xlsx&amp;sheet=U0&amp;row=7566&amp;col=6&amp;number=3.2&amp;sourceID=14","3.2")</f>
        <v>3.2</v>
      </c>
      <c r="G7566" s="4" t="str">
        <f>HYPERLINK("http://141.218.60.56/~jnz1568/getInfo.php?workbook=20_05.xlsx&amp;sheet=U0&amp;row=7566&amp;col=7&amp;number=4.18e-05&amp;sourceID=14","4.18e-05")</f>
        <v>4.18e-05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HYPERLINK("http://141.218.60.56/~jnz1568/getInfo.php?workbook=20_05.xlsx&amp;sheet=U0&amp;row=7567&amp;col=6&amp;number=3.3&amp;sourceID=14","3.3")</f>
        <v>3.3</v>
      </c>
      <c r="G7567" s="4" t="str">
        <f>HYPERLINK("http://141.218.60.56/~jnz1568/getInfo.php?workbook=20_05.xlsx&amp;sheet=U0&amp;row=7567&amp;col=7&amp;number=4.18e-05&amp;sourceID=14","4.18e-05")</f>
        <v>4.18e-05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HYPERLINK("http://141.218.60.56/~jnz1568/getInfo.php?workbook=20_05.xlsx&amp;sheet=U0&amp;row=7568&amp;col=6&amp;number=3.4&amp;sourceID=14","3.4")</f>
        <v>3.4</v>
      </c>
      <c r="G7568" s="4" t="str">
        <f>HYPERLINK("http://141.218.60.56/~jnz1568/getInfo.php?workbook=20_05.xlsx&amp;sheet=U0&amp;row=7568&amp;col=7&amp;number=4.18e-05&amp;sourceID=14","4.18e-05")</f>
        <v>4.18e-05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HYPERLINK("http://141.218.60.56/~jnz1568/getInfo.php?workbook=20_05.xlsx&amp;sheet=U0&amp;row=7569&amp;col=6&amp;number=3.5&amp;sourceID=14","3.5")</f>
        <v>3.5</v>
      </c>
      <c r="G7569" s="4" t="str">
        <f>HYPERLINK("http://141.218.60.56/~jnz1568/getInfo.php?workbook=20_05.xlsx&amp;sheet=U0&amp;row=7569&amp;col=7&amp;number=4.18e-05&amp;sourceID=14","4.18e-05")</f>
        <v>4.18e-05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HYPERLINK("http://141.218.60.56/~jnz1568/getInfo.php?workbook=20_05.xlsx&amp;sheet=U0&amp;row=7570&amp;col=6&amp;number=3.6&amp;sourceID=14","3.6")</f>
        <v>3.6</v>
      </c>
      <c r="G7570" s="4" t="str">
        <f>HYPERLINK("http://141.218.60.56/~jnz1568/getInfo.php?workbook=20_05.xlsx&amp;sheet=U0&amp;row=7570&amp;col=7&amp;number=4.18e-05&amp;sourceID=14","4.18e-05")</f>
        <v>4.18e-05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HYPERLINK("http://141.218.60.56/~jnz1568/getInfo.php?workbook=20_05.xlsx&amp;sheet=U0&amp;row=7571&amp;col=6&amp;number=3.7&amp;sourceID=14","3.7")</f>
        <v>3.7</v>
      </c>
      <c r="G7571" s="4" t="str">
        <f>HYPERLINK("http://141.218.60.56/~jnz1568/getInfo.php?workbook=20_05.xlsx&amp;sheet=U0&amp;row=7571&amp;col=7&amp;number=4.18e-05&amp;sourceID=14","4.18e-05")</f>
        <v>4.18e-05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HYPERLINK("http://141.218.60.56/~jnz1568/getInfo.php?workbook=20_05.xlsx&amp;sheet=U0&amp;row=7572&amp;col=6&amp;number=3.8&amp;sourceID=14","3.8")</f>
        <v>3.8</v>
      </c>
      <c r="G7572" s="4" t="str">
        <f>HYPERLINK("http://141.218.60.56/~jnz1568/getInfo.php?workbook=20_05.xlsx&amp;sheet=U0&amp;row=7572&amp;col=7&amp;number=4.18e-05&amp;sourceID=14","4.18e-05")</f>
        <v>4.18e-05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HYPERLINK("http://141.218.60.56/~jnz1568/getInfo.php?workbook=20_05.xlsx&amp;sheet=U0&amp;row=7573&amp;col=6&amp;number=3.9&amp;sourceID=14","3.9")</f>
        <v>3.9</v>
      </c>
      <c r="G7573" s="4" t="str">
        <f>HYPERLINK("http://141.218.60.56/~jnz1568/getInfo.php?workbook=20_05.xlsx&amp;sheet=U0&amp;row=7573&amp;col=7&amp;number=4.18e-05&amp;sourceID=14","4.18e-05")</f>
        <v>4.18e-05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HYPERLINK("http://141.218.60.56/~jnz1568/getInfo.php?workbook=20_05.xlsx&amp;sheet=U0&amp;row=7574&amp;col=6&amp;number=4&amp;sourceID=14","4")</f>
        <v>4</v>
      </c>
      <c r="G7574" s="4" t="str">
        <f>HYPERLINK("http://141.218.60.56/~jnz1568/getInfo.php?workbook=20_05.xlsx&amp;sheet=U0&amp;row=7574&amp;col=7&amp;number=4.18e-05&amp;sourceID=14","4.18e-05")</f>
        <v>4.18e-05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HYPERLINK("http://141.218.60.56/~jnz1568/getInfo.php?workbook=20_05.xlsx&amp;sheet=U0&amp;row=7575&amp;col=6&amp;number=4.1&amp;sourceID=14","4.1")</f>
        <v>4.1</v>
      </c>
      <c r="G7575" s="4" t="str">
        <f>HYPERLINK("http://141.218.60.56/~jnz1568/getInfo.php?workbook=20_05.xlsx&amp;sheet=U0&amp;row=7575&amp;col=7&amp;number=4.18e-05&amp;sourceID=14","4.18e-05")</f>
        <v>4.18e-05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HYPERLINK("http://141.218.60.56/~jnz1568/getInfo.php?workbook=20_05.xlsx&amp;sheet=U0&amp;row=7576&amp;col=6&amp;number=4.2&amp;sourceID=14","4.2")</f>
        <v>4.2</v>
      </c>
      <c r="G7576" s="4" t="str">
        <f>HYPERLINK("http://141.218.60.56/~jnz1568/getInfo.php?workbook=20_05.xlsx&amp;sheet=U0&amp;row=7576&amp;col=7&amp;number=4.18e-05&amp;sourceID=14","4.18e-05")</f>
        <v>4.18e-05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HYPERLINK("http://141.218.60.56/~jnz1568/getInfo.php?workbook=20_05.xlsx&amp;sheet=U0&amp;row=7577&amp;col=6&amp;number=4.3&amp;sourceID=14","4.3")</f>
        <v>4.3</v>
      </c>
      <c r="G7577" s="4" t="str">
        <f>HYPERLINK("http://141.218.60.56/~jnz1568/getInfo.php?workbook=20_05.xlsx&amp;sheet=U0&amp;row=7577&amp;col=7&amp;number=4.17e-05&amp;sourceID=14","4.17e-05")</f>
        <v>4.17e-05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HYPERLINK("http://141.218.60.56/~jnz1568/getInfo.php?workbook=20_05.xlsx&amp;sheet=U0&amp;row=7578&amp;col=6&amp;number=4.4&amp;sourceID=14","4.4")</f>
        <v>4.4</v>
      </c>
      <c r="G7578" s="4" t="str">
        <f>HYPERLINK("http://141.218.60.56/~jnz1568/getInfo.php?workbook=20_05.xlsx&amp;sheet=U0&amp;row=7578&amp;col=7&amp;number=4.17e-05&amp;sourceID=14","4.17e-05")</f>
        <v>4.17e-05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HYPERLINK("http://141.218.60.56/~jnz1568/getInfo.php?workbook=20_05.xlsx&amp;sheet=U0&amp;row=7579&amp;col=6&amp;number=4.5&amp;sourceID=14","4.5")</f>
        <v>4.5</v>
      </c>
      <c r="G7579" s="4" t="str">
        <f>HYPERLINK("http://141.218.60.56/~jnz1568/getInfo.php?workbook=20_05.xlsx&amp;sheet=U0&amp;row=7579&amp;col=7&amp;number=4.17e-05&amp;sourceID=14","4.17e-05")</f>
        <v>4.17e-05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HYPERLINK("http://141.218.60.56/~jnz1568/getInfo.php?workbook=20_05.xlsx&amp;sheet=U0&amp;row=7580&amp;col=6&amp;number=4.6&amp;sourceID=14","4.6")</f>
        <v>4.6</v>
      </c>
      <c r="G7580" s="4" t="str">
        <f>HYPERLINK("http://141.218.60.56/~jnz1568/getInfo.php?workbook=20_05.xlsx&amp;sheet=U0&amp;row=7580&amp;col=7&amp;number=4.17e-05&amp;sourceID=14","4.17e-05")</f>
        <v>4.17e-05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HYPERLINK("http://141.218.60.56/~jnz1568/getInfo.php?workbook=20_05.xlsx&amp;sheet=U0&amp;row=7581&amp;col=6&amp;number=4.7&amp;sourceID=14","4.7")</f>
        <v>4.7</v>
      </c>
      <c r="G7581" s="4" t="str">
        <f>HYPERLINK("http://141.218.60.56/~jnz1568/getInfo.php?workbook=20_05.xlsx&amp;sheet=U0&amp;row=7581&amp;col=7&amp;number=4.16e-05&amp;sourceID=14","4.16e-05")</f>
        <v>4.16e-05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HYPERLINK("http://141.218.60.56/~jnz1568/getInfo.php?workbook=20_05.xlsx&amp;sheet=U0&amp;row=7582&amp;col=6&amp;number=4.8&amp;sourceID=14","4.8")</f>
        <v>4.8</v>
      </c>
      <c r="G7582" s="4" t="str">
        <f>HYPERLINK("http://141.218.60.56/~jnz1568/getInfo.php?workbook=20_05.xlsx&amp;sheet=U0&amp;row=7582&amp;col=7&amp;number=4.15e-05&amp;sourceID=14","4.15e-05")</f>
        <v>4.15e-05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HYPERLINK("http://141.218.60.56/~jnz1568/getInfo.php?workbook=20_05.xlsx&amp;sheet=U0&amp;row=7583&amp;col=6&amp;number=4.9&amp;sourceID=14","4.9")</f>
        <v>4.9</v>
      </c>
      <c r="G7583" s="4" t="str">
        <f>HYPERLINK("http://141.218.60.56/~jnz1568/getInfo.php?workbook=20_05.xlsx&amp;sheet=U0&amp;row=7583&amp;col=7&amp;number=4.15e-05&amp;sourceID=14","4.15e-05")</f>
        <v>4.15e-05</v>
      </c>
    </row>
    <row r="7584" spans="1:7">
      <c r="A7584" s="3">
        <v>20</v>
      </c>
      <c r="B7584" s="3">
        <v>5</v>
      </c>
      <c r="C7584" s="3">
        <v>4</v>
      </c>
      <c r="D7584" s="3">
        <v>17</v>
      </c>
      <c r="E7584" s="3">
        <v>1</v>
      </c>
      <c r="F7584" s="4" t="str">
        <f>HYPERLINK("http://141.218.60.56/~jnz1568/getInfo.php?workbook=20_05.xlsx&amp;sheet=U0&amp;row=7584&amp;col=6&amp;number=3&amp;sourceID=14","3")</f>
        <v>3</v>
      </c>
      <c r="G7584" s="4" t="str">
        <f>HYPERLINK("http://141.218.60.56/~jnz1568/getInfo.php?workbook=20_05.xlsx&amp;sheet=U0&amp;row=7584&amp;col=7&amp;number=0.00489&amp;sourceID=14","0.00489")</f>
        <v>0.00489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HYPERLINK("http://141.218.60.56/~jnz1568/getInfo.php?workbook=20_05.xlsx&amp;sheet=U0&amp;row=7585&amp;col=6&amp;number=3.1&amp;sourceID=14","3.1")</f>
        <v>3.1</v>
      </c>
      <c r="G7585" s="4" t="str">
        <f>HYPERLINK("http://141.218.60.56/~jnz1568/getInfo.php?workbook=20_05.xlsx&amp;sheet=U0&amp;row=7585&amp;col=7&amp;number=0.00489&amp;sourceID=14","0.00489")</f>
        <v>0.00489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HYPERLINK("http://141.218.60.56/~jnz1568/getInfo.php?workbook=20_05.xlsx&amp;sheet=U0&amp;row=7586&amp;col=6&amp;number=3.2&amp;sourceID=14","3.2")</f>
        <v>3.2</v>
      </c>
      <c r="G7586" s="4" t="str">
        <f>HYPERLINK("http://141.218.60.56/~jnz1568/getInfo.php?workbook=20_05.xlsx&amp;sheet=U0&amp;row=7586&amp;col=7&amp;number=0.00489&amp;sourceID=14","0.00489")</f>
        <v>0.00489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HYPERLINK("http://141.218.60.56/~jnz1568/getInfo.php?workbook=20_05.xlsx&amp;sheet=U0&amp;row=7587&amp;col=6&amp;number=3.3&amp;sourceID=14","3.3")</f>
        <v>3.3</v>
      </c>
      <c r="G7587" s="4" t="str">
        <f>HYPERLINK("http://141.218.60.56/~jnz1568/getInfo.php?workbook=20_05.xlsx&amp;sheet=U0&amp;row=7587&amp;col=7&amp;number=0.00489&amp;sourceID=14","0.00489")</f>
        <v>0.00489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HYPERLINK("http://141.218.60.56/~jnz1568/getInfo.php?workbook=20_05.xlsx&amp;sheet=U0&amp;row=7588&amp;col=6&amp;number=3.4&amp;sourceID=14","3.4")</f>
        <v>3.4</v>
      </c>
      <c r="G7588" s="4" t="str">
        <f>HYPERLINK("http://141.218.60.56/~jnz1568/getInfo.php?workbook=20_05.xlsx&amp;sheet=U0&amp;row=7588&amp;col=7&amp;number=0.00489&amp;sourceID=14","0.00489")</f>
        <v>0.00489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HYPERLINK("http://141.218.60.56/~jnz1568/getInfo.php?workbook=20_05.xlsx&amp;sheet=U0&amp;row=7589&amp;col=6&amp;number=3.5&amp;sourceID=14","3.5")</f>
        <v>3.5</v>
      </c>
      <c r="G7589" s="4" t="str">
        <f>HYPERLINK("http://141.218.60.56/~jnz1568/getInfo.php?workbook=20_05.xlsx&amp;sheet=U0&amp;row=7589&amp;col=7&amp;number=0.00489&amp;sourceID=14","0.00489")</f>
        <v>0.00489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HYPERLINK("http://141.218.60.56/~jnz1568/getInfo.php?workbook=20_05.xlsx&amp;sheet=U0&amp;row=7590&amp;col=6&amp;number=3.6&amp;sourceID=14","3.6")</f>
        <v>3.6</v>
      </c>
      <c r="G7590" s="4" t="str">
        <f>HYPERLINK("http://141.218.60.56/~jnz1568/getInfo.php?workbook=20_05.xlsx&amp;sheet=U0&amp;row=7590&amp;col=7&amp;number=0.00489&amp;sourceID=14","0.00489")</f>
        <v>0.00489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HYPERLINK("http://141.218.60.56/~jnz1568/getInfo.php?workbook=20_05.xlsx&amp;sheet=U0&amp;row=7591&amp;col=6&amp;number=3.7&amp;sourceID=14","3.7")</f>
        <v>3.7</v>
      </c>
      <c r="G7591" s="4" t="str">
        <f>HYPERLINK("http://141.218.60.56/~jnz1568/getInfo.php?workbook=20_05.xlsx&amp;sheet=U0&amp;row=7591&amp;col=7&amp;number=0.00489&amp;sourceID=14","0.00489")</f>
        <v>0.00489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HYPERLINK("http://141.218.60.56/~jnz1568/getInfo.php?workbook=20_05.xlsx&amp;sheet=U0&amp;row=7592&amp;col=6&amp;number=3.8&amp;sourceID=14","3.8")</f>
        <v>3.8</v>
      </c>
      <c r="G7592" s="4" t="str">
        <f>HYPERLINK("http://141.218.60.56/~jnz1568/getInfo.php?workbook=20_05.xlsx&amp;sheet=U0&amp;row=7592&amp;col=7&amp;number=0.00489&amp;sourceID=14","0.00489")</f>
        <v>0.00489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HYPERLINK("http://141.218.60.56/~jnz1568/getInfo.php?workbook=20_05.xlsx&amp;sheet=U0&amp;row=7593&amp;col=6&amp;number=3.9&amp;sourceID=14","3.9")</f>
        <v>3.9</v>
      </c>
      <c r="G7593" s="4" t="str">
        <f>HYPERLINK("http://141.218.60.56/~jnz1568/getInfo.php?workbook=20_05.xlsx&amp;sheet=U0&amp;row=7593&amp;col=7&amp;number=0.00489&amp;sourceID=14","0.00489")</f>
        <v>0.00489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HYPERLINK("http://141.218.60.56/~jnz1568/getInfo.php?workbook=20_05.xlsx&amp;sheet=U0&amp;row=7594&amp;col=6&amp;number=4&amp;sourceID=14","4")</f>
        <v>4</v>
      </c>
      <c r="G7594" s="4" t="str">
        <f>HYPERLINK("http://141.218.60.56/~jnz1568/getInfo.php?workbook=20_05.xlsx&amp;sheet=U0&amp;row=7594&amp;col=7&amp;number=0.00489&amp;sourceID=14","0.00489")</f>
        <v>0.00489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HYPERLINK("http://141.218.60.56/~jnz1568/getInfo.php?workbook=20_05.xlsx&amp;sheet=U0&amp;row=7595&amp;col=6&amp;number=4.1&amp;sourceID=14","4.1")</f>
        <v>4.1</v>
      </c>
      <c r="G7595" s="4" t="str">
        <f>HYPERLINK("http://141.218.60.56/~jnz1568/getInfo.php?workbook=20_05.xlsx&amp;sheet=U0&amp;row=7595&amp;col=7&amp;number=0.00488&amp;sourceID=14","0.00488")</f>
        <v>0.00488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HYPERLINK("http://141.218.60.56/~jnz1568/getInfo.php?workbook=20_05.xlsx&amp;sheet=U0&amp;row=7596&amp;col=6&amp;number=4.2&amp;sourceID=14","4.2")</f>
        <v>4.2</v>
      </c>
      <c r="G7596" s="4" t="str">
        <f>HYPERLINK("http://141.218.60.56/~jnz1568/getInfo.php?workbook=20_05.xlsx&amp;sheet=U0&amp;row=7596&amp;col=7&amp;number=0.00488&amp;sourceID=14","0.00488")</f>
        <v>0.00488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HYPERLINK("http://141.218.60.56/~jnz1568/getInfo.php?workbook=20_05.xlsx&amp;sheet=U0&amp;row=7597&amp;col=6&amp;number=4.3&amp;sourceID=14","4.3")</f>
        <v>4.3</v>
      </c>
      <c r="G7597" s="4" t="str">
        <f>HYPERLINK("http://141.218.60.56/~jnz1568/getInfo.php?workbook=20_05.xlsx&amp;sheet=U0&amp;row=7597&amp;col=7&amp;number=0.00488&amp;sourceID=14","0.00488")</f>
        <v>0.00488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HYPERLINK("http://141.218.60.56/~jnz1568/getInfo.php?workbook=20_05.xlsx&amp;sheet=U0&amp;row=7598&amp;col=6&amp;number=4.4&amp;sourceID=14","4.4")</f>
        <v>4.4</v>
      </c>
      <c r="G7598" s="4" t="str">
        <f>HYPERLINK("http://141.218.60.56/~jnz1568/getInfo.php?workbook=20_05.xlsx&amp;sheet=U0&amp;row=7598&amp;col=7&amp;number=0.00488&amp;sourceID=14","0.00488")</f>
        <v>0.00488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HYPERLINK("http://141.218.60.56/~jnz1568/getInfo.php?workbook=20_05.xlsx&amp;sheet=U0&amp;row=7599&amp;col=6&amp;number=4.5&amp;sourceID=14","4.5")</f>
        <v>4.5</v>
      </c>
      <c r="G7599" s="4" t="str">
        <f>HYPERLINK("http://141.218.60.56/~jnz1568/getInfo.php?workbook=20_05.xlsx&amp;sheet=U0&amp;row=7599&amp;col=7&amp;number=0.00488&amp;sourceID=14","0.00488")</f>
        <v>0.00488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HYPERLINK("http://141.218.60.56/~jnz1568/getInfo.php?workbook=20_05.xlsx&amp;sheet=U0&amp;row=7600&amp;col=6&amp;number=4.6&amp;sourceID=14","4.6")</f>
        <v>4.6</v>
      </c>
      <c r="G7600" s="4" t="str">
        <f>HYPERLINK("http://141.218.60.56/~jnz1568/getInfo.php?workbook=20_05.xlsx&amp;sheet=U0&amp;row=7600&amp;col=7&amp;number=0.00487&amp;sourceID=14","0.00487")</f>
        <v>0.00487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HYPERLINK("http://141.218.60.56/~jnz1568/getInfo.php?workbook=20_05.xlsx&amp;sheet=U0&amp;row=7601&amp;col=6&amp;number=4.7&amp;sourceID=14","4.7")</f>
        <v>4.7</v>
      </c>
      <c r="G7601" s="4" t="str">
        <f>HYPERLINK("http://141.218.60.56/~jnz1568/getInfo.php?workbook=20_05.xlsx&amp;sheet=U0&amp;row=7601&amp;col=7&amp;number=0.00487&amp;sourceID=14","0.00487")</f>
        <v>0.00487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HYPERLINK("http://141.218.60.56/~jnz1568/getInfo.php?workbook=20_05.xlsx&amp;sheet=U0&amp;row=7602&amp;col=6&amp;number=4.8&amp;sourceID=14","4.8")</f>
        <v>4.8</v>
      </c>
      <c r="G7602" s="4" t="str">
        <f>HYPERLINK("http://141.218.60.56/~jnz1568/getInfo.php?workbook=20_05.xlsx&amp;sheet=U0&amp;row=7602&amp;col=7&amp;number=0.00486&amp;sourceID=14","0.00486")</f>
        <v>0.00486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HYPERLINK("http://141.218.60.56/~jnz1568/getInfo.php?workbook=20_05.xlsx&amp;sheet=U0&amp;row=7603&amp;col=6&amp;number=4.9&amp;sourceID=14","4.9")</f>
        <v>4.9</v>
      </c>
      <c r="G7603" s="4" t="str">
        <f>HYPERLINK("http://141.218.60.56/~jnz1568/getInfo.php?workbook=20_05.xlsx&amp;sheet=U0&amp;row=7603&amp;col=7&amp;number=0.00486&amp;sourceID=14","0.00486")</f>
        <v>0.00486</v>
      </c>
    </row>
    <row r="7604" spans="1:7">
      <c r="A7604" s="3">
        <v>20</v>
      </c>
      <c r="B7604" s="3">
        <v>5</v>
      </c>
      <c r="C7604" s="3">
        <v>4</v>
      </c>
      <c r="D7604" s="3">
        <v>18</v>
      </c>
      <c r="E7604" s="3">
        <v>1</v>
      </c>
      <c r="F7604" s="4" t="str">
        <f>HYPERLINK("http://141.218.60.56/~jnz1568/getInfo.php?workbook=20_05.xlsx&amp;sheet=U0&amp;row=7604&amp;col=6&amp;number=3&amp;sourceID=14","3")</f>
        <v>3</v>
      </c>
      <c r="G7604" s="4" t="str">
        <f>HYPERLINK("http://141.218.60.56/~jnz1568/getInfo.php?workbook=20_05.xlsx&amp;sheet=U0&amp;row=7604&amp;col=7&amp;number=0.00247&amp;sourceID=14","0.00247")</f>
        <v>0.00247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HYPERLINK("http://141.218.60.56/~jnz1568/getInfo.php?workbook=20_05.xlsx&amp;sheet=U0&amp;row=7605&amp;col=6&amp;number=3.1&amp;sourceID=14","3.1")</f>
        <v>3.1</v>
      </c>
      <c r="G7605" s="4" t="str">
        <f>HYPERLINK("http://141.218.60.56/~jnz1568/getInfo.php?workbook=20_05.xlsx&amp;sheet=U0&amp;row=7605&amp;col=7&amp;number=0.00247&amp;sourceID=14","0.00247")</f>
        <v>0.00247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HYPERLINK("http://141.218.60.56/~jnz1568/getInfo.php?workbook=20_05.xlsx&amp;sheet=U0&amp;row=7606&amp;col=6&amp;number=3.2&amp;sourceID=14","3.2")</f>
        <v>3.2</v>
      </c>
      <c r="G7606" s="4" t="str">
        <f>HYPERLINK("http://141.218.60.56/~jnz1568/getInfo.php?workbook=20_05.xlsx&amp;sheet=U0&amp;row=7606&amp;col=7&amp;number=0.00247&amp;sourceID=14","0.00247")</f>
        <v>0.00247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HYPERLINK("http://141.218.60.56/~jnz1568/getInfo.php?workbook=20_05.xlsx&amp;sheet=U0&amp;row=7607&amp;col=6&amp;number=3.3&amp;sourceID=14","3.3")</f>
        <v>3.3</v>
      </c>
      <c r="G7607" s="4" t="str">
        <f>HYPERLINK("http://141.218.60.56/~jnz1568/getInfo.php?workbook=20_05.xlsx&amp;sheet=U0&amp;row=7607&amp;col=7&amp;number=0.00247&amp;sourceID=14","0.00247")</f>
        <v>0.00247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HYPERLINK("http://141.218.60.56/~jnz1568/getInfo.php?workbook=20_05.xlsx&amp;sheet=U0&amp;row=7608&amp;col=6&amp;number=3.4&amp;sourceID=14","3.4")</f>
        <v>3.4</v>
      </c>
      <c r="G7608" s="4" t="str">
        <f>HYPERLINK("http://141.218.60.56/~jnz1568/getInfo.php?workbook=20_05.xlsx&amp;sheet=U0&amp;row=7608&amp;col=7&amp;number=0.00247&amp;sourceID=14","0.00247")</f>
        <v>0.00247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HYPERLINK("http://141.218.60.56/~jnz1568/getInfo.php?workbook=20_05.xlsx&amp;sheet=U0&amp;row=7609&amp;col=6&amp;number=3.5&amp;sourceID=14","3.5")</f>
        <v>3.5</v>
      </c>
      <c r="G7609" s="4" t="str">
        <f>HYPERLINK("http://141.218.60.56/~jnz1568/getInfo.php?workbook=20_05.xlsx&amp;sheet=U0&amp;row=7609&amp;col=7&amp;number=0.00247&amp;sourceID=14","0.00247")</f>
        <v>0.00247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HYPERLINK("http://141.218.60.56/~jnz1568/getInfo.php?workbook=20_05.xlsx&amp;sheet=U0&amp;row=7610&amp;col=6&amp;number=3.6&amp;sourceID=14","3.6")</f>
        <v>3.6</v>
      </c>
      <c r="G7610" s="4" t="str">
        <f>HYPERLINK("http://141.218.60.56/~jnz1568/getInfo.php?workbook=20_05.xlsx&amp;sheet=U0&amp;row=7610&amp;col=7&amp;number=0.00247&amp;sourceID=14","0.00247")</f>
        <v>0.00247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HYPERLINK("http://141.218.60.56/~jnz1568/getInfo.php?workbook=20_05.xlsx&amp;sheet=U0&amp;row=7611&amp;col=6&amp;number=3.7&amp;sourceID=14","3.7")</f>
        <v>3.7</v>
      </c>
      <c r="G7611" s="4" t="str">
        <f>HYPERLINK("http://141.218.60.56/~jnz1568/getInfo.php?workbook=20_05.xlsx&amp;sheet=U0&amp;row=7611&amp;col=7&amp;number=0.00247&amp;sourceID=14","0.00247")</f>
        <v>0.00247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HYPERLINK("http://141.218.60.56/~jnz1568/getInfo.php?workbook=20_05.xlsx&amp;sheet=U0&amp;row=7612&amp;col=6&amp;number=3.8&amp;sourceID=14","3.8")</f>
        <v>3.8</v>
      </c>
      <c r="G7612" s="4" t="str">
        <f>HYPERLINK("http://141.218.60.56/~jnz1568/getInfo.php?workbook=20_05.xlsx&amp;sheet=U0&amp;row=7612&amp;col=7&amp;number=0.00247&amp;sourceID=14","0.00247")</f>
        <v>0.00247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HYPERLINK("http://141.218.60.56/~jnz1568/getInfo.php?workbook=20_05.xlsx&amp;sheet=U0&amp;row=7613&amp;col=6&amp;number=3.9&amp;sourceID=14","3.9")</f>
        <v>3.9</v>
      </c>
      <c r="G7613" s="4" t="str">
        <f>HYPERLINK("http://141.218.60.56/~jnz1568/getInfo.php?workbook=20_05.xlsx&amp;sheet=U0&amp;row=7613&amp;col=7&amp;number=0.00247&amp;sourceID=14","0.00247")</f>
        <v>0.00247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HYPERLINK("http://141.218.60.56/~jnz1568/getInfo.php?workbook=20_05.xlsx&amp;sheet=U0&amp;row=7614&amp;col=6&amp;number=4&amp;sourceID=14","4")</f>
        <v>4</v>
      </c>
      <c r="G7614" s="4" t="str">
        <f>HYPERLINK("http://141.218.60.56/~jnz1568/getInfo.php?workbook=20_05.xlsx&amp;sheet=U0&amp;row=7614&amp;col=7&amp;number=0.00247&amp;sourceID=14","0.00247")</f>
        <v>0.00247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HYPERLINK("http://141.218.60.56/~jnz1568/getInfo.php?workbook=20_05.xlsx&amp;sheet=U0&amp;row=7615&amp;col=6&amp;number=4.1&amp;sourceID=14","4.1")</f>
        <v>4.1</v>
      </c>
      <c r="G7615" s="4" t="str">
        <f>HYPERLINK("http://141.218.60.56/~jnz1568/getInfo.php?workbook=20_05.xlsx&amp;sheet=U0&amp;row=7615&amp;col=7&amp;number=0.00247&amp;sourceID=14","0.00247")</f>
        <v>0.00247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HYPERLINK("http://141.218.60.56/~jnz1568/getInfo.php?workbook=20_05.xlsx&amp;sheet=U0&amp;row=7616&amp;col=6&amp;number=4.2&amp;sourceID=14","4.2")</f>
        <v>4.2</v>
      </c>
      <c r="G7616" s="4" t="str">
        <f>HYPERLINK("http://141.218.60.56/~jnz1568/getInfo.php?workbook=20_05.xlsx&amp;sheet=U0&amp;row=7616&amp;col=7&amp;number=0.00247&amp;sourceID=14","0.00247")</f>
        <v>0.00247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HYPERLINK("http://141.218.60.56/~jnz1568/getInfo.php?workbook=20_05.xlsx&amp;sheet=U0&amp;row=7617&amp;col=6&amp;number=4.3&amp;sourceID=14","4.3")</f>
        <v>4.3</v>
      </c>
      <c r="G7617" s="4" t="str">
        <f>HYPERLINK("http://141.218.60.56/~jnz1568/getInfo.php?workbook=20_05.xlsx&amp;sheet=U0&amp;row=7617&amp;col=7&amp;number=0.00247&amp;sourceID=14","0.00247")</f>
        <v>0.00247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HYPERLINK("http://141.218.60.56/~jnz1568/getInfo.php?workbook=20_05.xlsx&amp;sheet=U0&amp;row=7618&amp;col=6&amp;number=4.4&amp;sourceID=14","4.4")</f>
        <v>4.4</v>
      </c>
      <c r="G7618" s="4" t="str">
        <f>HYPERLINK("http://141.218.60.56/~jnz1568/getInfo.php?workbook=20_05.xlsx&amp;sheet=U0&amp;row=7618&amp;col=7&amp;number=0.00246&amp;sourceID=14","0.00246")</f>
        <v>0.00246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HYPERLINK("http://141.218.60.56/~jnz1568/getInfo.php?workbook=20_05.xlsx&amp;sheet=U0&amp;row=7619&amp;col=6&amp;number=4.5&amp;sourceID=14","4.5")</f>
        <v>4.5</v>
      </c>
      <c r="G7619" s="4" t="str">
        <f>HYPERLINK("http://141.218.60.56/~jnz1568/getInfo.php?workbook=20_05.xlsx&amp;sheet=U0&amp;row=7619&amp;col=7&amp;number=0.00246&amp;sourceID=14","0.00246")</f>
        <v>0.00246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HYPERLINK("http://141.218.60.56/~jnz1568/getInfo.php?workbook=20_05.xlsx&amp;sheet=U0&amp;row=7620&amp;col=6&amp;number=4.6&amp;sourceID=14","4.6")</f>
        <v>4.6</v>
      </c>
      <c r="G7620" s="4" t="str">
        <f>HYPERLINK("http://141.218.60.56/~jnz1568/getInfo.php?workbook=20_05.xlsx&amp;sheet=U0&amp;row=7620&amp;col=7&amp;number=0.00246&amp;sourceID=14","0.00246")</f>
        <v>0.00246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HYPERLINK("http://141.218.60.56/~jnz1568/getInfo.php?workbook=20_05.xlsx&amp;sheet=U0&amp;row=7621&amp;col=6&amp;number=4.7&amp;sourceID=14","4.7")</f>
        <v>4.7</v>
      </c>
      <c r="G7621" s="4" t="str">
        <f>HYPERLINK("http://141.218.60.56/~jnz1568/getInfo.php?workbook=20_05.xlsx&amp;sheet=U0&amp;row=7621&amp;col=7&amp;number=0.00246&amp;sourceID=14","0.00246")</f>
        <v>0.00246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HYPERLINK("http://141.218.60.56/~jnz1568/getInfo.php?workbook=20_05.xlsx&amp;sheet=U0&amp;row=7622&amp;col=6&amp;number=4.8&amp;sourceID=14","4.8")</f>
        <v>4.8</v>
      </c>
      <c r="G7622" s="4" t="str">
        <f>HYPERLINK("http://141.218.60.56/~jnz1568/getInfo.php?workbook=20_05.xlsx&amp;sheet=U0&amp;row=7622&amp;col=7&amp;number=0.00245&amp;sourceID=14","0.00245")</f>
        <v>0.00245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HYPERLINK("http://141.218.60.56/~jnz1568/getInfo.php?workbook=20_05.xlsx&amp;sheet=U0&amp;row=7623&amp;col=6&amp;number=4.9&amp;sourceID=14","4.9")</f>
        <v>4.9</v>
      </c>
      <c r="G7623" s="4" t="str">
        <f>HYPERLINK("http://141.218.60.56/~jnz1568/getInfo.php?workbook=20_05.xlsx&amp;sheet=U0&amp;row=7623&amp;col=7&amp;number=0.00245&amp;sourceID=14","0.00245")</f>
        <v>0.00245</v>
      </c>
    </row>
    <row r="7624" spans="1:7">
      <c r="A7624" s="3">
        <v>20</v>
      </c>
      <c r="B7624" s="3">
        <v>5</v>
      </c>
      <c r="C7624" s="3">
        <v>4</v>
      </c>
      <c r="D7624" s="3">
        <v>19</v>
      </c>
      <c r="E7624" s="3">
        <v>1</v>
      </c>
      <c r="F7624" s="4" t="str">
        <f>HYPERLINK("http://141.218.60.56/~jnz1568/getInfo.php?workbook=20_05.xlsx&amp;sheet=U0&amp;row=7624&amp;col=6&amp;number=3&amp;sourceID=14","3")</f>
        <v>3</v>
      </c>
      <c r="G7624" s="4" t="str">
        <f>HYPERLINK("http://141.218.60.56/~jnz1568/getInfo.php?workbook=20_05.xlsx&amp;sheet=U0&amp;row=7624&amp;col=7&amp;number=0.00213&amp;sourceID=14","0.00213")</f>
        <v>0.00213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HYPERLINK("http://141.218.60.56/~jnz1568/getInfo.php?workbook=20_05.xlsx&amp;sheet=U0&amp;row=7625&amp;col=6&amp;number=3.1&amp;sourceID=14","3.1")</f>
        <v>3.1</v>
      </c>
      <c r="G7625" s="4" t="str">
        <f>HYPERLINK("http://141.218.60.56/~jnz1568/getInfo.php?workbook=20_05.xlsx&amp;sheet=U0&amp;row=7625&amp;col=7&amp;number=0.00213&amp;sourceID=14","0.00213")</f>
        <v>0.00213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HYPERLINK("http://141.218.60.56/~jnz1568/getInfo.php?workbook=20_05.xlsx&amp;sheet=U0&amp;row=7626&amp;col=6&amp;number=3.2&amp;sourceID=14","3.2")</f>
        <v>3.2</v>
      </c>
      <c r="G7626" s="4" t="str">
        <f>HYPERLINK("http://141.218.60.56/~jnz1568/getInfo.php?workbook=20_05.xlsx&amp;sheet=U0&amp;row=7626&amp;col=7&amp;number=0.00213&amp;sourceID=14","0.00213")</f>
        <v>0.00213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HYPERLINK("http://141.218.60.56/~jnz1568/getInfo.php?workbook=20_05.xlsx&amp;sheet=U0&amp;row=7627&amp;col=6&amp;number=3.3&amp;sourceID=14","3.3")</f>
        <v>3.3</v>
      </c>
      <c r="G7627" s="4" t="str">
        <f>HYPERLINK("http://141.218.60.56/~jnz1568/getInfo.php?workbook=20_05.xlsx&amp;sheet=U0&amp;row=7627&amp;col=7&amp;number=0.00213&amp;sourceID=14","0.00213")</f>
        <v>0.00213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HYPERLINK("http://141.218.60.56/~jnz1568/getInfo.php?workbook=20_05.xlsx&amp;sheet=U0&amp;row=7628&amp;col=6&amp;number=3.4&amp;sourceID=14","3.4")</f>
        <v>3.4</v>
      </c>
      <c r="G7628" s="4" t="str">
        <f>HYPERLINK("http://141.218.60.56/~jnz1568/getInfo.php?workbook=20_05.xlsx&amp;sheet=U0&amp;row=7628&amp;col=7&amp;number=0.00212&amp;sourceID=14","0.00212")</f>
        <v>0.00212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HYPERLINK("http://141.218.60.56/~jnz1568/getInfo.php?workbook=20_05.xlsx&amp;sheet=U0&amp;row=7629&amp;col=6&amp;number=3.5&amp;sourceID=14","3.5")</f>
        <v>3.5</v>
      </c>
      <c r="G7629" s="4" t="str">
        <f>HYPERLINK("http://141.218.60.56/~jnz1568/getInfo.php?workbook=20_05.xlsx&amp;sheet=U0&amp;row=7629&amp;col=7&amp;number=0.00212&amp;sourceID=14","0.00212")</f>
        <v>0.00212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HYPERLINK("http://141.218.60.56/~jnz1568/getInfo.php?workbook=20_05.xlsx&amp;sheet=U0&amp;row=7630&amp;col=6&amp;number=3.6&amp;sourceID=14","3.6")</f>
        <v>3.6</v>
      </c>
      <c r="G7630" s="4" t="str">
        <f>HYPERLINK("http://141.218.60.56/~jnz1568/getInfo.php?workbook=20_05.xlsx&amp;sheet=U0&amp;row=7630&amp;col=7&amp;number=0.00212&amp;sourceID=14","0.00212")</f>
        <v>0.00212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HYPERLINK("http://141.218.60.56/~jnz1568/getInfo.php?workbook=20_05.xlsx&amp;sheet=U0&amp;row=7631&amp;col=6&amp;number=3.7&amp;sourceID=14","3.7")</f>
        <v>3.7</v>
      </c>
      <c r="G7631" s="4" t="str">
        <f>HYPERLINK("http://141.218.60.56/~jnz1568/getInfo.php?workbook=20_05.xlsx&amp;sheet=U0&amp;row=7631&amp;col=7&amp;number=0.00212&amp;sourceID=14","0.00212")</f>
        <v>0.00212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HYPERLINK("http://141.218.60.56/~jnz1568/getInfo.php?workbook=20_05.xlsx&amp;sheet=U0&amp;row=7632&amp;col=6&amp;number=3.8&amp;sourceID=14","3.8")</f>
        <v>3.8</v>
      </c>
      <c r="G7632" s="4" t="str">
        <f>HYPERLINK("http://141.218.60.56/~jnz1568/getInfo.php?workbook=20_05.xlsx&amp;sheet=U0&amp;row=7632&amp;col=7&amp;number=0.00212&amp;sourceID=14","0.00212")</f>
        <v>0.00212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HYPERLINK("http://141.218.60.56/~jnz1568/getInfo.php?workbook=20_05.xlsx&amp;sheet=U0&amp;row=7633&amp;col=6&amp;number=3.9&amp;sourceID=14","3.9")</f>
        <v>3.9</v>
      </c>
      <c r="G7633" s="4" t="str">
        <f>HYPERLINK("http://141.218.60.56/~jnz1568/getInfo.php?workbook=20_05.xlsx&amp;sheet=U0&amp;row=7633&amp;col=7&amp;number=0.00212&amp;sourceID=14","0.00212")</f>
        <v>0.00212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HYPERLINK("http://141.218.60.56/~jnz1568/getInfo.php?workbook=20_05.xlsx&amp;sheet=U0&amp;row=7634&amp;col=6&amp;number=4&amp;sourceID=14","4")</f>
        <v>4</v>
      </c>
      <c r="G7634" s="4" t="str">
        <f>HYPERLINK("http://141.218.60.56/~jnz1568/getInfo.php?workbook=20_05.xlsx&amp;sheet=U0&amp;row=7634&amp;col=7&amp;number=0.00212&amp;sourceID=14","0.00212")</f>
        <v>0.00212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HYPERLINK("http://141.218.60.56/~jnz1568/getInfo.php?workbook=20_05.xlsx&amp;sheet=U0&amp;row=7635&amp;col=6&amp;number=4.1&amp;sourceID=14","4.1")</f>
        <v>4.1</v>
      </c>
      <c r="G7635" s="4" t="str">
        <f>HYPERLINK("http://141.218.60.56/~jnz1568/getInfo.php?workbook=20_05.xlsx&amp;sheet=U0&amp;row=7635&amp;col=7&amp;number=0.00212&amp;sourceID=14","0.00212")</f>
        <v>0.00212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HYPERLINK("http://141.218.60.56/~jnz1568/getInfo.php?workbook=20_05.xlsx&amp;sheet=U0&amp;row=7636&amp;col=6&amp;number=4.2&amp;sourceID=14","4.2")</f>
        <v>4.2</v>
      </c>
      <c r="G7636" s="4" t="str">
        <f>HYPERLINK("http://141.218.60.56/~jnz1568/getInfo.php?workbook=20_05.xlsx&amp;sheet=U0&amp;row=7636&amp;col=7&amp;number=0.00212&amp;sourceID=14","0.00212")</f>
        <v>0.00212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HYPERLINK("http://141.218.60.56/~jnz1568/getInfo.php?workbook=20_05.xlsx&amp;sheet=U0&amp;row=7637&amp;col=6&amp;number=4.3&amp;sourceID=14","4.3")</f>
        <v>4.3</v>
      </c>
      <c r="G7637" s="4" t="str">
        <f>HYPERLINK("http://141.218.60.56/~jnz1568/getInfo.php?workbook=20_05.xlsx&amp;sheet=U0&amp;row=7637&amp;col=7&amp;number=0.00212&amp;sourceID=14","0.00212")</f>
        <v>0.00212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HYPERLINK("http://141.218.60.56/~jnz1568/getInfo.php?workbook=20_05.xlsx&amp;sheet=U0&amp;row=7638&amp;col=6&amp;number=4.4&amp;sourceID=14","4.4")</f>
        <v>4.4</v>
      </c>
      <c r="G7638" s="4" t="str">
        <f>HYPERLINK("http://141.218.60.56/~jnz1568/getInfo.php?workbook=20_05.xlsx&amp;sheet=U0&amp;row=7638&amp;col=7&amp;number=0.00211&amp;sourceID=14","0.00211")</f>
        <v>0.00211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HYPERLINK("http://141.218.60.56/~jnz1568/getInfo.php?workbook=20_05.xlsx&amp;sheet=U0&amp;row=7639&amp;col=6&amp;number=4.5&amp;sourceID=14","4.5")</f>
        <v>4.5</v>
      </c>
      <c r="G7639" s="4" t="str">
        <f>HYPERLINK("http://141.218.60.56/~jnz1568/getInfo.php?workbook=20_05.xlsx&amp;sheet=U0&amp;row=7639&amp;col=7&amp;number=0.00211&amp;sourceID=14","0.00211")</f>
        <v>0.00211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HYPERLINK("http://141.218.60.56/~jnz1568/getInfo.php?workbook=20_05.xlsx&amp;sheet=U0&amp;row=7640&amp;col=6&amp;number=4.6&amp;sourceID=14","4.6")</f>
        <v>4.6</v>
      </c>
      <c r="G7640" s="4" t="str">
        <f>HYPERLINK("http://141.218.60.56/~jnz1568/getInfo.php?workbook=20_05.xlsx&amp;sheet=U0&amp;row=7640&amp;col=7&amp;number=0.00211&amp;sourceID=14","0.00211")</f>
        <v>0.00211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HYPERLINK("http://141.218.60.56/~jnz1568/getInfo.php?workbook=20_05.xlsx&amp;sheet=U0&amp;row=7641&amp;col=6&amp;number=4.7&amp;sourceID=14","4.7")</f>
        <v>4.7</v>
      </c>
      <c r="G7641" s="4" t="str">
        <f>HYPERLINK("http://141.218.60.56/~jnz1568/getInfo.php?workbook=20_05.xlsx&amp;sheet=U0&amp;row=7641&amp;col=7&amp;number=0.0021&amp;sourceID=14","0.0021")</f>
        <v>0.0021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HYPERLINK("http://141.218.60.56/~jnz1568/getInfo.php?workbook=20_05.xlsx&amp;sheet=U0&amp;row=7642&amp;col=6&amp;number=4.8&amp;sourceID=14","4.8")</f>
        <v>4.8</v>
      </c>
      <c r="G7642" s="4" t="str">
        <f>HYPERLINK("http://141.218.60.56/~jnz1568/getInfo.php?workbook=20_05.xlsx&amp;sheet=U0&amp;row=7642&amp;col=7&amp;number=0.0021&amp;sourceID=14","0.0021")</f>
        <v>0.0021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HYPERLINK("http://141.218.60.56/~jnz1568/getInfo.php?workbook=20_05.xlsx&amp;sheet=U0&amp;row=7643&amp;col=6&amp;number=4.9&amp;sourceID=14","4.9")</f>
        <v>4.9</v>
      </c>
      <c r="G7643" s="4" t="str">
        <f>HYPERLINK("http://141.218.60.56/~jnz1568/getInfo.php?workbook=20_05.xlsx&amp;sheet=U0&amp;row=7643&amp;col=7&amp;number=0.00209&amp;sourceID=14","0.00209")</f>
        <v>0.00209</v>
      </c>
    </row>
    <row r="7644" spans="1:7">
      <c r="A7644" s="3">
        <v>20</v>
      </c>
      <c r="B7644" s="3">
        <v>5</v>
      </c>
      <c r="C7644" s="3">
        <v>4</v>
      </c>
      <c r="D7644" s="3">
        <v>20</v>
      </c>
      <c r="E7644" s="3">
        <v>1</v>
      </c>
      <c r="F7644" s="4" t="str">
        <f>HYPERLINK("http://141.218.60.56/~jnz1568/getInfo.php?workbook=20_05.xlsx&amp;sheet=U0&amp;row=7644&amp;col=6&amp;number=3&amp;sourceID=14","3")</f>
        <v>3</v>
      </c>
      <c r="G7644" s="4" t="str">
        <f>HYPERLINK("http://141.218.60.56/~jnz1568/getInfo.php?workbook=20_05.xlsx&amp;sheet=U0&amp;row=7644&amp;col=7&amp;number=0.00109&amp;sourceID=14","0.00109")</f>
        <v>0.00109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HYPERLINK("http://141.218.60.56/~jnz1568/getInfo.php?workbook=20_05.xlsx&amp;sheet=U0&amp;row=7645&amp;col=6&amp;number=3.1&amp;sourceID=14","3.1")</f>
        <v>3.1</v>
      </c>
      <c r="G7645" s="4" t="str">
        <f>HYPERLINK("http://141.218.60.56/~jnz1568/getInfo.php?workbook=20_05.xlsx&amp;sheet=U0&amp;row=7645&amp;col=7&amp;number=0.00109&amp;sourceID=14","0.00109")</f>
        <v>0.00109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HYPERLINK("http://141.218.60.56/~jnz1568/getInfo.php?workbook=20_05.xlsx&amp;sheet=U0&amp;row=7646&amp;col=6&amp;number=3.2&amp;sourceID=14","3.2")</f>
        <v>3.2</v>
      </c>
      <c r="G7646" s="4" t="str">
        <f>HYPERLINK("http://141.218.60.56/~jnz1568/getInfo.php?workbook=20_05.xlsx&amp;sheet=U0&amp;row=7646&amp;col=7&amp;number=0.00109&amp;sourceID=14","0.00109")</f>
        <v>0.00109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HYPERLINK("http://141.218.60.56/~jnz1568/getInfo.php?workbook=20_05.xlsx&amp;sheet=U0&amp;row=7647&amp;col=6&amp;number=3.3&amp;sourceID=14","3.3")</f>
        <v>3.3</v>
      </c>
      <c r="G7647" s="4" t="str">
        <f>HYPERLINK("http://141.218.60.56/~jnz1568/getInfo.php?workbook=20_05.xlsx&amp;sheet=U0&amp;row=7647&amp;col=7&amp;number=0.00109&amp;sourceID=14","0.00109")</f>
        <v>0.00109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HYPERLINK("http://141.218.60.56/~jnz1568/getInfo.php?workbook=20_05.xlsx&amp;sheet=U0&amp;row=7648&amp;col=6&amp;number=3.4&amp;sourceID=14","3.4")</f>
        <v>3.4</v>
      </c>
      <c r="G7648" s="4" t="str">
        <f>HYPERLINK("http://141.218.60.56/~jnz1568/getInfo.php?workbook=20_05.xlsx&amp;sheet=U0&amp;row=7648&amp;col=7&amp;number=0.00109&amp;sourceID=14","0.00109")</f>
        <v>0.00109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HYPERLINK("http://141.218.60.56/~jnz1568/getInfo.php?workbook=20_05.xlsx&amp;sheet=U0&amp;row=7649&amp;col=6&amp;number=3.5&amp;sourceID=14","3.5")</f>
        <v>3.5</v>
      </c>
      <c r="G7649" s="4" t="str">
        <f>HYPERLINK("http://141.218.60.56/~jnz1568/getInfo.php?workbook=20_05.xlsx&amp;sheet=U0&amp;row=7649&amp;col=7&amp;number=0.00109&amp;sourceID=14","0.00109")</f>
        <v>0.00109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HYPERLINK("http://141.218.60.56/~jnz1568/getInfo.php?workbook=20_05.xlsx&amp;sheet=U0&amp;row=7650&amp;col=6&amp;number=3.6&amp;sourceID=14","3.6")</f>
        <v>3.6</v>
      </c>
      <c r="G7650" s="4" t="str">
        <f>HYPERLINK("http://141.218.60.56/~jnz1568/getInfo.php?workbook=20_05.xlsx&amp;sheet=U0&amp;row=7650&amp;col=7&amp;number=0.00109&amp;sourceID=14","0.00109")</f>
        <v>0.00109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HYPERLINK("http://141.218.60.56/~jnz1568/getInfo.php?workbook=20_05.xlsx&amp;sheet=U0&amp;row=7651&amp;col=6&amp;number=3.7&amp;sourceID=14","3.7")</f>
        <v>3.7</v>
      </c>
      <c r="G7651" s="4" t="str">
        <f>HYPERLINK("http://141.218.60.56/~jnz1568/getInfo.php?workbook=20_05.xlsx&amp;sheet=U0&amp;row=7651&amp;col=7&amp;number=0.00109&amp;sourceID=14","0.00109")</f>
        <v>0.00109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HYPERLINK("http://141.218.60.56/~jnz1568/getInfo.php?workbook=20_05.xlsx&amp;sheet=U0&amp;row=7652&amp;col=6&amp;number=3.8&amp;sourceID=14","3.8")</f>
        <v>3.8</v>
      </c>
      <c r="G7652" s="4" t="str">
        <f>HYPERLINK("http://141.218.60.56/~jnz1568/getInfo.php?workbook=20_05.xlsx&amp;sheet=U0&amp;row=7652&amp;col=7&amp;number=0.00109&amp;sourceID=14","0.00109")</f>
        <v>0.00109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HYPERLINK("http://141.218.60.56/~jnz1568/getInfo.php?workbook=20_05.xlsx&amp;sheet=U0&amp;row=7653&amp;col=6&amp;number=3.9&amp;sourceID=14","3.9")</f>
        <v>3.9</v>
      </c>
      <c r="G7653" s="4" t="str">
        <f>HYPERLINK("http://141.218.60.56/~jnz1568/getInfo.php?workbook=20_05.xlsx&amp;sheet=U0&amp;row=7653&amp;col=7&amp;number=0.00108&amp;sourceID=14","0.00108")</f>
        <v>0.00108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HYPERLINK("http://141.218.60.56/~jnz1568/getInfo.php?workbook=20_05.xlsx&amp;sheet=U0&amp;row=7654&amp;col=6&amp;number=4&amp;sourceID=14","4")</f>
        <v>4</v>
      </c>
      <c r="G7654" s="4" t="str">
        <f>HYPERLINK("http://141.218.60.56/~jnz1568/getInfo.php?workbook=20_05.xlsx&amp;sheet=U0&amp;row=7654&amp;col=7&amp;number=0.00108&amp;sourceID=14","0.00108")</f>
        <v>0.00108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HYPERLINK("http://141.218.60.56/~jnz1568/getInfo.php?workbook=20_05.xlsx&amp;sheet=U0&amp;row=7655&amp;col=6&amp;number=4.1&amp;sourceID=14","4.1")</f>
        <v>4.1</v>
      </c>
      <c r="G7655" s="4" t="str">
        <f>HYPERLINK("http://141.218.60.56/~jnz1568/getInfo.php?workbook=20_05.xlsx&amp;sheet=U0&amp;row=7655&amp;col=7&amp;number=0.00108&amp;sourceID=14","0.00108")</f>
        <v>0.00108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HYPERLINK("http://141.218.60.56/~jnz1568/getInfo.php?workbook=20_05.xlsx&amp;sheet=U0&amp;row=7656&amp;col=6&amp;number=4.2&amp;sourceID=14","4.2")</f>
        <v>4.2</v>
      </c>
      <c r="G7656" s="4" t="str">
        <f>HYPERLINK("http://141.218.60.56/~jnz1568/getInfo.php?workbook=20_05.xlsx&amp;sheet=U0&amp;row=7656&amp;col=7&amp;number=0.00108&amp;sourceID=14","0.00108")</f>
        <v>0.00108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HYPERLINK("http://141.218.60.56/~jnz1568/getInfo.php?workbook=20_05.xlsx&amp;sheet=U0&amp;row=7657&amp;col=6&amp;number=4.3&amp;sourceID=14","4.3")</f>
        <v>4.3</v>
      </c>
      <c r="G7657" s="4" t="str">
        <f>HYPERLINK("http://141.218.60.56/~jnz1568/getInfo.php?workbook=20_05.xlsx&amp;sheet=U0&amp;row=7657&amp;col=7&amp;number=0.00108&amp;sourceID=14","0.00108")</f>
        <v>0.00108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HYPERLINK("http://141.218.60.56/~jnz1568/getInfo.php?workbook=20_05.xlsx&amp;sheet=U0&amp;row=7658&amp;col=6&amp;number=4.4&amp;sourceID=14","4.4")</f>
        <v>4.4</v>
      </c>
      <c r="G7658" s="4" t="str">
        <f>HYPERLINK("http://141.218.60.56/~jnz1568/getInfo.php?workbook=20_05.xlsx&amp;sheet=U0&amp;row=7658&amp;col=7&amp;number=0.00108&amp;sourceID=14","0.00108")</f>
        <v>0.00108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HYPERLINK("http://141.218.60.56/~jnz1568/getInfo.php?workbook=20_05.xlsx&amp;sheet=U0&amp;row=7659&amp;col=6&amp;number=4.5&amp;sourceID=14","4.5")</f>
        <v>4.5</v>
      </c>
      <c r="G7659" s="4" t="str">
        <f>HYPERLINK("http://141.218.60.56/~jnz1568/getInfo.php?workbook=20_05.xlsx&amp;sheet=U0&amp;row=7659&amp;col=7&amp;number=0.00108&amp;sourceID=14","0.00108")</f>
        <v>0.00108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HYPERLINK("http://141.218.60.56/~jnz1568/getInfo.php?workbook=20_05.xlsx&amp;sheet=U0&amp;row=7660&amp;col=6&amp;number=4.6&amp;sourceID=14","4.6")</f>
        <v>4.6</v>
      </c>
      <c r="G7660" s="4" t="str">
        <f>HYPERLINK("http://141.218.60.56/~jnz1568/getInfo.php?workbook=20_05.xlsx&amp;sheet=U0&amp;row=7660&amp;col=7&amp;number=0.00108&amp;sourceID=14","0.00108")</f>
        <v>0.00108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HYPERLINK("http://141.218.60.56/~jnz1568/getInfo.php?workbook=20_05.xlsx&amp;sheet=U0&amp;row=7661&amp;col=6&amp;number=4.7&amp;sourceID=14","4.7")</f>
        <v>4.7</v>
      </c>
      <c r="G7661" s="4" t="str">
        <f>HYPERLINK("http://141.218.60.56/~jnz1568/getInfo.php?workbook=20_05.xlsx&amp;sheet=U0&amp;row=7661&amp;col=7&amp;number=0.00107&amp;sourceID=14","0.00107")</f>
        <v>0.00107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HYPERLINK("http://141.218.60.56/~jnz1568/getInfo.php?workbook=20_05.xlsx&amp;sheet=U0&amp;row=7662&amp;col=6&amp;number=4.8&amp;sourceID=14","4.8")</f>
        <v>4.8</v>
      </c>
      <c r="G7662" s="4" t="str">
        <f>HYPERLINK("http://141.218.60.56/~jnz1568/getInfo.php?workbook=20_05.xlsx&amp;sheet=U0&amp;row=7662&amp;col=7&amp;number=0.00107&amp;sourceID=14","0.00107")</f>
        <v>0.00107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HYPERLINK("http://141.218.60.56/~jnz1568/getInfo.php?workbook=20_05.xlsx&amp;sheet=U0&amp;row=7663&amp;col=6&amp;number=4.9&amp;sourceID=14","4.9")</f>
        <v>4.9</v>
      </c>
      <c r="G7663" s="4" t="str">
        <f>HYPERLINK("http://141.218.60.56/~jnz1568/getInfo.php?workbook=20_05.xlsx&amp;sheet=U0&amp;row=7663&amp;col=7&amp;number=0.00106&amp;sourceID=14","0.00106")</f>
        <v>0.00106</v>
      </c>
    </row>
    <row r="7664" spans="1:7">
      <c r="A7664" s="3">
        <v>20</v>
      </c>
      <c r="B7664" s="3">
        <v>5</v>
      </c>
      <c r="C7664" s="3">
        <v>4</v>
      </c>
      <c r="D7664" s="3">
        <v>21</v>
      </c>
      <c r="E7664" s="3">
        <v>1</v>
      </c>
      <c r="F7664" s="4" t="str">
        <f>HYPERLINK("http://141.218.60.56/~jnz1568/getInfo.php?workbook=20_05.xlsx&amp;sheet=U0&amp;row=7664&amp;col=6&amp;number=3&amp;sourceID=14","3")</f>
        <v>3</v>
      </c>
      <c r="G7664" s="4" t="str">
        <f>HYPERLINK("http://141.218.60.56/~jnz1568/getInfo.php?workbook=20_05.xlsx&amp;sheet=U0&amp;row=7664&amp;col=7&amp;number=9.83e-05&amp;sourceID=14","9.83e-05")</f>
        <v>9.83e-05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HYPERLINK("http://141.218.60.56/~jnz1568/getInfo.php?workbook=20_05.xlsx&amp;sheet=U0&amp;row=7665&amp;col=6&amp;number=3.1&amp;sourceID=14","3.1")</f>
        <v>3.1</v>
      </c>
      <c r="G7665" s="4" t="str">
        <f>HYPERLINK("http://141.218.60.56/~jnz1568/getInfo.php?workbook=20_05.xlsx&amp;sheet=U0&amp;row=7665&amp;col=7&amp;number=9.82e-05&amp;sourceID=14","9.82e-05")</f>
        <v>9.82e-05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HYPERLINK("http://141.218.60.56/~jnz1568/getInfo.php?workbook=20_05.xlsx&amp;sheet=U0&amp;row=7666&amp;col=6&amp;number=3.2&amp;sourceID=14","3.2")</f>
        <v>3.2</v>
      </c>
      <c r="G7666" s="4" t="str">
        <f>HYPERLINK("http://141.218.60.56/~jnz1568/getInfo.php?workbook=20_05.xlsx&amp;sheet=U0&amp;row=7666&amp;col=7&amp;number=9.82e-05&amp;sourceID=14","9.82e-05")</f>
        <v>9.82e-05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HYPERLINK("http://141.218.60.56/~jnz1568/getInfo.php?workbook=20_05.xlsx&amp;sheet=U0&amp;row=7667&amp;col=6&amp;number=3.3&amp;sourceID=14","3.3")</f>
        <v>3.3</v>
      </c>
      <c r="G7667" s="4" t="str">
        <f>HYPERLINK("http://141.218.60.56/~jnz1568/getInfo.php?workbook=20_05.xlsx&amp;sheet=U0&amp;row=7667&amp;col=7&amp;number=9.82e-05&amp;sourceID=14","9.82e-05")</f>
        <v>9.82e-05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HYPERLINK("http://141.218.60.56/~jnz1568/getInfo.php?workbook=20_05.xlsx&amp;sheet=U0&amp;row=7668&amp;col=6&amp;number=3.4&amp;sourceID=14","3.4")</f>
        <v>3.4</v>
      </c>
      <c r="G7668" s="4" t="str">
        <f>HYPERLINK("http://141.218.60.56/~jnz1568/getInfo.php?workbook=20_05.xlsx&amp;sheet=U0&amp;row=7668&amp;col=7&amp;number=9.82e-05&amp;sourceID=14","9.82e-05")</f>
        <v>9.82e-05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HYPERLINK("http://141.218.60.56/~jnz1568/getInfo.php?workbook=20_05.xlsx&amp;sheet=U0&amp;row=7669&amp;col=6&amp;number=3.5&amp;sourceID=14","3.5")</f>
        <v>3.5</v>
      </c>
      <c r="G7669" s="4" t="str">
        <f>HYPERLINK("http://141.218.60.56/~jnz1568/getInfo.php?workbook=20_05.xlsx&amp;sheet=U0&amp;row=7669&amp;col=7&amp;number=9.82e-05&amp;sourceID=14","9.82e-05")</f>
        <v>9.82e-05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HYPERLINK("http://141.218.60.56/~jnz1568/getInfo.php?workbook=20_05.xlsx&amp;sheet=U0&amp;row=7670&amp;col=6&amp;number=3.6&amp;sourceID=14","3.6")</f>
        <v>3.6</v>
      </c>
      <c r="G7670" s="4" t="str">
        <f>HYPERLINK("http://141.218.60.56/~jnz1568/getInfo.php?workbook=20_05.xlsx&amp;sheet=U0&amp;row=7670&amp;col=7&amp;number=9.82e-05&amp;sourceID=14","9.82e-05")</f>
        <v>9.82e-05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HYPERLINK("http://141.218.60.56/~jnz1568/getInfo.php?workbook=20_05.xlsx&amp;sheet=U0&amp;row=7671&amp;col=6&amp;number=3.7&amp;sourceID=14","3.7")</f>
        <v>3.7</v>
      </c>
      <c r="G7671" s="4" t="str">
        <f>HYPERLINK("http://141.218.60.56/~jnz1568/getInfo.php?workbook=20_05.xlsx&amp;sheet=U0&amp;row=7671&amp;col=7&amp;number=9.81e-05&amp;sourceID=14","9.81e-05")</f>
        <v>9.81e-05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HYPERLINK("http://141.218.60.56/~jnz1568/getInfo.php?workbook=20_05.xlsx&amp;sheet=U0&amp;row=7672&amp;col=6&amp;number=3.8&amp;sourceID=14","3.8")</f>
        <v>3.8</v>
      </c>
      <c r="G7672" s="4" t="str">
        <f>HYPERLINK("http://141.218.60.56/~jnz1568/getInfo.php?workbook=20_05.xlsx&amp;sheet=U0&amp;row=7672&amp;col=7&amp;number=9.81e-05&amp;sourceID=14","9.81e-05")</f>
        <v>9.81e-05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HYPERLINK("http://141.218.60.56/~jnz1568/getInfo.php?workbook=20_05.xlsx&amp;sheet=U0&amp;row=7673&amp;col=6&amp;number=3.9&amp;sourceID=14","3.9")</f>
        <v>3.9</v>
      </c>
      <c r="G7673" s="4" t="str">
        <f>HYPERLINK("http://141.218.60.56/~jnz1568/getInfo.php?workbook=20_05.xlsx&amp;sheet=U0&amp;row=7673&amp;col=7&amp;number=9.81e-05&amp;sourceID=14","9.81e-05")</f>
        <v>9.81e-05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HYPERLINK("http://141.218.60.56/~jnz1568/getInfo.php?workbook=20_05.xlsx&amp;sheet=U0&amp;row=7674&amp;col=6&amp;number=4&amp;sourceID=14","4")</f>
        <v>4</v>
      </c>
      <c r="G7674" s="4" t="str">
        <f>HYPERLINK("http://141.218.60.56/~jnz1568/getInfo.php?workbook=20_05.xlsx&amp;sheet=U0&amp;row=7674&amp;col=7&amp;number=9.8e-05&amp;sourceID=14","9.8e-05")</f>
        <v>9.8e-05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HYPERLINK("http://141.218.60.56/~jnz1568/getInfo.php?workbook=20_05.xlsx&amp;sheet=U0&amp;row=7675&amp;col=6&amp;number=4.1&amp;sourceID=14","4.1")</f>
        <v>4.1</v>
      </c>
      <c r="G7675" s="4" t="str">
        <f>HYPERLINK("http://141.218.60.56/~jnz1568/getInfo.php?workbook=20_05.xlsx&amp;sheet=U0&amp;row=7675&amp;col=7&amp;number=9.79e-05&amp;sourceID=14","9.79e-05")</f>
        <v>9.79e-05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HYPERLINK("http://141.218.60.56/~jnz1568/getInfo.php?workbook=20_05.xlsx&amp;sheet=U0&amp;row=7676&amp;col=6&amp;number=4.2&amp;sourceID=14","4.2")</f>
        <v>4.2</v>
      </c>
      <c r="G7676" s="4" t="str">
        <f>HYPERLINK("http://141.218.60.56/~jnz1568/getInfo.php?workbook=20_05.xlsx&amp;sheet=U0&amp;row=7676&amp;col=7&amp;number=9.78e-05&amp;sourceID=14","9.78e-05")</f>
        <v>9.78e-05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HYPERLINK("http://141.218.60.56/~jnz1568/getInfo.php?workbook=20_05.xlsx&amp;sheet=U0&amp;row=7677&amp;col=6&amp;number=4.3&amp;sourceID=14","4.3")</f>
        <v>4.3</v>
      </c>
      <c r="G7677" s="4" t="str">
        <f>HYPERLINK("http://141.218.60.56/~jnz1568/getInfo.php?workbook=20_05.xlsx&amp;sheet=U0&amp;row=7677&amp;col=7&amp;number=9.77e-05&amp;sourceID=14","9.77e-05")</f>
        <v>9.77e-05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HYPERLINK("http://141.218.60.56/~jnz1568/getInfo.php?workbook=20_05.xlsx&amp;sheet=U0&amp;row=7678&amp;col=6&amp;number=4.4&amp;sourceID=14","4.4")</f>
        <v>4.4</v>
      </c>
      <c r="G7678" s="4" t="str">
        <f>HYPERLINK("http://141.218.60.56/~jnz1568/getInfo.php?workbook=20_05.xlsx&amp;sheet=U0&amp;row=7678&amp;col=7&amp;number=9.76e-05&amp;sourceID=14","9.76e-05")</f>
        <v>9.76e-05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HYPERLINK("http://141.218.60.56/~jnz1568/getInfo.php?workbook=20_05.xlsx&amp;sheet=U0&amp;row=7679&amp;col=6&amp;number=4.5&amp;sourceID=14","4.5")</f>
        <v>4.5</v>
      </c>
      <c r="G7679" s="4" t="str">
        <f>HYPERLINK("http://141.218.60.56/~jnz1568/getInfo.php?workbook=20_05.xlsx&amp;sheet=U0&amp;row=7679&amp;col=7&amp;number=9.74e-05&amp;sourceID=14","9.74e-05")</f>
        <v>9.74e-05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HYPERLINK("http://141.218.60.56/~jnz1568/getInfo.php?workbook=20_05.xlsx&amp;sheet=U0&amp;row=7680&amp;col=6&amp;number=4.6&amp;sourceID=14","4.6")</f>
        <v>4.6</v>
      </c>
      <c r="G7680" s="4" t="str">
        <f>HYPERLINK("http://141.218.60.56/~jnz1568/getInfo.php?workbook=20_05.xlsx&amp;sheet=U0&amp;row=7680&amp;col=7&amp;number=9.72e-05&amp;sourceID=14","9.72e-05")</f>
        <v>9.72e-05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HYPERLINK("http://141.218.60.56/~jnz1568/getInfo.php?workbook=20_05.xlsx&amp;sheet=U0&amp;row=7681&amp;col=6&amp;number=4.7&amp;sourceID=14","4.7")</f>
        <v>4.7</v>
      </c>
      <c r="G7681" s="4" t="str">
        <f>HYPERLINK("http://141.218.60.56/~jnz1568/getInfo.php?workbook=20_05.xlsx&amp;sheet=U0&amp;row=7681&amp;col=7&amp;number=9.69e-05&amp;sourceID=14","9.69e-05")</f>
        <v>9.69e-05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HYPERLINK("http://141.218.60.56/~jnz1568/getInfo.php?workbook=20_05.xlsx&amp;sheet=U0&amp;row=7682&amp;col=6&amp;number=4.8&amp;sourceID=14","4.8")</f>
        <v>4.8</v>
      </c>
      <c r="G7682" s="4" t="str">
        <f>HYPERLINK("http://141.218.60.56/~jnz1568/getInfo.php?workbook=20_05.xlsx&amp;sheet=U0&amp;row=7682&amp;col=7&amp;number=9.66e-05&amp;sourceID=14","9.66e-05")</f>
        <v>9.66e-05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HYPERLINK("http://141.218.60.56/~jnz1568/getInfo.php?workbook=20_05.xlsx&amp;sheet=U0&amp;row=7683&amp;col=6&amp;number=4.9&amp;sourceID=14","4.9")</f>
        <v>4.9</v>
      </c>
      <c r="G7683" s="4" t="str">
        <f>HYPERLINK("http://141.218.60.56/~jnz1568/getInfo.php?workbook=20_05.xlsx&amp;sheet=U0&amp;row=7683&amp;col=7&amp;number=9.61e-05&amp;sourceID=14","9.61e-05")</f>
        <v>9.61e-05</v>
      </c>
    </row>
    <row r="7684" spans="1:7">
      <c r="A7684" s="3">
        <v>20</v>
      </c>
      <c r="B7684" s="3">
        <v>5</v>
      </c>
      <c r="C7684" s="3">
        <v>4</v>
      </c>
      <c r="D7684" s="3">
        <v>22</v>
      </c>
      <c r="E7684" s="3">
        <v>1</v>
      </c>
      <c r="F7684" s="4" t="str">
        <f>HYPERLINK("http://141.218.60.56/~jnz1568/getInfo.php?workbook=20_05.xlsx&amp;sheet=U0&amp;row=7684&amp;col=6&amp;number=3&amp;sourceID=14","3")</f>
        <v>3</v>
      </c>
      <c r="G7684" s="4" t="str">
        <f>HYPERLINK("http://141.218.60.56/~jnz1568/getInfo.php?workbook=20_05.xlsx&amp;sheet=U0&amp;row=7684&amp;col=7&amp;number=5.78e-05&amp;sourceID=14","5.78e-05")</f>
        <v>5.78e-05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HYPERLINK("http://141.218.60.56/~jnz1568/getInfo.php?workbook=20_05.xlsx&amp;sheet=U0&amp;row=7685&amp;col=6&amp;number=3.1&amp;sourceID=14","3.1")</f>
        <v>3.1</v>
      </c>
      <c r="G7685" s="4" t="str">
        <f>HYPERLINK("http://141.218.60.56/~jnz1568/getInfo.php?workbook=20_05.xlsx&amp;sheet=U0&amp;row=7685&amp;col=7&amp;number=5.78e-05&amp;sourceID=14","5.78e-05")</f>
        <v>5.78e-05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HYPERLINK("http://141.218.60.56/~jnz1568/getInfo.php?workbook=20_05.xlsx&amp;sheet=U0&amp;row=7686&amp;col=6&amp;number=3.2&amp;sourceID=14","3.2")</f>
        <v>3.2</v>
      </c>
      <c r="G7686" s="4" t="str">
        <f>HYPERLINK("http://141.218.60.56/~jnz1568/getInfo.php?workbook=20_05.xlsx&amp;sheet=U0&amp;row=7686&amp;col=7&amp;number=5.78e-05&amp;sourceID=14","5.78e-05")</f>
        <v>5.78e-05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HYPERLINK("http://141.218.60.56/~jnz1568/getInfo.php?workbook=20_05.xlsx&amp;sheet=U0&amp;row=7687&amp;col=6&amp;number=3.3&amp;sourceID=14","3.3")</f>
        <v>3.3</v>
      </c>
      <c r="G7687" s="4" t="str">
        <f>HYPERLINK("http://141.218.60.56/~jnz1568/getInfo.php?workbook=20_05.xlsx&amp;sheet=U0&amp;row=7687&amp;col=7&amp;number=5.78e-05&amp;sourceID=14","5.78e-05")</f>
        <v>5.78e-05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HYPERLINK("http://141.218.60.56/~jnz1568/getInfo.php?workbook=20_05.xlsx&amp;sheet=U0&amp;row=7688&amp;col=6&amp;number=3.4&amp;sourceID=14","3.4")</f>
        <v>3.4</v>
      </c>
      <c r="G7688" s="4" t="str">
        <f>HYPERLINK("http://141.218.60.56/~jnz1568/getInfo.php?workbook=20_05.xlsx&amp;sheet=U0&amp;row=7688&amp;col=7&amp;number=5.78e-05&amp;sourceID=14","5.78e-05")</f>
        <v>5.78e-05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HYPERLINK("http://141.218.60.56/~jnz1568/getInfo.php?workbook=20_05.xlsx&amp;sheet=U0&amp;row=7689&amp;col=6&amp;number=3.5&amp;sourceID=14","3.5")</f>
        <v>3.5</v>
      </c>
      <c r="G7689" s="4" t="str">
        <f>HYPERLINK("http://141.218.60.56/~jnz1568/getInfo.php?workbook=20_05.xlsx&amp;sheet=U0&amp;row=7689&amp;col=7&amp;number=5.78e-05&amp;sourceID=14","5.78e-05")</f>
        <v>5.78e-05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HYPERLINK("http://141.218.60.56/~jnz1568/getInfo.php?workbook=20_05.xlsx&amp;sheet=U0&amp;row=7690&amp;col=6&amp;number=3.6&amp;sourceID=14","3.6")</f>
        <v>3.6</v>
      </c>
      <c r="G7690" s="4" t="str">
        <f>HYPERLINK("http://141.218.60.56/~jnz1568/getInfo.php?workbook=20_05.xlsx&amp;sheet=U0&amp;row=7690&amp;col=7&amp;number=5.78e-05&amp;sourceID=14","5.78e-05")</f>
        <v>5.78e-05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HYPERLINK("http://141.218.60.56/~jnz1568/getInfo.php?workbook=20_05.xlsx&amp;sheet=U0&amp;row=7691&amp;col=6&amp;number=3.7&amp;sourceID=14","3.7")</f>
        <v>3.7</v>
      </c>
      <c r="G7691" s="4" t="str">
        <f>HYPERLINK("http://141.218.60.56/~jnz1568/getInfo.php?workbook=20_05.xlsx&amp;sheet=U0&amp;row=7691&amp;col=7&amp;number=5.77e-05&amp;sourceID=14","5.77e-05")</f>
        <v>5.77e-05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HYPERLINK("http://141.218.60.56/~jnz1568/getInfo.php?workbook=20_05.xlsx&amp;sheet=U0&amp;row=7692&amp;col=6&amp;number=3.8&amp;sourceID=14","3.8")</f>
        <v>3.8</v>
      </c>
      <c r="G7692" s="4" t="str">
        <f>HYPERLINK("http://141.218.60.56/~jnz1568/getInfo.php?workbook=20_05.xlsx&amp;sheet=U0&amp;row=7692&amp;col=7&amp;number=5.77e-05&amp;sourceID=14","5.77e-05")</f>
        <v>5.77e-05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HYPERLINK("http://141.218.60.56/~jnz1568/getInfo.php?workbook=20_05.xlsx&amp;sheet=U0&amp;row=7693&amp;col=6&amp;number=3.9&amp;sourceID=14","3.9")</f>
        <v>3.9</v>
      </c>
      <c r="G7693" s="4" t="str">
        <f>HYPERLINK("http://141.218.60.56/~jnz1568/getInfo.php?workbook=20_05.xlsx&amp;sheet=U0&amp;row=7693&amp;col=7&amp;number=5.77e-05&amp;sourceID=14","5.77e-05")</f>
        <v>5.77e-05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HYPERLINK("http://141.218.60.56/~jnz1568/getInfo.php?workbook=20_05.xlsx&amp;sheet=U0&amp;row=7694&amp;col=6&amp;number=4&amp;sourceID=14","4")</f>
        <v>4</v>
      </c>
      <c r="G7694" s="4" t="str">
        <f>HYPERLINK("http://141.218.60.56/~jnz1568/getInfo.php?workbook=20_05.xlsx&amp;sheet=U0&amp;row=7694&amp;col=7&amp;number=5.77e-05&amp;sourceID=14","5.77e-05")</f>
        <v>5.77e-05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HYPERLINK("http://141.218.60.56/~jnz1568/getInfo.php?workbook=20_05.xlsx&amp;sheet=U0&amp;row=7695&amp;col=6&amp;number=4.1&amp;sourceID=14","4.1")</f>
        <v>4.1</v>
      </c>
      <c r="G7695" s="4" t="str">
        <f>HYPERLINK("http://141.218.60.56/~jnz1568/getInfo.php?workbook=20_05.xlsx&amp;sheet=U0&amp;row=7695&amp;col=7&amp;number=5.76e-05&amp;sourceID=14","5.76e-05")</f>
        <v>5.76e-05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HYPERLINK("http://141.218.60.56/~jnz1568/getInfo.php?workbook=20_05.xlsx&amp;sheet=U0&amp;row=7696&amp;col=6&amp;number=4.2&amp;sourceID=14","4.2")</f>
        <v>4.2</v>
      </c>
      <c r="G7696" s="4" t="str">
        <f>HYPERLINK("http://141.218.60.56/~jnz1568/getInfo.php?workbook=20_05.xlsx&amp;sheet=U0&amp;row=7696&amp;col=7&amp;number=5.76e-05&amp;sourceID=14","5.76e-05")</f>
        <v>5.76e-05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HYPERLINK("http://141.218.60.56/~jnz1568/getInfo.php?workbook=20_05.xlsx&amp;sheet=U0&amp;row=7697&amp;col=6&amp;number=4.3&amp;sourceID=14","4.3")</f>
        <v>4.3</v>
      </c>
      <c r="G7697" s="4" t="str">
        <f>HYPERLINK("http://141.218.60.56/~jnz1568/getInfo.php?workbook=20_05.xlsx&amp;sheet=U0&amp;row=7697&amp;col=7&amp;number=5.75e-05&amp;sourceID=14","5.75e-05")</f>
        <v>5.75e-05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HYPERLINK("http://141.218.60.56/~jnz1568/getInfo.php?workbook=20_05.xlsx&amp;sheet=U0&amp;row=7698&amp;col=6&amp;number=4.4&amp;sourceID=14","4.4")</f>
        <v>4.4</v>
      </c>
      <c r="G7698" s="4" t="str">
        <f>HYPERLINK("http://141.218.60.56/~jnz1568/getInfo.php?workbook=20_05.xlsx&amp;sheet=U0&amp;row=7698&amp;col=7&amp;number=5.74e-05&amp;sourceID=14","5.74e-05")</f>
        <v>5.74e-05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HYPERLINK("http://141.218.60.56/~jnz1568/getInfo.php?workbook=20_05.xlsx&amp;sheet=U0&amp;row=7699&amp;col=6&amp;number=4.5&amp;sourceID=14","4.5")</f>
        <v>4.5</v>
      </c>
      <c r="G7699" s="4" t="str">
        <f>HYPERLINK("http://141.218.60.56/~jnz1568/getInfo.php?workbook=20_05.xlsx&amp;sheet=U0&amp;row=7699&amp;col=7&amp;number=5.73e-05&amp;sourceID=14","5.73e-05")</f>
        <v>5.73e-05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HYPERLINK("http://141.218.60.56/~jnz1568/getInfo.php?workbook=20_05.xlsx&amp;sheet=U0&amp;row=7700&amp;col=6&amp;number=4.6&amp;sourceID=14","4.6")</f>
        <v>4.6</v>
      </c>
      <c r="G7700" s="4" t="str">
        <f>HYPERLINK("http://141.218.60.56/~jnz1568/getInfo.php?workbook=20_05.xlsx&amp;sheet=U0&amp;row=7700&amp;col=7&amp;number=5.71e-05&amp;sourceID=14","5.71e-05")</f>
        <v>5.71e-05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HYPERLINK("http://141.218.60.56/~jnz1568/getInfo.php?workbook=20_05.xlsx&amp;sheet=U0&amp;row=7701&amp;col=6&amp;number=4.7&amp;sourceID=14","4.7")</f>
        <v>4.7</v>
      </c>
      <c r="G7701" s="4" t="str">
        <f>HYPERLINK("http://141.218.60.56/~jnz1568/getInfo.php?workbook=20_05.xlsx&amp;sheet=U0&amp;row=7701&amp;col=7&amp;number=5.7e-05&amp;sourceID=14","5.7e-05")</f>
        <v>5.7e-05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HYPERLINK("http://141.218.60.56/~jnz1568/getInfo.php?workbook=20_05.xlsx&amp;sheet=U0&amp;row=7702&amp;col=6&amp;number=4.8&amp;sourceID=14","4.8")</f>
        <v>4.8</v>
      </c>
      <c r="G7702" s="4" t="str">
        <f>HYPERLINK("http://141.218.60.56/~jnz1568/getInfo.php?workbook=20_05.xlsx&amp;sheet=U0&amp;row=7702&amp;col=7&amp;number=5.67e-05&amp;sourceID=14","5.67e-05")</f>
        <v>5.67e-05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HYPERLINK("http://141.218.60.56/~jnz1568/getInfo.php?workbook=20_05.xlsx&amp;sheet=U0&amp;row=7703&amp;col=6&amp;number=4.9&amp;sourceID=14","4.9")</f>
        <v>4.9</v>
      </c>
      <c r="G7703" s="4" t="str">
        <f>HYPERLINK("http://141.218.60.56/~jnz1568/getInfo.php?workbook=20_05.xlsx&amp;sheet=U0&amp;row=7703&amp;col=7&amp;number=5.65e-05&amp;sourceID=14","5.65e-05")</f>
        <v>5.65e-05</v>
      </c>
    </row>
    <row r="7704" spans="1:7">
      <c r="A7704" s="3">
        <v>20</v>
      </c>
      <c r="B7704" s="3">
        <v>5</v>
      </c>
      <c r="C7704" s="3">
        <v>4</v>
      </c>
      <c r="D7704" s="3">
        <v>23</v>
      </c>
      <c r="E7704" s="3">
        <v>1</v>
      </c>
      <c r="F7704" s="4" t="str">
        <f>HYPERLINK("http://141.218.60.56/~jnz1568/getInfo.php?workbook=20_05.xlsx&amp;sheet=U0&amp;row=7704&amp;col=6&amp;number=3&amp;sourceID=14","3")</f>
        <v>3</v>
      </c>
      <c r="G7704" s="4" t="str">
        <f>HYPERLINK("http://141.218.60.56/~jnz1568/getInfo.php?workbook=20_05.xlsx&amp;sheet=U0&amp;row=7704&amp;col=7&amp;number=0.000422&amp;sourceID=14","0.000422")</f>
        <v>0.000422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HYPERLINK("http://141.218.60.56/~jnz1568/getInfo.php?workbook=20_05.xlsx&amp;sheet=U0&amp;row=7705&amp;col=6&amp;number=3.1&amp;sourceID=14","3.1")</f>
        <v>3.1</v>
      </c>
      <c r="G7705" s="4" t="str">
        <f>HYPERLINK("http://141.218.60.56/~jnz1568/getInfo.php?workbook=20_05.xlsx&amp;sheet=U0&amp;row=7705&amp;col=7&amp;number=0.000422&amp;sourceID=14","0.000422")</f>
        <v>0.000422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HYPERLINK("http://141.218.60.56/~jnz1568/getInfo.php?workbook=20_05.xlsx&amp;sheet=U0&amp;row=7706&amp;col=6&amp;number=3.2&amp;sourceID=14","3.2")</f>
        <v>3.2</v>
      </c>
      <c r="G7706" s="4" t="str">
        <f>HYPERLINK("http://141.218.60.56/~jnz1568/getInfo.php?workbook=20_05.xlsx&amp;sheet=U0&amp;row=7706&amp;col=7&amp;number=0.000422&amp;sourceID=14","0.000422")</f>
        <v>0.000422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HYPERLINK("http://141.218.60.56/~jnz1568/getInfo.php?workbook=20_05.xlsx&amp;sheet=U0&amp;row=7707&amp;col=6&amp;number=3.3&amp;sourceID=14","3.3")</f>
        <v>3.3</v>
      </c>
      <c r="G7707" s="4" t="str">
        <f>HYPERLINK("http://141.218.60.56/~jnz1568/getInfo.php?workbook=20_05.xlsx&amp;sheet=U0&amp;row=7707&amp;col=7&amp;number=0.000422&amp;sourceID=14","0.000422")</f>
        <v>0.000422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HYPERLINK("http://141.218.60.56/~jnz1568/getInfo.php?workbook=20_05.xlsx&amp;sheet=U0&amp;row=7708&amp;col=6&amp;number=3.4&amp;sourceID=14","3.4")</f>
        <v>3.4</v>
      </c>
      <c r="G7708" s="4" t="str">
        <f>HYPERLINK("http://141.218.60.56/~jnz1568/getInfo.php?workbook=20_05.xlsx&amp;sheet=U0&amp;row=7708&amp;col=7&amp;number=0.000422&amp;sourceID=14","0.000422")</f>
        <v>0.000422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HYPERLINK("http://141.218.60.56/~jnz1568/getInfo.php?workbook=20_05.xlsx&amp;sheet=U0&amp;row=7709&amp;col=6&amp;number=3.5&amp;sourceID=14","3.5")</f>
        <v>3.5</v>
      </c>
      <c r="G7709" s="4" t="str">
        <f>HYPERLINK("http://141.218.60.56/~jnz1568/getInfo.php?workbook=20_05.xlsx&amp;sheet=U0&amp;row=7709&amp;col=7&amp;number=0.000422&amp;sourceID=14","0.000422")</f>
        <v>0.000422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HYPERLINK("http://141.218.60.56/~jnz1568/getInfo.php?workbook=20_05.xlsx&amp;sheet=U0&amp;row=7710&amp;col=6&amp;number=3.6&amp;sourceID=14","3.6")</f>
        <v>3.6</v>
      </c>
      <c r="G7710" s="4" t="str">
        <f>HYPERLINK("http://141.218.60.56/~jnz1568/getInfo.php?workbook=20_05.xlsx&amp;sheet=U0&amp;row=7710&amp;col=7&amp;number=0.000421&amp;sourceID=14","0.000421")</f>
        <v>0.000421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HYPERLINK("http://141.218.60.56/~jnz1568/getInfo.php?workbook=20_05.xlsx&amp;sheet=U0&amp;row=7711&amp;col=6&amp;number=3.7&amp;sourceID=14","3.7")</f>
        <v>3.7</v>
      </c>
      <c r="G7711" s="4" t="str">
        <f>HYPERLINK("http://141.218.60.56/~jnz1568/getInfo.php?workbook=20_05.xlsx&amp;sheet=U0&amp;row=7711&amp;col=7&amp;number=0.000421&amp;sourceID=14","0.000421")</f>
        <v>0.000421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HYPERLINK("http://141.218.60.56/~jnz1568/getInfo.php?workbook=20_05.xlsx&amp;sheet=U0&amp;row=7712&amp;col=6&amp;number=3.8&amp;sourceID=14","3.8")</f>
        <v>3.8</v>
      </c>
      <c r="G7712" s="4" t="str">
        <f>HYPERLINK("http://141.218.60.56/~jnz1568/getInfo.php?workbook=20_05.xlsx&amp;sheet=U0&amp;row=7712&amp;col=7&amp;number=0.000421&amp;sourceID=14","0.000421")</f>
        <v>0.000421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HYPERLINK("http://141.218.60.56/~jnz1568/getInfo.php?workbook=20_05.xlsx&amp;sheet=U0&amp;row=7713&amp;col=6&amp;number=3.9&amp;sourceID=14","3.9")</f>
        <v>3.9</v>
      </c>
      <c r="G7713" s="4" t="str">
        <f>HYPERLINK("http://141.218.60.56/~jnz1568/getInfo.php?workbook=20_05.xlsx&amp;sheet=U0&amp;row=7713&amp;col=7&amp;number=0.000421&amp;sourceID=14","0.000421")</f>
        <v>0.000421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HYPERLINK("http://141.218.60.56/~jnz1568/getInfo.php?workbook=20_05.xlsx&amp;sheet=U0&amp;row=7714&amp;col=6&amp;number=4&amp;sourceID=14","4")</f>
        <v>4</v>
      </c>
      <c r="G7714" s="4" t="str">
        <f>HYPERLINK("http://141.218.60.56/~jnz1568/getInfo.php?workbook=20_05.xlsx&amp;sheet=U0&amp;row=7714&amp;col=7&amp;number=0.000421&amp;sourceID=14","0.000421")</f>
        <v>0.000421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HYPERLINK("http://141.218.60.56/~jnz1568/getInfo.php?workbook=20_05.xlsx&amp;sheet=U0&amp;row=7715&amp;col=6&amp;number=4.1&amp;sourceID=14","4.1")</f>
        <v>4.1</v>
      </c>
      <c r="G7715" s="4" t="str">
        <f>HYPERLINK("http://141.218.60.56/~jnz1568/getInfo.php?workbook=20_05.xlsx&amp;sheet=U0&amp;row=7715&amp;col=7&amp;number=0.00042&amp;sourceID=14","0.00042")</f>
        <v>0.00042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HYPERLINK("http://141.218.60.56/~jnz1568/getInfo.php?workbook=20_05.xlsx&amp;sheet=U0&amp;row=7716&amp;col=6&amp;number=4.2&amp;sourceID=14","4.2")</f>
        <v>4.2</v>
      </c>
      <c r="G7716" s="4" t="str">
        <f>HYPERLINK("http://141.218.60.56/~jnz1568/getInfo.php?workbook=20_05.xlsx&amp;sheet=U0&amp;row=7716&amp;col=7&amp;number=0.00042&amp;sourceID=14","0.00042")</f>
        <v>0.00042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HYPERLINK("http://141.218.60.56/~jnz1568/getInfo.php?workbook=20_05.xlsx&amp;sheet=U0&amp;row=7717&amp;col=6&amp;number=4.3&amp;sourceID=14","4.3")</f>
        <v>4.3</v>
      </c>
      <c r="G7717" s="4" t="str">
        <f>HYPERLINK("http://141.218.60.56/~jnz1568/getInfo.php?workbook=20_05.xlsx&amp;sheet=U0&amp;row=7717&amp;col=7&amp;number=0.00042&amp;sourceID=14","0.00042")</f>
        <v>0.00042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HYPERLINK("http://141.218.60.56/~jnz1568/getInfo.php?workbook=20_05.xlsx&amp;sheet=U0&amp;row=7718&amp;col=6&amp;number=4.4&amp;sourceID=14","4.4")</f>
        <v>4.4</v>
      </c>
      <c r="G7718" s="4" t="str">
        <f>HYPERLINK("http://141.218.60.56/~jnz1568/getInfo.php?workbook=20_05.xlsx&amp;sheet=U0&amp;row=7718&amp;col=7&amp;number=0.000419&amp;sourceID=14","0.000419")</f>
        <v>0.000419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HYPERLINK("http://141.218.60.56/~jnz1568/getInfo.php?workbook=20_05.xlsx&amp;sheet=U0&amp;row=7719&amp;col=6&amp;number=4.5&amp;sourceID=14","4.5")</f>
        <v>4.5</v>
      </c>
      <c r="G7719" s="4" t="str">
        <f>HYPERLINK("http://141.218.60.56/~jnz1568/getInfo.php?workbook=20_05.xlsx&amp;sheet=U0&amp;row=7719&amp;col=7&amp;number=0.000418&amp;sourceID=14","0.000418")</f>
        <v>0.000418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HYPERLINK("http://141.218.60.56/~jnz1568/getInfo.php?workbook=20_05.xlsx&amp;sheet=U0&amp;row=7720&amp;col=6&amp;number=4.6&amp;sourceID=14","4.6")</f>
        <v>4.6</v>
      </c>
      <c r="G7720" s="4" t="str">
        <f>HYPERLINK("http://141.218.60.56/~jnz1568/getInfo.php?workbook=20_05.xlsx&amp;sheet=U0&amp;row=7720&amp;col=7&amp;number=0.000417&amp;sourceID=14","0.000417")</f>
        <v>0.000417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HYPERLINK("http://141.218.60.56/~jnz1568/getInfo.php?workbook=20_05.xlsx&amp;sheet=U0&amp;row=7721&amp;col=6&amp;number=4.7&amp;sourceID=14","4.7")</f>
        <v>4.7</v>
      </c>
      <c r="G7721" s="4" t="str">
        <f>HYPERLINK("http://141.218.60.56/~jnz1568/getInfo.php?workbook=20_05.xlsx&amp;sheet=U0&amp;row=7721&amp;col=7&amp;number=0.000416&amp;sourceID=14","0.000416")</f>
        <v>0.000416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HYPERLINK("http://141.218.60.56/~jnz1568/getInfo.php?workbook=20_05.xlsx&amp;sheet=U0&amp;row=7722&amp;col=6&amp;number=4.8&amp;sourceID=14","4.8")</f>
        <v>4.8</v>
      </c>
      <c r="G7722" s="4" t="str">
        <f>HYPERLINK("http://141.218.60.56/~jnz1568/getInfo.php?workbook=20_05.xlsx&amp;sheet=U0&amp;row=7722&amp;col=7&amp;number=0.000415&amp;sourceID=14","0.000415")</f>
        <v>0.000415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HYPERLINK("http://141.218.60.56/~jnz1568/getInfo.php?workbook=20_05.xlsx&amp;sheet=U0&amp;row=7723&amp;col=6&amp;number=4.9&amp;sourceID=14","4.9")</f>
        <v>4.9</v>
      </c>
      <c r="G7723" s="4" t="str">
        <f>HYPERLINK("http://141.218.60.56/~jnz1568/getInfo.php?workbook=20_05.xlsx&amp;sheet=U0&amp;row=7723&amp;col=7&amp;number=0.000413&amp;sourceID=14","0.000413")</f>
        <v>0.000413</v>
      </c>
    </row>
    <row r="7724" spans="1:7">
      <c r="A7724" s="3">
        <v>20</v>
      </c>
      <c r="B7724" s="3">
        <v>5</v>
      </c>
      <c r="C7724" s="3">
        <v>4</v>
      </c>
      <c r="D7724" s="3">
        <v>24</v>
      </c>
      <c r="E7724" s="3">
        <v>1</v>
      </c>
      <c r="F7724" s="4" t="str">
        <f>HYPERLINK("http://141.218.60.56/~jnz1568/getInfo.php?workbook=20_05.xlsx&amp;sheet=U0&amp;row=7724&amp;col=6&amp;number=3&amp;sourceID=14","3")</f>
        <v>3</v>
      </c>
      <c r="G7724" s="4" t="str">
        <f>HYPERLINK("http://141.218.60.56/~jnz1568/getInfo.php?workbook=20_05.xlsx&amp;sheet=U0&amp;row=7724&amp;col=7&amp;number=0.000617&amp;sourceID=14","0.000617")</f>
        <v>0.000617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HYPERLINK("http://141.218.60.56/~jnz1568/getInfo.php?workbook=20_05.xlsx&amp;sheet=U0&amp;row=7725&amp;col=6&amp;number=3.1&amp;sourceID=14","3.1")</f>
        <v>3.1</v>
      </c>
      <c r="G7725" s="4" t="str">
        <f>HYPERLINK("http://141.218.60.56/~jnz1568/getInfo.php?workbook=20_05.xlsx&amp;sheet=U0&amp;row=7725&amp;col=7&amp;number=0.000617&amp;sourceID=14","0.000617")</f>
        <v>0.000617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HYPERLINK("http://141.218.60.56/~jnz1568/getInfo.php?workbook=20_05.xlsx&amp;sheet=U0&amp;row=7726&amp;col=6&amp;number=3.2&amp;sourceID=14","3.2")</f>
        <v>3.2</v>
      </c>
      <c r="G7726" s="4" t="str">
        <f>HYPERLINK("http://141.218.60.56/~jnz1568/getInfo.php?workbook=20_05.xlsx&amp;sheet=U0&amp;row=7726&amp;col=7&amp;number=0.000617&amp;sourceID=14","0.000617")</f>
        <v>0.000617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HYPERLINK("http://141.218.60.56/~jnz1568/getInfo.php?workbook=20_05.xlsx&amp;sheet=U0&amp;row=7727&amp;col=6&amp;number=3.3&amp;sourceID=14","3.3")</f>
        <v>3.3</v>
      </c>
      <c r="G7727" s="4" t="str">
        <f>HYPERLINK("http://141.218.60.56/~jnz1568/getInfo.php?workbook=20_05.xlsx&amp;sheet=U0&amp;row=7727&amp;col=7&amp;number=0.000617&amp;sourceID=14","0.000617")</f>
        <v>0.000617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HYPERLINK("http://141.218.60.56/~jnz1568/getInfo.php?workbook=20_05.xlsx&amp;sheet=U0&amp;row=7728&amp;col=6&amp;number=3.4&amp;sourceID=14","3.4")</f>
        <v>3.4</v>
      </c>
      <c r="G7728" s="4" t="str">
        <f>HYPERLINK("http://141.218.60.56/~jnz1568/getInfo.php?workbook=20_05.xlsx&amp;sheet=U0&amp;row=7728&amp;col=7&amp;number=0.000617&amp;sourceID=14","0.000617")</f>
        <v>0.000617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HYPERLINK("http://141.218.60.56/~jnz1568/getInfo.php?workbook=20_05.xlsx&amp;sheet=U0&amp;row=7729&amp;col=6&amp;number=3.5&amp;sourceID=14","3.5")</f>
        <v>3.5</v>
      </c>
      <c r="G7729" s="4" t="str">
        <f>HYPERLINK("http://141.218.60.56/~jnz1568/getInfo.php?workbook=20_05.xlsx&amp;sheet=U0&amp;row=7729&amp;col=7&amp;number=0.000617&amp;sourceID=14","0.000617")</f>
        <v>0.000617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HYPERLINK("http://141.218.60.56/~jnz1568/getInfo.php?workbook=20_05.xlsx&amp;sheet=U0&amp;row=7730&amp;col=6&amp;number=3.6&amp;sourceID=14","3.6")</f>
        <v>3.6</v>
      </c>
      <c r="G7730" s="4" t="str">
        <f>HYPERLINK("http://141.218.60.56/~jnz1568/getInfo.php?workbook=20_05.xlsx&amp;sheet=U0&amp;row=7730&amp;col=7&amp;number=0.000617&amp;sourceID=14","0.000617")</f>
        <v>0.000617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HYPERLINK("http://141.218.60.56/~jnz1568/getInfo.php?workbook=20_05.xlsx&amp;sheet=U0&amp;row=7731&amp;col=6&amp;number=3.7&amp;sourceID=14","3.7")</f>
        <v>3.7</v>
      </c>
      <c r="G7731" s="4" t="str">
        <f>HYPERLINK("http://141.218.60.56/~jnz1568/getInfo.php?workbook=20_05.xlsx&amp;sheet=U0&amp;row=7731&amp;col=7&amp;number=0.000617&amp;sourceID=14","0.000617")</f>
        <v>0.000617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HYPERLINK("http://141.218.60.56/~jnz1568/getInfo.php?workbook=20_05.xlsx&amp;sheet=U0&amp;row=7732&amp;col=6&amp;number=3.8&amp;sourceID=14","3.8")</f>
        <v>3.8</v>
      </c>
      <c r="G7732" s="4" t="str">
        <f>HYPERLINK("http://141.218.60.56/~jnz1568/getInfo.php?workbook=20_05.xlsx&amp;sheet=U0&amp;row=7732&amp;col=7&amp;number=0.000616&amp;sourceID=14","0.000616")</f>
        <v>0.000616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HYPERLINK("http://141.218.60.56/~jnz1568/getInfo.php?workbook=20_05.xlsx&amp;sheet=U0&amp;row=7733&amp;col=6&amp;number=3.9&amp;sourceID=14","3.9")</f>
        <v>3.9</v>
      </c>
      <c r="G7733" s="4" t="str">
        <f>HYPERLINK("http://141.218.60.56/~jnz1568/getInfo.php?workbook=20_05.xlsx&amp;sheet=U0&amp;row=7733&amp;col=7&amp;number=0.000616&amp;sourceID=14","0.000616")</f>
        <v>0.000616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HYPERLINK("http://141.218.60.56/~jnz1568/getInfo.php?workbook=20_05.xlsx&amp;sheet=U0&amp;row=7734&amp;col=6&amp;number=4&amp;sourceID=14","4")</f>
        <v>4</v>
      </c>
      <c r="G7734" s="4" t="str">
        <f>HYPERLINK("http://141.218.60.56/~jnz1568/getInfo.php?workbook=20_05.xlsx&amp;sheet=U0&amp;row=7734&amp;col=7&amp;number=0.000616&amp;sourceID=14","0.000616")</f>
        <v>0.000616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HYPERLINK("http://141.218.60.56/~jnz1568/getInfo.php?workbook=20_05.xlsx&amp;sheet=U0&amp;row=7735&amp;col=6&amp;number=4.1&amp;sourceID=14","4.1")</f>
        <v>4.1</v>
      </c>
      <c r="G7735" s="4" t="str">
        <f>HYPERLINK("http://141.218.60.56/~jnz1568/getInfo.php?workbook=20_05.xlsx&amp;sheet=U0&amp;row=7735&amp;col=7&amp;number=0.000615&amp;sourceID=14","0.000615")</f>
        <v>0.000615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HYPERLINK("http://141.218.60.56/~jnz1568/getInfo.php?workbook=20_05.xlsx&amp;sheet=U0&amp;row=7736&amp;col=6&amp;number=4.2&amp;sourceID=14","4.2")</f>
        <v>4.2</v>
      </c>
      <c r="G7736" s="4" t="str">
        <f>HYPERLINK("http://141.218.60.56/~jnz1568/getInfo.php?workbook=20_05.xlsx&amp;sheet=U0&amp;row=7736&amp;col=7&amp;number=0.000615&amp;sourceID=14","0.000615")</f>
        <v>0.000615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HYPERLINK("http://141.218.60.56/~jnz1568/getInfo.php?workbook=20_05.xlsx&amp;sheet=U0&amp;row=7737&amp;col=6&amp;number=4.3&amp;sourceID=14","4.3")</f>
        <v>4.3</v>
      </c>
      <c r="G7737" s="4" t="str">
        <f>HYPERLINK("http://141.218.60.56/~jnz1568/getInfo.php?workbook=20_05.xlsx&amp;sheet=U0&amp;row=7737&amp;col=7&amp;number=0.000614&amp;sourceID=14","0.000614")</f>
        <v>0.000614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HYPERLINK("http://141.218.60.56/~jnz1568/getInfo.php?workbook=20_05.xlsx&amp;sheet=U0&amp;row=7738&amp;col=6&amp;number=4.4&amp;sourceID=14","4.4")</f>
        <v>4.4</v>
      </c>
      <c r="G7738" s="4" t="str">
        <f>HYPERLINK("http://141.218.60.56/~jnz1568/getInfo.php?workbook=20_05.xlsx&amp;sheet=U0&amp;row=7738&amp;col=7&amp;number=0.000613&amp;sourceID=14","0.000613")</f>
        <v>0.000613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HYPERLINK("http://141.218.60.56/~jnz1568/getInfo.php?workbook=20_05.xlsx&amp;sheet=U0&amp;row=7739&amp;col=6&amp;number=4.5&amp;sourceID=14","4.5")</f>
        <v>4.5</v>
      </c>
      <c r="G7739" s="4" t="str">
        <f>HYPERLINK("http://141.218.60.56/~jnz1568/getInfo.php?workbook=20_05.xlsx&amp;sheet=U0&amp;row=7739&amp;col=7&amp;number=0.000612&amp;sourceID=14","0.000612")</f>
        <v>0.000612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HYPERLINK("http://141.218.60.56/~jnz1568/getInfo.php?workbook=20_05.xlsx&amp;sheet=U0&amp;row=7740&amp;col=6&amp;number=4.6&amp;sourceID=14","4.6")</f>
        <v>4.6</v>
      </c>
      <c r="G7740" s="4" t="str">
        <f>HYPERLINK("http://141.218.60.56/~jnz1568/getInfo.php?workbook=20_05.xlsx&amp;sheet=U0&amp;row=7740&amp;col=7&amp;number=0.00061&amp;sourceID=14","0.00061")</f>
        <v>0.00061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HYPERLINK("http://141.218.60.56/~jnz1568/getInfo.php?workbook=20_05.xlsx&amp;sheet=U0&amp;row=7741&amp;col=6&amp;number=4.7&amp;sourceID=14","4.7")</f>
        <v>4.7</v>
      </c>
      <c r="G7741" s="4" t="str">
        <f>HYPERLINK("http://141.218.60.56/~jnz1568/getInfo.php?workbook=20_05.xlsx&amp;sheet=U0&amp;row=7741&amp;col=7&amp;number=0.000608&amp;sourceID=14","0.000608")</f>
        <v>0.000608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HYPERLINK("http://141.218.60.56/~jnz1568/getInfo.php?workbook=20_05.xlsx&amp;sheet=U0&amp;row=7742&amp;col=6&amp;number=4.8&amp;sourceID=14","4.8")</f>
        <v>4.8</v>
      </c>
      <c r="G7742" s="4" t="str">
        <f>HYPERLINK("http://141.218.60.56/~jnz1568/getInfo.php?workbook=20_05.xlsx&amp;sheet=U0&amp;row=7742&amp;col=7&amp;number=0.000606&amp;sourceID=14","0.000606")</f>
        <v>0.000606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HYPERLINK("http://141.218.60.56/~jnz1568/getInfo.php?workbook=20_05.xlsx&amp;sheet=U0&amp;row=7743&amp;col=6&amp;number=4.9&amp;sourceID=14","4.9")</f>
        <v>4.9</v>
      </c>
      <c r="G7743" s="4" t="str">
        <f>HYPERLINK("http://141.218.60.56/~jnz1568/getInfo.php?workbook=20_05.xlsx&amp;sheet=U0&amp;row=7743&amp;col=7&amp;number=0.000603&amp;sourceID=14","0.000603")</f>
        <v>0.000603</v>
      </c>
    </row>
    <row r="7744" spans="1:7">
      <c r="A7744" s="3">
        <v>20</v>
      </c>
      <c r="B7744" s="3">
        <v>5</v>
      </c>
      <c r="C7744" s="3">
        <v>4</v>
      </c>
      <c r="D7744" s="3">
        <v>25</v>
      </c>
      <c r="E7744" s="3">
        <v>1</v>
      </c>
      <c r="F7744" s="4" t="str">
        <f>HYPERLINK("http://141.218.60.56/~jnz1568/getInfo.php?workbook=20_05.xlsx&amp;sheet=U0&amp;row=7744&amp;col=6&amp;number=3&amp;sourceID=14","3")</f>
        <v>3</v>
      </c>
      <c r="G7744" s="4" t="str">
        <f>HYPERLINK("http://141.218.60.56/~jnz1568/getInfo.php?workbook=20_05.xlsx&amp;sheet=U0&amp;row=7744&amp;col=7&amp;number=0.0057&amp;sourceID=14","0.0057")</f>
        <v>0.0057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HYPERLINK("http://141.218.60.56/~jnz1568/getInfo.php?workbook=20_05.xlsx&amp;sheet=U0&amp;row=7745&amp;col=6&amp;number=3.1&amp;sourceID=14","3.1")</f>
        <v>3.1</v>
      </c>
      <c r="G7745" s="4" t="str">
        <f>HYPERLINK("http://141.218.60.56/~jnz1568/getInfo.php?workbook=20_05.xlsx&amp;sheet=U0&amp;row=7745&amp;col=7&amp;number=0.0057&amp;sourceID=14","0.0057")</f>
        <v>0.0057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HYPERLINK("http://141.218.60.56/~jnz1568/getInfo.php?workbook=20_05.xlsx&amp;sheet=U0&amp;row=7746&amp;col=6&amp;number=3.2&amp;sourceID=14","3.2")</f>
        <v>3.2</v>
      </c>
      <c r="G7746" s="4" t="str">
        <f>HYPERLINK("http://141.218.60.56/~jnz1568/getInfo.php?workbook=20_05.xlsx&amp;sheet=U0&amp;row=7746&amp;col=7&amp;number=0.0057&amp;sourceID=14","0.0057")</f>
        <v>0.0057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HYPERLINK("http://141.218.60.56/~jnz1568/getInfo.php?workbook=20_05.xlsx&amp;sheet=U0&amp;row=7747&amp;col=6&amp;number=3.3&amp;sourceID=14","3.3")</f>
        <v>3.3</v>
      </c>
      <c r="G7747" s="4" t="str">
        <f>HYPERLINK("http://141.218.60.56/~jnz1568/getInfo.php?workbook=20_05.xlsx&amp;sheet=U0&amp;row=7747&amp;col=7&amp;number=0.0057&amp;sourceID=14","0.0057")</f>
        <v>0.0057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HYPERLINK("http://141.218.60.56/~jnz1568/getInfo.php?workbook=20_05.xlsx&amp;sheet=U0&amp;row=7748&amp;col=6&amp;number=3.4&amp;sourceID=14","3.4")</f>
        <v>3.4</v>
      </c>
      <c r="G7748" s="4" t="str">
        <f>HYPERLINK("http://141.218.60.56/~jnz1568/getInfo.php?workbook=20_05.xlsx&amp;sheet=U0&amp;row=7748&amp;col=7&amp;number=0.0057&amp;sourceID=14","0.0057")</f>
        <v>0.0057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HYPERLINK("http://141.218.60.56/~jnz1568/getInfo.php?workbook=20_05.xlsx&amp;sheet=U0&amp;row=7749&amp;col=6&amp;number=3.5&amp;sourceID=14","3.5")</f>
        <v>3.5</v>
      </c>
      <c r="G7749" s="4" t="str">
        <f>HYPERLINK("http://141.218.60.56/~jnz1568/getInfo.php?workbook=20_05.xlsx&amp;sheet=U0&amp;row=7749&amp;col=7&amp;number=0.0057&amp;sourceID=14","0.0057")</f>
        <v>0.0057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HYPERLINK("http://141.218.60.56/~jnz1568/getInfo.php?workbook=20_05.xlsx&amp;sheet=U0&amp;row=7750&amp;col=6&amp;number=3.6&amp;sourceID=14","3.6")</f>
        <v>3.6</v>
      </c>
      <c r="G7750" s="4" t="str">
        <f>HYPERLINK("http://141.218.60.56/~jnz1568/getInfo.php?workbook=20_05.xlsx&amp;sheet=U0&amp;row=7750&amp;col=7&amp;number=0.0057&amp;sourceID=14","0.0057")</f>
        <v>0.0057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HYPERLINK("http://141.218.60.56/~jnz1568/getInfo.php?workbook=20_05.xlsx&amp;sheet=U0&amp;row=7751&amp;col=6&amp;number=3.7&amp;sourceID=14","3.7")</f>
        <v>3.7</v>
      </c>
      <c r="G7751" s="4" t="str">
        <f>HYPERLINK("http://141.218.60.56/~jnz1568/getInfo.php?workbook=20_05.xlsx&amp;sheet=U0&amp;row=7751&amp;col=7&amp;number=0.0057&amp;sourceID=14","0.0057")</f>
        <v>0.0057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HYPERLINK("http://141.218.60.56/~jnz1568/getInfo.php?workbook=20_05.xlsx&amp;sheet=U0&amp;row=7752&amp;col=6&amp;number=3.8&amp;sourceID=14","3.8")</f>
        <v>3.8</v>
      </c>
      <c r="G7752" s="4" t="str">
        <f>HYPERLINK("http://141.218.60.56/~jnz1568/getInfo.php?workbook=20_05.xlsx&amp;sheet=U0&amp;row=7752&amp;col=7&amp;number=0.0057&amp;sourceID=14","0.0057")</f>
        <v>0.0057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HYPERLINK("http://141.218.60.56/~jnz1568/getInfo.php?workbook=20_05.xlsx&amp;sheet=U0&amp;row=7753&amp;col=6&amp;number=3.9&amp;sourceID=14","3.9")</f>
        <v>3.9</v>
      </c>
      <c r="G7753" s="4" t="str">
        <f>HYPERLINK("http://141.218.60.56/~jnz1568/getInfo.php?workbook=20_05.xlsx&amp;sheet=U0&amp;row=7753&amp;col=7&amp;number=0.0057&amp;sourceID=14","0.0057")</f>
        <v>0.0057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HYPERLINK("http://141.218.60.56/~jnz1568/getInfo.php?workbook=20_05.xlsx&amp;sheet=U0&amp;row=7754&amp;col=6&amp;number=4&amp;sourceID=14","4")</f>
        <v>4</v>
      </c>
      <c r="G7754" s="4" t="str">
        <f>HYPERLINK("http://141.218.60.56/~jnz1568/getInfo.php?workbook=20_05.xlsx&amp;sheet=U0&amp;row=7754&amp;col=7&amp;number=0.0057&amp;sourceID=14","0.0057")</f>
        <v>0.0057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HYPERLINK("http://141.218.60.56/~jnz1568/getInfo.php?workbook=20_05.xlsx&amp;sheet=U0&amp;row=7755&amp;col=6&amp;number=4.1&amp;sourceID=14","4.1")</f>
        <v>4.1</v>
      </c>
      <c r="G7755" s="4" t="str">
        <f>HYPERLINK("http://141.218.60.56/~jnz1568/getInfo.php?workbook=20_05.xlsx&amp;sheet=U0&amp;row=7755&amp;col=7&amp;number=0.0057&amp;sourceID=14","0.0057")</f>
        <v>0.0057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HYPERLINK("http://141.218.60.56/~jnz1568/getInfo.php?workbook=20_05.xlsx&amp;sheet=U0&amp;row=7756&amp;col=6&amp;number=4.2&amp;sourceID=14","4.2")</f>
        <v>4.2</v>
      </c>
      <c r="G7756" s="4" t="str">
        <f>HYPERLINK("http://141.218.60.56/~jnz1568/getInfo.php?workbook=20_05.xlsx&amp;sheet=U0&amp;row=7756&amp;col=7&amp;number=0.00571&amp;sourceID=14","0.00571")</f>
        <v>0.00571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HYPERLINK("http://141.218.60.56/~jnz1568/getInfo.php?workbook=20_05.xlsx&amp;sheet=U0&amp;row=7757&amp;col=6&amp;number=4.3&amp;sourceID=14","4.3")</f>
        <v>4.3</v>
      </c>
      <c r="G7757" s="4" t="str">
        <f>HYPERLINK("http://141.218.60.56/~jnz1568/getInfo.php?workbook=20_05.xlsx&amp;sheet=U0&amp;row=7757&amp;col=7&amp;number=0.00571&amp;sourceID=14","0.00571")</f>
        <v>0.00571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HYPERLINK("http://141.218.60.56/~jnz1568/getInfo.php?workbook=20_05.xlsx&amp;sheet=U0&amp;row=7758&amp;col=6&amp;number=4.4&amp;sourceID=14","4.4")</f>
        <v>4.4</v>
      </c>
      <c r="G7758" s="4" t="str">
        <f>HYPERLINK("http://141.218.60.56/~jnz1568/getInfo.php?workbook=20_05.xlsx&amp;sheet=U0&amp;row=7758&amp;col=7&amp;number=0.00571&amp;sourceID=14","0.00571")</f>
        <v>0.00571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HYPERLINK("http://141.218.60.56/~jnz1568/getInfo.php?workbook=20_05.xlsx&amp;sheet=U0&amp;row=7759&amp;col=6&amp;number=4.5&amp;sourceID=14","4.5")</f>
        <v>4.5</v>
      </c>
      <c r="G7759" s="4" t="str">
        <f>HYPERLINK("http://141.218.60.56/~jnz1568/getInfo.php?workbook=20_05.xlsx&amp;sheet=U0&amp;row=7759&amp;col=7&amp;number=0.00571&amp;sourceID=14","0.00571")</f>
        <v>0.00571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HYPERLINK("http://141.218.60.56/~jnz1568/getInfo.php?workbook=20_05.xlsx&amp;sheet=U0&amp;row=7760&amp;col=6&amp;number=4.6&amp;sourceID=14","4.6")</f>
        <v>4.6</v>
      </c>
      <c r="G7760" s="4" t="str">
        <f>HYPERLINK("http://141.218.60.56/~jnz1568/getInfo.php?workbook=20_05.xlsx&amp;sheet=U0&amp;row=7760&amp;col=7&amp;number=0.00572&amp;sourceID=14","0.00572")</f>
        <v>0.00572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HYPERLINK("http://141.218.60.56/~jnz1568/getInfo.php?workbook=20_05.xlsx&amp;sheet=U0&amp;row=7761&amp;col=6&amp;number=4.7&amp;sourceID=14","4.7")</f>
        <v>4.7</v>
      </c>
      <c r="G7761" s="4" t="str">
        <f>HYPERLINK("http://141.218.60.56/~jnz1568/getInfo.php?workbook=20_05.xlsx&amp;sheet=U0&amp;row=7761&amp;col=7&amp;number=0.00573&amp;sourceID=14","0.00573")</f>
        <v>0.00573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HYPERLINK("http://141.218.60.56/~jnz1568/getInfo.php?workbook=20_05.xlsx&amp;sheet=U0&amp;row=7762&amp;col=6&amp;number=4.8&amp;sourceID=14","4.8")</f>
        <v>4.8</v>
      </c>
      <c r="G7762" s="4" t="str">
        <f>HYPERLINK("http://141.218.60.56/~jnz1568/getInfo.php?workbook=20_05.xlsx&amp;sheet=U0&amp;row=7762&amp;col=7&amp;number=0.00573&amp;sourceID=14","0.00573")</f>
        <v>0.00573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HYPERLINK("http://141.218.60.56/~jnz1568/getInfo.php?workbook=20_05.xlsx&amp;sheet=U0&amp;row=7763&amp;col=6&amp;number=4.9&amp;sourceID=14","4.9")</f>
        <v>4.9</v>
      </c>
      <c r="G7763" s="4" t="str">
        <f>HYPERLINK("http://141.218.60.56/~jnz1568/getInfo.php?workbook=20_05.xlsx&amp;sheet=U0&amp;row=7763&amp;col=7&amp;number=0.00574&amp;sourceID=14","0.00574")</f>
        <v>0.00574</v>
      </c>
    </row>
    <row r="7764" spans="1:7">
      <c r="A7764" s="3">
        <v>20</v>
      </c>
      <c r="B7764" s="3">
        <v>5</v>
      </c>
      <c r="C7764" s="3">
        <v>4</v>
      </c>
      <c r="D7764" s="3">
        <v>26</v>
      </c>
      <c r="E7764" s="3">
        <v>1</v>
      </c>
      <c r="F7764" s="4" t="str">
        <f>HYPERLINK("http://141.218.60.56/~jnz1568/getInfo.php?workbook=20_05.xlsx&amp;sheet=U0&amp;row=7764&amp;col=6&amp;number=3&amp;sourceID=14","3")</f>
        <v>3</v>
      </c>
      <c r="G7764" s="4" t="str">
        <f>HYPERLINK("http://141.218.60.56/~jnz1568/getInfo.php?workbook=20_05.xlsx&amp;sheet=U0&amp;row=7764&amp;col=7&amp;number=0.000798&amp;sourceID=14","0.000798")</f>
        <v>0.000798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HYPERLINK("http://141.218.60.56/~jnz1568/getInfo.php?workbook=20_05.xlsx&amp;sheet=U0&amp;row=7765&amp;col=6&amp;number=3.1&amp;sourceID=14","3.1")</f>
        <v>3.1</v>
      </c>
      <c r="G7765" s="4" t="str">
        <f>HYPERLINK("http://141.218.60.56/~jnz1568/getInfo.php?workbook=20_05.xlsx&amp;sheet=U0&amp;row=7765&amp;col=7&amp;number=0.000798&amp;sourceID=14","0.000798")</f>
        <v>0.000798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HYPERLINK("http://141.218.60.56/~jnz1568/getInfo.php?workbook=20_05.xlsx&amp;sheet=U0&amp;row=7766&amp;col=6&amp;number=3.2&amp;sourceID=14","3.2")</f>
        <v>3.2</v>
      </c>
      <c r="G7766" s="4" t="str">
        <f>HYPERLINK("http://141.218.60.56/~jnz1568/getInfo.php?workbook=20_05.xlsx&amp;sheet=U0&amp;row=7766&amp;col=7&amp;number=0.000798&amp;sourceID=14","0.000798")</f>
        <v>0.000798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HYPERLINK("http://141.218.60.56/~jnz1568/getInfo.php?workbook=20_05.xlsx&amp;sheet=U0&amp;row=7767&amp;col=6&amp;number=3.3&amp;sourceID=14","3.3")</f>
        <v>3.3</v>
      </c>
      <c r="G7767" s="4" t="str">
        <f>HYPERLINK("http://141.218.60.56/~jnz1568/getInfo.php?workbook=20_05.xlsx&amp;sheet=U0&amp;row=7767&amp;col=7&amp;number=0.000799&amp;sourceID=14","0.000799")</f>
        <v>0.000799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HYPERLINK("http://141.218.60.56/~jnz1568/getInfo.php?workbook=20_05.xlsx&amp;sheet=U0&amp;row=7768&amp;col=6&amp;number=3.4&amp;sourceID=14","3.4")</f>
        <v>3.4</v>
      </c>
      <c r="G7768" s="4" t="str">
        <f>HYPERLINK("http://141.218.60.56/~jnz1568/getInfo.php?workbook=20_05.xlsx&amp;sheet=U0&amp;row=7768&amp;col=7&amp;number=0.000799&amp;sourceID=14","0.000799")</f>
        <v>0.000799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HYPERLINK("http://141.218.60.56/~jnz1568/getInfo.php?workbook=20_05.xlsx&amp;sheet=U0&amp;row=7769&amp;col=6&amp;number=3.5&amp;sourceID=14","3.5")</f>
        <v>3.5</v>
      </c>
      <c r="G7769" s="4" t="str">
        <f>HYPERLINK("http://141.218.60.56/~jnz1568/getInfo.php?workbook=20_05.xlsx&amp;sheet=U0&amp;row=7769&amp;col=7&amp;number=0.000799&amp;sourceID=14","0.000799")</f>
        <v>0.000799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HYPERLINK("http://141.218.60.56/~jnz1568/getInfo.php?workbook=20_05.xlsx&amp;sheet=U0&amp;row=7770&amp;col=6&amp;number=3.6&amp;sourceID=14","3.6")</f>
        <v>3.6</v>
      </c>
      <c r="G7770" s="4" t="str">
        <f>HYPERLINK("http://141.218.60.56/~jnz1568/getInfo.php?workbook=20_05.xlsx&amp;sheet=U0&amp;row=7770&amp;col=7&amp;number=0.000799&amp;sourceID=14","0.000799")</f>
        <v>0.000799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HYPERLINK("http://141.218.60.56/~jnz1568/getInfo.php?workbook=20_05.xlsx&amp;sheet=U0&amp;row=7771&amp;col=6&amp;number=3.7&amp;sourceID=14","3.7")</f>
        <v>3.7</v>
      </c>
      <c r="G7771" s="4" t="str">
        <f>HYPERLINK("http://141.218.60.56/~jnz1568/getInfo.php?workbook=20_05.xlsx&amp;sheet=U0&amp;row=7771&amp;col=7&amp;number=0.000799&amp;sourceID=14","0.000799")</f>
        <v>0.000799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HYPERLINK("http://141.218.60.56/~jnz1568/getInfo.php?workbook=20_05.xlsx&amp;sheet=U0&amp;row=7772&amp;col=6&amp;number=3.8&amp;sourceID=14","3.8")</f>
        <v>3.8</v>
      </c>
      <c r="G7772" s="4" t="str">
        <f>HYPERLINK("http://141.218.60.56/~jnz1568/getInfo.php?workbook=20_05.xlsx&amp;sheet=U0&amp;row=7772&amp;col=7&amp;number=0.000799&amp;sourceID=14","0.000799")</f>
        <v>0.000799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HYPERLINK("http://141.218.60.56/~jnz1568/getInfo.php?workbook=20_05.xlsx&amp;sheet=U0&amp;row=7773&amp;col=6&amp;number=3.9&amp;sourceID=14","3.9")</f>
        <v>3.9</v>
      </c>
      <c r="G7773" s="4" t="str">
        <f>HYPERLINK("http://141.218.60.56/~jnz1568/getInfo.php?workbook=20_05.xlsx&amp;sheet=U0&amp;row=7773&amp;col=7&amp;number=0.000799&amp;sourceID=14","0.000799")</f>
        <v>0.000799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HYPERLINK("http://141.218.60.56/~jnz1568/getInfo.php?workbook=20_05.xlsx&amp;sheet=U0&amp;row=7774&amp;col=6&amp;number=4&amp;sourceID=14","4")</f>
        <v>4</v>
      </c>
      <c r="G7774" s="4" t="str">
        <f>HYPERLINK("http://141.218.60.56/~jnz1568/getInfo.php?workbook=20_05.xlsx&amp;sheet=U0&amp;row=7774&amp;col=7&amp;number=0.000799&amp;sourceID=14","0.000799")</f>
        <v>0.000799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HYPERLINK("http://141.218.60.56/~jnz1568/getInfo.php?workbook=20_05.xlsx&amp;sheet=U0&amp;row=7775&amp;col=6&amp;number=4.1&amp;sourceID=14","4.1")</f>
        <v>4.1</v>
      </c>
      <c r="G7775" s="4" t="str">
        <f>HYPERLINK("http://141.218.60.56/~jnz1568/getInfo.php?workbook=20_05.xlsx&amp;sheet=U0&amp;row=7775&amp;col=7&amp;number=0.0008&amp;sourceID=14","0.0008")</f>
        <v>0.0008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HYPERLINK("http://141.218.60.56/~jnz1568/getInfo.php?workbook=20_05.xlsx&amp;sheet=U0&amp;row=7776&amp;col=6&amp;number=4.2&amp;sourceID=14","4.2")</f>
        <v>4.2</v>
      </c>
      <c r="G7776" s="4" t="str">
        <f>HYPERLINK("http://141.218.60.56/~jnz1568/getInfo.php?workbook=20_05.xlsx&amp;sheet=U0&amp;row=7776&amp;col=7&amp;number=0.0008&amp;sourceID=14","0.0008")</f>
        <v>0.0008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HYPERLINK("http://141.218.60.56/~jnz1568/getInfo.php?workbook=20_05.xlsx&amp;sheet=U0&amp;row=7777&amp;col=6&amp;number=4.3&amp;sourceID=14","4.3")</f>
        <v>4.3</v>
      </c>
      <c r="G7777" s="4" t="str">
        <f>HYPERLINK("http://141.218.60.56/~jnz1568/getInfo.php?workbook=20_05.xlsx&amp;sheet=U0&amp;row=7777&amp;col=7&amp;number=0.000801&amp;sourceID=14","0.000801")</f>
        <v>0.000801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HYPERLINK("http://141.218.60.56/~jnz1568/getInfo.php?workbook=20_05.xlsx&amp;sheet=U0&amp;row=7778&amp;col=6&amp;number=4.4&amp;sourceID=14","4.4")</f>
        <v>4.4</v>
      </c>
      <c r="G7778" s="4" t="str">
        <f>HYPERLINK("http://141.218.60.56/~jnz1568/getInfo.php?workbook=20_05.xlsx&amp;sheet=U0&amp;row=7778&amp;col=7&amp;number=0.000801&amp;sourceID=14","0.000801")</f>
        <v>0.000801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HYPERLINK("http://141.218.60.56/~jnz1568/getInfo.php?workbook=20_05.xlsx&amp;sheet=U0&amp;row=7779&amp;col=6&amp;number=4.5&amp;sourceID=14","4.5")</f>
        <v>4.5</v>
      </c>
      <c r="G7779" s="4" t="str">
        <f>HYPERLINK("http://141.218.60.56/~jnz1568/getInfo.php?workbook=20_05.xlsx&amp;sheet=U0&amp;row=7779&amp;col=7&amp;number=0.000802&amp;sourceID=14","0.000802")</f>
        <v>0.000802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HYPERLINK("http://141.218.60.56/~jnz1568/getInfo.php?workbook=20_05.xlsx&amp;sheet=U0&amp;row=7780&amp;col=6&amp;number=4.6&amp;sourceID=14","4.6")</f>
        <v>4.6</v>
      </c>
      <c r="G7780" s="4" t="str">
        <f>HYPERLINK("http://141.218.60.56/~jnz1568/getInfo.php?workbook=20_05.xlsx&amp;sheet=U0&amp;row=7780&amp;col=7&amp;number=0.000803&amp;sourceID=14","0.000803")</f>
        <v>0.000803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HYPERLINK("http://141.218.60.56/~jnz1568/getInfo.php?workbook=20_05.xlsx&amp;sheet=U0&amp;row=7781&amp;col=6&amp;number=4.7&amp;sourceID=14","4.7")</f>
        <v>4.7</v>
      </c>
      <c r="G7781" s="4" t="str">
        <f>HYPERLINK("http://141.218.60.56/~jnz1568/getInfo.php?workbook=20_05.xlsx&amp;sheet=U0&amp;row=7781&amp;col=7&amp;number=0.000804&amp;sourceID=14","0.000804")</f>
        <v>0.000804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HYPERLINK("http://141.218.60.56/~jnz1568/getInfo.php?workbook=20_05.xlsx&amp;sheet=U0&amp;row=7782&amp;col=6&amp;number=4.8&amp;sourceID=14","4.8")</f>
        <v>4.8</v>
      </c>
      <c r="G7782" s="4" t="str">
        <f>HYPERLINK("http://141.218.60.56/~jnz1568/getInfo.php?workbook=20_05.xlsx&amp;sheet=U0&amp;row=7782&amp;col=7&amp;number=0.000806&amp;sourceID=14","0.000806")</f>
        <v>0.000806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HYPERLINK("http://141.218.60.56/~jnz1568/getInfo.php?workbook=20_05.xlsx&amp;sheet=U0&amp;row=7783&amp;col=6&amp;number=4.9&amp;sourceID=14","4.9")</f>
        <v>4.9</v>
      </c>
      <c r="G7783" s="4" t="str">
        <f>HYPERLINK("http://141.218.60.56/~jnz1568/getInfo.php?workbook=20_05.xlsx&amp;sheet=U0&amp;row=7783&amp;col=7&amp;number=0.000808&amp;sourceID=14","0.000808")</f>
        <v>0.000808</v>
      </c>
    </row>
    <row r="7784" spans="1:7">
      <c r="A7784" s="3">
        <v>20</v>
      </c>
      <c r="B7784" s="3">
        <v>5</v>
      </c>
      <c r="C7784" s="3">
        <v>4</v>
      </c>
      <c r="D7784" s="3">
        <v>27</v>
      </c>
      <c r="E7784" s="3">
        <v>1</v>
      </c>
      <c r="F7784" s="4" t="str">
        <f>HYPERLINK("http://141.218.60.56/~jnz1568/getInfo.php?workbook=20_05.xlsx&amp;sheet=U0&amp;row=7784&amp;col=6&amp;number=3&amp;sourceID=14","3")</f>
        <v>3</v>
      </c>
      <c r="G7784" s="4" t="str">
        <f>HYPERLINK("http://141.218.60.56/~jnz1568/getInfo.php?workbook=20_05.xlsx&amp;sheet=U0&amp;row=7784&amp;col=7&amp;number=0.000391&amp;sourceID=14","0.000391")</f>
        <v>0.000391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HYPERLINK("http://141.218.60.56/~jnz1568/getInfo.php?workbook=20_05.xlsx&amp;sheet=U0&amp;row=7785&amp;col=6&amp;number=3.1&amp;sourceID=14","3.1")</f>
        <v>3.1</v>
      </c>
      <c r="G7785" s="4" t="str">
        <f>HYPERLINK("http://141.218.60.56/~jnz1568/getInfo.php?workbook=20_05.xlsx&amp;sheet=U0&amp;row=7785&amp;col=7&amp;number=0.000391&amp;sourceID=14","0.000391")</f>
        <v>0.000391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HYPERLINK("http://141.218.60.56/~jnz1568/getInfo.php?workbook=20_05.xlsx&amp;sheet=U0&amp;row=7786&amp;col=6&amp;number=3.2&amp;sourceID=14","3.2")</f>
        <v>3.2</v>
      </c>
      <c r="G7786" s="4" t="str">
        <f>HYPERLINK("http://141.218.60.56/~jnz1568/getInfo.php?workbook=20_05.xlsx&amp;sheet=U0&amp;row=7786&amp;col=7&amp;number=0.000391&amp;sourceID=14","0.000391")</f>
        <v>0.000391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HYPERLINK("http://141.218.60.56/~jnz1568/getInfo.php?workbook=20_05.xlsx&amp;sheet=U0&amp;row=7787&amp;col=6&amp;number=3.3&amp;sourceID=14","3.3")</f>
        <v>3.3</v>
      </c>
      <c r="G7787" s="4" t="str">
        <f>HYPERLINK("http://141.218.60.56/~jnz1568/getInfo.php?workbook=20_05.xlsx&amp;sheet=U0&amp;row=7787&amp;col=7&amp;number=0.000391&amp;sourceID=14","0.000391")</f>
        <v>0.000391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HYPERLINK("http://141.218.60.56/~jnz1568/getInfo.php?workbook=20_05.xlsx&amp;sheet=U0&amp;row=7788&amp;col=6&amp;number=3.4&amp;sourceID=14","3.4")</f>
        <v>3.4</v>
      </c>
      <c r="G7788" s="4" t="str">
        <f>HYPERLINK("http://141.218.60.56/~jnz1568/getInfo.php?workbook=20_05.xlsx&amp;sheet=U0&amp;row=7788&amp;col=7&amp;number=0.000391&amp;sourceID=14","0.000391")</f>
        <v>0.000391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HYPERLINK("http://141.218.60.56/~jnz1568/getInfo.php?workbook=20_05.xlsx&amp;sheet=U0&amp;row=7789&amp;col=6&amp;number=3.5&amp;sourceID=14","3.5")</f>
        <v>3.5</v>
      </c>
      <c r="G7789" s="4" t="str">
        <f>HYPERLINK("http://141.218.60.56/~jnz1568/getInfo.php?workbook=20_05.xlsx&amp;sheet=U0&amp;row=7789&amp;col=7&amp;number=0.000391&amp;sourceID=14","0.000391")</f>
        <v>0.000391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HYPERLINK("http://141.218.60.56/~jnz1568/getInfo.php?workbook=20_05.xlsx&amp;sheet=U0&amp;row=7790&amp;col=6&amp;number=3.6&amp;sourceID=14","3.6")</f>
        <v>3.6</v>
      </c>
      <c r="G7790" s="4" t="str">
        <f>HYPERLINK("http://141.218.60.56/~jnz1568/getInfo.php?workbook=20_05.xlsx&amp;sheet=U0&amp;row=7790&amp;col=7&amp;number=0.000391&amp;sourceID=14","0.000391")</f>
        <v>0.000391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HYPERLINK("http://141.218.60.56/~jnz1568/getInfo.php?workbook=20_05.xlsx&amp;sheet=U0&amp;row=7791&amp;col=6&amp;number=3.7&amp;sourceID=14","3.7")</f>
        <v>3.7</v>
      </c>
      <c r="G7791" s="4" t="str">
        <f>HYPERLINK("http://141.218.60.56/~jnz1568/getInfo.php?workbook=20_05.xlsx&amp;sheet=U0&amp;row=7791&amp;col=7&amp;number=0.000391&amp;sourceID=14","0.000391")</f>
        <v>0.000391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HYPERLINK("http://141.218.60.56/~jnz1568/getInfo.php?workbook=20_05.xlsx&amp;sheet=U0&amp;row=7792&amp;col=6&amp;number=3.8&amp;sourceID=14","3.8")</f>
        <v>3.8</v>
      </c>
      <c r="G7792" s="4" t="str">
        <f>HYPERLINK("http://141.218.60.56/~jnz1568/getInfo.php?workbook=20_05.xlsx&amp;sheet=U0&amp;row=7792&amp;col=7&amp;number=0.000391&amp;sourceID=14","0.000391")</f>
        <v>0.000391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HYPERLINK("http://141.218.60.56/~jnz1568/getInfo.php?workbook=20_05.xlsx&amp;sheet=U0&amp;row=7793&amp;col=6&amp;number=3.9&amp;sourceID=14","3.9")</f>
        <v>3.9</v>
      </c>
      <c r="G7793" s="4" t="str">
        <f>HYPERLINK("http://141.218.60.56/~jnz1568/getInfo.php?workbook=20_05.xlsx&amp;sheet=U0&amp;row=7793&amp;col=7&amp;number=0.000391&amp;sourceID=14","0.000391")</f>
        <v>0.000391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HYPERLINK("http://141.218.60.56/~jnz1568/getInfo.php?workbook=20_05.xlsx&amp;sheet=U0&amp;row=7794&amp;col=6&amp;number=4&amp;sourceID=14","4")</f>
        <v>4</v>
      </c>
      <c r="G7794" s="4" t="str">
        <f>HYPERLINK("http://141.218.60.56/~jnz1568/getInfo.php?workbook=20_05.xlsx&amp;sheet=U0&amp;row=7794&amp;col=7&amp;number=0.000391&amp;sourceID=14","0.000391")</f>
        <v>0.000391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HYPERLINK("http://141.218.60.56/~jnz1568/getInfo.php?workbook=20_05.xlsx&amp;sheet=U0&amp;row=7795&amp;col=6&amp;number=4.1&amp;sourceID=14","4.1")</f>
        <v>4.1</v>
      </c>
      <c r="G7795" s="4" t="str">
        <f>HYPERLINK("http://141.218.60.56/~jnz1568/getInfo.php?workbook=20_05.xlsx&amp;sheet=U0&amp;row=7795&amp;col=7&amp;number=0.000391&amp;sourceID=14","0.000391")</f>
        <v>0.000391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HYPERLINK("http://141.218.60.56/~jnz1568/getInfo.php?workbook=20_05.xlsx&amp;sheet=U0&amp;row=7796&amp;col=6&amp;number=4.2&amp;sourceID=14","4.2")</f>
        <v>4.2</v>
      </c>
      <c r="G7796" s="4" t="str">
        <f>HYPERLINK("http://141.218.60.56/~jnz1568/getInfo.php?workbook=20_05.xlsx&amp;sheet=U0&amp;row=7796&amp;col=7&amp;number=0.000391&amp;sourceID=14","0.000391")</f>
        <v>0.000391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HYPERLINK("http://141.218.60.56/~jnz1568/getInfo.php?workbook=20_05.xlsx&amp;sheet=U0&amp;row=7797&amp;col=6&amp;number=4.3&amp;sourceID=14","4.3")</f>
        <v>4.3</v>
      </c>
      <c r="G7797" s="4" t="str">
        <f>HYPERLINK("http://141.218.60.56/~jnz1568/getInfo.php?workbook=20_05.xlsx&amp;sheet=U0&amp;row=7797&amp;col=7&amp;number=0.00039&amp;sourceID=14","0.00039")</f>
        <v>0.00039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HYPERLINK("http://141.218.60.56/~jnz1568/getInfo.php?workbook=20_05.xlsx&amp;sheet=U0&amp;row=7798&amp;col=6&amp;number=4.4&amp;sourceID=14","4.4")</f>
        <v>4.4</v>
      </c>
      <c r="G7798" s="4" t="str">
        <f>HYPERLINK("http://141.218.60.56/~jnz1568/getInfo.php?workbook=20_05.xlsx&amp;sheet=U0&amp;row=7798&amp;col=7&amp;number=0.00039&amp;sourceID=14","0.00039")</f>
        <v>0.00039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HYPERLINK("http://141.218.60.56/~jnz1568/getInfo.php?workbook=20_05.xlsx&amp;sheet=U0&amp;row=7799&amp;col=6&amp;number=4.5&amp;sourceID=14","4.5")</f>
        <v>4.5</v>
      </c>
      <c r="G7799" s="4" t="str">
        <f>HYPERLINK("http://141.218.60.56/~jnz1568/getInfo.php?workbook=20_05.xlsx&amp;sheet=U0&amp;row=7799&amp;col=7&amp;number=0.00039&amp;sourceID=14","0.00039")</f>
        <v>0.00039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HYPERLINK("http://141.218.60.56/~jnz1568/getInfo.php?workbook=20_05.xlsx&amp;sheet=U0&amp;row=7800&amp;col=6&amp;number=4.6&amp;sourceID=14","4.6")</f>
        <v>4.6</v>
      </c>
      <c r="G7800" s="4" t="str">
        <f>HYPERLINK("http://141.218.60.56/~jnz1568/getInfo.php?workbook=20_05.xlsx&amp;sheet=U0&amp;row=7800&amp;col=7&amp;number=0.00039&amp;sourceID=14","0.00039")</f>
        <v>0.00039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HYPERLINK("http://141.218.60.56/~jnz1568/getInfo.php?workbook=20_05.xlsx&amp;sheet=U0&amp;row=7801&amp;col=6&amp;number=4.7&amp;sourceID=14","4.7")</f>
        <v>4.7</v>
      </c>
      <c r="G7801" s="4" t="str">
        <f>HYPERLINK("http://141.218.60.56/~jnz1568/getInfo.php?workbook=20_05.xlsx&amp;sheet=U0&amp;row=7801&amp;col=7&amp;number=0.00039&amp;sourceID=14","0.00039")</f>
        <v>0.00039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HYPERLINK("http://141.218.60.56/~jnz1568/getInfo.php?workbook=20_05.xlsx&amp;sheet=U0&amp;row=7802&amp;col=6&amp;number=4.8&amp;sourceID=14","4.8")</f>
        <v>4.8</v>
      </c>
      <c r="G7802" s="4" t="str">
        <f>HYPERLINK("http://141.218.60.56/~jnz1568/getInfo.php?workbook=20_05.xlsx&amp;sheet=U0&amp;row=7802&amp;col=7&amp;number=0.000389&amp;sourceID=14","0.000389")</f>
        <v>0.000389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HYPERLINK("http://141.218.60.56/~jnz1568/getInfo.php?workbook=20_05.xlsx&amp;sheet=U0&amp;row=7803&amp;col=6&amp;number=4.9&amp;sourceID=14","4.9")</f>
        <v>4.9</v>
      </c>
      <c r="G7803" s="4" t="str">
        <f>HYPERLINK("http://141.218.60.56/~jnz1568/getInfo.php?workbook=20_05.xlsx&amp;sheet=U0&amp;row=7803&amp;col=7&amp;number=0.000389&amp;sourceID=14","0.000389")</f>
        <v>0.000389</v>
      </c>
    </row>
    <row r="7804" spans="1:7">
      <c r="A7804" s="3">
        <v>20</v>
      </c>
      <c r="B7804" s="3">
        <v>5</v>
      </c>
      <c r="C7804" s="3">
        <v>4</v>
      </c>
      <c r="D7804" s="3">
        <v>28</v>
      </c>
      <c r="E7804" s="3">
        <v>1</v>
      </c>
      <c r="F7804" s="4" t="str">
        <f>HYPERLINK("http://141.218.60.56/~jnz1568/getInfo.php?workbook=20_05.xlsx&amp;sheet=U0&amp;row=7804&amp;col=6&amp;number=3&amp;sourceID=14","3")</f>
        <v>3</v>
      </c>
      <c r="G7804" s="4" t="str">
        <f>HYPERLINK("http://141.218.60.56/~jnz1568/getInfo.php?workbook=20_05.xlsx&amp;sheet=U0&amp;row=7804&amp;col=7&amp;number=0.000103&amp;sourceID=14","0.000103")</f>
        <v>0.000103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HYPERLINK("http://141.218.60.56/~jnz1568/getInfo.php?workbook=20_05.xlsx&amp;sheet=U0&amp;row=7805&amp;col=6&amp;number=3.1&amp;sourceID=14","3.1")</f>
        <v>3.1</v>
      </c>
      <c r="G7805" s="4" t="str">
        <f>HYPERLINK("http://141.218.60.56/~jnz1568/getInfo.php?workbook=20_05.xlsx&amp;sheet=U0&amp;row=7805&amp;col=7&amp;number=0.000103&amp;sourceID=14","0.000103")</f>
        <v>0.000103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HYPERLINK("http://141.218.60.56/~jnz1568/getInfo.php?workbook=20_05.xlsx&amp;sheet=U0&amp;row=7806&amp;col=6&amp;number=3.2&amp;sourceID=14","3.2")</f>
        <v>3.2</v>
      </c>
      <c r="G7806" s="4" t="str">
        <f>HYPERLINK("http://141.218.60.56/~jnz1568/getInfo.php?workbook=20_05.xlsx&amp;sheet=U0&amp;row=7806&amp;col=7&amp;number=0.000103&amp;sourceID=14","0.000103")</f>
        <v>0.000103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HYPERLINK("http://141.218.60.56/~jnz1568/getInfo.php?workbook=20_05.xlsx&amp;sheet=U0&amp;row=7807&amp;col=6&amp;number=3.3&amp;sourceID=14","3.3")</f>
        <v>3.3</v>
      </c>
      <c r="G7807" s="4" t="str">
        <f>HYPERLINK("http://141.218.60.56/~jnz1568/getInfo.php?workbook=20_05.xlsx&amp;sheet=U0&amp;row=7807&amp;col=7&amp;number=0.000103&amp;sourceID=14","0.000103")</f>
        <v>0.000103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HYPERLINK("http://141.218.60.56/~jnz1568/getInfo.php?workbook=20_05.xlsx&amp;sheet=U0&amp;row=7808&amp;col=6&amp;number=3.4&amp;sourceID=14","3.4")</f>
        <v>3.4</v>
      </c>
      <c r="G7808" s="4" t="str">
        <f>HYPERLINK("http://141.218.60.56/~jnz1568/getInfo.php?workbook=20_05.xlsx&amp;sheet=U0&amp;row=7808&amp;col=7&amp;number=0.000103&amp;sourceID=14","0.000103")</f>
        <v>0.000103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HYPERLINK("http://141.218.60.56/~jnz1568/getInfo.php?workbook=20_05.xlsx&amp;sheet=U0&amp;row=7809&amp;col=6&amp;number=3.5&amp;sourceID=14","3.5")</f>
        <v>3.5</v>
      </c>
      <c r="G7809" s="4" t="str">
        <f>HYPERLINK("http://141.218.60.56/~jnz1568/getInfo.php?workbook=20_05.xlsx&amp;sheet=U0&amp;row=7809&amp;col=7&amp;number=0.000103&amp;sourceID=14","0.000103")</f>
        <v>0.000103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HYPERLINK("http://141.218.60.56/~jnz1568/getInfo.php?workbook=20_05.xlsx&amp;sheet=U0&amp;row=7810&amp;col=6&amp;number=3.6&amp;sourceID=14","3.6")</f>
        <v>3.6</v>
      </c>
      <c r="G7810" s="4" t="str">
        <f>HYPERLINK("http://141.218.60.56/~jnz1568/getInfo.php?workbook=20_05.xlsx&amp;sheet=U0&amp;row=7810&amp;col=7&amp;number=0.000103&amp;sourceID=14","0.000103")</f>
        <v>0.000103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HYPERLINK("http://141.218.60.56/~jnz1568/getInfo.php?workbook=20_05.xlsx&amp;sheet=U0&amp;row=7811&amp;col=6&amp;number=3.7&amp;sourceID=14","3.7")</f>
        <v>3.7</v>
      </c>
      <c r="G7811" s="4" t="str">
        <f>HYPERLINK("http://141.218.60.56/~jnz1568/getInfo.php?workbook=20_05.xlsx&amp;sheet=U0&amp;row=7811&amp;col=7&amp;number=0.000103&amp;sourceID=14","0.000103")</f>
        <v>0.000103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HYPERLINK("http://141.218.60.56/~jnz1568/getInfo.php?workbook=20_05.xlsx&amp;sheet=U0&amp;row=7812&amp;col=6&amp;number=3.8&amp;sourceID=14","3.8")</f>
        <v>3.8</v>
      </c>
      <c r="G7812" s="4" t="str">
        <f>HYPERLINK("http://141.218.60.56/~jnz1568/getInfo.php?workbook=20_05.xlsx&amp;sheet=U0&amp;row=7812&amp;col=7&amp;number=0.000103&amp;sourceID=14","0.000103")</f>
        <v>0.000103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HYPERLINK("http://141.218.60.56/~jnz1568/getInfo.php?workbook=20_05.xlsx&amp;sheet=U0&amp;row=7813&amp;col=6&amp;number=3.9&amp;sourceID=14","3.9")</f>
        <v>3.9</v>
      </c>
      <c r="G7813" s="4" t="str">
        <f>HYPERLINK("http://141.218.60.56/~jnz1568/getInfo.php?workbook=20_05.xlsx&amp;sheet=U0&amp;row=7813&amp;col=7&amp;number=0.000103&amp;sourceID=14","0.000103")</f>
        <v>0.000103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HYPERLINK("http://141.218.60.56/~jnz1568/getInfo.php?workbook=20_05.xlsx&amp;sheet=U0&amp;row=7814&amp;col=6&amp;number=4&amp;sourceID=14","4")</f>
        <v>4</v>
      </c>
      <c r="G7814" s="4" t="str">
        <f>HYPERLINK("http://141.218.60.56/~jnz1568/getInfo.php?workbook=20_05.xlsx&amp;sheet=U0&amp;row=7814&amp;col=7&amp;number=0.000103&amp;sourceID=14","0.000103")</f>
        <v>0.000103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HYPERLINK("http://141.218.60.56/~jnz1568/getInfo.php?workbook=20_05.xlsx&amp;sheet=U0&amp;row=7815&amp;col=6&amp;number=4.1&amp;sourceID=14","4.1")</f>
        <v>4.1</v>
      </c>
      <c r="G7815" s="4" t="str">
        <f>HYPERLINK("http://141.218.60.56/~jnz1568/getInfo.php?workbook=20_05.xlsx&amp;sheet=U0&amp;row=7815&amp;col=7&amp;number=0.000103&amp;sourceID=14","0.000103")</f>
        <v>0.000103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HYPERLINK("http://141.218.60.56/~jnz1568/getInfo.php?workbook=20_05.xlsx&amp;sheet=U0&amp;row=7816&amp;col=6&amp;number=4.2&amp;sourceID=14","4.2")</f>
        <v>4.2</v>
      </c>
      <c r="G7816" s="4" t="str">
        <f>HYPERLINK("http://141.218.60.56/~jnz1568/getInfo.php?workbook=20_05.xlsx&amp;sheet=U0&amp;row=7816&amp;col=7&amp;number=0.000103&amp;sourceID=14","0.000103")</f>
        <v>0.000103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HYPERLINK("http://141.218.60.56/~jnz1568/getInfo.php?workbook=20_05.xlsx&amp;sheet=U0&amp;row=7817&amp;col=6&amp;number=4.3&amp;sourceID=14","4.3")</f>
        <v>4.3</v>
      </c>
      <c r="G7817" s="4" t="str">
        <f>HYPERLINK("http://141.218.60.56/~jnz1568/getInfo.php?workbook=20_05.xlsx&amp;sheet=U0&amp;row=7817&amp;col=7&amp;number=0.000103&amp;sourceID=14","0.000103")</f>
        <v>0.000103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HYPERLINK("http://141.218.60.56/~jnz1568/getInfo.php?workbook=20_05.xlsx&amp;sheet=U0&amp;row=7818&amp;col=6&amp;number=4.4&amp;sourceID=14","4.4")</f>
        <v>4.4</v>
      </c>
      <c r="G7818" s="4" t="str">
        <f>HYPERLINK("http://141.218.60.56/~jnz1568/getInfo.php?workbook=20_05.xlsx&amp;sheet=U0&amp;row=7818&amp;col=7&amp;number=0.000103&amp;sourceID=14","0.000103")</f>
        <v>0.000103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HYPERLINK("http://141.218.60.56/~jnz1568/getInfo.php?workbook=20_05.xlsx&amp;sheet=U0&amp;row=7819&amp;col=6&amp;number=4.5&amp;sourceID=14","4.5")</f>
        <v>4.5</v>
      </c>
      <c r="G7819" s="4" t="str">
        <f>HYPERLINK("http://141.218.60.56/~jnz1568/getInfo.php?workbook=20_05.xlsx&amp;sheet=U0&amp;row=7819&amp;col=7&amp;number=0.000103&amp;sourceID=14","0.000103")</f>
        <v>0.000103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HYPERLINK("http://141.218.60.56/~jnz1568/getInfo.php?workbook=20_05.xlsx&amp;sheet=U0&amp;row=7820&amp;col=6&amp;number=4.6&amp;sourceID=14","4.6")</f>
        <v>4.6</v>
      </c>
      <c r="G7820" s="4" t="str">
        <f>HYPERLINK("http://141.218.60.56/~jnz1568/getInfo.php?workbook=20_05.xlsx&amp;sheet=U0&amp;row=7820&amp;col=7&amp;number=0.000103&amp;sourceID=14","0.000103")</f>
        <v>0.000103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HYPERLINK("http://141.218.60.56/~jnz1568/getInfo.php?workbook=20_05.xlsx&amp;sheet=U0&amp;row=7821&amp;col=6&amp;number=4.7&amp;sourceID=14","4.7")</f>
        <v>4.7</v>
      </c>
      <c r="G7821" s="4" t="str">
        <f>HYPERLINK("http://141.218.60.56/~jnz1568/getInfo.php?workbook=20_05.xlsx&amp;sheet=U0&amp;row=7821&amp;col=7&amp;number=0.000103&amp;sourceID=14","0.000103")</f>
        <v>0.000103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HYPERLINK("http://141.218.60.56/~jnz1568/getInfo.php?workbook=20_05.xlsx&amp;sheet=U0&amp;row=7822&amp;col=6&amp;number=4.8&amp;sourceID=14","4.8")</f>
        <v>4.8</v>
      </c>
      <c r="G7822" s="4" t="str">
        <f>HYPERLINK("http://141.218.60.56/~jnz1568/getInfo.php?workbook=20_05.xlsx&amp;sheet=U0&amp;row=7822&amp;col=7&amp;number=0.000103&amp;sourceID=14","0.000103")</f>
        <v>0.000103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HYPERLINK("http://141.218.60.56/~jnz1568/getInfo.php?workbook=20_05.xlsx&amp;sheet=U0&amp;row=7823&amp;col=6&amp;number=4.9&amp;sourceID=14","4.9")</f>
        <v>4.9</v>
      </c>
      <c r="G7823" s="4" t="str">
        <f>HYPERLINK("http://141.218.60.56/~jnz1568/getInfo.php?workbook=20_05.xlsx&amp;sheet=U0&amp;row=7823&amp;col=7&amp;number=0.000103&amp;sourceID=14","0.000103")</f>
        <v>0.000103</v>
      </c>
    </row>
    <row r="7824" spans="1:7">
      <c r="A7824" s="3">
        <v>20</v>
      </c>
      <c r="B7824" s="3">
        <v>5</v>
      </c>
      <c r="C7824" s="3">
        <v>4</v>
      </c>
      <c r="D7824" s="3">
        <v>29</v>
      </c>
      <c r="E7824" s="3">
        <v>1</v>
      </c>
      <c r="F7824" s="4" t="str">
        <f>HYPERLINK("http://141.218.60.56/~jnz1568/getInfo.php?workbook=20_05.xlsx&amp;sheet=U0&amp;row=7824&amp;col=6&amp;number=3&amp;sourceID=14","3")</f>
        <v>3</v>
      </c>
      <c r="G7824" s="4" t="str">
        <f>HYPERLINK("http://141.218.60.56/~jnz1568/getInfo.php?workbook=20_05.xlsx&amp;sheet=U0&amp;row=7824&amp;col=7&amp;number=2.89e-05&amp;sourceID=14","2.89e-05")</f>
        <v>2.89e-05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HYPERLINK("http://141.218.60.56/~jnz1568/getInfo.php?workbook=20_05.xlsx&amp;sheet=U0&amp;row=7825&amp;col=6&amp;number=3.1&amp;sourceID=14","3.1")</f>
        <v>3.1</v>
      </c>
      <c r="G7825" s="4" t="str">
        <f>HYPERLINK("http://141.218.60.56/~jnz1568/getInfo.php?workbook=20_05.xlsx&amp;sheet=U0&amp;row=7825&amp;col=7&amp;number=2.89e-05&amp;sourceID=14","2.89e-05")</f>
        <v>2.89e-05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HYPERLINK("http://141.218.60.56/~jnz1568/getInfo.php?workbook=20_05.xlsx&amp;sheet=U0&amp;row=7826&amp;col=6&amp;number=3.2&amp;sourceID=14","3.2")</f>
        <v>3.2</v>
      </c>
      <c r="G7826" s="4" t="str">
        <f>HYPERLINK("http://141.218.60.56/~jnz1568/getInfo.php?workbook=20_05.xlsx&amp;sheet=U0&amp;row=7826&amp;col=7&amp;number=2.89e-05&amp;sourceID=14","2.89e-05")</f>
        <v>2.89e-05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HYPERLINK("http://141.218.60.56/~jnz1568/getInfo.php?workbook=20_05.xlsx&amp;sheet=U0&amp;row=7827&amp;col=6&amp;number=3.3&amp;sourceID=14","3.3")</f>
        <v>3.3</v>
      </c>
      <c r="G7827" s="4" t="str">
        <f>HYPERLINK("http://141.218.60.56/~jnz1568/getInfo.php?workbook=20_05.xlsx&amp;sheet=U0&amp;row=7827&amp;col=7&amp;number=2.89e-05&amp;sourceID=14","2.89e-05")</f>
        <v>2.89e-05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HYPERLINK("http://141.218.60.56/~jnz1568/getInfo.php?workbook=20_05.xlsx&amp;sheet=U0&amp;row=7828&amp;col=6&amp;number=3.4&amp;sourceID=14","3.4")</f>
        <v>3.4</v>
      </c>
      <c r="G7828" s="4" t="str">
        <f>HYPERLINK("http://141.218.60.56/~jnz1568/getInfo.php?workbook=20_05.xlsx&amp;sheet=U0&amp;row=7828&amp;col=7&amp;number=2.89e-05&amp;sourceID=14","2.89e-05")</f>
        <v>2.89e-05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HYPERLINK("http://141.218.60.56/~jnz1568/getInfo.php?workbook=20_05.xlsx&amp;sheet=U0&amp;row=7829&amp;col=6&amp;number=3.5&amp;sourceID=14","3.5")</f>
        <v>3.5</v>
      </c>
      <c r="G7829" s="4" t="str">
        <f>HYPERLINK("http://141.218.60.56/~jnz1568/getInfo.php?workbook=20_05.xlsx&amp;sheet=U0&amp;row=7829&amp;col=7&amp;number=2.89e-05&amp;sourceID=14","2.89e-05")</f>
        <v>2.89e-05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HYPERLINK("http://141.218.60.56/~jnz1568/getInfo.php?workbook=20_05.xlsx&amp;sheet=U0&amp;row=7830&amp;col=6&amp;number=3.6&amp;sourceID=14","3.6")</f>
        <v>3.6</v>
      </c>
      <c r="G7830" s="4" t="str">
        <f>HYPERLINK("http://141.218.60.56/~jnz1568/getInfo.php?workbook=20_05.xlsx&amp;sheet=U0&amp;row=7830&amp;col=7&amp;number=2.89e-05&amp;sourceID=14","2.89e-05")</f>
        <v>2.89e-05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HYPERLINK("http://141.218.60.56/~jnz1568/getInfo.php?workbook=20_05.xlsx&amp;sheet=U0&amp;row=7831&amp;col=6&amp;number=3.7&amp;sourceID=14","3.7")</f>
        <v>3.7</v>
      </c>
      <c r="G7831" s="4" t="str">
        <f>HYPERLINK("http://141.218.60.56/~jnz1568/getInfo.php?workbook=20_05.xlsx&amp;sheet=U0&amp;row=7831&amp;col=7&amp;number=2.89e-05&amp;sourceID=14","2.89e-05")</f>
        <v>2.89e-05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HYPERLINK("http://141.218.60.56/~jnz1568/getInfo.php?workbook=20_05.xlsx&amp;sheet=U0&amp;row=7832&amp;col=6&amp;number=3.8&amp;sourceID=14","3.8")</f>
        <v>3.8</v>
      </c>
      <c r="G7832" s="4" t="str">
        <f>HYPERLINK("http://141.218.60.56/~jnz1568/getInfo.php?workbook=20_05.xlsx&amp;sheet=U0&amp;row=7832&amp;col=7&amp;number=2.89e-05&amp;sourceID=14","2.89e-05")</f>
        <v>2.89e-05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HYPERLINK("http://141.218.60.56/~jnz1568/getInfo.php?workbook=20_05.xlsx&amp;sheet=U0&amp;row=7833&amp;col=6&amp;number=3.9&amp;sourceID=14","3.9")</f>
        <v>3.9</v>
      </c>
      <c r="G7833" s="4" t="str">
        <f>HYPERLINK("http://141.218.60.56/~jnz1568/getInfo.php?workbook=20_05.xlsx&amp;sheet=U0&amp;row=7833&amp;col=7&amp;number=2.89e-05&amp;sourceID=14","2.89e-05")</f>
        <v>2.89e-05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HYPERLINK("http://141.218.60.56/~jnz1568/getInfo.php?workbook=20_05.xlsx&amp;sheet=U0&amp;row=7834&amp;col=6&amp;number=4&amp;sourceID=14","4")</f>
        <v>4</v>
      </c>
      <c r="G7834" s="4" t="str">
        <f>HYPERLINK("http://141.218.60.56/~jnz1568/getInfo.php?workbook=20_05.xlsx&amp;sheet=U0&amp;row=7834&amp;col=7&amp;number=2.89e-05&amp;sourceID=14","2.89e-05")</f>
        <v>2.89e-05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HYPERLINK("http://141.218.60.56/~jnz1568/getInfo.php?workbook=20_05.xlsx&amp;sheet=U0&amp;row=7835&amp;col=6&amp;number=4.1&amp;sourceID=14","4.1")</f>
        <v>4.1</v>
      </c>
      <c r="G7835" s="4" t="str">
        <f>HYPERLINK("http://141.218.60.56/~jnz1568/getInfo.php?workbook=20_05.xlsx&amp;sheet=U0&amp;row=7835&amp;col=7&amp;number=2.89e-05&amp;sourceID=14","2.89e-05")</f>
        <v>2.89e-05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HYPERLINK("http://141.218.60.56/~jnz1568/getInfo.php?workbook=20_05.xlsx&amp;sheet=U0&amp;row=7836&amp;col=6&amp;number=4.2&amp;sourceID=14","4.2")</f>
        <v>4.2</v>
      </c>
      <c r="G7836" s="4" t="str">
        <f>HYPERLINK("http://141.218.60.56/~jnz1568/getInfo.php?workbook=20_05.xlsx&amp;sheet=U0&amp;row=7836&amp;col=7&amp;number=2.88e-05&amp;sourceID=14","2.88e-05")</f>
        <v>2.88e-05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HYPERLINK("http://141.218.60.56/~jnz1568/getInfo.php?workbook=20_05.xlsx&amp;sheet=U0&amp;row=7837&amp;col=6&amp;number=4.3&amp;sourceID=14","4.3")</f>
        <v>4.3</v>
      </c>
      <c r="G7837" s="4" t="str">
        <f>HYPERLINK("http://141.218.60.56/~jnz1568/getInfo.php?workbook=20_05.xlsx&amp;sheet=U0&amp;row=7837&amp;col=7&amp;number=2.88e-05&amp;sourceID=14","2.88e-05")</f>
        <v>2.88e-05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HYPERLINK("http://141.218.60.56/~jnz1568/getInfo.php?workbook=20_05.xlsx&amp;sheet=U0&amp;row=7838&amp;col=6&amp;number=4.4&amp;sourceID=14","4.4")</f>
        <v>4.4</v>
      </c>
      <c r="G7838" s="4" t="str">
        <f>HYPERLINK("http://141.218.60.56/~jnz1568/getInfo.php?workbook=20_05.xlsx&amp;sheet=U0&amp;row=7838&amp;col=7&amp;number=2.88e-05&amp;sourceID=14","2.88e-05")</f>
        <v>2.88e-05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HYPERLINK("http://141.218.60.56/~jnz1568/getInfo.php?workbook=20_05.xlsx&amp;sheet=U0&amp;row=7839&amp;col=6&amp;number=4.5&amp;sourceID=14","4.5")</f>
        <v>4.5</v>
      </c>
      <c r="G7839" s="4" t="str">
        <f>HYPERLINK("http://141.218.60.56/~jnz1568/getInfo.php?workbook=20_05.xlsx&amp;sheet=U0&amp;row=7839&amp;col=7&amp;number=2.87e-05&amp;sourceID=14","2.87e-05")</f>
        <v>2.87e-05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HYPERLINK("http://141.218.60.56/~jnz1568/getInfo.php?workbook=20_05.xlsx&amp;sheet=U0&amp;row=7840&amp;col=6&amp;number=4.6&amp;sourceID=14","4.6")</f>
        <v>4.6</v>
      </c>
      <c r="G7840" s="4" t="str">
        <f>HYPERLINK("http://141.218.60.56/~jnz1568/getInfo.php?workbook=20_05.xlsx&amp;sheet=U0&amp;row=7840&amp;col=7&amp;number=2.87e-05&amp;sourceID=14","2.87e-05")</f>
        <v>2.87e-05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HYPERLINK("http://141.218.60.56/~jnz1568/getInfo.php?workbook=20_05.xlsx&amp;sheet=U0&amp;row=7841&amp;col=6&amp;number=4.7&amp;sourceID=14","4.7")</f>
        <v>4.7</v>
      </c>
      <c r="G7841" s="4" t="str">
        <f>HYPERLINK("http://141.218.60.56/~jnz1568/getInfo.php?workbook=20_05.xlsx&amp;sheet=U0&amp;row=7841&amp;col=7&amp;number=2.86e-05&amp;sourceID=14","2.86e-05")</f>
        <v>2.86e-05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HYPERLINK("http://141.218.60.56/~jnz1568/getInfo.php?workbook=20_05.xlsx&amp;sheet=U0&amp;row=7842&amp;col=6&amp;number=4.8&amp;sourceID=14","4.8")</f>
        <v>4.8</v>
      </c>
      <c r="G7842" s="4" t="str">
        <f>HYPERLINK("http://141.218.60.56/~jnz1568/getInfo.php?workbook=20_05.xlsx&amp;sheet=U0&amp;row=7842&amp;col=7&amp;number=2.85e-05&amp;sourceID=14","2.85e-05")</f>
        <v>2.85e-05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HYPERLINK("http://141.218.60.56/~jnz1568/getInfo.php?workbook=20_05.xlsx&amp;sheet=U0&amp;row=7843&amp;col=6&amp;number=4.9&amp;sourceID=14","4.9")</f>
        <v>4.9</v>
      </c>
      <c r="G7843" s="4" t="str">
        <f>HYPERLINK("http://141.218.60.56/~jnz1568/getInfo.php?workbook=20_05.xlsx&amp;sheet=U0&amp;row=7843&amp;col=7&amp;number=2.84e-05&amp;sourceID=14","2.84e-05")</f>
        <v>2.84e-05</v>
      </c>
    </row>
    <row r="7844" spans="1:7">
      <c r="A7844" s="3">
        <v>20</v>
      </c>
      <c r="B7844" s="3">
        <v>5</v>
      </c>
      <c r="C7844" s="3">
        <v>4</v>
      </c>
      <c r="D7844" s="3">
        <v>30</v>
      </c>
      <c r="E7844" s="3">
        <v>1</v>
      </c>
      <c r="F7844" s="4" t="str">
        <f>HYPERLINK("http://141.218.60.56/~jnz1568/getInfo.php?workbook=20_05.xlsx&amp;sheet=U0&amp;row=7844&amp;col=6&amp;number=3&amp;sourceID=14","3")</f>
        <v>3</v>
      </c>
      <c r="G7844" s="4" t="str">
        <f>HYPERLINK("http://141.218.60.56/~jnz1568/getInfo.php?workbook=20_05.xlsx&amp;sheet=U0&amp;row=7844&amp;col=7&amp;number=2.47e-06&amp;sourceID=14","2.47e-06")</f>
        <v>2.47e-06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HYPERLINK("http://141.218.60.56/~jnz1568/getInfo.php?workbook=20_05.xlsx&amp;sheet=U0&amp;row=7845&amp;col=6&amp;number=3.1&amp;sourceID=14","3.1")</f>
        <v>3.1</v>
      </c>
      <c r="G7845" s="4" t="str">
        <f>HYPERLINK("http://141.218.60.56/~jnz1568/getInfo.php?workbook=20_05.xlsx&amp;sheet=U0&amp;row=7845&amp;col=7&amp;number=2.47e-06&amp;sourceID=14","2.47e-06")</f>
        <v>2.47e-06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HYPERLINK("http://141.218.60.56/~jnz1568/getInfo.php?workbook=20_05.xlsx&amp;sheet=U0&amp;row=7846&amp;col=6&amp;number=3.2&amp;sourceID=14","3.2")</f>
        <v>3.2</v>
      </c>
      <c r="G7846" s="4" t="str">
        <f>HYPERLINK("http://141.218.60.56/~jnz1568/getInfo.php?workbook=20_05.xlsx&amp;sheet=U0&amp;row=7846&amp;col=7&amp;number=2.47e-06&amp;sourceID=14","2.47e-06")</f>
        <v>2.47e-06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HYPERLINK("http://141.218.60.56/~jnz1568/getInfo.php?workbook=20_05.xlsx&amp;sheet=U0&amp;row=7847&amp;col=6&amp;number=3.3&amp;sourceID=14","3.3")</f>
        <v>3.3</v>
      </c>
      <c r="G7847" s="4" t="str">
        <f>HYPERLINK("http://141.218.60.56/~jnz1568/getInfo.php?workbook=20_05.xlsx&amp;sheet=U0&amp;row=7847&amp;col=7&amp;number=2.47e-06&amp;sourceID=14","2.47e-06")</f>
        <v>2.47e-06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HYPERLINK("http://141.218.60.56/~jnz1568/getInfo.php?workbook=20_05.xlsx&amp;sheet=U0&amp;row=7848&amp;col=6&amp;number=3.4&amp;sourceID=14","3.4")</f>
        <v>3.4</v>
      </c>
      <c r="G7848" s="4" t="str">
        <f>HYPERLINK("http://141.218.60.56/~jnz1568/getInfo.php?workbook=20_05.xlsx&amp;sheet=U0&amp;row=7848&amp;col=7&amp;number=2.47e-06&amp;sourceID=14","2.47e-06")</f>
        <v>2.47e-06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HYPERLINK("http://141.218.60.56/~jnz1568/getInfo.php?workbook=20_05.xlsx&amp;sheet=U0&amp;row=7849&amp;col=6&amp;number=3.5&amp;sourceID=14","3.5")</f>
        <v>3.5</v>
      </c>
      <c r="G7849" s="4" t="str">
        <f>HYPERLINK("http://141.218.60.56/~jnz1568/getInfo.php?workbook=20_05.xlsx&amp;sheet=U0&amp;row=7849&amp;col=7&amp;number=2.47e-06&amp;sourceID=14","2.47e-06")</f>
        <v>2.47e-06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HYPERLINK("http://141.218.60.56/~jnz1568/getInfo.php?workbook=20_05.xlsx&amp;sheet=U0&amp;row=7850&amp;col=6&amp;number=3.6&amp;sourceID=14","3.6")</f>
        <v>3.6</v>
      </c>
      <c r="G7850" s="4" t="str">
        <f>HYPERLINK("http://141.218.60.56/~jnz1568/getInfo.php?workbook=20_05.xlsx&amp;sheet=U0&amp;row=7850&amp;col=7&amp;number=2.47e-06&amp;sourceID=14","2.47e-06")</f>
        <v>2.47e-06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HYPERLINK("http://141.218.60.56/~jnz1568/getInfo.php?workbook=20_05.xlsx&amp;sheet=U0&amp;row=7851&amp;col=6&amp;number=3.7&amp;sourceID=14","3.7")</f>
        <v>3.7</v>
      </c>
      <c r="G7851" s="4" t="str">
        <f>HYPERLINK("http://141.218.60.56/~jnz1568/getInfo.php?workbook=20_05.xlsx&amp;sheet=U0&amp;row=7851&amp;col=7&amp;number=2.47e-06&amp;sourceID=14","2.47e-06")</f>
        <v>2.47e-06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HYPERLINK("http://141.218.60.56/~jnz1568/getInfo.php?workbook=20_05.xlsx&amp;sheet=U0&amp;row=7852&amp;col=6&amp;number=3.8&amp;sourceID=14","3.8")</f>
        <v>3.8</v>
      </c>
      <c r="G7852" s="4" t="str">
        <f>HYPERLINK("http://141.218.60.56/~jnz1568/getInfo.php?workbook=20_05.xlsx&amp;sheet=U0&amp;row=7852&amp;col=7&amp;number=2.47e-06&amp;sourceID=14","2.47e-06")</f>
        <v>2.47e-06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HYPERLINK("http://141.218.60.56/~jnz1568/getInfo.php?workbook=20_05.xlsx&amp;sheet=U0&amp;row=7853&amp;col=6&amp;number=3.9&amp;sourceID=14","3.9")</f>
        <v>3.9</v>
      </c>
      <c r="G7853" s="4" t="str">
        <f>HYPERLINK("http://141.218.60.56/~jnz1568/getInfo.php?workbook=20_05.xlsx&amp;sheet=U0&amp;row=7853&amp;col=7&amp;number=2.47e-06&amp;sourceID=14","2.47e-06")</f>
        <v>2.47e-06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HYPERLINK("http://141.218.60.56/~jnz1568/getInfo.php?workbook=20_05.xlsx&amp;sheet=U0&amp;row=7854&amp;col=6&amp;number=4&amp;sourceID=14","4")</f>
        <v>4</v>
      </c>
      <c r="G7854" s="4" t="str">
        <f>HYPERLINK("http://141.218.60.56/~jnz1568/getInfo.php?workbook=20_05.xlsx&amp;sheet=U0&amp;row=7854&amp;col=7&amp;number=2.47e-06&amp;sourceID=14","2.47e-06")</f>
        <v>2.47e-06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HYPERLINK("http://141.218.60.56/~jnz1568/getInfo.php?workbook=20_05.xlsx&amp;sheet=U0&amp;row=7855&amp;col=6&amp;number=4.1&amp;sourceID=14","4.1")</f>
        <v>4.1</v>
      </c>
      <c r="G7855" s="4" t="str">
        <f>HYPERLINK("http://141.218.60.56/~jnz1568/getInfo.php?workbook=20_05.xlsx&amp;sheet=U0&amp;row=7855&amp;col=7&amp;number=2.47e-06&amp;sourceID=14","2.47e-06")</f>
        <v>2.47e-06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HYPERLINK("http://141.218.60.56/~jnz1568/getInfo.php?workbook=20_05.xlsx&amp;sheet=U0&amp;row=7856&amp;col=6&amp;number=4.2&amp;sourceID=14","4.2")</f>
        <v>4.2</v>
      </c>
      <c r="G7856" s="4" t="str">
        <f>HYPERLINK("http://141.218.60.56/~jnz1568/getInfo.php?workbook=20_05.xlsx&amp;sheet=U0&amp;row=7856&amp;col=7&amp;number=2.47e-06&amp;sourceID=14","2.47e-06")</f>
        <v>2.47e-06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HYPERLINK("http://141.218.60.56/~jnz1568/getInfo.php?workbook=20_05.xlsx&amp;sheet=U0&amp;row=7857&amp;col=6&amp;number=4.3&amp;sourceID=14","4.3")</f>
        <v>4.3</v>
      </c>
      <c r="G7857" s="4" t="str">
        <f>HYPERLINK("http://141.218.60.56/~jnz1568/getInfo.php?workbook=20_05.xlsx&amp;sheet=U0&amp;row=7857&amp;col=7&amp;number=2.47e-06&amp;sourceID=14","2.47e-06")</f>
        <v>2.47e-06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HYPERLINK("http://141.218.60.56/~jnz1568/getInfo.php?workbook=20_05.xlsx&amp;sheet=U0&amp;row=7858&amp;col=6&amp;number=4.4&amp;sourceID=14","4.4")</f>
        <v>4.4</v>
      </c>
      <c r="G7858" s="4" t="str">
        <f>HYPERLINK("http://141.218.60.56/~jnz1568/getInfo.php?workbook=20_05.xlsx&amp;sheet=U0&amp;row=7858&amp;col=7&amp;number=2.47e-06&amp;sourceID=14","2.47e-06")</f>
        <v>2.47e-06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HYPERLINK("http://141.218.60.56/~jnz1568/getInfo.php?workbook=20_05.xlsx&amp;sheet=U0&amp;row=7859&amp;col=6&amp;number=4.5&amp;sourceID=14","4.5")</f>
        <v>4.5</v>
      </c>
      <c r="G7859" s="4" t="str">
        <f>HYPERLINK("http://141.218.60.56/~jnz1568/getInfo.php?workbook=20_05.xlsx&amp;sheet=U0&amp;row=7859&amp;col=7&amp;number=2.47e-06&amp;sourceID=14","2.47e-06")</f>
        <v>2.47e-06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HYPERLINK("http://141.218.60.56/~jnz1568/getInfo.php?workbook=20_05.xlsx&amp;sheet=U0&amp;row=7860&amp;col=6&amp;number=4.6&amp;sourceID=14","4.6")</f>
        <v>4.6</v>
      </c>
      <c r="G7860" s="4" t="str">
        <f>HYPERLINK("http://141.218.60.56/~jnz1568/getInfo.php?workbook=20_05.xlsx&amp;sheet=U0&amp;row=7860&amp;col=7&amp;number=2.48e-06&amp;sourceID=14","2.48e-06")</f>
        <v>2.48e-06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HYPERLINK("http://141.218.60.56/~jnz1568/getInfo.php?workbook=20_05.xlsx&amp;sheet=U0&amp;row=7861&amp;col=6&amp;number=4.7&amp;sourceID=14","4.7")</f>
        <v>4.7</v>
      </c>
      <c r="G7861" s="4" t="str">
        <f>HYPERLINK("http://141.218.60.56/~jnz1568/getInfo.php?workbook=20_05.xlsx&amp;sheet=U0&amp;row=7861&amp;col=7&amp;number=2.48e-06&amp;sourceID=14","2.48e-06")</f>
        <v>2.48e-06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HYPERLINK("http://141.218.60.56/~jnz1568/getInfo.php?workbook=20_05.xlsx&amp;sheet=U0&amp;row=7862&amp;col=6&amp;number=4.8&amp;sourceID=14","4.8")</f>
        <v>4.8</v>
      </c>
      <c r="G7862" s="4" t="str">
        <f>HYPERLINK("http://141.218.60.56/~jnz1568/getInfo.php?workbook=20_05.xlsx&amp;sheet=U0&amp;row=7862&amp;col=7&amp;number=2.48e-06&amp;sourceID=14","2.48e-06")</f>
        <v>2.48e-06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HYPERLINK("http://141.218.60.56/~jnz1568/getInfo.php?workbook=20_05.xlsx&amp;sheet=U0&amp;row=7863&amp;col=6&amp;number=4.9&amp;sourceID=14","4.9")</f>
        <v>4.9</v>
      </c>
      <c r="G7863" s="4" t="str">
        <f>HYPERLINK("http://141.218.60.56/~jnz1568/getInfo.php?workbook=20_05.xlsx&amp;sheet=U0&amp;row=7863&amp;col=7&amp;number=2.48e-06&amp;sourceID=14","2.48e-06")</f>
        <v>2.48e-06</v>
      </c>
    </row>
    <row r="7864" spans="1:7">
      <c r="A7864" s="3">
        <v>20</v>
      </c>
      <c r="B7864" s="3">
        <v>5</v>
      </c>
      <c r="C7864" s="3">
        <v>4</v>
      </c>
      <c r="D7864" s="3">
        <v>32</v>
      </c>
      <c r="E7864" s="3">
        <v>1</v>
      </c>
      <c r="F7864" s="4" t="str">
        <f>HYPERLINK("http://141.218.60.56/~jnz1568/getInfo.php?workbook=20_05.xlsx&amp;sheet=U0&amp;row=7864&amp;col=6&amp;number=3&amp;sourceID=14","3")</f>
        <v>3</v>
      </c>
      <c r="G7864" s="4" t="str">
        <f>HYPERLINK("http://141.218.60.56/~jnz1568/getInfo.php?workbook=20_05.xlsx&amp;sheet=U0&amp;row=7864&amp;col=7&amp;number=0.00415&amp;sourceID=14","0.00415")</f>
        <v>0.00415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HYPERLINK("http://141.218.60.56/~jnz1568/getInfo.php?workbook=20_05.xlsx&amp;sheet=U0&amp;row=7865&amp;col=6&amp;number=3.1&amp;sourceID=14","3.1")</f>
        <v>3.1</v>
      </c>
      <c r="G7865" s="4" t="str">
        <f>HYPERLINK("http://141.218.60.56/~jnz1568/getInfo.php?workbook=20_05.xlsx&amp;sheet=U0&amp;row=7865&amp;col=7&amp;number=0.00415&amp;sourceID=14","0.00415")</f>
        <v>0.00415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HYPERLINK("http://141.218.60.56/~jnz1568/getInfo.php?workbook=20_05.xlsx&amp;sheet=U0&amp;row=7866&amp;col=6&amp;number=3.2&amp;sourceID=14","3.2")</f>
        <v>3.2</v>
      </c>
      <c r="G7866" s="4" t="str">
        <f>HYPERLINK("http://141.218.60.56/~jnz1568/getInfo.php?workbook=20_05.xlsx&amp;sheet=U0&amp;row=7866&amp;col=7&amp;number=0.00415&amp;sourceID=14","0.00415")</f>
        <v>0.00415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HYPERLINK("http://141.218.60.56/~jnz1568/getInfo.php?workbook=20_05.xlsx&amp;sheet=U0&amp;row=7867&amp;col=6&amp;number=3.3&amp;sourceID=14","3.3")</f>
        <v>3.3</v>
      </c>
      <c r="G7867" s="4" t="str">
        <f>HYPERLINK("http://141.218.60.56/~jnz1568/getInfo.php?workbook=20_05.xlsx&amp;sheet=U0&amp;row=7867&amp;col=7&amp;number=0.00415&amp;sourceID=14","0.00415")</f>
        <v>0.00415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HYPERLINK("http://141.218.60.56/~jnz1568/getInfo.php?workbook=20_05.xlsx&amp;sheet=U0&amp;row=7868&amp;col=6&amp;number=3.4&amp;sourceID=14","3.4")</f>
        <v>3.4</v>
      </c>
      <c r="G7868" s="4" t="str">
        <f>HYPERLINK("http://141.218.60.56/~jnz1568/getInfo.php?workbook=20_05.xlsx&amp;sheet=U0&amp;row=7868&amp;col=7&amp;number=0.00415&amp;sourceID=14","0.00415")</f>
        <v>0.00415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HYPERLINK("http://141.218.60.56/~jnz1568/getInfo.php?workbook=20_05.xlsx&amp;sheet=U0&amp;row=7869&amp;col=6&amp;number=3.5&amp;sourceID=14","3.5")</f>
        <v>3.5</v>
      </c>
      <c r="G7869" s="4" t="str">
        <f>HYPERLINK("http://141.218.60.56/~jnz1568/getInfo.php?workbook=20_05.xlsx&amp;sheet=U0&amp;row=7869&amp;col=7&amp;number=0.00415&amp;sourceID=14","0.00415")</f>
        <v>0.00415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HYPERLINK("http://141.218.60.56/~jnz1568/getInfo.php?workbook=20_05.xlsx&amp;sheet=U0&amp;row=7870&amp;col=6&amp;number=3.6&amp;sourceID=14","3.6")</f>
        <v>3.6</v>
      </c>
      <c r="G7870" s="4" t="str">
        <f>HYPERLINK("http://141.218.60.56/~jnz1568/getInfo.php?workbook=20_05.xlsx&amp;sheet=U0&amp;row=7870&amp;col=7&amp;number=0.00415&amp;sourceID=14","0.00415")</f>
        <v>0.00415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HYPERLINK("http://141.218.60.56/~jnz1568/getInfo.php?workbook=20_05.xlsx&amp;sheet=U0&amp;row=7871&amp;col=6&amp;number=3.7&amp;sourceID=14","3.7")</f>
        <v>3.7</v>
      </c>
      <c r="G7871" s="4" t="str">
        <f>HYPERLINK("http://141.218.60.56/~jnz1568/getInfo.php?workbook=20_05.xlsx&amp;sheet=U0&amp;row=7871&amp;col=7&amp;number=0.00415&amp;sourceID=14","0.00415")</f>
        <v>0.00415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HYPERLINK("http://141.218.60.56/~jnz1568/getInfo.php?workbook=20_05.xlsx&amp;sheet=U0&amp;row=7872&amp;col=6&amp;number=3.8&amp;sourceID=14","3.8")</f>
        <v>3.8</v>
      </c>
      <c r="G7872" s="4" t="str">
        <f>HYPERLINK("http://141.218.60.56/~jnz1568/getInfo.php?workbook=20_05.xlsx&amp;sheet=U0&amp;row=7872&amp;col=7&amp;number=0.00415&amp;sourceID=14","0.00415")</f>
        <v>0.00415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HYPERLINK("http://141.218.60.56/~jnz1568/getInfo.php?workbook=20_05.xlsx&amp;sheet=U0&amp;row=7873&amp;col=6&amp;number=3.9&amp;sourceID=14","3.9")</f>
        <v>3.9</v>
      </c>
      <c r="G7873" s="4" t="str">
        <f>HYPERLINK("http://141.218.60.56/~jnz1568/getInfo.php?workbook=20_05.xlsx&amp;sheet=U0&amp;row=7873&amp;col=7&amp;number=0.00415&amp;sourceID=14","0.00415")</f>
        <v>0.00415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HYPERLINK("http://141.218.60.56/~jnz1568/getInfo.php?workbook=20_05.xlsx&amp;sheet=U0&amp;row=7874&amp;col=6&amp;number=4&amp;sourceID=14","4")</f>
        <v>4</v>
      </c>
      <c r="G7874" s="4" t="str">
        <f>HYPERLINK("http://141.218.60.56/~jnz1568/getInfo.php?workbook=20_05.xlsx&amp;sheet=U0&amp;row=7874&amp;col=7&amp;number=0.00414&amp;sourceID=14","0.00414")</f>
        <v>0.00414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HYPERLINK("http://141.218.60.56/~jnz1568/getInfo.php?workbook=20_05.xlsx&amp;sheet=U0&amp;row=7875&amp;col=6&amp;number=4.1&amp;sourceID=14","4.1")</f>
        <v>4.1</v>
      </c>
      <c r="G7875" s="4" t="str">
        <f>HYPERLINK("http://141.218.60.56/~jnz1568/getInfo.php?workbook=20_05.xlsx&amp;sheet=U0&amp;row=7875&amp;col=7&amp;number=0.00414&amp;sourceID=14","0.00414")</f>
        <v>0.00414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HYPERLINK("http://141.218.60.56/~jnz1568/getInfo.php?workbook=20_05.xlsx&amp;sheet=U0&amp;row=7876&amp;col=6&amp;number=4.2&amp;sourceID=14","4.2")</f>
        <v>4.2</v>
      </c>
      <c r="G7876" s="4" t="str">
        <f>HYPERLINK("http://141.218.60.56/~jnz1568/getInfo.php?workbook=20_05.xlsx&amp;sheet=U0&amp;row=7876&amp;col=7&amp;number=0.00414&amp;sourceID=14","0.00414")</f>
        <v>0.00414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HYPERLINK("http://141.218.60.56/~jnz1568/getInfo.php?workbook=20_05.xlsx&amp;sheet=U0&amp;row=7877&amp;col=6&amp;number=4.3&amp;sourceID=14","4.3")</f>
        <v>4.3</v>
      </c>
      <c r="G7877" s="4" t="str">
        <f>HYPERLINK("http://141.218.60.56/~jnz1568/getInfo.php?workbook=20_05.xlsx&amp;sheet=U0&amp;row=7877&amp;col=7&amp;number=0.00414&amp;sourceID=14","0.00414")</f>
        <v>0.00414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HYPERLINK("http://141.218.60.56/~jnz1568/getInfo.php?workbook=20_05.xlsx&amp;sheet=U0&amp;row=7878&amp;col=6&amp;number=4.4&amp;sourceID=14","4.4")</f>
        <v>4.4</v>
      </c>
      <c r="G7878" s="4" t="str">
        <f>HYPERLINK("http://141.218.60.56/~jnz1568/getInfo.php?workbook=20_05.xlsx&amp;sheet=U0&amp;row=7878&amp;col=7&amp;number=0.00414&amp;sourceID=14","0.00414")</f>
        <v>0.00414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HYPERLINK("http://141.218.60.56/~jnz1568/getInfo.php?workbook=20_05.xlsx&amp;sheet=U0&amp;row=7879&amp;col=6&amp;number=4.5&amp;sourceID=14","4.5")</f>
        <v>4.5</v>
      </c>
      <c r="G7879" s="4" t="str">
        <f>HYPERLINK("http://141.218.60.56/~jnz1568/getInfo.php?workbook=20_05.xlsx&amp;sheet=U0&amp;row=7879&amp;col=7&amp;number=0.00414&amp;sourceID=14","0.00414")</f>
        <v>0.00414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HYPERLINK("http://141.218.60.56/~jnz1568/getInfo.php?workbook=20_05.xlsx&amp;sheet=U0&amp;row=7880&amp;col=6&amp;number=4.6&amp;sourceID=14","4.6")</f>
        <v>4.6</v>
      </c>
      <c r="G7880" s="4" t="str">
        <f>HYPERLINK("http://141.218.60.56/~jnz1568/getInfo.php?workbook=20_05.xlsx&amp;sheet=U0&amp;row=7880&amp;col=7&amp;number=0.00414&amp;sourceID=14","0.00414")</f>
        <v>0.00414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HYPERLINK("http://141.218.60.56/~jnz1568/getInfo.php?workbook=20_05.xlsx&amp;sheet=U0&amp;row=7881&amp;col=6&amp;number=4.7&amp;sourceID=14","4.7")</f>
        <v>4.7</v>
      </c>
      <c r="G7881" s="4" t="str">
        <f>HYPERLINK("http://141.218.60.56/~jnz1568/getInfo.php?workbook=20_05.xlsx&amp;sheet=U0&amp;row=7881&amp;col=7&amp;number=0.00414&amp;sourceID=14","0.00414")</f>
        <v>0.00414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HYPERLINK("http://141.218.60.56/~jnz1568/getInfo.php?workbook=20_05.xlsx&amp;sheet=U0&amp;row=7882&amp;col=6&amp;number=4.8&amp;sourceID=14","4.8")</f>
        <v>4.8</v>
      </c>
      <c r="G7882" s="4" t="str">
        <f>HYPERLINK("http://141.218.60.56/~jnz1568/getInfo.php?workbook=20_05.xlsx&amp;sheet=U0&amp;row=7882&amp;col=7&amp;number=0.00413&amp;sourceID=14","0.00413")</f>
        <v>0.00413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HYPERLINK("http://141.218.60.56/~jnz1568/getInfo.php?workbook=20_05.xlsx&amp;sheet=U0&amp;row=7883&amp;col=6&amp;number=4.9&amp;sourceID=14","4.9")</f>
        <v>4.9</v>
      </c>
      <c r="G7883" s="4" t="str">
        <f>HYPERLINK("http://141.218.60.56/~jnz1568/getInfo.php?workbook=20_05.xlsx&amp;sheet=U0&amp;row=7883&amp;col=7&amp;number=0.00413&amp;sourceID=14","0.00413")</f>
        <v>0.00413</v>
      </c>
    </row>
    <row r="7884" spans="1:7">
      <c r="A7884" s="3">
        <v>20</v>
      </c>
      <c r="B7884" s="3">
        <v>5</v>
      </c>
      <c r="C7884" s="3">
        <v>4</v>
      </c>
      <c r="D7884" s="3">
        <v>33</v>
      </c>
      <c r="E7884" s="3">
        <v>1</v>
      </c>
      <c r="F7884" s="4" t="str">
        <f>HYPERLINK("http://141.218.60.56/~jnz1568/getInfo.php?workbook=20_05.xlsx&amp;sheet=U0&amp;row=7884&amp;col=6&amp;number=3&amp;sourceID=14","3")</f>
        <v>3</v>
      </c>
      <c r="G7884" s="4" t="str">
        <f>HYPERLINK("http://141.218.60.56/~jnz1568/getInfo.php?workbook=20_05.xlsx&amp;sheet=U0&amp;row=7884&amp;col=7&amp;number=0.0124&amp;sourceID=14","0.0124")</f>
        <v>0.0124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HYPERLINK("http://141.218.60.56/~jnz1568/getInfo.php?workbook=20_05.xlsx&amp;sheet=U0&amp;row=7885&amp;col=6&amp;number=3.1&amp;sourceID=14","3.1")</f>
        <v>3.1</v>
      </c>
      <c r="G7885" s="4" t="str">
        <f>HYPERLINK("http://141.218.60.56/~jnz1568/getInfo.php?workbook=20_05.xlsx&amp;sheet=U0&amp;row=7885&amp;col=7&amp;number=0.0124&amp;sourceID=14","0.0124")</f>
        <v>0.0124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HYPERLINK("http://141.218.60.56/~jnz1568/getInfo.php?workbook=20_05.xlsx&amp;sheet=U0&amp;row=7886&amp;col=6&amp;number=3.2&amp;sourceID=14","3.2")</f>
        <v>3.2</v>
      </c>
      <c r="G7886" s="4" t="str">
        <f>HYPERLINK("http://141.218.60.56/~jnz1568/getInfo.php?workbook=20_05.xlsx&amp;sheet=U0&amp;row=7886&amp;col=7&amp;number=0.0124&amp;sourceID=14","0.0124")</f>
        <v>0.0124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HYPERLINK("http://141.218.60.56/~jnz1568/getInfo.php?workbook=20_05.xlsx&amp;sheet=U0&amp;row=7887&amp;col=6&amp;number=3.3&amp;sourceID=14","3.3")</f>
        <v>3.3</v>
      </c>
      <c r="G7887" s="4" t="str">
        <f>HYPERLINK("http://141.218.60.56/~jnz1568/getInfo.php?workbook=20_05.xlsx&amp;sheet=U0&amp;row=7887&amp;col=7&amp;number=0.0124&amp;sourceID=14","0.0124")</f>
        <v>0.0124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HYPERLINK("http://141.218.60.56/~jnz1568/getInfo.php?workbook=20_05.xlsx&amp;sheet=U0&amp;row=7888&amp;col=6&amp;number=3.4&amp;sourceID=14","3.4")</f>
        <v>3.4</v>
      </c>
      <c r="G7888" s="4" t="str">
        <f>HYPERLINK("http://141.218.60.56/~jnz1568/getInfo.php?workbook=20_05.xlsx&amp;sheet=U0&amp;row=7888&amp;col=7&amp;number=0.0124&amp;sourceID=14","0.0124")</f>
        <v>0.0124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HYPERLINK("http://141.218.60.56/~jnz1568/getInfo.php?workbook=20_05.xlsx&amp;sheet=U0&amp;row=7889&amp;col=6&amp;number=3.5&amp;sourceID=14","3.5")</f>
        <v>3.5</v>
      </c>
      <c r="G7889" s="4" t="str">
        <f>HYPERLINK("http://141.218.60.56/~jnz1568/getInfo.php?workbook=20_05.xlsx&amp;sheet=U0&amp;row=7889&amp;col=7&amp;number=0.0124&amp;sourceID=14","0.0124")</f>
        <v>0.0124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HYPERLINK("http://141.218.60.56/~jnz1568/getInfo.php?workbook=20_05.xlsx&amp;sheet=U0&amp;row=7890&amp;col=6&amp;number=3.6&amp;sourceID=14","3.6")</f>
        <v>3.6</v>
      </c>
      <c r="G7890" s="4" t="str">
        <f>HYPERLINK("http://141.218.60.56/~jnz1568/getInfo.php?workbook=20_05.xlsx&amp;sheet=U0&amp;row=7890&amp;col=7&amp;number=0.0124&amp;sourceID=14","0.0124")</f>
        <v>0.0124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HYPERLINK("http://141.218.60.56/~jnz1568/getInfo.php?workbook=20_05.xlsx&amp;sheet=U0&amp;row=7891&amp;col=6&amp;number=3.7&amp;sourceID=14","3.7")</f>
        <v>3.7</v>
      </c>
      <c r="G7891" s="4" t="str">
        <f>HYPERLINK("http://141.218.60.56/~jnz1568/getInfo.php?workbook=20_05.xlsx&amp;sheet=U0&amp;row=7891&amp;col=7&amp;number=0.0124&amp;sourceID=14","0.0124")</f>
        <v>0.0124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HYPERLINK("http://141.218.60.56/~jnz1568/getInfo.php?workbook=20_05.xlsx&amp;sheet=U0&amp;row=7892&amp;col=6&amp;number=3.8&amp;sourceID=14","3.8")</f>
        <v>3.8</v>
      </c>
      <c r="G7892" s="4" t="str">
        <f>HYPERLINK("http://141.218.60.56/~jnz1568/getInfo.php?workbook=20_05.xlsx&amp;sheet=U0&amp;row=7892&amp;col=7&amp;number=0.0124&amp;sourceID=14","0.0124")</f>
        <v>0.0124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HYPERLINK("http://141.218.60.56/~jnz1568/getInfo.php?workbook=20_05.xlsx&amp;sheet=U0&amp;row=7893&amp;col=6&amp;number=3.9&amp;sourceID=14","3.9")</f>
        <v>3.9</v>
      </c>
      <c r="G7893" s="4" t="str">
        <f>HYPERLINK("http://141.218.60.56/~jnz1568/getInfo.php?workbook=20_05.xlsx&amp;sheet=U0&amp;row=7893&amp;col=7&amp;number=0.0124&amp;sourceID=14","0.0124")</f>
        <v>0.0124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HYPERLINK("http://141.218.60.56/~jnz1568/getInfo.php?workbook=20_05.xlsx&amp;sheet=U0&amp;row=7894&amp;col=6&amp;number=4&amp;sourceID=14","4")</f>
        <v>4</v>
      </c>
      <c r="G7894" s="4" t="str">
        <f>HYPERLINK("http://141.218.60.56/~jnz1568/getInfo.php?workbook=20_05.xlsx&amp;sheet=U0&amp;row=7894&amp;col=7&amp;number=0.0124&amp;sourceID=14","0.0124")</f>
        <v>0.0124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HYPERLINK("http://141.218.60.56/~jnz1568/getInfo.php?workbook=20_05.xlsx&amp;sheet=U0&amp;row=7895&amp;col=6&amp;number=4.1&amp;sourceID=14","4.1")</f>
        <v>4.1</v>
      </c>
      <c r="G7895" s="4" t="str">
        <f>HYPERLINK("http://141.218.60.56/~jnz1568/getInfo.php?workbook=20_05.xlsx&amp;sheet=U0&amp;row=7895&amp;col=7&amp;number=0.0124&amp;sourceID=14","0.0124")</f>
        <v>0.0124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HYPERLINK("http://141.218.60.56/~jnz1568/getInfo.php?workbook=20_05.xlsx&amp;sheet=U0&amp;row=7896&amp;col=6&amp;number=4.2&amp;sourceID=14","4.2")</f>
        <v>4.2</v>
      </c>
      <c r="G7896" s="4" t="str">
        <f>HYPERLINK("http://141.218.60.56/~jnz1568/getInfo.php?workbook=20_05.xlsx&amp;sheet=U0&amp;row=7896&amp;col=7&amp;number=0.0124&amp;sourceID=14","0.0124")</f>
        <v>0.0124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HYPERLINK("http://141.218.60.56/~jnz1568/getInfo.php?workbook=20_05.xlsx&amp;sheet=U0&amp;row=7897&amp;col=6&amp;number=4.3&amp;sourceID=14","4.3")</f>
        <v>4.3</v>
      </c>
      <c r="G7897" s="4" t="str">
        <f>HYPERLINK("http://141.218.60.56/~jnz1568/getInfo.php?workbook=20_05.xlsx&amp;sheet=U0&amp;row=7897&amp;col=7&amp;number=0.0124&amp;sourceID=14","0.0124")</f>
        <v>0.0124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HYPERLINK("http://141.218.60.56/~jnz1568/getInfo.php?workbook=20_05.xlsx&amp;sheet=U0&amp;row=7898&amp;col=6&amp;number=4.4&amp;sourceID=14","4.4")</f>
        <v>4.4</v>
      </c>
      <c r="G7898" s="4" t="str">
        <f>HYPERLINK("http://141.218.60.56/~jnz1568/getInfo.php?workbook=20_05.xlsx&amp;sheet=U0&amp;row=7898&amp;col=7&amp;number=0.0124&amp;sourceID=14","0.0124")</f>
        <v>0.0124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HYPERLINK("http://141.218.60.56/~jnz1568/getInfo.php?workbook=20_05.xlsx&amp;sheet=U0&amp;row=7899&amp;col=6&amp;number=4.5&amp;sourceID=14","4.5")</f>
        <v>4.5</v>
      </c>
      <c r="G7899" s="4" t="str">
        <f>HYPERLINK("http://141.218.60.56/~jnz1568/getInfo.php?workbook=20_05.xlsx&amp;sheet=U0&amp;row=7899&amp;col=7&amp;number=0.0124&amp;sourceID=14","0.0124")</f>
        <v>0.0124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HYPERLINK("http://141.218.60.56/~jnz1568/getInfo.php?workbook=20_05.xlsx&amp;sheet=U0&amp;row=7900&amp;col=6&amp;number=4.6&amp;sourceID=14","4.6")</f>
        <v>4.6</v>
      </c>
      <c r="G7900" s="4" t="str">
        <f>HYPERLINK("http://141.218.60.56/~jnz1568/getInfo.php?workbook=20_05.xlsx&amp;sheet=U0&amp;row=7900&amp;col=7&amp;number=0.0124&amp;sourceID=14","0.0124")</f>
        <v>0.0124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HYPERLINK("http://141.218.60.56/~jnz1568/getInfo.php?workbook=20_05.xlsx&amp;sheet=U0&amp;row=7901&amp;col=6&amp;number=4.7&amp;sourceID=14","4.7")</f>
        <v>4.7</v>
      </c>
      <c r="G7901" s="4" t="str">
        <f>HYPERLINK("http://141.218.60.56/~jnz1568/getInfo.php?workbook=20_05.xlsx&amp;sheet=U0&amp;row=7901&amp;col=7&amp;number=0.0124&amp;sourceID=14","0.0124")</f>
        <v>0.0124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HYPERLINK("http://141.218.60.56/~jnz1568/getInfo.php?workbook=20_05.xlsx&amp;sheet=U0&amp;row=7902&amp;col=6&amp;number=4.8&amp;sourceID=14","4.8")</f>
        <v>4.8</v>
      </c>
      <c r="G7902" s="4" t="str">
        <f>HYPERLINK("http://141.218.60.56/~jnz1568/getInfo.php?workbook=20_05.xlsx&amp;sheet=U0&amp;row=7902&amp;col=7&amp;number=0.0123&amp;sourceID=14","0.0123")</f>
        <v>0.0123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HYPERLINK("http://141.218.60.56/~jnz1568/getInfo.php?workbook=20_05.xlsx&amp;sheet=U0&amp;row=7903&amp;col=6&amp;number=4.9&amp;sourceID=14","4.9")</f>
        <v>4.9</v>
      </c>
      <c r="G7903" s="4" t="str">
        <f>HYPERLINK("http://141.218.60.56/~jnz1568/getInfo.php?workbook=20_05.xlsx&amp;sheet=U0&amp;row=7903&amp;col=7&amp;number=0.0123&amp;sourceID=14","0.0123")</f>
        <v>0.0123</v>
      </c>
    </row>
    <row r="7904" spans="1:7">
      <c r="A7904" s="3">
        <v>20</v>
      </c>
      <c r="B7904" s="3">
        <v>5</v>
      </c>
      <c r="C7904" s="3">
        <v>4</v>
      </c>
      <c r="D7904" s="3">
        <v>34</v>
      </c>
      <c r="E7904" s="3">
        <v>1</v>
      </c>
      <c r="F7904" s="4" t="str">
        <f>HYPERLINK("http://141.218.60.56/~jnz1568/getInfo.php?workbook=20_05.xlsx&amp;sheet=U0&amp;row=7904&amp;col=6&amp;number=3&amp;sourceID=14","3")</f>
        <v>3</v>
      </c>
      <c r="G7904" s="4" t="str">
        <f>HYPERLINK("http://141.218.60.56/~jnz1568/getInfo.php?workbook=20_05.xlsx&amp;sheet=U0&amp;row=7904&amp;col=7&amp;number=0.0186&amp;sourceID=14","0.0186")</f>
        <v>0.0186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HYPERLINK("http://141.218.60.56/~jnz1568/getInfo.php?workbook=20_05.xlsx&amp;sheet=U0&amp;row=7905&amp;col=6&amp;number=3.1&amp;sourceID=14","3.1")</f>
        <v>3.1</v>
      </c>
      <c r="G7905" s="4" t="str">
        <f>HYPERLINK("http://141.218.60.56/~jnz1568/getInfo.php?workbook=20_05.xlsx&amp;sheet=U0&amp;row=7905&amp;col=7&amp;number=0.0186&amp;sourceID=14","0.0186")</f>
        <v>0.0186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HYPERLINK("http://141.218.60.56/~jnz1568/getInfo.php?workbook=20_05.xlsx&amp;sheet=U0&amp;row=7906&amp;col=6&amp;number=3.2&amp;sourceID=14","3.2")</f>
        <v>3.2</v>
      </c>
      <c r="G7906" s="4" t="str">
        <f>HYPERLINK("http://141.218.60.56/~jnz1568/getInfo.php?workbook=20_05.xlsx&amp;sheet=U0&amp;row=7906&amp;col=7&amp;number=0.0186&amp;sourceID=14","0.0186")</f>
        <v>0.0186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HYPERLINK("http://141.218.60.56/~jnz1568/getInfo.php?workbook=20_05.xlsx&amp;sheet=U0&amp;row=7907&amp;col=6&amp;number=3.3&amp;sourceID=14","3.3")</f>
        <v>3.3</v>
      </c>
      <c r="G7907" s="4" t="str">
        <f>HYPERLINK("http://141.218.60.56/~jnz1568/getInfo.php?workbook=20_05.xlsx&amp;sheet=U0&amp;row=7907&amp;col=7&amp;number=0.0186&amp;sourceID=14","0.0186")</f>
        <v>0.0186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HYPERLINK("http://141.218.60.56/~jnz1568/getInfo.php?workbook=20_05.xlsx&amp;sheet=U0&amp;row=7908&amp;col=6&amp;number=3.4&amp;sourceID=14","3.4")</f>
        <v>3.4</v>
      </c>
      <c r="G7908" s="4" t="str">
        <f>HYPERLINK("http://141.218.60.56/~jnz1568/getInfo.php?workbook=20_05.xlsx&amp;sheet=U0&amp;row=7908&amp;col=7&amp;number=0.0186&amp;sourceID=14","0.0186")</f>
        <v>0.0186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HYPERLINK("http://141.218.60.56/~jnz1568/getInfo.php?workbook=20_05.xlsx&amp;sheet=U0&amp;row=7909&amp;col=6&amp;number=3.5&amp;sourceID=14","3.5")</f>
        <v>3.5</v>
      </c>
      <c r="G7909" s="4" t="str">
        <f>HYPERLINK("http://141.218.60.56/~jnz1568/getInfo.php?workbook=20_05.xlsx&amp;sheet=U0&amp;row=7909&amp;col=7&amp;number=0.0186&amp;sourceID=14","0.0186")</f>
        <v>0.0186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HYPERLINK("http://141.218.60.56/~jnz1568/getInfo.php?workbook=20_05.xlsx&amp;sheet=U0&amp;row=7910&amp;col=6&amp;number=3.6&amp;sourceID=14","3.6")</f>
        <v>3.6</v>
      </c>
      <c r="G7910" s="4" t="str">
        <f>HYPERLINK("http://141.218.60.56/~jnz1568/getInfo.php?workbook=20_05.xlsx&amp;sheet=U0&amp;row=7910&amp;col=7&amp;number=0.0186&amp;sourceID=14","0.0186")</f>
        <v>0.0186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HYPERLINK("http://141.218.60.56/~jnz1568/getInfo.php?workbook=20_05.xlsx&amp;sheet=U0&amp;row=7911&amp;col=6&amp;number=3.7&amp;sourceID=14","3.7")</f>
        <v>3.7</v>
      </c>
      <c r="G7911" s="4" t="str">
        <f>HYPERLINK("http://141.218.60.56/~jnz1568/getInfo.php?workbook=20_05.xlsx&amp;sheet=U0&amp;row=7911&amp;col=7&amp;number=0.0186&amp;sourceID=14","0.0186")</f>
        <v>0.0186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HYPERLINK("http://141.218.60.56/~jnz1568/getInfo.php?workbook=20_05.xlsx&amp;sheet=U0&amp;row=7912&amp;col=6&amp;number=3.8&amp;sourceID=14","3.8")</f>
        <v>3.8</v>
      </c>
      <c r="G7912" s="4" t="str">
        <f>HYPERLINK("http://141.218.60.56/~jnz1568/getInfo.php?workbook=20_05.xlsx&amp;sheet=U0&amp;row=7912&amp;col=7&amp;number=0.0186&amp;sourceID=14","0.0186")</f>
        <v>0.0186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HYPERLINK("http://141.218.60.56/~jnz1568/getInfo.php?workbook=20_05.xlsx&amp;sheet=U0&amp;row=7913&amp;col=6&amp;number=3.9&amp;sourceID=14","3.9")</f>
        <v>3.9</v>
      </c>
      <c r="G7913" s="4" t="str">
        <f>HYPERLINK("http://141.218.60.56/~jnz1568/getInfo.php?workbook=20_05.xlsx&amp;sheet=U0&amp;row=7913&amp;col=7&amp;number=0.0186&amp;sourceID=14","0.0186")</f>
        <v>0.0186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HYPERLINK("http://141.218.60.56/~jnz1568/getInfo.php?workbook=20_05.xlsx&amp;sheet=U0&amp;row=7914&amp;col=6&amp;number=4&amp;sourceID=14","4")</f>
        <v>4</v>
      </c>
      <c r="G7914" s="4" t="str">
        <f>HYPERLINK("http://141.218.60.56/~jnz1568/getInfo.php?workbook=20_05.xlsx&amp;sheet=U0&amp;row=7914&amp;col=7&amp;number=0.0186&amp;sourceID=14","0.0186")</f>
        <v>0.0186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HYPERLINK("http://141.218.60.56/~jnz1568/getInfo.php?workbook=20_05.xlsx&amp;sheet=U0&amp;row=7915&amp;col=6&amp;number=4.1&amp;sourceID=14","4.1")</f>
        <v>4.1</v>
      </c>
      <c r="G7915" s="4" t="str">
        <f>HYPERLINK("http://141.218.60.56/~jnz1568/getInfo.php?workbook=20_05.xlsx&amp;sheet=U0&amp;row=7915&amp;col=7&amp;number=0.0186&amp;sourceID=14","0.0186")</f>
        <v>0.0186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HYPERLINK("http://141.218.60.56/~jnz1568/getInfo.php?workbook=20_05.xlsx&amp;sheet=U0&amp;row=7916&amp;col=6&amp;number=4.2&amp;sourceID=14","4.2")</f>
        <v>4.2</v>
      </c>
      <c r="G7916" s="4" t="str">
        <f>HYPERLINK("http://141.218.60.56/~jnz1568/getInfo.php?workbook=20_05.xlsx&amp;sheet=U0&amp;row=7916&amp;col=7&amp;number=0.0186&amp;sourceID=14","0.0186")</f>
        <v>0.0186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HYPERLINK("http://141.218.60.56/~jnz1568/getInfo.php?workbook=20_05.xlsx&amp;sheet=U0&amp;row=7917&amp;col=6&amp;number=4.3&amp;sourceID=14","4.3")</f>
        <v>4.3</v>
      </c>
      <c r="G7917" s="4" t="str">
        <f>HYPERLINK("http://141.218.60.56/~jnz1568/getInfo.php?workbook=20_05.xlsx&amp;sheet=U0&amp;row=7917&amp;col=7&amp;number=0.0186&amp;sourceID=14","0.0186")</f>
        <v>0.0186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HYPERLINK("http://141.218.60.56/~jnz1568/getInfo.php?workbook=20_05.xlsx&amp;sheet=U0&amp;row=7918&amp;col=6&amp;number=4.4&amp;sourceID=14","4.4")</f>
        <v>4.4</v>
      </c>
      <c r="G7918" s="4" t="str">
        <f>HYPERLINK("http://141.218.60.56/~jnz1568/getInfo.php?workbook=20_05.xlsx&amp;sheet=U0&amp;row=7918&amp;col=7&amp;number=0.0186&amp;sourceID=14","0.0186")</f>
        <v>0.0186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HYPERLINK("http://141.218.60.56/~jnz1568/getInfo.php?workbook=20_05.xlsx&amp;sheet=U0&amp;row=7919&amp;col=6&amp;number=4.5&amp;sourceID=14","4.5")</f>
        <v>4.5</v>
      </c>
      <c r="G7919" s="4" t="str">
        <f>HYPERLINK("http://141.218.60.56/~jnz1568/getInfo.php?workbook=20_05.xlsx&amp;sheet=U0&amp;row=7919&amp;col=7&amp;number=0.0186&amp;sourceID=14","0.0186")</f>
        <v>0.0186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HYPERLINK("http://141.218.60.56/~jnz1568/getInfo.php?workbook=20_05.xlsx&amp;sheet=U0&amp;row=7920&amp;col=6&amp;number=4.6&amp;sourceID=14","4.6")</f>
        <v>4.6</v>
      </c>
      <c r="G7920" s="4" t="str">
        <f>HYPERLINK("http://141.218.60.56/~jnz1568/getInfo.php?workbook=20_05.xlsx&amp;sheet=U0&amp;row=7920&amp;col=7&amp;number=0.0186&amp;sourceID=14","0.0186")</f>
        <v>0.0186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HYPERLINK("http://141.218.60.56/~jnz1568/getInfo.php?workbook=20_05.xlsx&amp;sheet=U0&amp;row=7921&amp;col=6&amp;number=4.7&amp;sourceID=14","4.7")</f>
        <v>4.7</v>
      </c>
      <c r="G7921" s="4" t="str">
        <f>HYPERLINK("http://141.218.60.56/~jnz1568/getInfo.php?workbook=20_05.xlsx&amp;sheet=U0&amp;row=7921&amp;col=7&amp;number=0.0186&amp;sourceID=14","0.0186")</f>
        <v>0.0186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HYPERLINK("http://141.218.60.56/~jnz1568/getInfo.php?workbook=20_05.xlsx&amp;sheet=U0&amp;row=7922&amp;col=6&amp;number=4.8&amp;sourceID=14","4.8")</f>
        <v>4.8</v>
      </c>
      <c r="G7922" s="4" t="str">
        <f>HYPERLINK("http://141.218.60.56/~jnz1568/getInfo.php?workbook=20_05.xlsx&amp;sheet=U0&amp;row=7922&amp;col=7&amp;number=0.0186&amp;sourceID=14","0.0186")</f>
        <v>0.0186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HYPERLINK("http://141.218.60.56/~jnz1568/getInfo.php?workbook=20_05.xlsx&amp;sheet=U0&amp;row=7923&amp;col=6&amp;number=4.9&amp;sourceID=14","4.9")</f>
        <v>4.9</v>
      </c>
      <c r="G7923" s="4" t="str">
        <f>HYPERLINK("http://141.218.60.56/~jnz1568/getInfo.php?workbook=20_05.xlsx&amp;sheet=U0&amp;row=7923&amp;col=7&amp;number=0.0186&amp;sourceID=14","0.0186")</f>
        <v>0.0186</v>
      </c>
    </row>
    <row r="7924" spans="1:7">
      <c r="A7924" s="3">
        <v>20</v>
      </c>
      <c r="B7924" s="3">
        <v>5</v>
      </c>
      <c r="C7924" s="3">
        <v>4</v>
      </c>
      <c r="D7924" s="3">
        <v>35</v>
      </c>
      <c r="E7924" s="3">
        <v>1</v>
      </c>
      <c r="F7924" s="4" t="str">
        <f>HYPERLINK("http://141.218.60.56/~jnz1568/getInfo.php?workbook=20_05.xlsx&amp;sheet=U0&amp;row=7924&amp;col=6&amp;number=3&amp;sourceID=14","3")</f>
        <v>3</v>
      </c>
      <c r="G7924" s="4" t="str">
        <f>HYPERLINK("http://141.218.60.56/~jnz1568/getInfo.php?workbook=20_05.xlsx&amp;sheet=U0&amp;row=7924&amp;col=7&amp;number=0.085&amp;sourceID=14","0.085")</f>
        <v>0.085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HYPERLINK("http://141.218.60.56/~jnz1568/getInfo.php?workbook=20_05.xlsx&amp;sheet=U0&amp;row=7925&amp;col=6&amp;number=3.1&amp;sourceID=14","3.1")</f>
        <v>3.1</v>
      </c>
      <c r="G7925" s="4" t="str">
        <f>HYPERLINK("http://141.218.60.56/~jnz1568/getInfo.php?workbook=20_05.xlsx&amp;sheet=U0&amp;row=7925&amp;col=7&amp;number=0.085&amp;sourceID=14","0.085")</f>
        <v>0.085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HYPERLINK("http://141.218.60.56/~jnz1568/getInfo.php?workbook=20_05.xlsx&amp;sheet=U0&amp;row=7926&amp;col=6&amp;number=3.2&amp;sourceID=14","3.2")</f>
        <v>3.2</v>
      </c>
      <c r="G7926" s="4" t="str">
        <f>HYPERLINK("http://141.218.60.56/~jnz1568/getInfo.php?workbook=20_05.xlsx&amp;sheet=U0&amp;row=7926&amp;col=7&amp;number=0.085&amp;sourceID=14","0.085")</f>
        <v>0.085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HYPERLINK("http://141.218.60.56/~jnz1568/getInfo.php?workbook=20_05.xlsx&amp;sheet=U0&amp;row=7927&amp;col=6&amp;number=3.3&amp;sourceID=14","3.3")</f>
        <v>3.3</v>
      </c>
      <c r="G7927" s="4" t="str">
        <f>HYPERLINK("http://141.218.60.56/~jnz1568/getInfo.php?workbook=20_05.xlsx&amp;sheet=U0&amp;row=7927&amp;col=7&amp;number=0.085&amp;sourceID=14","0.085")</f>
        <v>0.085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HYPERLINK("http://141.218.60.56/~jnz1568/getInfo.php?workbook=20_05.xlsx&amp;sheet=U0&amp;row=7928&amp;col=6&amp;number=3.4&amp;sourceID=14","3.4")</f>
        <v>3.4</v>
      </c>
      <c r="G7928" s="4" t="str">
        <f>HYPERLINK("http://141.218.60.56/~jnz1568/getInfo.php?workbook=20_05.xlsx&amp;sheet=U0&amp;row=7928&amp;col=7&amp;number=0.085&amp;sourceID=14","0.085")</f>
        <v>0.085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HYPERLINK("http://141.218.60.56/~jnz1568/getInfo.php?workbook=20_05.xlsx&amp;sheet=U0&amp;row=7929&amp;col=6&amp;number=3.5&amp;sourceID=14","3.5")</f>
        <v>3.5</v>
      </c>
      <c r="G7929" s="4" t="str">
        <f>HYPERLINK("http://141.218.60.56/~jnz1568/getInfo.php?workbook=20_05.xlsx&amp;sheet=U0&amp;row=7929&amp;col=7&amp;number=0.085&amp;sourceID=14","0.085")</f>
        <v>0.085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HYPERLINK("http://141.218.60.56/~jnz1568/getInfo.php?workbook=20_05.xlsx&amp;sheet=U0&amp;row=7930&amp;col=6&amp;number=3.6&amp;sourceID=14","3.6")</f>
        <v>3.6</v>
      </c>
      <c r="G7930" s="4" t="str">
        <f>HYPERLINK("http://141.218.60.56/~jnz1568/getInfo.php?workbook=20_05.xlsx&amp;sheet=U0&amp;row=7930&amp;col=7&amp;number=0.0851&amp;sourceID=14","0.0851")</f>
        <v>0.0851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HYPERLINK("http://141.218.60.56/~jnz1568/getInfo.php?workbook=20_05.xlsx&amp;sheet=U0&amp;row=7931&amp;col=6&amp;number=3.7&amp;sourceID=14","3.7")</f>
        <v>3.7</v>
      </c>
      <c r="G7931" s="4" t="str">
        <f>HYPERLINK("http://141.218.60.56/~jnz1568/getInfo.php?workbook=20_05.xlsx&amp;sheet=U0&amp;row=7931&amp;col=7&amp;number=0.0851&amp;sourceID=14","0.0851")</f>
        <v>0.0851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HYPERLINK("http://141.218.60.56/~jnz1568/getInfo.php?workbook=20_05.xlsx&amp;sheet=U0&amp;row=7932&amp;col=6&amp;number=3.8&amp;sourceID=14","3.8")</f>
        <v>3.8</v>
      </c>
      <c r="G7932" s="4" t="str">
        <f>HYPERLINK("http://141.218.60.56/~jnz1568/getInfo.php?workbook=20_05.xlsx&amp;sheet=U0&amp;row=7932&amp;col=7&amp;number=0.0851&amp;sourceID=14","0.0851")</f>
        <v>0.0851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HYPERLINK("http://141.218.60.56/~jnz1568/getInfo.php?workbook=20_05.xlsx&amp;sheet=U0&amp;row=7933&amp;col=6&amp;number=3.9&amp;sourceID=14","3.9")</f>
        <v>3.9</v>
      </c>
      <c r="G7933" s="4" t="str">
        <f>HYPERLINK("http://141.218.60.56/~jnz1568/getInfo.php?workbook=20_05.xlsx&amp;sheet=U0&amp;row=7933&amp;col=7&amp;number=0.0851&amp;sourceID=14","0.0851")</f>
        <v>0.0851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HYPERLINK("http://141.218.60.56/~jnz1568/getInfo.php?workbook=20_05.xlsx&amp;sheet=U0&amp;row=7934&amp;col=6&amp;number=4&amp;sourceID=14","4")</f>
        <v>4</v>
      </c>
      <c r="G7934" s="4" t="str">
        <f>HYPERLINK("http://141.218.60.56/~jnz1568/getInfo.php?workbook=20_05.xlsx&amp;sheet=U0&amp;row=7934&amp;col=7&amp;number=0.0851&amp;sourceID=14","0.0851")</f>
        <v>0.0851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HYPERLINK("http://141.218.60.56/~jnz1568/getInfo.php?workbook=20_05.xlsx&amp;sheet=U0&amp;row=7935&amp;col=6&amp;number=4.1&amp;sourceID=14","4.1")</f>
        <v>4.1</v>
      </c>
      <c r="G7935" s="4" t="str">
        <f>HYPERLINK("http://141.218.60.56/~jnz1568/getInfo.php?workbook=20_05.xlsx&amp;sheet=U0&amp;row=7935&amp;col=7&amp;number=0.0851&amp;sourceID=14","0.0851")</f>
        <v>0.0851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HYPERLINK("http://141.218.60.56/~jnz1568/getInfo.php?workbook=20_05.xlsx&amp;sheet=U0&amp;row=7936&amp;col=6&amp;number=4.2&amp;sourceID=14","4.2")</f>
        <v>4.2</v>
      </c>
      <c r="G7936" s="4" t="str">
        <f>HYPERLINK("http://141.218.60.56/~jnz1568/getInfo.php?workbook=20_05.xlsx&amp;sheet=U0&amp;row=7936&amp;col=7&amp;number=0.0851&amp;sourceID=14","0.0851")</f>
        <v>0.0851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HYPERLINK("http://141.218.60.56/~jnz1568/getInfo.php?workbook=20_05.xlsx&amp;sheet=U0&amp;row=7937&amp;col=6&amp;number=4.3&amp;sourceID=14","4.3")</f>
        <v>4.3</v>
      </c>
      <c r="G7937" s="4" t="str">
        <f>HYPERLINK("http://141.218.60.56/~jnz1568/getInfo.php?workbook=20_05.xlsx&amp;sheet=U0&amp;row=7937&amp;col=7&amp;number=0.0851&amp;sourceID=14","0.0851")</f>
        <v>0.0851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HYPERLINK("http://141.218.60.56/~jnz1568/getInfo.php?workbook=20_05.xlsx&amp;sheet=U0&amp;row=7938&amp;col=6&amp;number=4.4&amp;sourceID=14","4.4")</f>
        <v>4.4</v>
      </c>
      <c r="G7938" s="4" t="str">
        <f>HYPERLINK("http://141.218.60.56/~jnz1568/getInfo.php?workbook=20_05.xlsx&amp;sheet=U0&amp;row=7938&amp;col=7&amp;number=0.0851&amp;sourceID=14","0.0851")</f>
        <v>0.0851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HYPERLINK("http://141.218.60.56/~jnz1568/getInfo.php?workbook=20_05.xlsx&amp;sheet=U0&amp;row=7939&amp;col=6&amp;number=4.5&amp;sourceID=14","4.5")</f>
        <v>4.5</v>
      </c>
      <c r="G7939" s="4" t="str">
        <f>HYPERLINK("http://141.218.60.56/~jnz1568/getInfo.php?workbook=20_05.xlsx&amp;sheet=U0&amp;row=7939&amp;col=7&amp;number=0.0851&amp;sourceID=14","0.0851")</f>
        <v>0.0851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HYPERLINK("http://141.218.60.56/~jnz1568/getInfo.php?workbook=20_05.xlsx&amp;sheet=U0&amp;row=7940&amp;col=6&amp;number=4.6&amp;sourceID=14","4.6")</f>
        <v>4.6</v>
      </c>
      <c r="G7940" s="4" t="str">
        <f>HYPERLINK("http://141.218.60.56/~jnz1568/getInfo.php?workbook=20_05.xlsx&amp;sheet=U0&amp;row=7940&amp;col=7&amp;number=0.0851&amp;sourceID=14","0.0851")</f>
        <v>0.0851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HYPERLINK("http://141.218.60.56/~jnz1568/getInfo.php?workbook=20_05.xlsx&amp;sheet=U0&amp;row=7941&amp;col=6&amp;number=4.7&amp;sourceID=14","4.7")</f>
        <v>4.7</v>
      </c>
      <c r="G7941" s="4" t="str">
        <f>HYPERLINK("http://141.218.60.56/~jnz1568/getInfo.php?workbook=20_05.xlsx&amp;sheet=U0&amp;row=7941&amp;col=7&amp;number=0.0852&amp;sourceID=14","0.0852")</f>
        <v>0.0852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HYPERLINK("http://141.218.60.56/~jnz1568/getInfo.php?workbook=20_05.xlsx&amp;sheet=U0&amp;row=7942&amp;col=6&amp;number=4.8&amp;sourceID=14","4.8")</f>
        <v>4.8</v>
      </c>
      <c r="G7942" s="4" t="str">
        <f>HYPERLINK("http://141.218.60.56/~jnz1568/getInfo.php?workbook=20_05.xlsx&amp;sheet=U0&amp;row=7942&amp;col=7&amp;number=0.0852&amp;sourceID=14","0.0852")</f>
        <v>0.0852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HYPERLINK("http://141.218.60.56/~jnz1568/getInfo.php?workbook=20_05.xlsx&amp;sheet=U0&amp;row=7943&amp;col=6&amp;number=4.9&amp;sourceID=14","4.9")</f>
        <v>4.9</v>
      </c>
      <c r="G7943" s="4" t="str">
        <f>HYPERLINK("http://141.218.60.56/~jnz1568/getInfo.php?workbook=20_05.xlsx&amp;sheet=U0&amp;row=7943&amp;col=7&amp;number=0.0852&amp;sourceID=14","0.0852")</f>
        <v>0.0852</v>
      </c>
    </row>
    <row r="7944" spans="1:7">
      <c r="A7944" s="3">
        <v>20</v>
      </c>
      <c r="B7944" s="3">
        <v>5</v>
      </c>
      <c r="C7944" s="3">
        <v>4</v>
      </c>
      <c r="D7944" s="3">
        <v>36</v>
      </c>
      <c r="E7944" s="3">
        <v>1</v>
      </c>
      <c r="F7944" s="4" t="str">
        <f>HYPERLINK("http://141.218.60.56/~jnz1568/getInfo.php?workbook=20_05.xlsx&amp;sheet=U0&amp;row=7944&amp;col=6&amp;number=3&amp;sourceID=14","3")</f>
        <v>3</v>
      </c>
      <c r="G7944" s="4" t="str">
        <f>HYPERLINK("http://141.218.60.56/~jnz1568/getInfo.php?workbook=20_05.xlsx&amp;sheet=U0&amp;row=7944&amp;col=7&amp;number=0.00658&amp;sourceID=14","0.00658")</f>
        <v>0.00658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HYPERLINK("http://141.218.60.56/~jnz1568/getInfo.php?workbook=20_05.xlsx&amp;sheet=U0&amp;row=7945&amp;col=6&amp;number=3.1&amp;sourceID=14","3.1")</f>
        <v>3.1</v>
      </c>
      <c r="G7945" s="4" t="str">
        <f>HYPERLINK("http://141.218.60.56/~jnz1568/getInfo.php?workbook=20_05.xlsx&amp;sheet=U0&amp;row=7945&amp;col=7&amp;number=0.00658&amp;sourceID=14","0.00658")</f>
        <v>0.00658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HYPERLINK("http://141.218.60.56/~jnz1568/getInfo.php?workbook=20_05.xlsx&amp;sheet=U0&amp;row=7946&amp;col=6&amp;number=3.2&amp;sourceID=14","3.2")</f>
        <v>3.2</v>
      </c>
      <c r="G7946" s="4" t="str">
        <f>HYPERLINK("http://141.218.60.56/~jnz1568/getInfo.php?workbook=20_05.xlsx&amp;sheet=U0&amp;row=7946&amp;col=7&amp;number=0.00658&amp;sourceID=14","0.00658")</f>
        <v>0.00658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HYPERLINK("http://141.218.60.56/~jnz1568/getInfo.php?workbook=20_05.xlsx&amp;sheet=U0&amp;row=7947&amp;col=6&amp;number=3.3&amp;sourceID=14","3.3")</f>
        <v>3.3</v>
      </c>
      <c r="G7947" s="4" t="str">
        <f>HYPERLINK("http://141.218.60.56/~jnz1568/getInfo.php?workbook=20_05.xlsx&amp;sheet=U0&amp;row=7947&amp;col=7&amp;number=0.00658&amp;sourceID=14","0.00658")</f>
        <v>0.00658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HYPERLINK("http://141.218.60.56/~jnz1568/getInfo.php?workbook=20_05.xlsx&amp;sheet=U0&amp;row=7948&amp;col=6&amp;number=3.4&amp;sourceID=14","3.4")</f>
        <v>3.4</v>
      </c>
      <c r="G7948" s="4" t="str">
        <f>HYPERLINK("http://141.218.60.56/~jnz1568/getInfo.php?workbook=20_05.xlsx&amp;sheet=U0&amp;row=7948&amp;col=7&amp;number=0.00658&amp;sourceID=14","0.00658")</f>
        <v>0.00658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HYPERLINK("http://141.218.60.56/~jnz1568/getInfo.php?workbook=20_05.xlsx&amp;sheet=U0&amp;row=7949&amp;col=6&amp;number=3.5&amp;sourceID=14","3.5")</f>
        <v>3.5</v>
      </c>
      <c r="G7949" s="4" t="str">
        <f>HYPERLINK("http://141.218.60.56/~jnz1568/getInfo.php?workbook=20_05.xlsx&amp;sheet=U0&amp;row=7949&amp;col=7&amp;number=0.00658&amp;sourceID=14","0.00658")</f>
        <v>0.00658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HYPERLINK("http://141.218.60.56/~jnz1568/getInfo.php?workbook=20_05.xlsx&amp;sheet=U0&amp;row=7950&amp;col=6&amp;number=3.6&amp;sourceID=14","3.6")</f>
        <v>3.6</v>
      </c>
      <c r="G7950" s="4" t="str">
        <f>HYPERLINK("http://141.218.60.56/~jnz1568/getInfo.php?workbook=20_05.xlsx&amp;sheet=U0&amp;row=7950&amp;col=7&amp;number=0.00658&amp;sourceID=14","0.00658")</f>
        <v>0.00658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HYPERLINK("http://141.218.60.56/~jnz1568/getInfo.php?workbook=20_05.xlsx&amp;sheet=U0&amp;row=7951&amp;col=6&amp;number=3.7&amp;sourceID=14","3.7")</f>
        <v>3.7</v>
      </c>
      <c r="G7951" s="4" t="str">
        <f>HYPERLINK("http://141.218.60.56/~jnz1568/getInfo.php?workbook=20_05.xlsx&amp;sheet=U0&amp;row=7951&amp;col=7&amp;number=0.00658&amp;sourceID=14","0.00658")</f>
        <v>0.00658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HYPERLINK("http://141.218.60.56/~jnz1568/getInfo.php?workbook=20_05.xlsx&amp;sheet=U0&amp;row=7952&amp;col=6&amp;number=3.8&amp;sourceID=14","3.8")</f>
        <v>3.8</v>
      </c>
      <c r="G7952" s="4" t="str">
        <f>HYPERLINK("http://141.218.60.56/~jnz1568/getInfo.php?workbook=20_05.xlsx&amp;sheet=U0&amp;row=7952&amp;col=7&amp;number=0.00658&amp;sourceID=14","0.00658")</f>
        <v>0.00658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HYPERLINK("http://141.218.60.56/~jnz1568/getInfo.php?workbook=20_05.xlsx&amp;sheet=U0&amp;row=7953&amp;col=6&amp;number=3.9&amp;sourceID=14","3.9")</f>
        <v>3.9</v>
      </c>
      <c r="G7953" s="4" t="str">
        <f>HYPERLINK("http://141.218.60.56/~jnz1568/getInfo.php?workbook=20_05.xlsx&amp;sheet=U0&amp;row=7953&amp;col=7&amp;number=0.00657&amp;sourceID=14","0.00657")</f>
        <v>0.00657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HYPERLINK("http://141.218.60.56/~jnz1568/getInfo.php?workbook=20_05.xlsx&amp;sheet=U0&amp;row=7954&amp;col=6&amp;number=4&amp;sourceID=14","4")</f>
        <v>4</v>
      </c>
      <c r="G7954" s="4" t="str">
        <f>HYPERLINK("http://141.218.60.56/~jnz1568/getInfo.php?workbook=20_05.xlsx&amp;sheet=U0&amp;row=7954&amp;col=7&amp;number=0.00657&amp;sourceID=14","0.00657")</f>
        <v>0.00657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HYPERLINK("http://141.218.60.56/~jnz1568/getInfo.php?workbook=20_05.xlsx&amp;sheet=U0&amp;row=7955&amp;col=6&amp;number=4.1&amp;sourceID=14","4.1")</f>
        <v>4.1</v>
      </c>
      <c r="G7955" s="4" t="str">
        <f>HYPERLINK("http://141.218.60.56/~jnz1568/getInfo.php?workbook=20_05.xlsx&amp;sheet=U0&amp;row=7955&amp;col=7&amp;number=0.00657&amp;sourceID=14","0.00657")</f>
        <v>0.00657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HYPERLINK("http://141.218.60.56/~jnz1568/getInfo.php?workbook=20_05.xlsx&amp;sheet=U0&amp;row=7956&amp;col=6&amp;number=4.2&amp;sourceID=14","4.2")</f>
        <v>4.2</v>
      </c>
      <c r="G7956" s="4" t="str">
        <f>HYPERLINK("http://141.218.60.56/~jnz1568/getInfo.php?workbook=20_05.xlsx&amp;sheet=U0&amp;row=7956&amp;col=7&amp;number=0.00657&amp;sourceID=14","0.00657")</f>
        <v>0.00657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HYPERLINK("http://141.218.60.56/~jnz1568/getInfo.php?workbook=20_05.xlsx&amp;sheet=U0&amp;row=7957&amp;col=6&amp;number=4.3&amp;sourceID=14","4.3")</f>
        <v>4.3</v>
      </c>
      <c r="G7957" s="4" t="str">
        <f>HYPERLINK("http://141.218.60.56/~jnz1568/getInfo.php?workbook=20_05.xlsx&amp;sheet=U0&amp;row=7957&amp;col=7&amp;number=0.00657&amp;sourceID=14","0.00657")</f>
        <v>0.00657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HYPERLINK("http://141.218.60.56/~jnz1568/getInfo.php?workbook=20_05.xlsx&amp;sheet=U0&amp;row=7958&amp;col=6&amp;number=4.4&amp;sourceID=14","4.4")</f>
        <v>4.4</v>
      </c>
      <c r="G7958" s="4" t="str">
        <f>HYPERLINK("http://141.218.60.56/~jnz1568/getInfo.php?workbook=20_05.xlsx&amp;sheet=U0&amp;row=7958&amp;col=7&amp;number=0.00656&amp;sourceID=14","0.00656")</f>
        <v>0.00656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HYPERLINK("http://141.218.60.56/~jnz1568/getInfo.php?workbook=20_05.xlsx&amp;sheet=U0&amp;row=7959&amp;col=6&amp;number=4.5&amp;sourceID=14","4.5")</f>
        <v>4.5</v>
      </c>
      <c r="G7959" s="4" t="str">
        <f>HYPERLINK("http://141.218.60.56/~jnz1568/getInfo.php?workbook=20_05.xlsx&amp;sheet=U0&amp;row=7959&amp;col=7&amp;number=0.00656&amp;sourceID=14","0.00656")</f>
        <v>0.00656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HYPERLINK("http://141.218.60.56/~jnz1568/getInfo.php?workbook=20_05.xlsx&amp;sheet=U0&amp;row=7960&amp;col=6&amp;number=4.6&amp;sourceID=14","4.6")</f>
        <v>4.6</v>
      </c>
      <c r="G7960" s="4" t="str">
        <f>HYPERLINK("http://141.218.60.56/~jnz1568/getInfo.php?workbook=20_05.xlsx&amp;sheet=U0&amp;row=7960&amp;col=7&amp;number=0.00655&amp;sourceID=14","0.00655")</f>
        <v>0.00655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HYPERLINK("http://141.218.60.56/~jnz1568/getInfo.php?workbook=20_05.xlsx&amp;sheet=U0&amp;row=7961&amp;col=6&amp;number=4.7&amp;sourceID=14","4.7")</f>
        <v>4.7</v>
      </c>
      <c r="G7961" s="4" t="str">
        <f>HYPERLINK("http://141.218.60.56/~jnz1568/getInfo.php?workbook=20_05.xlsx&amp;sheet=U0&amp;row=7961&amp;col=7&amp;number=0.00655&amp;sourceID=14","0.00655")</f>
        <v>0.00655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HYPERLINK("http://141.218.60.56/~jnz1568/getInfo.php?workbook=20_05.xlsx&amp;sheet=U0&amp;row=7962&amp;col=6&amp;number=4.8&amp;sourceID=14","4.8")</f>
        <v>4.8</v>
      </c>
      <c r="G7962" s="4" t="str">
        <f>HYPERLINK("http://141.218.60.56/~jnz1568/getInfo.php?workbook=20_05.xlsx&amp;sheet=U0&amp;row=7962&amp;col=7&amp;number=0.00654&amp;sourceID=14","0.00654")</f>
        <v>0.00654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HYPERLINK("http://141.218.60.56/~jnz1568/getInfo.php?workbook=20_05.xlsx&amp;sheet=U0&amp;row=7963&amp;col=6&amp;number=4.9&amp;sourceID=14","4.9")</f>
        <v>4.9</v>
      </c>
      <c r="G7963" s="4" t="str">
        <f>HYPERLINK("http://141.218.60.56/~jnz1568/getInfo.php?workbook=20_05.xlsx&amp;sheet=U0&amp;row=7963&amp;col=7&amp;number=0.00653&amp;sourceID=14","0.00653")</f>
        <v>0.00653</v>
      </c>
    </row>
    <row r="7964" spans="1:7">
      <c r="A7964" s="3">
        <v>20</v>
      </c>
      <c r="B7964" s="3">
        <v>5</v>
      </c>
      <c r="C7964" s="3">
        <v>4</v>
      </c>
      <c r="D7964" s="3">
        <v>37</v>
      </c>
      <c r="E7964" s="3">
        <v>1</v>
      </c>
      <c r="F7964" s="4" t="str">
        <f>HYPERLINK("http://141.218.60.56/~jnz1568/getInfo.php?workbook=20_05.xlsx&amp;sheet=U0&amp;row=7964&amp;col=6&amp;number=3&amp;sourceID=14","3")</f>
        <v>3</v>
      </c>
      <c r="G7964" s="4" t="str">
        <f>HYPERLINK("http://141.218.60.56/~jnz1568/getInfo.php?workbook=20_05.xlsx&amp;sheet=U0&amp;row=7964&amp;col=7&amp;number=0.000267&amp;sourceID=14","0.000267")</f>
        <v>0.000267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HYPERLINK("http://141.218.60.56/~jnz1568/getInfo.php?workbook=20_05.xlsx&amp;sheet=U0&amp;row=7965&amp;col=6&amp;number=3.1&amp;sourceID=14","3.1")</f>
        <v>3.1</v>
      </c>
      <c r="G7965" s="4" t="str">
        <f>HYPERLINK("http://141.218.60.56/~jnz1568/getInfo.php?workbook=20_05.xlsx&amp;sheet=U0&amp;row=7965&amp;col=7&amp;number=0.000267&amp;sourceID=14","0.000267")</f>
        <v>0.000267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HYPERLINK("http://141.218.60.56/~jnz1568/getInfo.php?workbook=20_05.xlsx&amp;sheet=U0&amp;row=7966&amp;col=6&amp;number=3.2&amp;sourceID=14","3.2")</f>
        <v>3.2</v>
      </c>
      <c r="G7966" s="4" t="str">
        <f>HYPERLINK("http://141.218.60.56/~jnz1568/getInfo.php?workbook=20_05.xlsx&amp;sheet=U0&amp;row=7966&amp;col=7&amp;number=0.000267&amp;sourceID=14","0.000267")</f>
        <v>0.000267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HYPERLINK("http://141.218.60.56/~jnz1568/getInfo.php?workbook=20_05.xlsx&amp;sheet=U0&amp;row=7967&amp;col=6&amp;number=3.3&amp;sourceID=14","3.3")</f>
        <v>3.3</v>
      </c>
      <c r="G7967" s="4" t="str">
        <f>HYPERLINK("http://141.218.60.56/~jnz1568/getInfo.php?workbook=20_05.xlsx&amp;sheet=U0&amp;row=7967&amp;col=7&amp;number=0.000267&amp;sourceID=14","0.000267")</f>
        <v>0.000267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HYPERLINK("http://141.218.60.56/~jnz1568/getInfo.php?workbook=20_05.xlsx&amp;sheet=U0&amp;row=7968&amp;col=6&amp;number=3.4&amp;sourceID=14","3.4")</f>
        <v>3.4</v>
      </c>
      <c r="G7968" s="4" t="str">
        <f>HYPERLINK("http://141.218.60.56/~jnz1568/getInfo.php?workbook=20_05.xlsx&amp;sheet=U0&amp;row=7968&amp;col=7&amp;number=0.000267&amp;sourceID=14","0.000267")</f>
        <v>0.000267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HYPERLINK("http://141.218.60.56/~jnz1568/getInfo.php?workbook=20_05.xlsx&amp;sheet=U0&amp;row=7969&amp;col=6&amp;number=3.5&amp;sourceID=14","3.5")</f>
        <v>3.5</v>
      </c>
      <c r="G7969" s="4" t="str">
        <f>HYPERLINK("http://141.218.60.56/~jnz1568/getInfo.php?workbook=20_05.xlsx&amp;sheet=U0&amp;row=7969&amp;col=7&amp;number=0.000267&amp;sourceID=14","0.000267")</f>
        <v>0.000267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HYPERLINK("http://141.218.60.56/~jnz1568/getInfo.php?workbook=20_05.xlsx&amp;sheet=U0&amp;row=7970&amp;col=6&amp;number=3.6&amp;sourceID=14","3.6")</f>
        <v>3.6</v>
      </c>
      <c r="G7970" s="4" t="str">
        <f>HYPERLINK("http://141.218.60.56/~jnz1568/getInfo.php?workbook=20_05.xlsx&amp;sheet=U0&amp;row=7970&amp;col=7&amp;number=0.000267&amp;sourceID=14","0.000267")</f>
        <v>0.000267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HYPERLINK("http://141.218.60.56/~jnz1568/getInfo.php?workbook=20_05.xlsx&amp;sheet=U0&amp;row=7971&amp;col=6&amp;number=3.7&amp;sourceID=14","3.7")</f>
        <v>3.7</v>
      </c>
      <c r="G7971" s="4" t="str">
        <f>HYPERLINK("http://141.218.60.56/~jnz1568/getInfo.php?workbook=20_05.xlsx&amp;sheet=U0&amp;row=7971&amp;col=7&amp;number=0.000267&amp;sourceID=14","0.000267")</f>
        <v>0.000267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HYPERLINK("http://141.218.60.56/~jnz1568/getInfo.php?workbook=20_05.xlsx&amp;sheet=U0&amp;row=7972&amp;col=6&amp;number=3.8&amp;sourceID=14","3.8")</f>
        <v>3.8</v>
      </c>
      <c r="G7972" s="4" t="str">
        <f>HYPERLINK("http://141.218.60.56/~jnz1568/getInfo.php?workbook=20_05.xlsx&amp;sheet=U0&amp;row=7972&amp;col=7&amp;number=0.000267&amp;sourceID=14","0.000267")</f>
        <v>0.000267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HYPERLINK("http://141.218.60.56/~jnz1568/getInfo.php?workbook=20_05.xlsx&amp;sheet=U0&amp;row=7973&amp;col=6&amp;number=3.9&amp;sourceID=14","3.9")</f>
        <v>3.9</v>
      </c>
      <c r="G7973" s="4" t="str">
        <f>HYPERLINK("http://141.218.60.56/~jnz1568/getInfo.php?workbook=20_05.xlsx&amp;sheet=U0&amp;row=7973&amp;col=7&amp;number=0.000267&amp;sourceID=14","0.000267")</f>
        <v>0.000267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HYPERLINK("http://141.218.60.56/~jnz1568/getInfo.php?workbook=20_05.xlsx&amp;sheet=U0&amp;row=7974&amp;col=6&amp;number=4&amp;sourceID=14","4")</f>
        <v>4</v>
      </c>
      <c r="G7974" s="4" t="str">
        <f>HYPERLINK("http://141.218.60.56/~jnz1568/getInfo.php?workbook=20_05.xlsx&amp;sheet=U0&amp;row=7974&amp;col=7&amp;number=0.000267&amp;sourceID=14","0.000267")</f>
        <v>0.000267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HYPERLINK("http://141.218.60.56/~jnz1568/getInfo.php?workbook=20_05.xlsx&amp;sheet=U0&amp;row=7975&amp;col=6&amp;number=4.1&amp;sourceID=14","4.1")</f>
        <v>4.1</v>
      </c>
      <c r="G7975" s="4" t="str">
        <f>HYPERLINK("http://141.218.60.56/~jnz1568/getInfo.php?workbook=20_05.xlsx&amp;sheet=U0&amp;row=7975&amp;col=7&amp;number=0.000267&amp;sourceID=14","0.000267")</f>
        <v>0.000267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HYPERLINK("http://141.218.60.56/~jnz1568/getInfo.php?workbook=20_05.xlsx&amp;sheet=U0&amp;row=7976&amp;col=6&amp;number=4.2&amp;sourceID=14","4.2")</f>
        <v>4.2</v>
      </c>
      <c r="G7976" s="4" t="str">
        <f>HYPERLINK("http://141.218.60.56/~jnz1568/getInfo.php?workbook=20_05.xlsx&amp;sheet=U0&amp;row=7976&amp;col=7&amp;number=0.000267&amp;sourceID=14","0.000267")</f>
        <v>0.000267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HYPERLINK("http://141.218.60.56/~jnz1568/getInfo.php?workbook=20_05.xlsx&amp;sheet=U0&amp;row=7977&amp;col=6&amp;number=4.3&amp;sourceID=14","4.3")</f>
        <v>4.3</v>
      </c>
      <c r="G7977" s="4" t="str">
        <f>HYPERLINK("http://141.218.60.56/~jnz1568/getInfo.php?workbook=20_05.xlsx&amp;sheet=U0&amp;row=7977&amp;col=7&amp;number=0.000267&amp;sourceID=14","0.000267")</f>
        <v>0.000267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HYPERLINK("http://141.218.60.56/~jnz1568/getInfo.php?workbook=20_05.xlsx&amp;sheet=U0&amp;row=7978&amp;col=6&amp;number=4.4&amp;sourceID=14","4.4")</f>
        <v>4.4</v>
      </c>
      <c r="G7978" s="4" t="str">
        <f>HYPERLINK("http://141.218.60.56/~jnz1568/getInfo.php?workbook=20_05.xlsx&amp;sheet=U0&amp;row=7978&amp;col=7&amp;number=0.000266&amp;sourceID=14","0.000266")</f>
        <v>0.000266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HYPERLINK("http://141.218.60.56/~jnz1568/getInfo.php?workbook=20_05.xlsx&amp;sheet=U0&amp;row=7979&amp;col=6&amp;number=4.5&amp;sourceID=14","4.5")</f>
        <v>4.5</v>
      </c>
      <c r="G7979" s="4" t="str">
        <f>HYPERLINK("http://141.218.60.56/~jnz1568/getInfo.php?workbook=20_05.xlsx&amp;sheet=U0&amp;row=7979&amp;col=7&amp;number=0.000266&amp;sourceID=14","0.000266")</f>
        <v>0.000266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HYPERLINK("http://141.218.60.56/~jnz1568/getInfo.php?workbook=20_05.xlsx&amp;sheet=U0&amp;row=7980&amp;col=6&amp;number=4.6&amp;sourceID=14","4.6")</f>
        <v>4.6</v>
      </c>
      <c r="G7980" s="4" t="str">
        <f>HYPERLINK("http://141.218.60.56/~jnz1568/getInfo.php?workbook=20_05.xlsx&amp;sheet=U0&amp;row=7980&amp;col=7&amp;number=0.000266&amp;sourceID=14","0.000266")</f>
        <v>0.000266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HYPERLINK("http://141.218.60.56/~jnz1568/getInfo.php?workbook=20_05.xlsx&amp;sheet=U0&amp;row=7981&amp;col=6&amp;number=4.7&amp;sourceID=14","4.7")</f>
        <v>4.7</v>
      </c>
      <c r="G7981" s="4" t="str">
        <f>HYPERLINK("http://141.218.60.56/~jnz1568/getInfo.php?workbook=20_05.xlsx&amp;sheet=U0&amp;row=7981&amp;col=7&amp;number=0.000266&amp;sourceID=14","0.000266")</f>
        <v>0.000266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HYPERLINK("http://141.218.60.56/~jnz1568/getInfo.php?workbook=20_05.xlsx&amp;sheet=U0&amp;row=7982&amp;col=6&amp;number=4.8&amp;sourceID=14","4.8")</f>
        <v>4.8</v>
      </c>
      <c r="G7982" s="4" t="str">
        <f>HYPERLINK("http://141.218.60.56/~jnz1568/getInfo.php?workbook=20_05.xlsx&amp;sheet=U0&amp;row=7982&amp;col=7&amp;number=0.000266&amp;sourceID=14","0.000266")</f>
        <v>0.000266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HYPERLINK("http://141.218.60.56/~jnz1568/getInfo.php?workbook=20_05.xlsx&amp;sheet=U0&amp;row=7983&amp;col=6&amp;number=4.9&amp;sourceID=14","4.9")</f>
        <v>4.9</v>
      </c>
      <c r="G7983" s="4" t="str">
        <f>HYPERLINK("http://141.218.60.56/~jnz1568/getInfo.php?workbook=20_05.xlsx&amp;sheet=U0&amp;row=7983&amp;col=7&amp;number=0.000266&amp;sourceID=14","0.000266")</f>
        <v>0.000266</v>
      </c>
    </row>
    <row r="7984" spans="1:7">
      <c r="A7984" s="3">
        <v>20</v>
      </c>
      <c r="B7984" s="3">
        <v>5</v>
      </c>
      <c r="C7984" s="3">
        <v>4</v>
      </c>
      <c r="D7984" s="3">
        <v>38</v>
      </c>
      <c r="E7984" s="3">
        <v>1</v>
      </c>
      <c r="F7984" s="4" t="str">
        <f>HYPERLINK("http://141.218.60.56/~jnz1568/getInfo.php?workbook=20_05.xlsx&amp;sheet=U0&amp;row=7984&amp;col=6&amp;number=3&amp;sourceID=14","3")</f>
        <v>3</v>
      </c>
      <c r="G7984" s="4" t="str">
        <f>HYPERLINK("http://141.218.60.56/~jnz1568/getInfo.php?workbook=20_05.xlsx&amp;sheet=U0&amp;row=7984&amp;col=7&amp;number=0.000235&amp;sourceID=14","0.000235")</f>
        <v>0.000235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HYPERLINK("http://141.218.60.56/~jnz1568/getInfo.php?workbook=20_05.xlsx&amp;sheet=U0&amp;row=7985&amp;col=6&amp;number=3.1&amp;sourceID=14","3.1")</f>
        <v>3.1</v>
      </c>
      <c r="G7985" s="4" t="str">
        <f>HYPERLINK("http://141.218.60.56/~jnz1568/getInfo.php?workbook=20_05.xlsx&amp;sheet=U0&amp;row=7985&amp;col=7&amp;number=0.000235&amp;sourceID=14","0.000235")</f>
        <v>0.000235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HYPERLINK("http://141.218.60.56/~jnz1568/getInfo.php?workbook=20_05.xlsx&amp;sheet=U0&amp;row=7986&amp;col=6&amp;number=3.2&amp;sourceID=14","3.2")</f>
        <v>3.2</v>
      </c>
      <c r="G7986" s="4" t="str">
        <f>HYPERLINK("http://141.218.60.56/~jnz1568/getInfo.php?workbook=20_05.xlsx&amp;sheet=U0&amp;row=7986&amp;col=7&amp;number=0.000235&amp;sourceID=14","0.000235")</f>
        <v>0.000235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HYPERLINK("http://141.218.60.56/~jnz1568/getInfo.php?workbook=20_05.xlsx&amp;sheet=U0&amp;row=7987&amp;col=6&amp;number=3.3&amp;sourceID=14","3.3")</f>
        <v>3.3</v>
      </c>
      <c r="G7987" s="4" t="str">
        <f>HYPERLINK("http://141.218.60.56/~jnz1568/getInfo.php?workbook=20_05.xlsx&amp;sheet=U0&amp;row=7987&amp;col=7&amp;number=0.000235&amp;sourceID=14","0.000235")</f>
        <v>0.000235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HYPERLINK("http://141.218.60.56/~jnz1568/getInfo.php?workbook=20_05.xlsx&amp;sheet=U0&amp;row=7988&amp;col=6&amp;number=3.4&amp;sourceID=14","3.4")</f>
        <v>3.4</v>
      </c>
      <c r="G7988" s="4" t="str">
        <f>HYPERLINK("http://141.218.60.56/~jnz1568/getInfo.php?workbook=20_05.xlsx&amp;sheet=U0&amp;row=7988&amp;col=7&amp;number=0.000235&amp;sourceID=14","0.000235")</f>
        <v>0.000235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HYPERLINK("http://141.218.60.56/~jnz1568/getInfo.php?workbook=20_05.xlsx&amp;sheet=U0&amp;row=7989&amp;col=6&amp;number=3.5&amp;sourceID=14","3.5")</f>
        <v>3.5</v>
      </c>
      <c r="G7989" s="4" t="str">
        <f>HYPERLINK("http://141.218.60.56/~jnz1568/getInfo.php?workbook=20_05.xlsx&amp;sheet=U0&amp;row=7989&amp;col=7&amp;number=0.000235&amp;sourceID=14","0.000235")</f>
        <v>0.000235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HYPERLINK("http://141.218.60.56/~jnz1568/getInfo.php?workbook=20_05.xlsx&amp;sheet=U0&amp;row=7990&amp;col=6&amp;number=3.6&amp;sourceID=14","3.6")</f>
        <v>3.6</v>
      </c>
      <c r="G7990" s="4" t="str">
        <f>HYPERLINK("http://141.218.60.56/~jnz1568/getInfo.php?workbook=20_05.xlsx&amp;sheet=U0&amp;row=7990&amp;col=7&amp;number=0.000235&amp;sourceID=14","0.000235")</f>
        <v>0.000235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HYPERLINK("http://141.218.60.56/~jnz1568/getInfo.php?workbook=20_05.xlsx&amp;sheet=U0&amp;row=7991&amp;col=6&amp;number=3.7&amp;sourceID=14","3.7")</f>
        <v>3.7</v>
      </c>
      <c r="G7991" s="4" t="str">
        <f>HYPERLINK("http://141.218.60.56/~jnz1568/getInfo.php?workbook=20_05.xlsx&amp;sheet=U0&amp;row=7991&amp;col=7&amp;number=0.000235&amp;sourceID=14","0.000235")</f>
        <v>0.000235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HYPERLINK("http://141.218.60.56/~jnz1568/getInfo.php?workbook=20_05.xlsx&amp;sheet=U0&amp;row=7992&amp;col=6&amp;number=3.8&amp;sourceID=14","3.8")</f>
        <v>3.8</v>
      </c>
      <c r="G7992" s="4" t="str">
        <f>HYPERLINK("http://141.218.60.56/~jnz1568/getInfo.php?workbook=20_05.xlsx&amp;sheet=U0&amp;row=7992&amp;col=7&amp;number=0.000235&amp;sourceID=14","0.000235")</f>
        <v>0.000235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HYPERLINK("http://141.218.60.56/~jnz1568/getInfo.php?workbook=20_05.xlsx&amp;sheet=U0&amp;row=7993&amp;col=6&amp;number=3.9&amp;sourceID=14","3.9")</f>
        <v>3.9</v>
      </c>
      <c r="G7993" s="4" t="str">
        <f>HYPERLINK("http://141.218.60.56/~jnz1568/getInfo.php?workbook=20_05.xlsx&amp;sheet=U0&amp;row=7993&amp;col=7&amp;number=0.000235&amp;sourceID=14","0.000235")</f>
        <v>0.000235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HYPERLINK("http://141.218.60.56/~jnz1568/getInfo.php?workbook=20_05.xlsx&amp;sheet=U0&amp;row=7994&amp;col=6&amp;number=4&amp;sourceID=14","4")</f>
        <v>4</v>
      </c>
      <c r="G7994" s="4" t="str">
        <f>HYPERLINK("http://141.218.60.56/~jnz1568/getInfo.php?workbook=20_05.xlsx&amp;sheet=U0&amp;row=7994&amp;col=7&amp;number=0.000235&amp;sourceID=14","0.000235")</f>
        <v>0.000235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HYPERLINK("http://141.218.60.56/~jnz1568/getInfo.php?workbook=20_05.xlsx&amp;sheet=U0&amp;row=7995&amp;col=6&amp;number=4.1&amp;sourceID=14","4.1")</f>
        <v>4.1</v>
      </c>
      <c r="G7995" s="4" t="str">
        <f>HYPERLINK("http://141.218.60.56/~jnz1568/getInfo.php?workbook=20_05.xlsx&amp;sheet=U0&amp;row=7995&amp;col=7&amp;number=0.000235&amp;sourceID=14","0.000235")</f>
        <v>0.000235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HYPERLINK("http://141.218.60.56/~jnz1568/getInfo.php?workbook=20_05.xlsx&amp;sheet=U0&amp;row=7996&amp;col=6&amp;number=4.2&amp;sourceID=14","4.2")</f>
        <v>4.2</v>
      </c>
      <c r="G7996" s="4" t="str">
        <f>HYPERLINK("http://141.218.60.56/~jnz1568/getInfo.php?workbook=20_05.xlsx&amp;sheet=U0&amp;row=7996&amp;col=7&amp;number=0.000235&amp;sourceID=14","0.000235")</f>
        <v>0.000235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HYPERLINK("http://141.218.60.56/~jnz1568/getInfo.php?workbook=20_05.xlsx&amp;sheet=U0&amp;row=7997&amp;col=6&amp;number=4.3&amp;sourceID=14","4.3")</f>
        <v>4.3</v>
      </c>
      <c r="G7997" s="4" t="str">
        <f>HYPERLINK("http://141.218.60.56/~jnz1568/getInfo.php?workbook=20_05.xlsx&amp;sheet=U0&amp;row=7997&amp;col=7&amp;number=0.000235&amp;sourceID=14","0.000235")</f>
        <v>0.000235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HYPERLINK("http://141.218.60.56/~jnz1568/getInfo.php?workbook=20_05.xlsx&amp;sheet=U0&amp;row=7998&amp;col=6&amp;number=4.4&amp;sourceID=14","4.4")</f>
        <v>4.4</v>
      </c>
      <c r="G7998" s="4" t="str">
        <f>HYPERLINK("http://141.218.60.56/~jnz1568/getInfo.php?workbook=20_05.xlsx&amp;sheet=U0&amp;row=7998&amp;col=7&amp;number=0.000235&amp;sourceID=14","0.000235")</f>
        <v>0.000235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HYPERLINK("http://141.218.60.56/~jnz1568/getInfo.php?workbook=20_05.xlsx&amp;sheet=U0&amp;row=7999&amp;col=6&amp;number=4.5&amp;sourceID=14","4.5")</f>
        <v>4.5</v>
      </c>
      <c r="G7999" s="4" t="str">
        <f>HYPERLINK("http://141.218.60.56/~jnz1568/getInfo.php?workbook=20_05.xlsx&amp;sheet=U0&amp;row=7999&amp;col=7&amp;number=0.000234&amp;sourceID=14","0.000234")</f>
        <v>0.000234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HYPERLINK("http://141.218.60.56/~jnz1568/getInfo.php?workbook=20_05.xlsx&amp;sheet=U0&amp;row=8000&amp;col=6&amp;number=4.6&amp;sourceID=14","4.6")</f>
        <v>4.6</v>
      </c>
      <c r="G8000" s="4" t="str">
        <f>HYPERLINK("http://141.218.60.56/~jnz1568/getInfo.php?workbook=20_05.xlsx&amp;sheet=U0&amp;row=8000&amp;col=7&amp;number=0.000234&amp;sourceID=14","0.000234")</f>
        <v>0.000234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HYPERLINK("http://141.218.60.56/~jnz1568/getInfo.php?workbook=20_05.xlsx&amp;sheet=U0&amp;row=8001&amp;col=6&amp;number=4.7&amp;sourceID=14","4.7")</f>
        <v>4.7</v>
      </c>
      <c r="G8001" s="4" t="str">
        <f>HYPERLINK("http://141.218.60.56/~jnz1568/getInfo.php?workbook=20_05.xlsx&amp;sheet=U0&amp;row=8001&amp;col=7&amp;number=0.000234&amp;sourceID=14","0.000234")</f>
        <v>0.000234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HYPERLINK("http://141.218.60.56/~jnz1568/getInfo.php?workbook=20_05.xlsx&amp;sheet=U0&amp;row=8002&amp;col=6&amp;number=4.8&amp;sourceID=14","4.8")</f>
        <v>4.8</v>
      </c>
      <c r="G8002" s="4" t="str">
        <f>HYPERLINK("http://141.218.60.56/~jnz1568/getInfo.php?workbook=20_05.xlsx&amp;sheet=U0&amp;row=8002&amp;col=7&amp;number=0.000233&amp;sourceID=14","0.000233")</f>
        <v>0.000233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HYPERLINK("http://141.218.60.56/~jnz1568/getInfo.php?workbook=20_05.xlsx&amp;sheet=U0&amp;row=8003&amp;col=6&amp;number=4.9&amp;sourceID=14","4.9")</f>
        <v>4.9</v>
      </c>
      <c r="G8003" s="4" t="str">
        <f>HYPERLINK("http://141.218.60.56/~jnz1568/getInfo.php?workbook=20_05.xlsx&amp;sheet=U0&amp;row=8003&amp;col=7&amp;number=0.000233&amp;sourceID=14","0.000233")</f>
        <v>0.000233</v>
      </c>
    </row>
    <row r="8004" spans="1:7">
      <c r="A8004" s="3">
        <v>20</v>
      </c>
      <c r="B8004" s="3">
        <v>5</v>
      </c>
      <c r="C8004" s="3">
        <v>4</v>
      </c>
      <c r="D8004" s="3">
        <v>39</v>
      </c>
      <c r="E8004" s="3">
        <v>1</v>
      </c>
      <c r="F8004" s="4" t="str">
        <f>HYPERLINK("http://141.218.60.56/~jnz1568/getInfo.php?workbook=20_05.xlsx&amp;sheet=U0&amp;row=8004&amp;col=6&amp;number=3&amp;sourceID=14","3")</f>
        <v>3</v>
      </c>
      <c r="G8004" s="4" t="str">
        <f>HYPERLINK("http://141.218.60.56/~jnz1568/getInfo.php?workbook=20_05.xlsx&amp;sheet=U0&amp;row=8004&amp;col=7&amp;number=0.0371&amp;sourceID=14","0.0371")</f>
        <v>0.0371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HYPERLINK("http://141.218.60.56/~jnz1568/getInfo.php?workbook=20_05.xlsx&amp;sheet=U0&amp;row=8005&amp;col=6&amp;number=3.1&amp;sourceID=14","3.1")</f>
        <v>3.1</v>
      </c>
      <c r="G8005" s="4" t="str">
        <f>HYPERLINK("http://141.218.60.56/~jnz1568/getInfo.php?workbook=20_05.xlsx&amp;sheet=U0&amp;row=8005&amp;col=7&amp;number=0.0371&amp;sourceID=14","0.0371")</f>
        <v>0.0371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HYPERLINK("http://141.218.60.56/~jnz1568/getInfo.php?workbook=20_05.xlsx&amp;sheet=U0&amp;row=8006&amp;col=6&amp;number=3.2&amp;sourceID=14","3.2")</f>
        <v>3.2</v>
      </c>
      <c r="G8006" s="4" t="str">
        <f>HYPERLINK("http://141.218.60.56/~jnz1568/getInfo.php?workbook=20_05.xlsx&amp;sheet=U0&amp;row=8006&amp;col=7&amp;number=0.0371&amp;sourceID=14","0.0371")</f>
        <v>0.0371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HYPERLINK("http://141.218.60.56/~jnz1568/getInfo.php?workbook=20_05.xlsx&amp;sheet=U0&amp;row=8007&amp;col=6&amp;number=3.3&amp;sourceID=14","3.3")</f>
        <v>3.3</v>
      </c>
      <c r="G8007" s="4" t="str">
        <f>HYPERLINK("http://141.218.60.56/~jnz1568/getInfo.php?workbook=20_05.xlsx&amp;sheet=U0&amp;row=8007&amp;col=7&amp;number=0.0371&amp;sourceID=14","0.0371")</f>
        <v>0.0371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HYPERLINK("http://141.218.60.56/~jnz1568/getInfo.php?workbook=20_05.xlsx&amp;sheet=U0&amp;row=8008&amp;col=6&amp;number=3.4&amp;sourceID=14","3.4")</f>
        <v>3.4</v>
      </c>
      <c r="G8008" s="4" t="str">
        <f>HYPERLINK("http://141.218.60.56/~jnz1568/getInfo.php?workbook=20_05.xlsx&amp;sheet=U0&amp;row=8008&amp;col=7&amp;number=0.0371&amp;sourceID=14","0.0371")</f>
        <v>0.0371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HYPERLINK("http://141.218.60.56/~jnz1568/getInfo.php?workbook=20_05.xlsx&amp;sheet=U0&amp;row=8009&amp;col=6&amp;number=3.5&amp;sourceID=14","3.5")</f>
        <v>3.5</v>
      </c>
      <c r="G8009" s="4" t="str">
        <f>HYPERLINK("http://141.218.60.56/~jnz1568/getInfo.php?workbook=20_05.xlsx&amp;sheet=U0&amp;row=8009&amp;col=7&amp;number=0.0371&amp;sourceID=14","0.0371")</f>
        <v>0.0371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HYPERLINK("http://141.218.60.56/~jnz1568/getInfo.php?workbook=20_05.xlsx&amp;sheet=U0&amp;row=8010&amp;col=6&amp;number=3.6&amp;sourceID=14","3.6")</f>
        <v>3.6</v>
      </c>
      <c r="G8010" s="4" t="str">
        <f>HYPERLINK("http://141.218.60.56/~jnz1568/getInfo.php?workbook=20_05.xlsx&amp;sheet=U0&amp;row=8010&amp;col=7&amp;number=0.0371&amp;sourceID=14","0.0371")</f>
        <v>0.0371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HYPERLINK("http://141.218.60.56/~jnz1568/getInfo.php?workbook=20_05.xlsx&amp;sheet=U0&amp;row=8011&amp;col=6&amp;number=3.7&amp;sourceID=14","3.7")</f>
        <v>3.7</v>
      </c>
      <c r="G8011" s="4" t="str">
        <f>HYPERLINK("http://141.218.60.56/~jnz1568/getInfo.php?workbook=20_05.xlsx&amp;sheet=U0&amp;row=8011&amp;col=7&amp;number=0.0371&amp;sourceID=14","0.0371")</f>
        <v>0.0371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HYPERLINK("http://141.218.60.56/~jnz1568/getInfo.php?workbook=20_05.xlsx&amp;sheet=U0&amp;row=8012&amp;col=6&amp;number=3.8&amp;sourceID=14","3.8")</f>
        <v>3.8</v>
      </c>
      <c r="G8012" s="4" t="str">
        <f>HYPERLINK("http://141.218.60.56/~jnz1568/getInfo.php?workbook=20_05.xlsx&amp;sheet=U0&amp;row=8012&amp;col=7&amp;number=0.0371&amp;sourceID=14","0.0371")</f>
        <v>0.0371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HYPERLINK("http://141.218.60.56/~jnz1568/getInfo.php?workbook=20_05.xlsx&amp;sheet=U0&amp;row=8013&amp;col=6&amp;number=3.9&amp;sourceID=14","3.9")</f>
        <v>3.9</v>
      </c>
      <c r="G8013" s="4" t="str">
        <f>HYPERLINK("http://141.218.60.56/~jnz1568/getInfo.php?workbook=20_05.xlsx&amp;sheet=U0&amp;row=8013&amp;col=7&amp;number=0.0371&amp;sourceID=14","0.0371")</f>
        <v>0.0371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HYPERLINK("http://141.218.60.56/~jnz1568/getInfo.php?workbook=20_05.xlsx&amp;sheet=U0&amp;row=8014&amp;col=6&amp;number=4&amp;sourceID=14","4")</f>
        <v>4</v>
      </c>
      <c r="G8014" s="4" t="str">
        <f>HYPERLINK("http://141.218.60.56/~jnz1568/getInfo.php?workbook=20_05.xlsx&amp;sheet=U0&amp;row=8014&amp;col=7&amp;number=0.0371&amp;sourceID=14","0.0371")</f>
        <v>0.0371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HYPERLINK("http://141.218.60.56/~jnz1568/getInfo.php?workbook=20_05.xlsx&amp;sheet=U0&amp;row=8015&amp;col=6&amp;number=4.1&amp;sourceID=14","4.1")</f>
        <v>4.1</v>
      </c>
      <c r="G8015" s="4" t="str">
        <f>HYPERLINK("http://141.218.60.56/~jnz1568/getInfo.php?workbook=20_05.xlsx&amp;sheet=U0&amp;row=8015&amp;col=7&amp;number=0.0372&amp;sourceID=14","0.0372")</f>
        <v>0.0372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HYPERLINK("http://141.218.60.56/~jnz1568/getInfo.php?workbook=20_05.xlsx&amp;sheet=U0&amp;row=8016&amp;col=6&amp;number=4.2&amp;sourceID=14","4.2")</f>
        <v>4.2</v>
      </c>
      <c r="G8016" s="4" t="str">
        <f>HYPERLINK("http://141.218.60.56/~jnz1568/getInfo.php?workbook=20_05.xlsx&amp;sheet=U0&amp;row=8016&amp;col=7&amp;number=0.0372&amp;sourceID=14","0.0372")</f>
        <v>0.0372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HYPERLINK("http://141.218.60.56/~jnz1568/getInfo.php?workbook=20_05.xlsx&amp;sheet=U0&amp;row=8017&amp;col=6&amp;number=4.3&amp;sourceID=14","4.3")</f>
        <v>4.3</v>
      </c>
      <c r="G8017" s="4" t="str">
        <f>HYPERLINK("http://141.218.60.56/~jnz1568/getInfo.php?workbook=20_05.xlsx&amp;sheet=U0&amp;row=8017&amp;col=7&amp;number=0.0372&amp;sourceID=14","0.0372")</f>
        <v>0.0372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HYPERLINK("http://141.218.60.56/~jnz1568/getInfo.php?workbook=20_05.xlsx&amp;sheet=U0&amp;row=8018&amp;col=6&amp;number=4.4&amp;sourceID=14","4.4")</f>
        <v>4.4</v>
      </c>
      <c r="G8018" s="4" t="str">
        <f>HYPERLINK("http://141.218.60.56/~jnz1568/getInfo.php?workbook=20_05.xlsx&amp;sheet=U0&amp;row=8018&amp;col=7&amp;number=0.0372&amp;sourceID=14","0.0372")</f>
        <v>0.0372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HYPERLINK("http://141.218.60.56/~jnz1568/getInfo.php?workbook=20_05.xlsx&amp;sheet=U0&amp;row=8019&amp;col=6&amp;number=4.5&amp;sourceID=14","4.5")</f>
        <v>4.5</v>
      </c>
      <c r="G8019" s="4" t="str">
        <f>HYPERLINK("http://141.218.60.56/~jnz1568/getInfo.php?workbook=20_05.xlsx&amp;sheet=U0&amp;row=8019&amp;col=7&amp;number=0.0372&amp;sourceID=14","0.0372")</f>
        <v>0.0372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HYPERLINK("http://141.218.60.56/~jnz1568/getInfo.php?workbook=20_05.xlsx&amp;sheet=U0&amp;row=8020&amp;col=6&amp;number=4.6&amp;sourceID=14","4.6")</f>
        <v>4.6</v>
      </c>
      <c r="G8020" s="4" t="str">
        <f>HYPERLINK("http://141.218.60.56/~jnz1568/getInfo.php?workbook=20_05.xlsx&amp;sheet=U0&amp;row=8020&amp;col=7&amp;number=0.0372&amp;sourceID=14","0.0372")</f>
        <v>0.0372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HYPERLINK("http://141.218.60.56/~jnz1568/getInfo.php?workbook=20_05.xlsx&amp;sheet=U0&amp;row=8021&amp;col=6&amp;number=4.7&amp;sourceID=14","4.7")</f>
        <v>4.7</v>
      </c>
      <c r="G8021" s="4" t="str">
        <f>HYPERLINK("http://141.218.60.56/~jnz1568/getInfo.php?workbook=20_05.xlsx&amp;sheet=U0&amp;row=8021&amp;col=7&amp;number=0.0372&amp;sourceID=14","0.0372")</f>
        <v>0.0372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HYPERLINK("http://141.218.60.56/~jnz1568/getInfo.php?workbook=20_05.xlsx&amp;sheet=U0&amp;row=8022&amp;col=6&amp;number=4.8&amp;sourceID=14","4.8")</f>
        <v>4.8</v>
      </c>
      <c r="G8022" s="4" t="str">
        <f>HYPERLINK("http://141.218.60.56/~jnz1568/getInfo.php?workbook=20_05.xlsx&amp;sheet=U0&amp;row=8022&amp;col=7&amp;number=0.0372&amp;sourceID=14","0.0372")</f>
        <v>0.0372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HYPERLINK("http://141.218.60.56/~jnz1568/getInfo.php?workbook=20_05.xlsx&amp;sheet=U0&amp;row=8023&amp;col=6&amp;number=4.9&amp;sourceID=14","4.9")</f>
        <v>4.9</v>
      </c>
      <c r="G8023" s="4" t="str">
        <f>HYPERLINK("http://141.218.60.56/~jnz1568/getInfo.php?workbook=20_05.xlsx&amp;sheet=U0&amp;row=8023&amp;col=7&amp;number=0.0373&amp;sourceID=14","0.0373")</f>
        <v>0.0373</v>
      </c>
    </row>
    <row r="8024" spans="1:7">
      <c r="A8024" s="3">
        <v>20</v>
      </c>
      <c r="B8024" s="3">
        <v>5</v>
      </c>
      <c r="C8024" s="3">
        <v>4</v>
      </c>
      <c r="D8024" s="3">
        <v>40</v>
      </c>
      <c r="E8024" s="3">
        <v>1</v>
      </c>
      <c r="F8024" s="4" t="str">
        <f>HYPERLINK("http://141.218.60.56/~jnz1568/getInfo.php?workbook=20_05.xlsx&amp;sheet=U0&amp;row=8024&amp;col=6&amp;number=3&amp;sourceID=14","3")</f>
        <v>3</v>
      </c>
      <c r="G8024" s="4" t="str">
        <f>HYPERLINK("http://141.218.60.56/~jnz1568/getInfo.php?workbook=20_05.xlsx&amp;sheet=U0&amp;row=8024&amp;col=7&amp;number=0.00044&amp;sourceID=14","0.00044")</f>
        <v>0.00044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HYPERLINK("http://141.218.60.56/~jnz1568/getInfo.php?workbook=20_05.xlsx&amp;sheet=U0&amp;row=8025&amp;col=6&amp;number=3.1&amp;sourceID=14","3.1")</f>
        <v>3.1</v>
      </c>
      <c r="G8025" s="4" t="str">
        <f>HYPERLINK("http://141.218.60.56/~jnz1568/getInfo.php?workbook=20_05.xlsx&amp;sheet=U0&amp;row=8025&amp;col=7&amp;number=0.000439&amp;sourceID=14","0.000439")</f>
        <v>0.000439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HYPERLINK("http://141.218.60.56/~jnz1568/getInfo.php?workbook=20_05.xlsx&amp;sheet=U0&amp;row=8026&amp;col=6&amp;number=3.2&amp;sourceID=14","3.2")</f>
        <v>3.2</v>
      </c>
      <c r="G8026" s="4" t="str">
        <f>HYPERLINK("http://141.218.60.56/~jnz1568/getInfo.php?workbook=20_05.xlsx&amp;sheet=U0&amp;row=8026&amp;col=7&amp;number=0.000439&amp;sourceID=14","0.000439")</f>
        <v>0.000439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HYPERLINK("http://141.218.60.56/~jnz1568/getInfo.php?workbook=20_05.xlsx&amp;sheet=U0&amp;row=8027&amp;col=6&amp;number=3.3&amp;sourceID=14","3.3")</f>
        <v>3.3</v>
      </c>
      <c r="G8027" s="4" t="str">
        <f>HYPERLINK("http://141.218.60.56/~jnz1568/getInfo.php?workbook=20_05.xlsx&amp;sheet=U0&amp;row=8027&amp;col=7&amp;number=0.000439&amp;sourceID=14","0.000439")</f>
        <v>0.000439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HYPERLINK("http://141.218.60.56/~jnz1568/getInfo.php?workbook=20_05.xlsx&amp;sheet=U0&amp;row=8028&amp;col=6&amp;number=3.4&amp;sourceID=14","3.4")</f>
        <v>3.4</v>
      </c>
      <c r="G8028" s="4" t="str">
        <f>HYPERLINK("http://141.218.60.56/~jnz1568/getInfo.php?workbook=20_05.xlsx&amp;sheet=U0&amp;row=8028&amp;col=7&amp;number=0.000439&amp;sourceID=14","0.000439")</f>
        <v>0.000439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HYPERLINK("http://141.218.60.56/~jnz1568/getInfo.php?workbook=20_05.xlsx&amp;sheet=U0&amp;row=8029&amp;col=6&amp;number=3.5&amp;sourceID=14","3.5")</f>
        <v>3.5</v>
      </c>
      <c r="G8029" s="4" t="str">
        <f>HYPERLINK("http://141.218.60.56/~jnz1568/getInfo.php?workbook=20_05.xlsx&amp;sheet=U0&amp;row=8029&amp;col=7&amp;number=0.000439&amp;sourceID=14","0.000439")</f>
        <v>0.000439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HYPERLINK("http://141.218.60.56/~jnz1568/getInfo.php?workbook=20_05.xlsx&amp;sheet=U0&amp;row=8030&amp;col=6&amp;number=3.6&amp;sourceID=14","3.6")</f>
        <v>3.6</v>
      </c>
      <c r="G8030" s="4" t="str">
        <f>HYPERLINK("http://141.218.60.56/~jnz1568/getInfo.php?workbook=20_05.xlsx&amp;sheet=U0&amp;row=8030&amp;col=7&amp;number=0.000439&amp;sourceID=14","0.000439")</f>
        <v>0.000439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HYPERLINK("http://141.218.60.56/~jnz1568/getInfo.php?workbook=20_05.xlsx&amp;sheet=U0&amp;row=8031&amp;col=6&amp;number=3.7&amp;sourceID=14","3.7")</f>
        <v>3.7</v>
      </c>
      <c r="G8031" s="4" t="str">
        <f>HYPERLINK("http://141.218.60.56/~jnz1568/getInfo.php?workbook=20_05.xlsx&amp;sheet=U0&amp;row=8031&amp;col=7&amp;number=0.000439&amp;sourceID=14","0.000439")</f>
        <v>0.000439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HYPERLINK("http://141.218.60.56/~jnz1568/getInfo.php?workbook=20_05.xlsx&amp;sheet=U0&amp;row=8032&amp;col=6&amp;number=3.8&amp;sourceID=14","3.8")</f>
        <v>3.8</v>
      </c>
      <c r="G8032" s="4" t="str">
        <f>HYPERLINK("http://141.218.60.56/~jnz1568/getInfo.php?workbook=20_05.xlsx&amp;sheet=U0&amp;row=8032&amp;col=7&amp;number=0.000439&amp;sourceID=14","0.000439")</f>
        <v>0.000439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HYPERLINK("http://141.218.60.56/~jnz1568/getInfo.php?workbook=20_05.xlsx&amp;sheet=U0&amp;row=8033&amp;col=6&amp;number=3.9&amp;sourceID=14","3.9")</f>
        <v>3.9</v>
      </c>
      <c r="G8033" s="4" t="str">
        <f>HYPERLINK("http://141.218.60.56/~jnz1568/getInfo.php?workbook=20_05.xlsx&amp;sheet=U0&amp;row=8033&amp;col=7&amp;number=0.000439&amp;sourceID=14","0.000439")</f>
        <v>0.000439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HYPERLINK("http://141.218.60.56/~jnz1568/getInfo.php?workbook=20_05.xlsx&amp;sheet=U0&amp;row=8034&amp;col=6&amp;number=4&amp;sourceID=14","4")</f>
        <v>4</v>
      </c>
      <c r="G8034" s="4" t="str">
        <f>HYPERLINK("http://141.218.60.56/~jnz1568/getInfo.php?workbook=20_05.xlsx&amp;sheet=U0&amp;row=8034&amp;col=7&amp;number=0.000439&amp;sourceID=14","0.000439")</f>
        <v>0.000439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HYPERLINK("http://141.218.60.56/~jnz1568/getInfo.php?workbook=20_05.xlsx&amp;sheet=U0&amp;row=8035&amp;col=6&amp;number=4.1&amp;sourceID=14","4.1")</f>
        <v>4.1</v>
      </c>
      <c r="G8035" s="4" t="str">
        <f>HYPERLINK("http://141.218.60.56/~jnz1568/getInfo.php?workbook=20_05.xlsx&amp;sheet=U0&amp;row=8035&amp;col=7&amp;number=0.000438&amp;sourceID=14","0.000438")</f>
        <v>0.000438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HYPERLINK("http://141.218.60.56/~jnz1568/getInfo.php?workbook=20_05.xlsx&amp;sheet=U0&amp;row=8036&amp;col=6&amp;number=4.2&amp;sourceID=14","4.2")</f>
        <v>4.2</v>
      </c>
      <c r="G8036" s="4" t="str">
        <f>HYPERLINK("http://141.218.60.56/~jnz1568/getInfo.php?workbook=20_05.xlsx&amp;sheet=U0&amp;row=8036&amp;col=7&amp;number=0.000438&amp;sourceID=14","0.000438")</f>
        <v>0.000438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HYPERLINK("http://141.218.60.56/~jnz1568/getInfo.php?workbook=20_05.xlsx&amp;sheet=U0&amp;row=8037&amp;col=6&amp;number=4.3&amp;sourceID=14","4.3")</f>
        <v>4.3</v>
      </c>
      <c r="G8037" s="4" t="str">
        <f>HYPERLINK("http://141.218.60.56/~jnz1568/getInfo.php?workbook=20_05.xlsx&amp;sheet=U0&amp;row=8037&amp;col=7&amp;number=0.000438&amp;sourceID=14","0.000438")</f>
        <v>0.000438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HYPERLINK("http://141.218.60.56/~jnz1568/getInfo.php?workbook=20_05.xlsx&amp;sheet=U0&amp;row=8038&amp;col=6&amp;number=4.4&amp;sourceID=14","4.4")</f>
        <v>4.4</v>
      </c>
      <c r="G8038" s="4" t="str">
        <f>HYPERLINK("http://141.218.60.56/~jnz1568/getInfo.php?workbook=20_05.xlsx&amp;sheet=U0&amp;row=8038&amp;col=7&amp;number=0.000437&amp;sourceID=14","0.000437")</f>
        <v>0.000437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HYPERLINK("http://141.218.60.56/~jnz1568/getInfo.php?workbook=20_05.xlsx&amp;sheet=U0&amp;row=8039&amp;col=6&amp;number=4.5&amp;sourceID=14","4.5")</f>
        <v>4.5</v>
      </c>
      <c r="G8039" s="4" t="str">
        <f>HYPERLINK("http://141.218.60.56/~jnz1568/getInfo.php?workbook=20_05.xlsx&amp;sheet=U0&amp;row=8039&amp;col=7&amp;number=0.000437&amp;sourceID=14","0.000437")</f>
        <v>0.000437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HYPERLINK("http://141.218.60.56/~jnz1568/getInfo.php?workbook=20_05.xlsx&amp;sheet=U0&amp;row=8040&amp;col=6&amp;number=4.6&amp;sourceID=14","4.6")</f>
        <v>4.6</v>
      </c>
      <c r="G8040" s="4" t="str">
        <f>HYPERLINK("http://141.218.60.56/~jnz1568/getInfo.php?workbook=20_05.xlsx&amp;sheet=U0&amp;row=8040&amp;col=7&amp;number=0.000436&amp;sourceID=14","0.000436")</f>
        <v>0.000436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HYPERLINK("http://141.218.60.56/~jnz1568/getInfo.php?workbook=20_05.xlsx&amp;sheet=U0&amp;row=8041&amp;col=6&amp;number=4.7&amp;sourceID=14","4.7")</f>
        <v>4.7</v>
      </c>
      <c r="G8041" s="4" t="str">
        <f>HYPERLINK("http://141.218.60.56/~jnz1568/getInfo.php?workbook=20_05.xlsx&amp;sheet=U0&amp;row=8041&amp;col=7&amp;number=0.000435&amp;sourceID=14","0.000435")</f>
        <v>0.000435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HYPERLINK("http://141.218.60.56/~jnz1568/getInfo.php?workbook=20_05.xlsx&amp;sheet=U0&amp;row=8042&amp;col=6&amp;number=4.8&amp;sourceID=14","4.8")</f>
        <v>4.8</v>
      </c>
      <c r="G8042" s="4" t="str">
        <f>HYPERLINK("http://141.218.60.56/~jnz1568/getInfo.php?workbook=20_05.xlsx&amp;sheet=U0&amp;row=8042&amp;col=7&amp;number=0.000434&amp;sourceID=14","0.000434")</f>
        <v>0.000434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HYPERLINK("http://141.218.60.56/~jnz1568/getInfo.php?workbook=20_05.xlsx&amp;sheet=U0&amp;row=8043&amp;col=6&amp;number=4.9&amp;sourceID=14","4.9")</f>
        <v>4.9</v>
      </c>
      <c r="G8043" s="4" t="str">
        <f>HYPERLINK("http://141.218.60.56/~jnz1568/getInfo.php?workbook=20_05.xlsx&amp;sheet=U0&amp;row=8043&amp;col=7&amp;number=0.000433&amp;sourceID=14","0.000433")</f>
        <v>0.000433</v>
      </c>
    </row>
    <row r="8044" spans="1:7">
      <c r="A8044" s="3">
        <v>20</v>
      </c>
      <c r="B8044" s="3">
        <v>5</v>
      </c>
      <c r="C8044" s="3">
        <v>4</v>
      </c>
      <c r="D8044" s="3">
        <v>41</v>
      </c>
      <c r="E8044" s="3">
        <v>1</v>
      </c>
      <c r="F8044" s="4" t="str">
        <f>HYPERLINK("http://141.218.60.56/~jnz1568/getInfo.php?workbook=20_05.xlsx&amp;sheet=U0&amp;row=8044&amp;col=6&amp;number=3&amp;sourceID=14","3")</f>
        <v>3</v>
      </c>
      <c r="G8044" s="4" t="str">
        <f>HYPERLINK("http://141.218.60.56/~jnz1568/getInfo.php?workbook=20_05.xlsx&amp;sheet=U0&amp;row=8044&amp;col=7&amp;number=0.000131&amp;sourceID=14","0.000131")</f>
        <v>0.000131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HYPERLINK("http://141.218.60.56/~jnz1568/getInfo.php?workbook=20_05.xlsx&amp;sheet=U0&amp;row=8045&amp;col=6&amp;number=3.1&amp;sourceID=14","3.1")</f>
        <v>3.1</v>
      </c>
      <c r="G8045" s="4" t="str">
        <f>HYPERLINK("http://141.218.60.56/~jnz1568/getInfo.php?workbook=20_05.xlsx&amp;sheet=U0&amp;row=8045&amp;col=7&amp;number=0.000131&amp;sourceID=14","0.000131")</f>
        <v>0.000131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HYPERLINK("http://141.218.60.56/~jnz1568/getInfo.php?workbook=20_05.xlsx&amp;sheet=U0&amp;row=8046&amp;col=6&amp;number=3.2&amp;sourceID=14","3.2")</f>
        <v>3.2</v>
      </c>
      <c r="G8046" s="4" t="str">
        <f>HYPERLINK("http://141.218.60.56/~jnz1568/getInfo.php?workbook=20_05.xlsx&amp;sheet=U0&amp;row=8046&amp;col=7&amp;number=0.000131&amp;sourceID=14","0.000131")</f>
        <v>0.000131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HYPERLINK("http://141.218.60.56/~jnz1568/getInfo.php?workbook=20_05.xlsx&amp;sheet=U0&amp;row=8047&amp;col=6&amp;number=3.3&amp;sourceID=14","3.3")</f>
        <v>3.3</v>
      </c>
      <c r="G8047" s="4" t="str">
        <f>HYPERLINK("http://141.218.60.56/~jnz1568/getInfo.php?workbook=20_05.xlsx&amp;sheet=U0&amp;row=8047&amp;col=7&amp;number=0.000131&amp;sourceID=14","0.000131")</f>
        <v>0.000131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HYPERLINK("http://141.218.60.56/~jnz1568/getInfo.php?workbook=20_05.xlsx&amp;sheet=U0&amp;row=8048&amp;col=6&amp;number=3.4&amp;sourceID=14","3.4")</f>
        <v>3.4</v>
      </c>
      <c r="G8048" s="4" t="str">
        <f>HYPERLINK("http://141.218.60.56/~jnz1568/getInfo.php?workbook=20_05.xlsx&amp;sheet=U0&amp;row=8048&amp;col=7&amp;number=0.000131&amp;sourceID=14","0.000131")</f>
        <v>0.000131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HYPERLINK("http://141.218.60.56/~jnz1568/getInfo.php?workbook=20_05.xlsx&amp;sheet=U0&amp;row=8049&amp;col=6&amp;number=3.5&amp;sourceID=14","3.5")</f>
        <v>3.5</v>
      </c>
      <c r="G8049" s="4" t="str">
        <f>HYPERLINK("http://141.218.60.56/~jnz1568/getInfo.php?workbook=20_05.xlsx&amp;sheet=U0&amp;row=8049&amp;col=7&amp;number=0.000131&amp;sourceID=14","0.000131")</f>
        <v>0.000131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HYPERLINK("http://141.218.60.56/~jnz1568/getInfo.php?workbook=20_05.xlsx&amp;sheet=U0&amp;row=8050&amp;col=6&amp;number=3.6&amp;sourceID=14","3.6")</f>
        <v>3.6</v>
      </c>
      <c r="G8050" s="4" t="str">
        <f>HYPERLINK("http://141.218.60.56/~jnz1568/getInfo.php?workbook=20_05.xlsx&amp;sheet=U0&amp;row=8050&amp;col=7&amp;number=0.000131&amp;sourceID=14","0.000131")</f>
        <v>0.000131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HYPERLINK("http://141.218.60.56/~jnz1568/getInfo.php?workbook=20_05.xlsx&amp;sheet=U0&amp;row=8051&amp;col=6&amp;number=3.7&amp;sourceID=14","3.7")</f>
        <v>3.7</v>
      </c>
      <c r="G8051" s="4" t="str">
        <f>HYPERLINK("http://141.218.60.56/~jnz1568/getInfo.php?workbook=20_05.xlsx&amp;sheet=U0&amp;row=8051&amp;col=7&amp;number=0.000131&amp;sourceID=14","0.000131")</f>
        <v>0.000131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HYPERLINK("http://141.218.60.56/~jnz1568/getInfo.php?workbook=20_05.xlsx&amp;sheet=U0&amp;row=8052&amp;col=6&amp;number=3.8&amp;sourceID=14","3.8")</f>
        <v>3.8</v>
      </c>
      <c r="G8052" s="4" t="str">
        <f>HYPERLINK("http://141.218.60.56/~jnz1568/getInfo.php?workbook=20_05.xlsx&amp;sheet=U0&amp;row=8052&amp;col=7&amp;number=0.000131&amp;sourceID=14","0.000131")</f>
        <v>0.000131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HYPERLINK("http://141.218.60.56/~jnz1568/getInfo.php?workbook=20_05.xlsx&amp;sheet=U0&amp;row=8053&amp;col=6&amp;number=3.9&amp;sourceID=14","3.9")</f>
        <v>3.9</v>
      </c>
      <c r="G8053" s="4" t="str">
        <f>HYPERLINK("http://141.218.60.56/~jnz1568/getInfo.php?workbook=20_05.xlsx&amp;sheet=U0&amp;row=8053&amp;col=7&amp;number=0.000131&amp;sourceID=14","0.000131")</f>
        <v>0.000131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HYPERLINK("http://141.218.60.56/~jnz1568/getInfo.php?workbook=20_05.xlsx&amp;sheet=U0&amp;row=8054&amp;col=6&amp;number=4&amp;sourceID=14","4")</f>
        <v>4</v>
      </c>
      <c r="G8054" s="4" t="str">
        <f>HYPERLINK("http://141.218.60.56/~jnz1568/getInfo.php?workbook=20_05.xlsx&amp;sheet=U0&amp;row=8054&amp;col=7&amp;number=0.000131&amp;sourceID=14","0.000131")</f>
        <v>0.000131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HYPERLINK("http://141.218.60.56/~jnz1568/getInfo.php?workbook=20_05.xlsx&amp;sheet=U0&amp;row=8055&amp;col=6&amp;number=4.1&amp;sourceID=14","4.1")</f>
        <v>4.1</v>
      </c>
      <c r="G8055" s="4" t="str">
        <f>HYPERLINK("http://141.218.60.56/~jnz1568/getInfo.php?workbook=20_05.xlsx&amp;sheet=U0&amp;row=8055&amp;col=7&amp;number=0.000131&amp;sourceID=14","0.000131")</f>
        <v>0.000131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HYPERLINK("http://141.218.60.56/~jnz1568/getInfo.php?workbook=20_05.xlsx&amp;sheet=U0&amp;row=8056&amp;col=6&amp;number=4.2&amp;sourceID=14","4.2")</f>
        <v>4.2</v>
      </c>
      <c r="G8056" s="4" t="str">
        <f>HYPERLINK("http://141.218.60.56/~jnz1568/getInfo.php?workbook=20_05.xlsx&amp;sheet=U0&amp;row=8056&amp;col=7&amp;number=0.000131&amp;sourceID=14","0.000131")</f>
        <v>0.000131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HYPERLINK("http://141.218.60.56/~jnz1568/getInfo.php?workbook=20_05.xlsx&amp;sheet=U0&amp;row=8057&amp;col=6&amp;number=4.3&amp;sourceID=14","4.3")</f>
        <v>4.3</v>
      </c>
      <c r="G8057" s="4" t="str">
        <f>HYPERLINK("http://141.218.60.56/~jnz1568/getInfo.php?workbook=20_05.xlsx&amp;sheet=U0&amp;row=8057&amp;col=7&amp;number=0.000131&amp;sourceID=14","0.000131")</f>
        <v>0.000131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HYPERLINK("http://141.218.60.56/~jnz1568/getInfo.php?workbook=20_05.xlsx&amp;sheet=U0&amp;row=8058&amp;col=6&amp;number=4.4&amp;sourceID=14","4.4")</f>
        <v>4.4</v>
      </c>
      <c r="G8058" s="4" t="str">
        <f>HYPERLINK("http://141.218.60.56/~jnz1568/getInfo.php?workbook=20_05.xlsx&amp;sheet=U0&amp;row=8058&amp;col=7&amp;number=0.000131&amp;sourceID=14","0.000131")</f>
        <v>0.000131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HYPERLINK("http://141.218.60.56/~jnz1568/getInfo.php?workbook=20_05.xlsx&amp;sheet=U0&amp;row=8059&amp;col=6&amp;number=4.5&amp;sourceID=14","4.5")</f>
        <v>4.5</v>
      </c>
      <c r="G8059" s="4" t="str">
        <f>HYPERLINK("http://141.218.60.56/~jnz1568/getInfo.php?workbook=20_05.xlsx&amp;sheet=U0&amp;row=8059&amp;col=7&amp;number=0.00013&amp;sourceID=14","0.00013")</f>
        <v>0.00013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HYPERLINK("http://141.218.60.56/~jnz1568/getInfo.php?workbook=20_05.xlsx&amp;sheet=U0&amp;row=8060&amp;col=6&amp;number=4.6&amp;sourceID=14","4.6")</f>
        <v>4.6</v>
      </c>
      <c r="G8060" s="4" t="str">
        <f>HYPERLINK("http://141.218.60.56/~jnz1568/getInfo.php?workbook=20_05.xlsx&amp;sheet=U0&amp;row=8060&amp;col=7&amp;number=0.00013&amp;sourceID=14","0.00013")</f>
        <v>0.00013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HYPERLINK("http://141.218.60.56/~jnz1568/getInfo.php?workbook=20_05.xlsx&amp;sheet=U0&amp;row=8061&amp;col=6&amp;number=4.7&amp;sourceID=14","4.7")</f>
        <v>4.7</v>
      </c>
      <c r="G8061" s="4" t="str">
        <f>HYPERLINK("http://141.218.60.56/~jnz1568/getInfo.php?workbook=20_05.xlsx&amp;sheet=U0&amp;row=8061&amp;col=7&amp;number=0.00013&amp;sourceID=14","0.00013")</f>
        <v>0.00013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HYPERLINK("http://141.218.60.56/~jnz1568/getInfo.php?workbook=20_05.xlsx&amp;sheet=U0&amp;row=8062&amp;col=6&amp;number=4.8&amp;sourceID=14","4.8")</f>
        <v>4.8</v>
      </c>
      <c r="G8062" s="4" t="str">
        <f>HYPERLINK("http://141.218.60.56/~jnz1568/getInfo.php?workbook=20_05.xlsx&amp;sheet=U0&amp;row=8062&amp;col=7&amp;number=0.00013&amp;sourceID=14","0.00013")</f>
        <v>0.00013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HYPERLINK("http://141.218.60.56/~jnz1568/getInfo.php?workbook=20_05.xlsx&amp;sheet=U0&amp;row=8063&amp;col=6&amp;number=4.9&amp;sourceID=14","4.9")</f>
        <v>4.9</v>
      </c>
      <c r="G8063" s="4" t="str">
        <f>HYPERLINK("http://141.218.60.56/~jnz1568/getInfo.php?workbook=20_05.xlsx&amp;sheet=U0&amp;row=8063&amp;col=7&amp;number=0.00013&amp;sourceID=14","0.00013")</f>
        <v>0.00013</v>
      </c>
    </row>
    <row r="8064" spans="1:7">
      <c r="A8064" s="3">
        <v>20</v>
      </c>
      <c r="B8064" s="3">
        <v>5</v>
      </c>
      <c r="C8064" s="3">
        <v>4</v>
      </c>
      <c r="D8064" s="3">
        <v>42</v>
      </c>
      <c r="E8064" s="3">
        <v>1</v>
      </c>
      <c r="F8064" s="4" t="str">
        <f>HYPERLINK("http://141.218.60.56/~jnz1568/getInfo.php?workbook=20_05.xlsx&amp;sheet=U0&amp;row=8064&amp;col=6&amp;number=3&amp;sourceID=14","3")</f>
        <v>3</v>
      </c>
      <c r="G8064" s="4" t="str">
        <f>HYPERLINK("http://141.218.60.56/~jnz1568/getInfo.php?workbook=20_05.xlsx&amp;sheet=U0&amp;row=8064&amp;col=7&amp;number=0.00235&amp;sourceID=14","0.00235")</f>
        <v>0.00235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HYPERLINK("http://141.218.60.56/~jnz1568/getInfo.php?workbook=20_05.xlsx&amp;sheet=U0&amp;row=8065&amp;col=6&amp;number=3.1&amp;sourceID=14","3.1")</f>
        <v>3.1</v>
      </c>
      <c r="G8065" s="4" t="str">
        <f>HYPERLINK("http://141.218.60.56/~jnz1568/getInfo.php?workbook=20_05.xlsx&amp;sheet=U0&amp;row=8065&amp;col=7&amp;number=0.00235&amp;sourceID=14","0.00235")</f>
        <v>0.00235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HYPERLINK("http://141.218.60.56/~jnz1568/getInfo.php?workbook=20_05.xlsx&amp;sheet=U0&amp;row=8066&amp;col=6&amp;number=3.2&amp;sourceID=14","3.2")</f>
        <v>3.2</v>
      </c>
      <c r="G8066" s="4" t="str">
        <f>HYPERLINK("http://141.218.60.56/~jnz1568/getInfo.php?workbook=20_05.xlsx&amp;sheet=U0&amp;row=8066&amp;col=7&amp;number=0.00235&amp;sourceID=14","0.00235")</f>
        <v>0.00235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HYPERLINK("http://141.218.60.56/~jnz1568/getInfo.php?workbook=20_05.xlsx&amp;sheet=U0&amp;row=8067&amp;col=6&amp;number=3.3&amp;sourceID=14","3.3")</f>
        <v>3.3</v>
      </c>
      <c r="G8067" s="4" t="str">
        <f>HYPERLINK("http://141.218.60.56/~jnz1568/getInfo.php?workbook=20_05.xlsx&amp;sheet=U0&amp;row=8067&amp;col=7&amp;number=0.00235&amp;sourceID=14","0.00235")</f>
        <v>0.00235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HYPERLINK("http://141.218.60.56/~jnz1568/getInfo.php?workbook=20_05.xlsx&amp;sheet=U0&amp;row=8068&amp;col=6&amp;number=3.4&amp;sourceID=14","3.4")</f>
        <v>3.4</v>
      </c>
      <c r="G8068" s="4" t="str">
        <f>HYPERLINK("http://141.218.60.56/~jnz1568/getInfo.php?workbook=20_05.xlsx&amp;sheet=U0&amp;row=8068&amp;col=7&amp;number=0.00235&amp;sourceID=14","0.00235")</f>
        <v>0.00235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HYPERLINK("http://141.218.60.56/~jnz1568/getInfo.php?workbook=20_05.xlsx&amp;sheet=U0&amp;row=8069&amp;col=6&amp;number=3.5&amp;sourceID=14","3.5")</f>
        <v>3.5</v>
      </c>
      <c r="G8069" s="4" t="str">
        <f>HYPERLINK("http://141.218.60.56/~jnz1568/getInfo.php?workbook=20_05.xlsx&amp;sheet=U0&amp;row=8069&amp;col=7&amp;number=0.00235&amp;sourceID=14","0.00235")</f>
        <v>0.00235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HYPERLINK("http://141.218.60.56/~jnz1568/getInfo.php?workbook=20_05.xlsx&amp;sheet=U0&amp;row=8070&amp;col=6&amp;number=3.6&amp;sourceID=14","3.6")</f>
        <v>3.6</v>
      </c>
      <c r="G8070" s="4" t="str">
        <f>HYPERLINK("http://141.218.60.56/~jnz1568/getInfo.php?workbook=20_05.xlsx&amp;sheet=U0&amp;row=8070&amp;col=7&amp;number=0.00235&amp;sourceID=14","0.00235")</f>
        <v>0.00235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HYPERLINK("http://141.218.60.56/~jnz1568/getInfo.php?workbook=20_05.xlsx&amp;sheet=U0&amp;row=8071&amp;col=6&amp;number=3.7&amp;sourceID=14","3.7")</f>
        <v>3.7</v>
      </c>
      <c r="G8071" s="4" t="str">
        <f>HYPERLINK("http://141.218.60.56/~jnz1568/getInfo.php?workbook=20_05.xlsx&amp;sheet=U0&amp;row=8071&amp;col=7&amp;number=0.00235&amp;sourceID=14","0.00235")</f>
        <v>0.00235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HYPERLINK("http://141.218.60.56/~jnz1568/getInfo.php?workbook=20_05.xlsx&amp;sheet=U0&amp;row=8072&amp;col=6&amp;number=3.8&amp;sourceID=14","3.8")</f>
        <v>3.8</v>
      </c>
      <c r="G8072" s="4" t="str">
        <f>HYPERLINK("http://141.218.60.56/~jnz1568/getInfo.php?workbook=20_05.xlsx&amp;sheet=U0&amp;row=8072&amp;col=7&amp;number=0.00235&amp;sourceID=14","0.00235")</f>
        <v>0.00235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HYPERLINK("http://141.218.60.56/~jnz1568/getInfo.php?workbook=20_05.xlsx&amp;sheet=U0&amp;row=8073&amp;col=6&amp;number=3.9&amp;sourceID=14","3.9")</f>
        <v>3.9</v>
      </c>
      <c r="G8073" s="4" t="str">
        <f>HYPERLINK("http://141.218.60.56/~jnz1568/getInfo.php?workbook=20_05.xlsx&amp;sheet=U0&amp;row=8073&amp;col=7&amp;number=0.00235&amp;sourceID=14","0.00235")</f>
        <v>0.00235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HYPERLINK("http://141.218.60.56/~jnz1568/getInfo.php?workbook=20_05.xlsx&amp;sheet=U0&amp;row=8074&amp;col=6&amp;number=4&amp;sourceID=14","4")</f>
        <v>4</v>
      </c>
      <c r="G8074" s="4" t="str">
        <f>HYPERLINK("http://141.218.60.56/~jnz1568/getInfo.php?workbook=20_05.xlsx&amp;sheet=U0&amp;row=8074&amp;col=7&amp;number=0.00235&amp;sourceID=14","0.00235")</f>
        <v>0.00235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HYPERLINK("http://141.218.60.56/~jnz1568/getInfo.php?workbook=20_05.xlsx&amp;sheet=U0&amp;row=8075&amp;col=6&amp;number=4.1&amp;sourceID=14","4.1")</f>
        <v>4.1</v>
      </c>
      <c r="G8075" s="4" t="str">
        <f>HYPERLINK("http://141.218.60.56/~jnz1568/getInfo.php?workbook=20_05.xlsx&amp;sheet=U0&amp;row=8075&amp;col=7&amp;number=0.00235&amp;sourceID=14","0.00235")</f>
        <v>0.00235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HYPERLINK("http://141.218.60.56/~jnz1568/getInfo.php?workbook=20_05.xlsx&amp;sheet=U0&amp;row=8076&amp;col=6&amp;number=4.2&amp;sourceID=14","4.2")</f>
        <v>4.2</v>
      </c>
      <c r="G8076" s="4" t="str">
        <f>HYPERLINK("http://141.218.60.56/~jnz1568/getInfo.php?workbook=20_05.xlsx&amp;sheet=U0&amp;row=8076&amp;col=7&amp;number=0.00235&amp;sourceID=14","0.00235")</f>
        <v>0.00235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HYPERLINK("http://141.218.60.56/~jnz1568/getInfo.php?workbook=20_05.xlsx&amp;sheet=U0&amp;row=8077&amp;col=6&amp;number=4.3&amp;sourceID=14","4.3")</f>
        <v>4.3</v>
      </c>
      <c r="G8077" s="4" t="str">
        <f>HYPERLINK("http://141.218.60.56/~jnz1568/getInfo.php?workbook=20_05.xlsx&amp;sheet=U0&amp;row=8077&amp;col=7&amp;number=0.00235&amp;sourceID=14","0.00235")</f>
        <v>0.00235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HYPERLINK("http://141.218.60.56/~jnz1568/getInfo.php?workbook=20_05.xlsx&amp;sheet=U0&amp;row=8078&amp;col=6&amp;number=4.4&amp;sourceID=14","4.4")</f>
        <v>4.4</v>
      </c>
      <c r="G8078" s="4" t="str">
        <f>HYPERLINK("http://141.218.60.56/~jnz1568/getInfo.php?workbook=20_05.xlsx&amp;sheet=U0&amp;row=8078&amp;col=7&amp;number=0.00235&amp;sourceID=14","0.00235")</f>
        <v>0.00235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HYPERLINK("http://141.218.60.56/~jnz1568/getInfo.php?workbook=20_05.xlsx&amp;sheet=U0&amp;row=8079&amp;col=6&amp;number=4.5&amp;sourceID=14","4.5")</f>
        <v>4.5</v>
      </c>
      <c r="G8079" s="4" t="str">
        <f>HYPERLINK("http://141.218.60.56/~jnz1568/getInfo.php?workbook=20_05.xlsx&amp;sheet=U0&amp;row=8079&amp;col=7&amp;number=0.00235&amp;sourceID=14","0.00235")</f>
        <v>0.00235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HYPERLINK("http://141.218.60.56/~jnz1568/getInfo.php?workbook=20_05.xlsx&amp;sheet=U0&amp;row=8080&amp;col=6&amp;number=4.6&amp;sourceID=14","4.6")</f>
        <v>4.6</v>
      </c>
      <c r="G8080" s="4" t="str">
        <f>HYPERLINK("http://141.218.60.56/~jnz1568/getInfo.php?workbook=20_05.xlsx&amp;sheet=U0&amp;row=8080&amp;col=7&amp;number=0.00235&amp;sourceID=14","0.00235")</f>
        <v>0.00235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HYPERLINK("http://141.218.60.56/~jnz1568/getInfo.php?workbook=20_05.xlsx&amp;sheet=U0&amp;row=8081&amp;col=6&amp;number=4.7&amp;sourceID=14","4.7")</f>
        <v>4.7</v>
      </c>
      <c r="G8081" s="4" t="str">
        <f>HYPERLINK("http://141.218.60.56/~jnz1568/getInfo.php?workbook=20_05.xlsx&amp;sheet=U0&amp;row=8081&amp;col=7&amp;number=0.00235&amp;sourceID=14","0.00235")</f>
        <v>0.00235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HYPERLINK("http://141.218.60.56/~jnz1568/getInfo.php?workbook=20_05.xlsx&amp;sheet=U0&amp;row=8082&amp;col=6&amp;number=4.8&amp;sourceID=14","4.8")</f>
        <v>4.8</v>
      </c>
      <c r="G8082" s="4" t="str">
        <f>HYPERLINK("http://141.218.60.56/~jnz1568/getInfo.php?workbook=20_05.xlsx&amp;sheet=U0&amp;row=8082&amp;col=7&amp;number=0.00235&amp;sourceID=14","0.00235")</f>
        <v>0.00235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HYPERLINK("http://141.218.60.56/~jnz1568/getInfo.php?workbook=20_05.xlsx&amp;sheet=U0&amp;row=8083&amp;col=6&amp;number=4.9&amp;sourceID=14","4.9")</f>
        <v>4.9</v>
      </c>
      <c r="G8083" s="4" t="str">
        <f>HYPERLINK("http://141.218.60.56/~jnz1568/getInfo.php?workbook=20_05.xlsx&amp;sheet=U0&amp;row=8083&amp;col=7&amp;number=0.00236&amp;sourceID=14","0.00236")</f>
        <v>0.00236</v>
      </c>
    </row>
    <row r="8084" spans="1:7">
      <c r="A8084" s="3">
        <v>20</v>
      </c>
      <c r="B8084" s="3">
        <v>5</v>
      </c>
      <c r="C8084" s="3">
        <v>4</v>
      </c>
      <c r="D8084" s="3">
        <v>43</v>
      </c>
      <c r="E8084" s="3">
        <v>1</v>
      </c>
      <c r="F8084" s="4" t="str">
        <f>HYPERLINK("http://141.218.60.56/~jnz1568/getInfo.php?workbook=20_05.xlsx&amp;sheet=U0&amp;row=8084&amp;col=6&amp;number=3&amp;sourceID=14","3")</f>
        <v>3</v>
      </c>
      <c r="G8084" s="4" t="str">
        <f>HYPERLINK("http://141.218.60.56/~jnz1568/getInfo.php?workbook=20_05.xlsx&amp;sheet=U0&amp;row=8084&amp;col=7&amp;number=0.00635&amp;sourceID=14","0.00635")</f>
        <v>0.00635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HYPERLINK("http://141.218.60.56/~jnz1568/getInfo.php?workbook=20_05.xlsx&amp;sheet=U0&amp;row=8085&amp;col=6&amp;number=3.1&amp;sourceID=14","3.1")</f>
        <v>3.1</v>
      </c>
      <c r="G8085" s="4" t="str">
        <f>HYPERLINK("http://141.218.60.56/~jnz1568/getInfo.php?workbook=20_05.xlsx&amp;sheet=U0&amp;row=8085&amp;col=7&amp;number=0.00635&amp;sourceID=14","0.00635")</f>
        <v>0.00635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HYPERLINK("http://141.218.60.56/~jnz1568/getInfo.php?workbook=20_05.xlsx&amp;sheet=U0&amp;row=8086&amp;col=6&amp;number=3.2&amp;sourceID=14","3.2")</f>
        <v>3.2</v>
      </c>
      <c r="G8086" s="4" t="str">
        <f>HYPERLINK("http://141.218.60.56/~jnz1568/getInfo.php?workbook=20_05.xlsx&amp;sheet=U0&amp;row=8086&amp;col=7&amp;number=0.00635&amp;sourceID=14","0.00635")</f>
        <v>0.00635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HYPERLINK("http://141.218.60.56/~jnz1568/getInfo.php?workbook=20_05.xlsx&amp;sheet=U0&amp;row=8087&amp;col=6&amp;number=3.3&amp;sourceID=14","3.3")</f>
        <v>3.3</v>
      </c>
      <c r="G8087" s="4" t="str">
        <f>HYPERLINK("http://141.218.60.56/~jnz1568/getInfo.php?workbook=20_05.xlsx&amp;sheet=U0&amp;row=8087&amp;col=7&amp;number=0.00635&amp;sourceID=14","0.00635")</f>
        <v>0.00635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HYPERLINK("http://141.218.60.56/~jnz1568/getInfo.php?workbook=20_05.xlsx&amp;sheet=U0&amp;row=8088&amp;col=6&amp;number=3.4&amp;sourceID=14","3.4")</f>
        <v>3.4</v>
      </c>
      <c r="G8088" s="4" t="str">
        <f>HYPERLINK("http://141.218.60.56/~jnz1568/getInfo.php?workbook=20_05.xlsx&amp;sheet=U0&amp;row=8088&amp;col=7&amp;number=0.00635&amp;sourceID=14","0.00635")</f>
        <v>0.00635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HYPERLINK("http://141.218.60.56/~jnz1568/getInfo.php?workbook=20_05.xlsx&amp;sheet=U0&amp;row=8089&amp;col=6&amp;number=3.5&amp;sourceID=14","3.5")</f>
        <v>3.5</v>
      </c>
      <c r="G8089" s="4" t="str">
        <f>HYPERLINK("http://141.218.60.56/~jnz1568/getInfo.php?workbook=20_05.xlsx&amp;sheet=U0&amp;row=8089&amp;col=7&amp;number=0.00635&amp;sourceID=14","0.00635")</f>
        <v>0.00635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HYPERLINK("http://141.218.60.56/~jnz1568/getInfo.php?workbook=20_05.xlsx&amp;sheet=U0&amp;row=8090&amp;col=6&amp;number=3.6&amp;sourceID=14","3.6")</f>
        <v>3.6</v>
      </c>
      <c r="G8090" s="4" t="str">
        <f>HYPERLINK("http://141.218.60.56/~jnz1568/getInfo.php?workbook=20_05.xlsx&amp;sheet=U0&amp;row=8090&amp;col=7&amp;number=0.00635&amp;sourceID=14","0.00635")</f>
        <v>0.00635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HYPERLINK("http://141.218.60.56/~jnz1568/getInfo.php?workbook=20_05.xlsx&amp;sheet=U0&amp;row=8091&amp;col=6&amp;number=3.7&amp;sourceID=14","3.7")</f>
        <v>3.7</v>
      </c>
      <c r="G8091" s="4" t="str">
        <f>HYPERLINK("http://141.218.60.56/~jnz1568/getInfo.php?workbook=20_05.xlsx&amp;sheet=U0&amp;row=8091&amp;col=7&amp;number=0.00635&amp;sourceID=14","0.00635")</f>
        <v>0.00635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HYPERLINK("http://141.218.60.56/~jnz1568/getInfo.php?workbook=20_05.xlsx&amp;sheet=U0&amp;row=8092&amp;col=6&amp;number=3.8&amp;sourceID=14","3.8")</f>
        <v>3.8</v>
      </c>
      <c r="G8092" s="4" t="str">
        <f>HYPERLINK("http://141.218.60.56/~jnz1568/getInfo.php?workbook=20_05.xlsx&amp;sheet=U0&amp;row=8092&amp;col=7&amp;number=0.00635&amp;sourceID=14","0.00635")</f>
        <v>0.00635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HYPERLINK("http://141.218.60.56/~jnz1568/getInfo.php?workbook=20_05.xlsx&amp;sheet=U0&amp;row=8093&amp;col=6&amp;number=3.9&amp;sourceID=14","3.9")</f>
        <v>3.9</v>
      </c>
      <c r="G8093" s="4" t="str">
        <f>HYPERLINK("http://141.218.60.56/~jnz1568/getInfo.php?workbook=20_05.xlsx&amp;sheet=U0&amp;row=8093&amp;col=7&amp;number=0.00635&amp;sourceID=14","0.00635")</f>
        <v>0.00635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HYPERLINK("http://141.218.60.56/~jnz1568/getInfo.php?workbook=20_05.xlsx&amp;sheet=U0&amp;row=8094&amp;col=6&amp;number=4&amp;sourceID=14","4")</f>
        <v>4</v>
      </c>
      <c r="G8094" s="4" t="str">
        <f>HYPERLINK("http://141.218.60.56/~jnz1568/getInfo.php?workbook=20_05.xlsx&amp;sheet=U0&amp;row=8094&amp;col=7&amp;number=0.00636&amp;sourceID=14","0.00636")</f>
        <v>0.00636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HYPERLINK("http://141.218.60.56/~jnz1568/getInfo.php?workbook=20_05.xlsx&amp;sheet=U0&amp;row=8095&amp;col=6&amp;number=4.1&amp;sourceID=14","4.1")</f>
        <v>4.1</v>
      </c>
      <c r="G8095" s="4" t="str">
        <f>HYPERLINK("http://141.218.60.56/~jnz1568/getInfo.php?workbook=20_05.xlsx&amp;sheet=U0&amp;row=8095&amp;col=7&amp;number=0.00636&amp;sourceID=14","0.00636")</f>
        <v>0.00636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HYPERLINK("http://141.218.60.56/~jnz1568/getInfo.php?workbook=20_05.xlsx&amp;sheet=U0&amp;row=8096&amp;col=6&amp;number=4.2&amp;sourceID=14","4.2")</f>
        <v>4.2</v>
      </c>
      <c r="G8096" s="4" t="str">
        <f>HYPERLINK("http://141.218.60.56/~jnz1568/getInfo.php?workbook=20_05.xlsx&amp;sheet=U0&amp;row=8096&amp;col=7&amp;number=0.00636&amp;sourceID=14","0.00636")</f>
        <v>0.00636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HYPERLINK("http://141.218.60.56/~jnz1568/getInfo.php?workbook=20_05.xlsx&amp;sheet=U0&amp;row=8097&amp;col=6&amp;number=4.3&amp;sourceID=14","4.3")</f>
        <v>4.3</v>
      </c>
      <c r="G8097" s="4" t="str">
        <f>HYPERLINK("http://141.218.60.56/~jnz1568/getInfo.php?workbook=20_05.xlsx&amp;sheet=U0&amp;row=8097&amp;col=7&amp;number=0.00636&amp;sourceID=14","0.00636")</f>
        <v>0.00636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HYPERLINK("http://141.218.60.56/~jnz1568/getInfo.php?workbook=20_05.xlsx&amp;sheet=U0&amp;row=8098&amp;col=6&amp;number=4.4&amp;sourceID=14","4.4")</f>
        <v>4.4</v>
      </c>
      <c r="G8098" s="4" t="str">
        <f>HYPERLINK("http://141.218.60.56/~jnz1568/getInfo.php?workbook=20_05.xlsx&amp;sheet=U0&amp;row=8098&amp;col=7&amp;number=0.00636&amp;sourceID=14","0.00636")</f>
        <v>0.00636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HYPERLINK("http://141.218.60.56/~jnz1568/getInfo.php?workbook=20_05.xlsx&amp;sheet=U0&amp;row=8099&amp;col=6&amp;number=4.5&amp;sourceID=14","4.5")</f>
        <v>4.5</v>
      </c>
      <c r="G8099" s="4" t="str">
        <f>HYPERLINK("http://141.218.60.56/~jnz1568/getInfo.php?workbook=20_05.xlsx&amp;sheet=U0&amp;row=8099&amp;col=7&amp;number=0.00636&amp;sourceID=14","0.00636")</f>
        <v>0.00636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HYPERLINK("http://141.218.60.56/~jnz1568/getInfo.php?workbook=20_05.xlsx&amp;sheet=U0&amp;row=8100&amp;col=6&amp;number=4.6&amp;sourceID=14","4.6")</f>
        <v>4.6</v>
      </c>
      <c r="G8100" s="4" t="str">
        <f>HYPERLINK("http://141.218.60.56/~jnz1568/getInfo.php?workbook=20_05.xlsx&amp;sheet=U0&amp;row=8100&amp;col=7&amp;number=0.00636&amp;sourceID=14","0.00636")</f>
        <v>0.00636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HYPERLINK("http://141.218.60.56/~jnz1568/getInfo.php?workbook=20_05.xlsx&amp;sheet=U0&amp;row=8101&amp;col=6&amp;number=4.7&amp;sourceID=14","4.7")</f>
        <v>4.7</v>
      </c>
      <c r="G8101" s="4" t="str">
        <f>HYPERLINK("http://141.218.60.56/~jnz1568/getInfo.php?workbook=20_05.xlsx&amp;sheet=U0&amp;row=8101&amp;col=7&amp;number=0.00637&amp;sourceID=14","0.00637")</f>
        <v>0.00637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HYPERLINK("http://141.218.60.56/~jnz1568/getInfo.php?workbook=20_05.xlsx&amp;sheet=U0&amp;row=8102&amp;col=6&amp;number=4.8&amp;sourceID=14","4.8")</f>
        <v>4.8</v>
      </c>
      <c r="G8102" s="4" t="str">
        <f>HYPERLINK("http://141.218.60.56/~jnz1568/getInfo.php?workbook=20_05.xlsx&amp;sheet=U0&amp;row=8102&amp;col=7&amp;number=0.00637&amp;sourceID=14","0.00637")</f>
        <v>0.00637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HYPERLINK("http://141.218.60.56/~jnz1568/getInfo.php?workbook=20_05.xlsx&amp;sheet=U0&amp;row=8103&amp;col=6&amp;number=4.9&amp;sourceID=14","4.9")</f>
        <v>4.9</v>
      </c>
      <c r="G8103" s="4" t="str">
        <f>HYPERLINK("http://141.218.60.56/~jnz1568/getInfo.php?workbook=20_05.xlsx&amp;sheet=U0&amp;row=8103&amp;col=7&amp;number=0.00638&amp;sourceID=14","0.00638")</f>
        <v>0.00638</v>
      </c>
    </row>
    <row r="8104" spans="1:7">
      <c r="A8104" s="3">
        <v>20</v>
      </c>
      <c r="B8104" s="3">
        <v>5</v>
      </c>
      <c r="C8104" s="3">
        <v>4</v>
      </c>
      <c r="D8104" s="3">
        <v>44</v>
      </c>
      <c r="E8104" s="3">
        <v>1</v>
      </c>
      <c r="F8104" s="4" t="str">
        <f>HYPERLINK("http://141.218.60.56/~jnz1568/getInfo.php?workbook=20_05.xlsx&amp;sheet=U0&amp;row=8104&amp;col=6&amp;number=3&amp;sourceID=14","3")</f>
        <v>3</v>
      </c>
      <c r="G8104" s="4" t="str">
        <f>HYPERLINK("http://141.218.60.56/~jnz1568/getInfo.php?workbook=20_05.xlsx&amp;sheet=U0&amp;row=8104&amp;col=7&amp;number=0.0058&amp;sourceID=14","0.0058")</f>
        <v>0.0058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HYPERLINK("http://141.218.60.56/~jnz1568/getInfo.php?workbook=20_05.xlsx&amp;sheet=U0&amp;row=8105&amp;col=6&amp;number=3.1&amp;sourceID=14","3.1")</f>
        <v>3.1</v>
      </c>
      <c r="G8105" s="4" t="str">
        <f>HYPERLINK("http://141.218.60.56/~jnz1568/getInfo.php?workbook=20_05.xlsx&amp;sheet=U0&amp;row=8105&amp;col=7&amp;number=0.0058&amp;sourceID=14","0.0058")</f>
        <v>0.0058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HYPERLINK("http://141.218.60.56/~jnz1568/getInfo.php?workbook=20_05.xlsx&amp;sheet=U0&amp;row=8106&amp;col=6&amp;number=3.2&amp;sourceID=14","3.2")</f>
        <v>3.2</v>
      </c>
      <c r="G8106" s="4" t="str">
        <f>HYPERLINK("http://141.218.60.56/~jnz1568/getInfo.php?workbook=20_05.xlsx&amp;sheet=U0&amp;row=8106&amp;col=7&amp;number=0.0058&amp;sourceID=14","0.0058")</f>
        <v>0.0058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HYPERLINK("http://141.218.60.56/~jnz1568/getInfo.php?workbook=20_05.xlsx&amp;sheet=U0&amp;row=8107&amp;col=6&amp;number=3.3&amp;sourceID=14","3.3")</f>
        <v>3.3</v>
      </c>
      <c r="G8107" s="4" t="str">
        <f>HYPERLINK("http://141.218.60.56/~jnz1568/getInfo.php?workbook=20_05.xlsx&amp;sheet=U0&amp;row=8107&amp;col=7&amp;number=0.0058&amp;sourceID=14","0.0058")</f>
        <v>0.0058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HYPERLINK("http://141.218.60.56/~jnz1568/getInfo.php?workbook=20_05.xlsx&amp;sheet=U0&amp;row=8108&amp;col=6&amp;number=3.4&amp;sourceID=14","3.4")</f>
        <v>3.4</v>
      </c>
      <c r="G8108" s="4" t="str">
        <f>HYPERLINK("http://141.218.60.56/~jnz1568/getInfo.php?workbook=20_05.xlsx&amp;sheet=U0&amp;row=8108&amp;col=7&amp;number=0.0058&amp;sourceID=14","0.0058")</f>
        <v>0.0058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HYPERLINK("http://141.218.60.56/~jnz1568/getInfo.php?workbook=20_05.xlsx&amp;sheet=U0&amp;row=8109&amp;col=6&amp;number=3.5&amp;sourceID=14","3.5")</f>
        <v>3.5</v>
      </c>
      <c r="G8109" s="4" t="str">
        <f>HYPERLINK("http://141.218.60.56/~jnz1568/getInfo.php?workbook=20_05.xlsx&amp;sheet=U0&amp;row=8109&amp;col=7&amp;number=0.0058&amp;sourceID=14","0.0058")</f>
        <v>0.0058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HYPERLINK("http://141.218.60.56/~jnz1568/getInfo.php?workbook=20_05.xlsx&amp;sheet=U0&amp;row=8110&amp;col=6&amp;number=3.6&amp;sourceID=14","3.6")</f>
        <v>3.6</v>
      </c>
      <c r="G8110" s="4" t="str">
        <f>HYPERLINK("http://141.218.60.56/~jnz1568/getInfo.php?workbook=20_05.xlsx&amp;sheet=U0&amp;row=8110&amp;col=7&amp;number=0.0058&amp;sourceID=14","0.0058")</f>
        <v>0.0058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HYPERLINK("http://141.218.60.56/~jnz1568/getInfo.php?workbook=20_05.xlsx&amp;sheet=U0&amp;row=8111&amp;col=6&amp;number=3.7&amp;sourceID=14","3.7")</f>
        <v>3.7</v>
      </c>
      <c r="G8111" s="4" t="str">
        <f>HYPERLINK("http://141.218.60.56/~jnz1568/getInfo.php?workbook=20_05.xlsx&amp;sheet=U0&amp;row=8111&amp;col=7&amp;number=0.0058&amp;sourceID=14","0.0058")</f>
        <v>0.0058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HYPERLINK("http://141.218.60.56/~jnz1568/getInfo.php?workbook=20_05.xlsx&amp;sheet=U0&amp;row=8112&amp;col=6&amp;number=3.8&amp;sourceID=14","3.8")</f>
        <v>3.8</v>
      </c>
      <c r="G8112" s="4" t="str">
        <f>HYPERLINK("http://141.218.60.56/~jnz1568/getInfo.php?workbook=20_05.xlsx&amp;sheet=U0&amp;row=8112&amp;col=7&amp;number=0.0058&amp;sourceID=14","0.0058")</f>
        <v>0.0058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HYPERLINK("http://141.218.60.56/~jnz1568/getInfo.php?workbook=20_05.xlsx&amp;sheet=U0&amp;row=8113&amp;col=6&amp;number=3.9&amp;sourceID=14","3.9")</f>
        <v>3.9</v>
      </c>
      <c r="G8113" s="4" t="str">
        <f>HYPERLINK("http://141.218.60.56/~jnz1568/getInfo.php?workbook=20_05.xlsx&amp;sheet=U0&amp;row=8113&amp;col=7&amp;number=0.0058&amp;sourceID=14","0.0058")</f>
        <v>0.0058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HYPERLINK("http://141.218.60.56/~jnz1568/getInfo.php?workbook=20_05.xlsx&amp;sheet=U0&amp;row=8114&amp;col=6&amp;number=4&amp;sourceID=14","4")</f>
        <v>4</v>
      </c>
      <c r="G8114" s="4" t="str">
        <f>HYPERLINK("http://141.218.60.56/~jnz1568/getInfo.php?workbook=20_05.xlsx&amp;sheet=U0&amp;row=8114&amp;col=7&amp;number=0.00581&amp;sourceID=14","0.00581")</f>
        <v>0.00581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HYPERLINK("http://141.218.60.56/~jnz1568/getInfo.php?workbook=20_05.xlsx&amp;sheet=U0&amp;row=8115&amp;col=6&amp;number=4.1&amp;sourceID=14","4.1")</f>
        <v>4.1</v>
      </c>
      <c r="G8115" s="4" t="str">
        <f>HYPERLINK("http://141.218.60.56/~jnz1568/getInfo.php?workbook=20_05.xlsx&amp;sheet=U0&amp;row=8115&amp;col=7&amp;number=0.00581&amp;sourceID=14","0.00581")</f>
        <v>0.00581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HYPERLINK("http://141.218.60.56/~jnz1568/getInfo.php?workbook=20_05.xlsx&amp;sheet=U0&amp;row=8116&amp;col=6&amp;number=4.2&amp;sourceID=14","4.2")</f>
        <v>4.2</v>
      </c>
      <c r="G8116" s="4" t="str">
        <f>HYPERLINK("http://141.218.60.56/~jnz1568/getInfo.php?workbook=20_05.xlsx&amp;sheet=U0&amp;row=8116&amp;col=7&amp;number=0.00581&amp;sourceID=14","0.00581")</f>
        <v>0.00581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HYPERLINK("http://141.218.60.56/~jnz1568/getInfo.php?workbook=20_05.xlsx&amp;sheet=U0&amp;row=8117&amp;col=6&amp;number=4.3&amp;sourceID=14","4.3")</f>
        <v>4.3</v>
      </c>
      <c r="G8117" s="4" t="str">
        <f>HYPERLINK("http://141.218.60.56/~jnz1568/getInfo.php?workbook=20_05.xlsx&amp;sheet=U0&amp;row=8117&amp;col=7&amp;number=0.00581&amp;sourceID=14","0.00581")</f>
        <v>0.00581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HYPERLINK("http://141.218.60.56/~jnz1568/getInfo.php?workbook=20_05.xlsx&amp;sheet=U0&amp;row=8118&amp;col=6&amp;number=4.4&amp;sourceID=14","4.4")</f>
        <v>4.4</v>
      </c>
      <c r="G8118" s="4" t="str">
        <f>HYPERLINK("http://141.218.60.56/~jnz1568/getInfo.php?workbook=20_05.xlsx&amp;sheet=U0&amp;row=8118&amp;col=7&amp;number=0.00581&amp;sourceID=14","0.00581")</f>
        <v>0.00581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HYPERLINK("http://141.218.60.56/~jnz1568/getInfo.php?workbook=20_05.xlsx&amp;sheet=U0&amp;row=8119&amp;col=6&amp;number=4.5&amp;sourceID=14","4.5")</f>
        <v>4.5</v>
      </c>
      <c r="G8119" s="4" t="str">
        <f>HYPERLINK("http://141.218.60.56/~jnz1568/getInfo.php?workbook=20_05.xlsx&amp;sheet=U0&amp;row=8119&amp;col=7&amp;number=0.00581&amp;sourceID=14","0.00581")</f>
        <v>0.00581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HYPERLINK("http://141.218.60.56/~jnz1568/getInfo.php?workbook=20_05.xlsx&amp;sheet=U0&amp;row=8120&amp;col=6&amp;number=4.6&amp;sourceID=14","4.6")</f>
        <v>4.6</v>
      </c>
      <c r="G8120" s="4" t="str">
        <f>HYPERLINK("http://141.218.60.56/~jnz1568/getInfo.php?workbook=20_05.xlsx&amp;sheet=U0&amp;row=8120&amp;col=7&amp;number=0.00582&amp;sourceID=14","0.00582")</f>
        <v>0.00582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HYPERLINK("http://141.218.60.56/~jnz1568/getInfo.php?workbook=20_05.xlsx&amp;sheet=U0&amp;row=8121&amp;col=6&amp;number=4.7&amp;sourceID=14","4.7")</f>
        <v>4.7</v>
      </c>
      <c r="G8121" s="4" t="str">
        <f>HYPERLINK("http://141.218.60.56/~jnz1568/getInfo.php?workbook=20_05.xlsx&amp;sheet=U0&amp;row=8121&amp;col=7&amp;number=0.00582&amp;sourceID=14","0.00582")</f>
        <v>0.00582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HYPERLINK("http://141.218.60.56/~jnz1568/getInfo.php?workbook=20_05.xlsx&amp;sheet=U0&amp;row=8122&amp;col=6&amp;number=4.8&amp;sourceID=14","4.8")</f>
        <v>4.8</v>
      </c>
      <c r="G8122" s="4" t="str">
        <f>HYPERLINK("http://141.218.60.56/~jnz1568/getInfo.php?workbook=20_05.xlsx&amp;sheet=U0&amp;row=8122&amp;col=7&amp;number=0.00583&amp;sourceID=14","0.00583")</f>
        <v>0.00583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HYPERLINK("http://141.218.60.56/~jnz1568/getInfo.php?workbook=20_05.xlsx&amp;sheet=U0&amp;row=8123&amp;col=6&amp;number=4.9&amp;sourceID=14","4.9")</f>
        <v>4.9</v>
      </c>
      <c r="G8123" s="4" t="str">
        <f>HYPERLINK("http://141.218.60.56/~jnz1568/getInfo.php?workbook=20_05.xlsx&amp;sheet=U0&amp;row=8123&amp;col=7&amp;number=0.00583&amp;sourceID=14","0.00583")</f>
        <v>0.00583</v>
      </c>
    </row>
    <row r="8124" spans="1:7">
      <c r="A8124" s="3">
        <v>20</v>
      </c>
      <c r="B8124" s="3">
        <v>5</v>
      </c>
      <c r="C8124" s="3">
        <v>4</v>
      </c>
      <c r="D8124" s="3">
        <v>45</v>
      </c>
      <c r="E8124" s="3">
        <v>1</v>
      </c>
      <c r="F8124" s="4" t="str">
        <f>HYPERLINK("http://141.218.60.56/~jnz1568/getInfo.php?workbook=20_05.xlsx&amp;sheet=U0&amp;row=8124&amp;col=6&amp;number=3&amp;sourceID=14","3")</f>
        <v>3</v>
      </c>
      <c r="G8124" s="4" t="str">
        <f>HYPERLINK("http://141.218.60.56/~jnz1568/getInfo.php?workbook=20_05.xlsx&amp;sheet=U0&amp;row=8124&amp;col=7&amp;number=0.00233&amp;sourceID=14","0.00233")</f>
        <v>0.00233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HYPERLINK("http://141.218.60.56/~jnz1568/getInfo.php?workbook=20_05.xlsx&amp;sheet=U0&amp;row=8125&amp;col=6&amp;number=3.1&amp;sourceID=14","3.1")</f>
        <v>3.1</v>
      </c>
      <c r="G8125" s="4" t="str">
        <f>HYPERLINK("http://141.218.60.56/~jnz1568/getInfo.php?workbook=20_05.xlsx&amp;sheet=U0&amp;row=8125&amp;col=7&amp;number=0.00233&amp;sourceID=14","0.00233")</f>
        <v>0.00233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HYPERLINK("http://141.218.60.56/~jnz1568/getInfo.php?workbook=20_05.xlsx&amp;sheet=U0&amp;row=8126&amp;col=6&amp;number=3.2&amp;sourceID=14","3.2")</f>
        <v>3.2</v>
      </c>
      <c r="G8126" s="4" t="str">
        <f>HYPERLINK("http://141.218.60.56/~jnz1568/getInfo.php?workbook=20_05.xlsx&amp;sheet=U0&amp;row=8126&amp;col=7&amp;number=0.00233&amp;sourceID=14","0.00233")</f>
        <v>0.00233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HYPERLINK("http://141.218.60.56/~jnz1568/getInfo.php?workbook=20_05.xlsx&amp;sheet=U0&amp;row=8127&amp;col=6&amp;number=3.3&amp;sourceID=14","3.3")</f>
        <v>3.3</v>
      </c>
      <c r="G8127" s="4" t="str">
        <f>HYPERLINK("http://141.218.60.56/~jnz1568/getInfo.php?workbook=20_05.xlsx&amp;sheet=U0&amp;row=8127&amp;col=7&amp;number=0.00233&amp;sourceID=14","0.00233")</f>
        <v>0.00233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HYPERLINK("http://141.218.60.56/~jnz1568/getInfo.php?workbook=20_05.xlsx&amp;sheet=U0&amp;row=8128&amp;col=6&amp;number=3.4&amp;sourceID=14","3.4")</f>
        <v>3.4</v>
      </c>
      <c r="G8128" s="4" t="str">
        <f>HYPERLINK("http://141.218.60.56/~jnz1568/getInfo.php?workbook=20_05.xlsx&amp;sheet=U0&amp;row=8128&amp;col=7&amp;number=0.00233&amp;sourceID=14","0.00233")</f>
        <v>0.00233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HYPERLINK("http://141.218.60.56/~jnz1568/getInfo.php?workbook=20_05.xlsx&amp;sheet=U0&amp;row=8129&amp;col=6&amp;number=3.5&amp;sourceID=14","3.5")</f>
        <v>3.5</v>
      </c>
      <c r="G8129" s="4" t="str">
        <f>HYPERLINK("http://141.218.60.56/~jnz1568/getInfo.php?workbook=20_05.xlsx&amp;sheet=U0&amp;row=8129&amp;col=7&amp;number=0.00233&amp;sourceID=14","0.00233")</f>
        <v>0.00233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HYPERLINK("http://141.218.60.56/~jnz1568/getInfo.php?workbook=20_05.xlsx&amp;sheet=U0&amp;row=8130&amp;col=6&amp;number=3.6&amp;sourceID=14","3.6")</f>
        <v>3.6</v>
      </c>
      <c r="G8130" s="4" t="str">
        <f>HYPERLINK("http://141.218.60.56/~jnz1568/getInfo.php?workbook=20_05.xlsx&amp;sheet=U0&amp;row=8130&amp;col=7&amp;number=0.00233&amp;sourceID=14","0.00233")</f>
        <v>0.00233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HYPERLINK("http://141.218.60.56/~jnz1568/getInfo.php?workbook=20_05.xlsx&amp;sheet=U0&amp;row=8131&amp;col=6&amp;number=3.7&amp;sourceID=14","3.7")</f>
        <v>3.7</v>
      </c>
      <c r="G8131" s="4" t="str">
        <f>HYPERLINK("http://141.218.60.56/~jnz1568/getInfo.php?workbook=20_05.xlsx&amp;sheet=U0&amp;row=8131&amp;col=7&amp;number=0.00233&amp;sourceID=14","0.00233")</f>
        <v>0.00233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HYPERLINK("http://141.218.60.56/~jnz1568/getInfo.php?workbook=20_05.xlsx&amp;sheet=U0&amp;row=8132&amp;col=6&amp;number=3.8&amp;sourceID=14","3.8")</f>
        <v>3.8</v>
      </c>
      <c r="G8132" s="4" t="str">
        <f>HYPERLINK("http://141.218.60.56/~jnz1568/getInfo.php?workbook=20_05.xlsx&amp;sheet=U0&amp;row=8132&amp;col=7&amp;number=0.00233&amp;sourceID=14","0.00233")</f>
        <v>0.00233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HYPERLINK("http://141.218.60.56/~jnz1568/getInfo.php?workbook=20_05.xlsx&amp;sheet=U0&amp;row=8133&amp;col=6&amp;number=3.9&amp;sourceID=14","3.9")</f>
        <v>3.9</v>
      </c>
      <c r="G8133" s="4" t="str">
        <f>HYPERLINK("http://141.218.60.56/~jnz1568/getInfo.php?workbook=20_05.xlsx&amp;sheet=U0&amp;row=8133&amp;col=7&amp;number=0.00233&amp;sourceID=14","0.00233")</f>
        <v>0.00233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HYPERLINK("http://141.218.60.56/~jnz1568/getInfo.php?workbook=20_05.xlsx&amp;sheet=U0&amp;row=8134&amp;col=6&amp;number=4&amp;sourceID=14","4")</f>
        <v>4</v>
      </c>
      <c r="G8134" s="4" t="str">
        <f>HYPERLINK("http://141.218.60.56/~jnz1568/getInfo.php?workbook=20_05.xlsx&amp;sheet=U0&amp;row=8134&amp;col=7&amp;number=0.00233&amp;sourceID=14","0.00233")</f>
        <v>0.00233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HYPERLINK("http://141.218.60.56/~jnz1568/getInfo.php?workbook=20_05.xlsx&amp;sheet=U0&amp;row=8135&amp;col=6&amp;number=4.1&amp;sourceID=14","4.1")</f>
        <v>4.1</v>
      </c>
      <c r="G8135" s="4" t="str">
        <f>HYPERLINK("http://141.218.60.56/~jnz1568/getInfo.php?workbook=20_05.xlsx&amp;sheet=U0&amp;row=8135&amp;col=7&amp;number=0.00233&amp;sourceID=14","0.00233")</f>
        <v>0.00233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HYPERLINK("http://141.218.60.56/~jnz1568/getInfo.php?workbook=20_05.xlsx&amp;sheet=U0&amp;row=8136&amp;col=6&amp;number=4.2&amp;sourceID=14","4.2")</f>
        <v>4.2</v>
      </c>
      <c r="G8136" s="4" t="str">
        <f>HYPERLINK("http://141.218.60.56/~jnz1568/getInfo.php?workbook=20_05.xlsx&amp;sheet=U0&amp;row=8136&amp;col=7&amp;number=0.00233&amp;sourceID=14","0.00233")</f>
        <v>0.00233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HYPERLINK("http://141.218.60.56/~jnz1568/getInfo.php?workbook=20_05.xlsx&amp;sheet=U0&amp;row=8137&amp;col=6&amp;number=4.3&amp;sourceID=14","4.3")</f>
        <v>4.3</v>
      </c>
      <c r="G8137" s="4" t="str">
        <f>HYPERLINK("http://141.218.60.56/~jnz1568/getInfo.php?workbook=20_05.xlsx&amp;sheet=U0&amp;row=8137&amp;col=7&amp;number=0.00233&amp;sourceID=14","0.00233")</f>
        <v>0.00233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HYPERLINK("http://141.218.60.56/~jnz1568/getInfo.php?workbook=20_05.xlsx&amp;sheet=U0&amp;row=8138&amp;col=6&amp;number=4.4&amp;sourceID=14","4.4")</f>
        <v>4.4</v>
      </c>
      <c r="G8138" s="4" t="str">
        <f>HYPERLINK("http://141.218.60.56/~jnz1568/getInfo.php?workbook=20_05.xlsx&amp;sheet=U0&amp;row=8138&amp;col=7&amp;number=0.00234&amp;sourceID=14","0.00234")</f>
        <v>0.00234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HYPERLINK("http://141.218.60.56/~jnz1568/getInfo.php?workbook=20_05.xlsx&amp;sheet=U0&amp;row=8139&amp;col=6&amp;number=4.5&amp;sourceID=14","4.5")</f>
        <v>4.5</v>
      </c>
      <c r="G8139" s="4" t="str">
        <f>HYPERLINK("http://141.218.60.56/~jnz1568/getInfo.php?workbook=20_05.xlsx&amp;sheet=U0&amp;row=8139&amp;col=7&amp;number=0.00234&amp;sourceID=14","0.00234")</f>
        <v>0.00234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HYPERLINK("http://141.218.60.56/~jnz1568/getInfo.php?workbook=20_05.xlsx&amp;sheet=U0&amp;row=8140&amp;col=6&amp;number=4.6&amp;sourceID=14","4.6")</f>
        <v>4.6</v>
      </c>
      <c r="G8140" s="4" t="str">
        <f>HYPERLINK("http://141.218.60.56/~jnz1568/getInfo.php?workbook=20_05.xlsx&amp;sheet=U0&amp;row=8140&amp;col=7&amp;number=0.00234&amp;sourceID=14","0.00234")</f>
        <v>0.00234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HYPERLINK("http://141.218.60.56/~jnz1568/getInfo.php?workbook=20_05.xlsx&amp;sheet=U0&amp;row=8141&amp;col=6&amp;number=4.7&amp;sourceID=14","4.7")</f>
        <v>4.7</v>
      </c>
      <c r="G8141" s="4" t="str">
        <f>HYPERLINK("http://141.218.60.56/~jnz1568/getInfo.php?workbook=20_05.xlsx&amp;sheet=U0&amp;row=8141&amp;col=7&amp;number=0.00234&amp;sourceID=14","0.00234")</f>
        <v>0.00234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HYPERLINK("http://141.218.60.56/~jnz1568/getInfo.php?workbook=20_05.xlsx&amp;sheet=U0&amp;row=8142&amp;col=6&amp;number=4.8&amp;sourceID=14","4.8")</f>
        <v>4.8</v>
      </c>
      <c r="G8142" s="4" t="str">
        <f>HYPERLINK("http://141.218.60.56/~jnz1568/getInfo.php?workbook=20_05.xlsx&amp;sheet=U0&amp;row=8142&amp;col=7&amp;number=0.00234&amp;sourceID=14","0.00234")</f>
        <v>0.00234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HYPERLINK("http://141.218.60.56/~jnz1568/getInfo.php?workbook=20_05.xlsx&amp;sheet=U0&amp;row=8143&amp;col=6&amp;number=4.9&amp;sourceID=14","4.9")</f>
        <v>4.9</v>
      </c>
      <c r="G8143" s="4" t="str">
        <f>HYPERLINK("http://141.218.60.56/~jnz1568/getInfo.php?workbook=20_05.xlsx&amp;sheet=U0&amp;row=8143&amp;col=7&amp;number=0.00235&amp;sourceID=14","0.00235")</f>
        <v>0.00235</v>
      </c>
    </row>
    <row r="8144" spans="1:7">
      <c r="A8144" s="3">
        <v>20</v>
      </c>
      <c r="B8144" s="3">
        <v>5</v>
      </c>
      <c r="C8144" s="3">
        <v>4</v>
      </c>
      <c r="D8144" s="3">
        <v>46</v>
      </c>
      <c r="E8144" s="3">
        <v>1</v>
      </c>
      <c r="F8144" s="4" t="str">
        <f>HYPERLINK("http://141.218.60.56/~jnz1568/getInfo.php?workbook=20_05.xlsx&amp;sheet=U0&amp;row=8144&amp;col=6&amp;number=3&amp;sourceID=14","3")</f>
        <v>3</v>
      </c>
      <c r="G8144" s="4" t="str">
        <f>HYPERLINK("http://141.218.60.56/~jnz1568/getInfo.php?workbook=20_05.xlsx&amp;sheet=U0&amp;row=8144&amp;col=7&amp;number=0.00193&amp;sourceID=14","0.00193")</f>
        <v>0.00193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HYPERLINK("http://141.218.60.56/~jnz1568/getInfo.php?workbook=20_05.xlsx&amp;sheet=U0&amp;row=8145&amp;col=6&amp;number=3.1&amp;sourceID=14","3.1")</f>
        <v>3.1</v>
      </c>
      <c r="G8145" s="4" t="str">
        <f>HYPERLINK("http://141.218.60.56/~jnz1568/getInfo.php?workbook=20_05.xlsx&amp;sheet=U0&amp;row=8145&amp;col=7&amp;number=0.00193&amp;sourceID=14","0.00193")</f>
        <v>0.00193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HYPERLINK("http://141.218.60.56/~jnz1568/getInfo.php?workbook=20_05.xlsx&amp;sheet=U0&amp;row=8146&amp;col=6&amp;number=3.2&amp;sourceID=14","3.2")</f>
        <v>3.2</v>
      </c>
      <c r="G8146" s="4" t="str">
        <f>HYPERLINK("http://141.218.60.56/~jnz1568/getInfo.php?workbook=20_05.xlsx&amp;sheet=U0&amp;row=8146&amp;col=7&amp;number=0.00193&amp;sourceID=14","0.00193")</f>
        <v>0.00193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HYPERLINK("http://141.218.60.56/~jnz1568/getInfo.php?workbook=20_05.xlsx&amp;sheet=U0&amp;row=8147&amp;col=6&amp;number=3.3&amp;sourceID=14","3.3")</f>
        <v>3.3</v>
      </c>
      <c r="G8147" s="4" t="str">
        <f>HYPERLINK("http://141.218.60.56/~jnz1568/getInfo.php?workbook=20_05.xlsx&amp;sheet=U0&amp;row=8147&amp;col=7&amp;number=0.00193&amp;sourceID=14","0.00193")</f>
        <v>0.00193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HYPERLINK("http://141.218.60.56/~jnz1568/getInfo.php?workbook=20_05.xlsx&amp;sheet=U0&amp;row=8148&amp;col=6&amp;number=3.4&amp;sourceID=14","3.4")</f>
        <v>3.4</v>
      </c>
      <c r="G8148" s="4" t="str">
        <f>HYPERLINK("http://141.218.60.56/~jnz1568/getInfo.php?workbook=20_05.xlsx&amp;sheet=U0&amp;row=8148&amp;col=7&amp;number=0.00193&amp;sourceID=14","0.00193")</f>
        <v>0.00193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HYPERLINK("http://141.218.60.56/~jnz1568/getInfo.php?workbook=20_05.xlsx&amp;sheet=U0&amp;row=8149&amp;col=6&amp;number=3.5&amp;sourceID=14","3.5")</f>
        <v>3.5</v>
      </c>
      <c r="G8149" s="4" t="str">
        <f>HYPERLINK("http://141.218.60.56/~jnz1568/getInfo.php?workbook=20_05.xlsx&amp;sheet=U0&amp;row=8149&amp;col=7&amp;number=0.00193&amp;sourceID=14","0.00193")</f>
        <v>0.00193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HYPERLINK("http://141.218.60.56/~jnz1568/getInfo.php?workbook=20_05.xlsx&amp;sheet=U0&amp;row=8150&amp;col=6&amp;number=3.6&amp;sourceID=14","3.6")</f>
        <v>3.6</v>
      </c>
      <c r="G8150" s="4" t="str">
        <f>HYPERLINK("http://141.218.60.56/~jnz1568/getInfo.php?workbook=20_05.xlsx&amp;sheet=U0&amp;row=8150&amp;col=7&amp;number=0.00193&amp;sourceID=14","0.00193")</f>
        <v>0.00193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HYPERLINK("http://141.218.60.56/~jnz1568/getInfo.php?workbook=20_05.xlsx&amp;sheet=U0&amp;row=8151&amp;col=6&amp;number=3.7&amp;sourceID=14","3.7")</f>
        <v>3.7</v>
      </c>
      <c r="G8151" s="4" t="str">
        <f>HYPERLINK("http://141.218.60.56/~jnz1568/getInfo.php?workbook=20_05.xlsx&amp;sheet=U0&amp;row=8151&amp;col=7&amp;number=0.00193&amp;sourceID=14","0.00193")</f>
        <v>0.00193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HYPERLINK("http://141.218.60.56/~jnz1568/getInfo.php?workbook=20_05.xlsx&amp;sheet=U0&amp;row=8152&amp;col=6&amp;number=3.8&amp;sourceID=14","3.8")</f>
        <v>3.8</v>
      </c>
      <c r="G8152" s="4" t="str">
        <f>HYPERLINK("http://141.218.60.56/~jnz1568/getInfo.php?workbook=20_05.xlsx&amp;sheet=U0&amp;row=8152&amp;col=7&amp;number=0.00193&amp;sourceID=14","0.00193")</f>
        <v>0.00193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HYPERLINK("http://141.218.60.56/~jnz1568/getInfo.php?workbook=20_05.xlsx&amp;sheet=U0&amp;row=8153&amp;col=6&amp;number=3.9&amp;sourceID=14","3.9")</f>
        <v>3.9</v>
      </c>
      <c r="G8153" s="4" t="str">
        <f>HYPERLINK("http://141.218.60.56/~jnz1568/getInfo.php?workbook=20_05.xlsx&amp;sheet=U0&amp;row=8153&amp;col=7&amp;number=0.00193&amp;sourceID=14","0.00193")</f>
        <v>0.00193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HYPERLINK("http://141.218.60.56/~jnz1568/getInfo.php?workbook=20_05.xlsx&amp;sheet=U0&amp;row=8154&amp;col=6&amp;number=4&amp;sourceID=14","4")</f>
        <v>4</v>
      </c>
      <c r="G8154" s="4" t="str">
        <f>HYPERLINK("http://141.218.60.56/~jnz1568/getInfo.php?workbook=20_05.xlsx&amp;sheet=U0&amp;row=8154&amp;col=7&amp;number=0.00193&amp;sourceID=14","0.00193")</f>
        <v>0.00193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HYPERLINK("http://141.218.60.56/~jnz1568/getInfo.php?workbook=20_05.xlsx&amp;sheet=U0&amp;row=8155&amp;col=6&amp;number=4.1&amp;sourceID=14","4.1")</f>
        <v>4.1</v>
      </c>
      <c r="G8155" s="4" t="str">
        <f>HYPERLINK("http://141.218.60.56/~jnz1568/getInfo.php?workbook=20_05.xlsx&amp;sheet=U0&amp;row=8155&amp;col=7&amp;number=0.00193&amp;sourceID=14","0.00193")</f>
        <v>0.00193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HYPERLINK("http://141.218.60.56/~jnz1568/getInfo.php?workbook=20_05.xlsx&amp;sheet=U0&amp;row=8156&amp;col=6&amp;number=4.2&amp;sourceID=14","4.2")</f>
        <v>4.2</v>
      </c>
      <c r="G8156" s="4" t="str">
        <f>HYPERLINK("http://141.218.60.56/~jnz1568/getInfo.php?workbook=20_05.xlsx&amp;sheet=U0&amp;row=8156&amp;col=7&amp;number=0.00193&amp;sourceID=14","0.00193")</f>
        <v>0.00193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HYPERLINK("http://141.218.60.56/~jnz1568/getInfo.php?workbook=20_05.xlsx&amp;sheet=U0&amp;row=8157&amp;col=6&amp;number=4.3&amp;sourceID=14","4.3")</f>
        <v>4.3</v>
      </c>
      <c r="G8157" s="4" t="str">
        <f>HYPERLINK("http://141.218.60.56/~jnz1568/getInfo.php?workbook=20_05.xlsx&amp;sheet=U0&amp;row=8157&amp;col=7&amp;number=0.00193&amp;sourceID=14","0.00193")</f>
        <v>0.00193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HYPERLINK("http://141.218.60.56/~jnz1568/getInfo.php?workbook=20_05.xlsx&amp;sheet=U0&amp;row=8158&amp;col=6&amp;number=4.4&amp;sourceID=14","4.4")</f>
        <v>4.4</v>
      </c>
      <c r="G8158" s="4" t="str">
        <f>HYPERLINK("http://141.218.60.56/~jnz1568/getInfo.php?workbook=20_05.xlsx&amp;sheet=U0&amp;row=8158&amp;col=7&amp;number=0.00192&amp;sourceID=14","0.00192")</f>
        <v>0.00192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HYPERLINK("http://141.218.60.56/~jnz1568/getInfo.php?workbook=20_05.xlsx&amp;sheet=U0&amp;row=8159&amp;col=6&amp;number=4.5&amp;sourceID=14","4.5")</f>
        <v>4.5</v>
      </c>
      <c r="G8159" s="4" t="str">
        <f>HYPERLINK("http://141.218.60.56/~jnz1568/getInfo.php?workbook=20_05.xlsx&amp;sheet=U0&amp;row=8159&amp;col=7&amp;number=0.00192&amp;sourceID=14","0.00192")</f>
        <v>0.00192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HYPERLINK("http://141.218.60.56/~jnz1568/getInfo.php?workbook=20_05.xlsx&amp;sheet=U0&amp;row=8160&amp;col=6&amp;number=4.6&amp;sourceID=14","4.6")</f>
        <v>4.6</v>
      </c>
      <c r="G8160" s="4" t="str">
        <f>HYPERLINK("http://141.218.60.56/~jnz1568/getInfo.php?workbook=20_05.xlsx&amp;sheet=U0&amp;row=8160&amp;col=7&amp;number=0.00192&amp;sourceID=14","0.00192")</f>
        <v>0.00192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HYPERLINK("http://141.218.60.56/~jnz1568/getInfo.php?workbook=20_05.xlsx&amp;sheet=U0&amp;row=8161&amp;col=6&amp;number=4.7&amp;sourceID=14","4.7")</f>
        <v>4.7</v>
      </c>
      <c r="G8161" s="4" t="str">
        <f>HYPERLINK("http://141.218.60.56/~jnz1568/getInfo.php?workbook=20_05.xlsx&amp;sheet=U0&amp;row=8161&amp;col=7&amp;number=0.00191&amp;sourceID=14","0.00191")</f>
        <v>0.00191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HYPERLINK("http://141.218.60.56/~jnz1568/getInfo.php?workbook=20_05.xlsx&amp;sheet=U0&amp;row=8162&amp;col=6&amp;number=4.8&amp;sourceID=14","4.8")</f>
        <v>4.8</v>
      </c>
      <c r="G8162" s="4" t="str">
        <f>HYPERLINK("http://141.218.60.56/~jnz1568/getInfo.php?workbook=20_05.xlsx&amp;sheet=U0&amp;row=8162&amp;col=7&amp;number=0.0019&amp;sourceID=14","0.0019")</f>
        <v>0.0019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HYPERLINK("http://141.218.60.56/~jnz1568/getInfo.php?workbook=20_05.xlsx&amp;sheet=U0&amp;row=8163&amp;col=6&amp;number=4.9&amp;sourceID=14","4.9")</f>
        <v>4.9</v>
      </c>
      <c r="G8163" s="4" t="str">
        <f>HYPERLINK("http://141.218.60.56/~jnz1568/getInfo.php?workbook=20_05.xlsx&amp;sheet=U0&amp;row=8163&amp;col=7&amp;number=0.0019&amp;sourceID=14","0.0019")</f>
        <v>0.0019</v>
      </c>
    </row>
    <row r="8164" spans="1:7">
      <c r="A8164" s="3">
        <v>20</v>
      </c>
      <c r="B8164" s="3">
        <v>5</v>
      </c>
      <c r="C8164" s="3">
        <v>4</v>
      </c>
      <c r="D8164" s="3">
        <v>47</v>
      </c>
      <c r="E8164" s="3">
        <v>1</v>
      </c>
      <c r="F8164" s="4" t="str">
        <f>HYPERLINK("http://141.218.60.56/~jnz1568/getInfo.php?workbook=20_05.xlsx&amp;sheet=U0&amp;row=8164&amp;col=6&amp;number=3&amp;sourceID=14","3")</f>
        <v>3</v>
      </c>
      <c r="G8164" s="4" t="str">
        <f>HYPERLINK("http://141.218.60.56/~jnz1568/getInfo.php?workbook=20_05.xlsx&amp;sheet=U0&amp;row=8164&amp;col=7&amp;number=4.98e-05&amp;sourceID=14","4.98e-05")</f>
        <v>4.98e-05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HYPERLINK("http://141.218.60.56/~jnz1568/getInfo.php?workbook=20_05.xlsx&amp;sheet=U0&amp;row=8165&amp;col=6&amp;number=3.1&amp;sourceID=14","3.1")</f>
        <v>3.1</v>
      </c>
      <c r="G8165" s="4" t="str">
        <f>HYPERLINK("http://141.218.60.56/~jnz1568/getInfo.php?workbook=20_05.xlsx&amp;sheet=U0&amp;row=8165&amp;col=7&amp;number=4.98e-05&amp;sourceID=14","4.98e-05")</f>
        <v>4.98e-05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HYPERLINK("http://141.218.60.56/~jnz1568/getInfo.php?workbook=20_05.xlsx&amp;sheet=U0&amp;row=8166&amp;col=6&amp;number=3.2&amp;sourceID=14","3.2")</f>
        <v>3.2</v>
      </c>
      <c r="G8166" s="4" t="str">
        <f>HYPERLINK("http://141.218.60.56/~jnz1568/getInfo.php?workbook=20_05.xlsx&amp;sheet=U0&amp;row=8166&amp;col=7&amp;number=4.98e-05&amp;sourceID=14","4.98e-05")</f>
        <v>4.98e-05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HYPERLINK("http://141.218.60.56/~jnz1568/getInfo.php?workbook=20_05.xlsx&amp;sheet=U0&amp;row=8167&amp;col=6&amp;number=3.3&amp;sourceID=14","3.3")</f>
        <v>3.3</v>
      </c>
      <c r="G8167" s="4" t="str">
        <f>HYPERLINK("http://141.218.60.56/~jnz1568/getInfo.php?workbook=20_05.xlsx&amp;sheet=U0&amp;row=8167&amp;col=7&amp;number=4.98e-05&amp;sourceID=14","4.98e-05")</f>
        <v>4.98e-05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HYPERLINK("http://141.218.60.56/~jnz1568/getInfo.php?workbook=20_05.xlsx&amp;sheet=U0&amp;row=8168&amp;col=6&amp;number=3.4&amp;sourceID=14","3.4")</f>
        <v>3.4</v>
      </c>
      <c r="G8168" s="4" t="str">
        <f>HYPERLINK("http://141.218.60.56/~jnz1568/getInfo.php?workbook=20_05.xlsx&amp;sheet=U0&amp;row=8168&amp;col=7&amp;number=4.98e-05&amp;sourceID=14","4.98e-05")</f>
        <v>4.98e-05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HYPERLINK("http://141.218.60.56/~jnz1568/getInfo.php?workbook=20_05.xlsx&amp;sheet=U0&amp;row=8169&amp;col=6&amp;number=3.5&amp;sourceID=14","3.5")</f>
        <v>3.5</v>
      </c>
      <c r="G8169" s="4" t="str">
        <f>HYPERLINK("http://141.218.60.56/~jnz1568/getInfo.php?workbook=20_05.xlsx&amp;sheet=U0&amp;row=8169&amp;col=7&amp;number=4.98e-05&amp;sourceID=14","4.98e-05")</f>
        <v>4.98e-05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HYPERLINK("http://141.218.60.56/~jnz1568/getInfo.php?workbook=20_05.xlsx&amp;sheet=U0&amp;row=8170&amp;col=6&amp;number=3.6&amp;sourceID=14","3.6")</f>
        <v>3.6</v>
      </c>
      <c r="G8170" s="4" t="str">
        <f>HYPERLINK("http://141.218.60.56/~jnz1568/getInfo.php?workbook=20_05.xlsx&amp;sheet=U0&amp;row=8170&amp;col=7&amp;number=4.98e-05&amp;sourceID=14","4.98e-05")</f>
        <v>4.98e-05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HYPERLINK("http://141.218.60.56/~jnz1568/getInfo.php?workbook=20_05.xlsx&amp;sheet=U0&amp;row=8171&amp;col=6&amp;number=3.7&amp;sourceID=14","3.7")</f>
        <v>3.7</v>
      </c>
      <c r="G8171" s="4" t="str">
        <f>HYPERLINK("http://141.218.60.56/~jnz1568/getInfo.php?workbook=20_05.xlsx&amp;sheet=U0&amp;row=8171&amp;col=7&amp;number=4.98e-05&amp;sourceID=14","4.98e-05")</f>
        <v>4.98e-05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HYPERLINK("http://141.218.60.56/~jnz1568/getInfo.php?workbook=20_05.xlsx&amp;sheet=U0&amp;row=8172&amp;col=6&amp;number=3.8&amp;sourceID=14","3.8")</f>
        <v>3.8</v>
      </c>
      <c r="G8172" s="4" t="str">
        <f>HYPERLINK("http://141.218.60.56/~jnz1568/getInfo.php?workbook=20_05.xlsx&amp;sheet=U0&amp;row=8172&amp;col=7&amp;number=4.97e-05&amp;sourceID=14","4.97e-05")</f>
        <v>4.97e-05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HYPERLINK("http://141.218.60.56/~jnz1568/getInfo.php?workbook=20_05.xlsx&amp;sheet=U0&amp;row=8173&amp;col=6&amp;number=3.9&amp;sourceID=14","3.9")</f>
        <v>3.9</v>
      </c>
      <c r="G8173" s="4" t="str">
        <f>HYPERLINK("http://141.218.60.56/~jnz1568/getInfo.php?workbook=20_05.xlsx&amp;sheet=U0&amp;row=8173&amp;col=7&amp;number=4.97e-05&amp;sourceID=14","4.97e-05")</f>
        <v>4.97e-05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HYPERLINK("http://141.218.60.56/~jnz1568/getInfo.php?workbook=20_05.xlsx&amp;sheet=U0&amp;row=8174&amp;col=6&amp;number=4&amp;sourceID=14","4")</f>
        <v>4</v>
      </c>
      <c r="G8174" s="4" t="str">
        <f>HYPERLINK("http://141.218.60.56/~jnz1568/getInfo.php?workbook=20_05.xlsx&amp;sheet=U0&amp;row=8174&amp;col=7&amp;number=4.97e-05&amp;sourceID=14","4.97e-05")</f>
        <v>4.97e-05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HYPERLINK("http://141.218.60.56/~jnz1568/getInfo.php?workbook=20_05.xlsx&amp;sheet=U0&amp;row=8175&amp;col=6&amp;number=4.1&amp;sourceID=14","4.1")</f>
        <v>4.1</v>
      </c>
      <c r="G8175" s="4" t="str">
        <f>HYPERLINK("http://141.218.60.56/~jnz1568/getInfo.php?workbook=20_05.xlsx&amp;sheet=U0&amp;row=8175&amp;col=7&amp;number=4.97e-05&amp;sourceID=14","4.97e-05")</f>
        <v>4.97e-05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HYPERLINK("http://141.218.60.56/~jnz1568/getInfo.php?workbook=20_05.xlsx&amp;sheet=U0&amp;row=8176&amp;col=6&amp;number=4.2&amp;sourceID=14","4.2")</f>
        <v>4.2</v>
      </c>
      <c r="G8176" s="4" t="str">
        <f>HYPERLINK("http://141.218.60.56/~jnz1568/getInfo.php?workbook=20_05.xlsx&amp;sheet=U0&amp;row=8176&amp;col=7&amp;number=4.96e-05&amp;sourceID=14","4.96e-05")</f>
        <v>4.96e-05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HYPERLINK("http://141.218.60.56/~jnz1568/getInfo.php?workbook=20_05.xlsx&amp;sheet=U0&amp;row=8177&amp;col=6&amp;number=4.3&amp;sourceID=14","4.3")</f>
        <v>4.3</v>
      </c>
      <c r="G8177" s="4" t="str">
        <f>HYPERLINK("http://141.218.60.56/~jnz1568/getInfo.php?workbook=20_05.xlsx&amp;sheet=U0&amp;row=8177&amp;col=7&amp;number=4.96e-05&amp;sourceID=14","4.96e-05")</f>
        <v>4.96e-05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HYPERLINK("http://141.218.60.56/~jnz1568/getInfo.php?workbook=20_05.xlsx&amp;sheet=U0&amp;row=8178&amp;col=6&amp;number=4.4&amp;sourceID=14","4.4")</f>
        <v>4.4</v>
      </c>
      <c r="G8178" s="4" t="str">
        <f>HYPERLINK("http://141.218.60.56/~jnz1568/getInfo.php?workbook=20_05.xlsx&amp;sheet=U0&amp;row=8178&amp;col=7&amp;number=4.95e-05&amp;sourceID=14","4.95e-05")</f>
        <v>4.95e-05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HYPERLINK("http://141.218.60.56/~jnz1568/getInfo.php?workbook=20_05.xlsx&amp;sheet=U0&amp;row=8179&amp;col=6&amp;number=4.5&amp;sourceID=14","4.5")</f>
        <v>4.5</v>
      </c>
      <c r="G8179" s="4" t="str">
        <f>HYPERLINK("http://141.218.60.56/~jnz1568/getInfo.php?workbook=20_05.xlsx&amp;sheet=U0&amp;row=8179&amp;col=7&amp;number=4.94e-05&amp;sourceID=14","4.94e-05")</f>
        <v>4.94e-05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HYPERLINK("http://141.218.60.56/~jnz1568/getInfo.php?workbook=20_05.xlsx&amp;sheet=U0&amp;row=8180&amp;col=6&amp;number=4.6&amp;sourceID=14","4.6")</f>
        <v>4.6</v>
      </c>
      <c r="G8180" s="4" t="str">
        <f>HYPERLINK("http://141.218.60.56/~jnz1568/getInfo.php?workbook=20_05.xlsx&amp;sheet=U0&amp;row=8180&amp;col=7&amp;number=4.93e-05&amp;sourceID=14","4.93e-05")</f>
        <v>4.93e-05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HYPERLINK("http://141.218.60.56/~jnz1568/getInfo.php?workbook=20_05.xlsx&amp;sheet=U0&amp;row=8181&amp;col=6&amp;number=4.7&amp;sourceID=14","4.7")</f>
        <v>4.7</v>
      </c>
      <c r="G8181" s="4" t="str">
        <f>HYPERLINK("http://141.218.60.56/~jnz1568/getInfo.php?workbook=20_05.xlsx&amp;sheet=U0&amp;row=8181&amp;col=7&amp;number=4.92e-05&amp;sourceID=14","4.92e-05")</f>
        <v>4.92e-05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HYPERLINK("http://141.218.60.56/~jnz1568/getInfo.php?workbook=20_05.xlsx&amp;sheet=U0&amp;row=8182&amp;col=6&amp;number=4.8&amp;sourceID=14","4.8")</f>
        <v>4.8</v>
      </c>
      <c r="G8182" s="4" t="str">
        <f>HYPERLINK("http://141.218.60.56/~jnz1568/getInfo.php?workbook=20_05.xlsx&amp;sheet=U0&amp;row=8182&amp;col=7&amp;number=4.91e-05&amp;sourceID=14","4.91e-05")</f>
        <v>4.91e-05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HYPERLINK("http://141.218.60.56/~jnz1568/getInfo.php?workbook=20_05.xlsx&amp;sheet=U0&amp;row=8183&amp;col=6&amp;number=4.9&amp;sourceID=14","4.9")</f>
        <v>4.9</v>
      </c>
      <c r="G8183" s="4" t="str">
        <f>HYPERLINK("http://141.218.60.56/~jnz1568/getInfo.php?workbook=20_05.xlsx&amp;sheet=U0&amp;row=8183&amp;col=7&amp;number=4.89e-05&amp;sourceID=14","4.89e-05")</f>
        <v>4.89e-05</v>
      </c>
    </row>
    <row r="8184" spans="1:7">
      <c r="A8184" s="3">
        <v>20</v>
      </c>
      <c r="B8184" s="3">
        <v>5</v>
      </c>
      <c r="C8184" s="3">
        <v>4</v>
      </c>
      <c r="D8184" s="3">
        <v>48</v>
      </c>
      <c r="E8184" s="3">
        <v>1</v>
      </c>
      <c r="F8184" s="4" t="str">
        <f>HYPERLINK("http://141.218.60.56/~jnz1568/getInfo.php?workbook=20_05.xlsx&amp;sheet=U0&amp;row=8184&amp;col=6&amp;number=3&amp;sourceID=14","3")</f>
        <v>3</v>
      </c>
      <c r="G8184" s="4" t="str">
        <f>HYPERLINK("http://141.218.60.56/~jnz1568/getInfo.php?workbook=20_05.xlsx&amp;sheet=U0&amp;row=8184&amp;col=7&amp;number=9.12e-05&amp;sourceID=14","9.12e-05")</f>
        <v>9.12e-05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HYPERLINK("http://141.218.60.56/~jnz1568/getInfo.php?workbook=20_05.xlsx&amp;sheet=U0&amp;row=8185&amp;col=6&amp;number=3.1&amp;sourceID=14","3.1")</f>
        <v>3.1</v>
      </c>
      <c r="G8185" s="4" t="str">
        <f>HYPERLINK("http://141.218.60.56/~jnz1568/getInfo.php?workbook=20_05.xlsx&amp;sheet=U0&amp;row=8185&amp;col=7&amp;number=9.12e-05&amp;sourceID=14","9.12e-05")</f>
        <v>9.12e-05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HYPERLINK("http://141.218.60.56/~jnz1568/getInfo.php?workbook=20_05.xlsx&amp;sheet=U0&amp;row=8186&amp;col=6&amp;number=3.2&amp;sourceID=14","3.2")</f>
        <v>3.2</v>
      </c>
      <c r="G8186" s="4" t="str">
        <f>HYPERLINK("http://141.218.60.56/~jnz1568/getInfo.php?workbook=20_05.xlsx&amp;sheet=U0&amp;row=8186&amp;col=7&amp;number=9.12e-05&amp;sourceID=14","9.12e-05")</f>
        <v>9.12e-05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HYPERLINK("http://141.218.60.56/~jnz1568/getInfo.php?workbook=20_05.xlsx&amp;sheet=U0&amp;row=8187&amp;col=6&amp;number=3.3&amp;sourceID=14","3.3")</f>
        <v>3.3</v>
      </c>
      <c r="G8187" s="4" t="str">
        <f>HYPERLINK("http://141.218.60.56/~jnz1568/getInfo.php?workbook=20_05.xlsx&amp;sheet=U0&amp;row=8187&amp;col=7&amp;number=9.12e-05&amp;sourceID=14","9.12e-05")</f>
        <v>9.12e-05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HYPERLINK("http://141.218.60.56/~jnz1568/getInfo.php?workbook=20_05.xlsx&amp;sheet=U0&amp;row=8188&amp;col=6&amp;number=3.4&amp;sourceID=14","3.4")</f>
        <v>3.4</v>
      </c>
      <c r="G8188" s="4" t="str">
        <f>HYPERLINK("http://141.218.60.56/~jnz1568/getInfo.php?workbook=20_05.xlsx&amp;sheet=U0&amp;row=8188&amp;col=7&amp;number=9.11e-05&amp;sourceID=14","9.11e-05")</f>
        <v>9.11e-05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HYPERLINK("http://141.218.60.56/~jnz1568/getInfo.php?workbook=20_05.xlsx&amp;sheet=U0&amp;row=8189&amp;col=6&amp;number=3.5&amp;sourceID=14","3.5")</f>
        <v>3.5</v>
      </c>
      <c r="G8189" s="4" t="str">
        <f>HYPERLINK("http://141.218.60.56/~jnz1568/getInfo.php?workbook=20_05.xlsx&amp;sheet=U0&amp;row=8189&amp;col=7&amp;number=9.11e-05&amp;sourceID=14","9.11e-05")</f>
        <v>9.11e-05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HYPERLINK("http://141.218.60.56/~jnz1568/getInfo.php?workbook=20_05.xlsx&amp;sheet=U0&amp;row=8190&amp;col=6&amp;number=3.6&amp;sourceID=14","3.6")</f>
        <v>3.6</v>
      </c>
      <c r="G8190" s="4" t="str">
        <f>HYPERLINK("http://141.218.60.56/~jnz1568/getInfo.php?workbook=20_05.xlsx&amp;sheet=U0&amp;row=8190&amp;col=7&amp;number=9.11e-05&amp;sourceID=14","9.11e-05")</f>
        <v>9.11e-05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HYPERLINK("http://141.218.60.56/~jnz1568/getInfo.php?workbook=20_05.xlsx&amp;sheet=U0&amp;row=8191&amp;col=6&amp;number=3.7&amp;sourceID=14","3.7")</f>
        <v>3.7</v>
      </c>
      <c r="G8191" s="4" t="str">
        <f>HYPERLINK("http://141.218.60.56/~jnz1568/getInfo.php?workbook=20_05.xlsx&amp;sheet=U0&amp;row=8191&amp;col=7&amp;number=9.11e-05&amp;sourceID=14","9.11e-05")</f>
        <v>9.11e-05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HYPERLINK("http://141.218.60.56/~jnz1568/getInfo.php?workbook=20_05.xlsx&amp;sheet=U0&amp;row=8192&amp;col=6&amp;number=3.8&amp;sourceID=14","3.8")</f>
        <v>3.8</v>
      </c>
      <c r="G8192" s="4" t="str">
        <f>HYPERLINK("http://141.218.60.56/~jnz1568/getInfo.php?workbook=20_05.xlsx&amp;sheet=U0&amp;row=8192&amp;col=7&amp;number=9.11e-05&amp;sourceID=14","9.11e-05")</f>
        <v>9.11e-05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HYPERLINK("http://141.218.60.56/~jnz1568/getInfo.php?workbook=20_05.xlsx&amp;sheet=U0&amp;row=8193&amp;col=6&amp;number=3.9&amp;sourceID=14","3.9")</f>
        <v>3.9</v>
      </c>
      <c r="G8193" s="4" t="str">
        <f>HYPERLINK("http://141.218.60.56/~jnz1568/getInfo.php?workbook=20_05.xlsx&amp;sheet=U0&amp;row=8193&amp;col=7&amp;number=9.1e-05&amp;sourceID=14","9.1e-05")</f>
        <v>9.1e-05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HYPERLINK("http://141.218.60.56/~jnz1568/getInfo.php?workbook=20_05.xlsx&amp;sheet=U0&amp;row=8194&amp;col=6&amp;number=4&amp;sourceID=14","4")</f>
        <v>4</v>
      </c>
      <c r="G8194" s="4" t="str">
        <f>HYPERLINK("http://141.218.60.56/~jnz1568/getInfo.php?workbook=20_05.xlsx&amp;sheet=U0&amp;row=8194&amp;col=7&amp;number=9.1e-05&amp;sourceID=14","9.1e-05")</f>
        <v>9.1e-05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HYPERLINK("http://141.218.60.56/~jnz1568/getInfo.php?workbook=20_05.xlsx&amp;sheet=U0&amp;row=8195&amp;col=6&amp;number=4.1&amp;sourceID=14","4.1")</f>
        <v>4.1</v>
      </c>
      <c r="G8195" s="4" t="str">
        <f>HYPERLINK("http://141.218.60.56/~jnz1568/getInfo.php?workbook=20_05.xlsx&amp;sheet=U0&amp;row=8195&amp;col=7&amp;number=9.1e-05&amp;sourceID=14","9.1e-05")</f>
        <v>9.1e-05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HYPERLINK("http://141.218.60.56/~jnz1568/getInfo.php?workbook=20_05.xlsx&amp;sheet=U0&amp;row=8196&amp;col=6&amp;number=4.2&amp;sourceID=14","4.2")</f>
        <v>4.2</v>
      </c>
      <c r="G8196" s="4" t="str">
        <f>HYPERLINK("http://141.218.60.56/~jnz1568/getInfo.php?workbook=20_05.xlsx&amp;sheet=U0&amp;row=8196&amp;col=7&amp;number=9.09e-05&amp;sourceID=14","9.09e-05")</f>
        <v>9.09e-05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HYPERLINK("http://141.218.60.56/~jnz1568/getInfo.php?workbook=20_05.xlsx&amp;sheet=U0&amp;row=8197&amp;col=6&amp;number=4.3&amp;sourceID=14","4.3")</f>
        <v>4.3</v>
      </c>
      <c r="G8197" s="4" t="str">
        <f>HYPERLINK("http://141.218.60.56/~jnz1568/getInfo.php?workbook=20_05.xlsx&amp;sheet=U0&amp;row=8197&amp;col=7&amp;number=9.08e-05&amp;sourceID=14","9.08e-05")</f>
        <v>9.08e-05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HYPERLINK("http://141.218.60.56/~jnz1568/getInfo.php?workbook=20_05.xlsx&amp;sheet=U0&amp;row=8198&amp;col=6&amp;number=4.4&amp;sourceID=14","4.4")</f>
        <v>4.4</v>
      </c>
      <c r="G8198" s="4" t="str">
        <f>HYPERLINK("http://141.218.60.56/~jnz1568/getInfo.php?workbook=20_05.xlsx&amp;sheet=U0&amp;row=8198&amp;col=7&amp;number=9.07e-05&amp;sourceID=14","9.07e-05")</f>
        <v>9.07e-05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HYPERLINK("http://141.218.60.56/~jnz1568/getInfo.php?workbook=20_05.xlsx&amp;sheet=U0&amp;row=8199&amp;col=6&amp;number=4.5&amp;sourceID=14","4.5")</f>
        <v>4.5</v>
      </c>
      <c r="G8199" s="4" t="str">
        <f>HYPERLINK("http://141.218.60.56/~jnz1568/getInfo.php?workbook=20_05.xlsx&amp;sheet=U0&amp;row=8199&amp;col=7&amp;number=9.06e-05&amp;sourceID=14","9.06e-05")</f>
        <v>9.06e-05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HYPERLINK("http://141.218.60.56/~jnz1568/getInfo.php?workbook=20_05.xlsx&amp;sheet=U0&amp;row=8200&amp;col=6&amp;number=4.6&amp;sourceID=14","4.6")</f>
        <v>4.6</v>
      </c>
      <c r="G8200" s="4" t="str">
        <f>HYPERLINK("http://141.218.60.56/~jnz1568/getInfo.php?workbook=20_05.xlsx&amp;sheet=U0&amp;row=8200&amp;col=7&amp;number=9.05e-05&amp;sourceID=14","9.05e-05")</f>
        <v>9.05e-05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HYPERLINK("http://141.218.60.56/~jnz1568/getInfo.php?workbook=20_05.xlsx&amp;sheet=U0&amp;row=8201&amp;col=6&amp;number=4.7&amp;sourceID=14","4.7")</f>
        <v>4.7</v>
      </c>
      <c r="G8201" s="4" t="str">
        <f>HYPERLINK("http://141.218.60.56/~jnz1568/getInfo.php?workbook=20_05.xlsx&amp;sheet=U0&amp;row=8201&amp;col=7&amp;number=9.03e-05&amp;sourceID=14","9.03e-05")</f>
        <v>9.03e-05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HYPERLINK("http://141.218.60.56/~jnz1568/getInfo.php?workbook=20_05.xlsx&amp;sheet=U0&amp;row=8202&amp;col=6&amp;number=4.8&amp;sourceID=14","4.8")</f>
        <v>4.8</v>
      </c>
      <c r="G8202" s="4" t="str">
        <f>HYPERLINK("http://141.218.60.56/~jnz1568/getInfo.php?workbook=20_05.xlsx&amp;sheet=U0&amp;row=8202&amp;col=7&amp;number=9e-05&amp;sourceID=14","9e-05")</f>
        <v>9e-05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HYPERLINK("http://141.218.60.56/~jnz1568/getInfo.php?workbook=20_05.xlsx&amp;sheet=U0&amp;row=8203&amp;col=6&amp;number=4.9&amp;sourceID=14","4.9")</f>
        <v>4.9</v>
      </c>
      <c r="G8203" s="4" t="str">
        <f>HYPERLINK("http://141.218.60.56/~jnz1568/getInfo.php?workbook=20_05.xlsx&amp;sheet=U0&amp;row=8203&amp;col=7&amp;number=8.98e-05&amp;sourceID=14","8.98e-05")</f>
        <v>8.98e-05</v>
      </c>
    </row>
    <row r="8204" spans="1:7">
      <c r="A8204" s="3">
        <v>20</v>
      </c>
      <c r="B8204" s="3">
        <v>5</v>
      </c>
      <c r="C8204" s="3">
        <v>4</v>
      </c>
      <c r="D8204" s="3">
        <v>49</v>
      </c>
      <c r="E8204" s="3">
        <v>1</v>
      </c>
      <c r="F8204" s="4" t="str">
        <f>HYPERLINK("http://141.218.60.56/~jnz1568/getInfo.php?workbook=20_05.xlsx&amp;sheet=U0&amp;row=8204&amp;col=6&amp;number=3&amp;sourceID=14","3")</f>
        <v>3</v>
      </c>
      <c r="G8204" s="4" t="str">
        <f>HYPERLINK("http://141.218.60.56/~jnz1568/getInfo.php?workbook=20_05.xlsx&amp;sheet=U0&amp;row=8204&amp;col=7&amp;number=6.28e-05&amp;sourceID=14","6.28e-05")</f>
        <v>6.28e-05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HYPERLINK("http://141.218.60.56/~jnz1568/getInfo.php?workbook=20_05.xlsx&amp;sheet=U0&amp;row=8205&amp;col=6&amp;number=3.1&amp;sourceID=14","3.1")</f>
        <v>3.1</v>
      </c>
      <c r="G8205" s="4" t="str">
        <f>HYPERLINK("http://141.218.60.56/~jnz1568/getInfo.php?workbook=20_05.xlsx&amp;sheet=U0&amp;row=8205&amp;col=7&amp;number=6.28e-05&amp;sourceID=14","6.28e-05")</f>
        <v>6.28e-05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HYPERLINK("http://141.218.60.56/~jnz1568/getInfo.php?workbook=20_05.xlsx&amp;sheet=U0&amp;row=8206&amp;col=6&amp;number=3.2&amp;sourceID=14","3.2")</f>
        <v>3.2</v>
      </c>
      <c r="G8206" s="4" t="str">
        <f>HYPERLINK("http://141.218.60.56/~jnz1568/getInfo.php?workbook=20_05.xlsx&amp;sheet=U0&amp;row=8206&amp;col=7&amp;number=6.28e-05&amp;sourceID=14","6.28e-05")</f>
        <v>6.28e-05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HYPERLINK("http://141.218.60.56/~jnz1568/getInfo.php?workbook=20_05.xlsx&amp;sheet=U0&amp;row=8207&amp;col=6&amp;number=3.3&amp;sourceID=14","3.3")</f>
        <v>3.3</v>
      </c>
      <c r="G8207" s="4" t="str">
        <f>HYPERLINK("http://141.218.60.56/~jnz1568/getInfo.php?workbook=20_05.xlsx&amp;sheet=U0&amp;row=8207&amp;col=7&amp;number=6.28e-05&amp;sourceID=14","6.28e-05")</f>
        <v>6.28e-05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HYPERLINK("http://141.218.60.56/~jnz1568/getInfo.php?workbook=20_05.xlsx&amp;sheet=U0&amp;row=8208&amp;col=6&amp;number=3.4&amp;sourceID=14","3.4")</f>
        <v>3.4</v>
      </c>
      <c r="G8208" s="4" t="str">
        <f>HYPERLINK("http://141.218.60.56/~jnz1568/getInfo.php?workbook=20_05.xlsx&amp;sheet=U0&amp;row=8208&amp;col=7&amp;number=6.28e-05&amp;sourceID=14","6.28e-05")</f>
        <v>6.28e-05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HYPERLINK("http://141.218.60.56/~jnz1568/getInfo.php?workbook=20_05.xlsx&amp;sheet=U0&amp;row=8209&amp;col=6&amp;number=3.5&amp;sourceID=14","3.5")</f>
        <v>3.5</v>
      </c>
      <c r="G8209" s="4" t="str">
        <f>HYPERLINK("http://141.218.60.56/~jnz1568/getInfo.php?workbook=20_05.xlsx&amp;sheet=U0&amp;row=8209&amp;col=7&amp;number=6.28e-05&amp;sourceID=14","6.28e-05")</f>
        <v>6.28e-05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HYPERLINK("http://141.218.60.56/~jnz1568/getInfo.php?workbook=20_05.xlsx&amp;sheet=U0&amp;row=8210&amp;col=6&amp;number=3.6&amp;sourceID=14","3.6")</f>
        <v>3.6</v>
      </c>
      <c r="G8210" s="4" t="str">
        <f>HYPERLINK("http://141.218.60.56/~jnz1568/getInfo.php?workbook=20_05.xlsx&amp;sheet=U0&amp;row=8210&amp;col=7&amp;number=6.28e-05&amp;sourceID=14","6.28e-05")</f>
        <v>6.28e-05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HYPERLINK("http://141.218.60.56/~jnz1568/getInfo.php?workbook=20_05.xlsx&amp;sheet=U0&amp;row=8211&amp;col=6&amp;number=3.7&amp;sourceID=14","3.7")</f>
        <v>3.7</v>
      </c>
      <c r="G8211" s="4" t="str">
        <f>HYPERLINK("http://141.218.60.56/~jnz1568/getInfo.php?workbook=20_05.xlsx&amp;sheet=U0&amp;row=8211&amp;col=7&amp;number=6.28e-05&amp;sourceID=14","6.28e-05")</f>
        <v>6.28e-05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HYPERLINK("http://141.218.60.56/~jnz1568/getInfo.php?workbook=20_05.xlsx&amp;sheet=U0&amp;row=8212&amp;col=6&amp;number=3.8&amp;sourceID=14","3.8")</f>
        <v>3.8</v>
      </c>
      <c r="G8212" s="4" t="str">
        <f>HYPERLINK("http://141.218.60.56/~jnz1568/getInfo.php?workbook=20_05.xlsx&amp;sheet=U0&amp;row=8212&amp;col=7&amp;number=6.27e-05&amp;sourceID=14","6.27e-05")</f>
        <v>6.27e-05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HYPERLINK("http://141.218.60.56/~jnz1568/getInfo.php?workbook=20_05.xlsx&amp;sheet=U0&amp;row=8213&amp;col=6&amp;number=3.9&amp;sourceID=14","3.9")</f>
        <v>3.9</v>
      </c>
      <c r="G8213" s="4" t="str">
        <f>HYPERLINK("http://141.218.60.56/~jnz1568/getInfo.php?workbook=20_05.xlsx&amp;sheet=U0&amp;row=8213&amp;col=7&amp;number=6.27e-05&amp;sourceID=14","6.27e-05")</f>
        <v>6.27e-05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HYPERLINK("http://141.218.60.56/~jnz1568/getInfo.php?workbook=20_05.xlsx&amp;sheet=U0&amp;row=8214&amp;col=6&amp;number=4&amp;sourceID=14","4")</f>
        <v>4</v>
      </c>
      <c r="G8214" s="4" t="str">
        <f>HYPERLINK("http://141.218.60.56/~jnz1568/getInfo.php?workbook=20_05.xlsx&amp;sheet=U0&amp;row=8214&amp;col=7&amp;number=6.27e-05&amp;sourceID=14","6.27e-05")</f>
        <v>6.27e-05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HYPERLINK("http://141.218.60.56/~jnz1568/getInfo.php?workbook=20_05.xlsx&amp;sheet=U0&amp;row=8215&amp;col=6&amp;number=4.1&amp;sourceID=14","4.1")</f>
        <v>4.1</v>
      </c>
      <c r="G8215" s="4" t="str">
        <f>HYPERLINK("http://141.218.60.56/~jnz1568/getInfo.php?workbook=20_05.xlsx&amp;sheet=U0&amp;row=8215&amp;col=7&amp;number=6.26e-05&amp;sourceID=14","6.26e-05")</f>
        <v>6.26e-05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HYPERLINK("http://141.218.60.56/~jnz1568/getInfo.php?workbook=20_05.xlsx&amp;sheet=U0&amp;row=8216&amp;col=6&amp;number=4.2&amp;sourceID=14","4.2")</f>
        <v>4.2</v>
      </c>
      <c r="G8216" s="4" t="str">
        <f>HYPERLINK("http://141.218.60.56/~jnz1568/getInfo.php?workbook=20_05.xlsx&amp;sheet=U0&amp;row=8216&amp;col=7&amp;number=6.26e-05&amp;sourceID=14","6.26e-05")</f>
        <v>6.26e-05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HYPERLINK("http://141.218.60.56/~jnz1568/getInfo.php?workbook=20_05.xlsx&amp;sheet=U0&amp;row=8217&amp;col=6&amp;number=4.3&amp;sourceID=14","4.3")</f>
        <v>4.3</v>
      </c>
      <c r="G8217" s="4" t="str">
        <f>HYPERLINK("http://141.218.60.56/~jnz1568/getInfo.php?workbook=20_05.xlsx&amp;sheet=U0&amp;row=8217&amp;col=7&amp;number=6.25e-05&amp;sourceID=14","6.25e-05")</f>
        <v>6.25e-05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HYPERLINK("http://141.218.60.56/~jnz1568/getInfo.php?workbook=20_05.xlsx&amp;sheet=U0&amp;row=8218&amp;col=6&amp;number=4.4&amp;sourceID=14","4.4")</f>
        <v>4.4</v>
      </c>
      <c r="G8218" s="4" t="str">
        <f>HYPERLINK("http://141.218.60.56/~jnz1568/getInfo.php?workbook=20_05.xlsx&amp;sheet=U0&amp;row=8218&amp;col=7&amp;number=6.24e-05&amp;sourceID=14","6.24e-05")</f>
        <v>6.24e-05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HYPERLINK("http://141.218.60.56/~jnz1568/getInfo.php?workbook=20_05.xlsx&amp;sheet=U0&amp;row=8219&amp;col=6&amp;number=4.5&amp;sourceID=14","4.5")</f>
        <v>4.5</v>
      </c>
      <c r="G8219" s="4" t="str">
        <f>HYPERLINK("http://141.218.60.56/~jnz1568/getInfo.php?workbook=20_05.xlsx&amp;sheet=U0&amp;row=8219&amp;col=7&amp;number=6.23e-05&amp;sourceID=14","6.23e-05")</f>
        <v>6.23e-05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HYPERLINK("http://141.218.60.56/~jnz1568/getInfo.php?workbook=20_05.xlsx&amp;sheet=U0&amp;row=8220&amp;col=6&amp;number=4.6&amp;sourceID=14","4.6")</f>
        <v>4.6</v>
      </c>
      <c r="G8220" s="4" t="str">
        <f>HYPERLINK("http://141.218.60.56/~jnz1568/getInfo.php?workbook=20_05.xlsx&amp;sheet=U0&amp;row=8220&amp;col=7&amp;number=6.22e-05&amp;sourceID=14","6.22e-05")</f>
        <v>6.22e-05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HYPERLINK("http://141.218.60.56/~jnz1568/getInfo.php?workbook=20_05.xlsx&amp;sheet=U0&amp;row=8221&amp;col=6&amp;number=4.7&amp;sourceID=14","4.7")</f>
        <v>4.7</v>
      </c>
      <c r="G8221" s="4" t="str">
        <f>HYPERLINK("http://141.218.60.56/~jnz1568/getInfo.php?workbook=20_05.xlsx&amp;sheet=U0&amp;row=8221&amp;col=7&amp;number=6.21e-05&amp;sourceID=14","6.21e-05")</f>
        <v>6.21e-05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HYPERLINK("http://141.218.60.56/~jnz1568/getInfo.php?workbook=20_05.xlsx&amp;sheet=U0&amp;row=8222&amp;col=6&amp;number=4.8&amp;sourceID=14","4.8")</f>
        <v>4.8</v>
      </c>
      <c r="G8222" s="4" t="str">
        <f>HYPERLINK("http://141.218.60.56/~jnz1568/getInfo.php?workbook=20_05.xlsx&amp;sheet=U0&amp;row=8222&amp;col=7&amp;number=6.19e-05&amp;sourceID=14","6.19e-05")</f>
        <v>6.19e-05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HYPERLINK("http://141.218.60.56/~jnz1568/getInfo.php?workbook=20_05.xlsx&amp;sheet=U0&amp;row=8223&amp;col=6&amp;number=4.9&amp;sourceID=14","4.9")</f>
        <v>4.9</v>
      </c>
      <c r="G8223" s="4" t="str">
        <f>HYPERLINK("http://141.218.60.56/~jnz1568/getInfo.php?workbook=20_05.xlsx&amp;sheet=U0&amp;row=8223&amp;col=7&amp;number=6.16e-05&amp;sourceID=14","6.16e-05")</f>
        <v>6.16e-05</v>
      </c>
    </row>
    <row r="8224" spans="1:7">
      <c r="A8224" s="3">
        <v>20</v>
      </c>
      <c r="B8224" s="3">
        <v>5</v>
      </c>
      <c r="C8224" s="3">
        <v>4</v>
      </c>
      <c r="D8224" s="3">
        <v>50</v>
      </c>
      <c r="E8224" s="3">
        <v>1</v>
      </c>
      <c r="F8224" s="4" t="str">
        <f>HYPERLINK("http://141.218.60.56/~jnz1568/getInfo.php?workbook=20_05.xlsx&amp;sheet=U0&amp;row=8224&amp;col=6&amp;number=3&amp;sourceID=14","3")</f>
        <v>3</v>
      </c>
      <c r="G8224" s="4" t="str">
        <f>HYPERLINK("http://141.218.60.56/~jnz1568/getInfo.php?workbook=20_05.xlsx&amp;sheet=U0&amp;row=8224&amp;col=7&amp;number=1.45e-06&amp;sourceID=14","1.45e-06")</f>
        <v>1.45e-06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HYPERLINK("http://141.218.60.56/~jnz1568/getInfo.php?workbook=20_05.xlsx&amp;sheet=U0&amp;row=8225&amp;col=6&amp;number=3.1&amp;sourceID=14","3.1")</f>
        <v>3.1</v>
      </c>
      <c r="G8225" s="4" t="str">
        <f>HYPERLINK("http://141.218.60.56/~jnz1568/getInfo.php?workbook=20_05.xlsx&amp;sheet=U0&amp;row=8225&amp;col=7&amp;number=1.45e-06&amp;sourceID=14","1.45e-06")</f>
        <v>1.45e-06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HYPERLINK("http://141.218.60.56/~jnz1568/getInfo.php?workbook=20_05.xlsx&amp;sheet=U0&amp;row=8226&amp;col=6&amp;number=3.2&amp;sourceID=14","3.2")</f>
        <v>3.2</v>
      </c>
      <c r="G8226" s="4" t="str">
        <f>HYPERLINK("http://141.218.60.56/~jnz1568/getInfo.php?workbook=20_05.xlsx&amp;sheet=U0&amp;row=8226&amp;col=7&amp;number=1.45e-06&amp;sourceID=14","1.45e-06")</f>
        <v>1.45e-06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HYPERLINK("http://141.218.60.56/~jnz1568/getInfo.php?workbook=20_05.xlsx&amp;sheet=U0&amp;row=8227&amp;col=6&amp;number=3.3&amp;sourceID=14","3.3")</f>
        <v>3.3</v>
      </c>
      <c r="G8227" s="4" t="str">
        <f>HYPERLINK("http://141.218.60.56/~jnz1568/getInfo.php?workbook=20_05.xlsx&amp;sheet=U0&amp;row=8227&amp;col=7&amp;number=1.45e-06&amp;sourceID=14","1.45e-06")</f>
        <v>1.45e-06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HYPERLINK("http://141.218.60.56/~jnz1568/getInfo.php?workbook=20_05.xlsx&amp;sheet=U0&amp;row=8228&amp;col=6&amp;number=3.4&amp;sourceID=14","3.4")</f>
        <v>3.4</v>
      </c>
      <c r="G8228" s="4" t="str">
        <f>HYPERLINK("http://141.218.60.56/~jnz1568/getInfo.php?workbook=20_05.xlsx&amp;sheet=U0&amp;row=8228&amp;col=7&amp;number=1.45e-06&amp;sourceID=14","1.45e-06")</f>
        <v>1.45e-06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HYPERLINK("http://141.218.60.56/~jnz1568/getInfo.php?workbook=20_05.xlsx&amp;sheet=U0&amp;row=8229&amp;col=6&amp;number=3.5&amp;sourceID=14","3.5")</f>
        <v>3.5</v>
      </c>
      <c r="G8229" s="4" t="str">
        <f>HYPERLINK("http://141.218.60.56/~jnz1568/getInfo.php?workbook=20_05.xlsx&amp;sheet=U0&amp;row=8229&amp;col=7&amp;number=1.45e-06&amp;sourceID=14","1.45e-06")</f>
        <v>1.45e-06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HYPERLINK("http://141.218.60.56/~jnz1568/getInfo.php?workbook=20_05.xlsx&amp;sheet=U0&amp;row=8230&amp;col=6&amp;number=3.6&amp;sourceID=14","3.6")</f>
        <v>3.6</v>
      </c>
      <c r="G8230" s="4" t="str">
        <f>HYPERLINK("http://141.218.60.56/~jnz1568/getInfo.php?workbook=20_05.xlsx&amp;sheet=U0&amp;row=8230&amp;col=7&amp;number=1.45e-06&amp;sourceID=14","1.45e-06")</f>
        <v>1.45e-06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HYPERLINK("http://141.218.60.56/~jnz1568/getInfo.php?workbook=20_05.xlsx&amp;sheet=U0&amp;row=8231&amp;col=6&amp;number=3.7&amp;sourceID=14","3.7")</f>
        <v>3.7</v>
      </c>
      <c r="G8231" s="4" t="str">
        <f>HYPERLINK("http://141.218.60.56/~jnz1568/getInfo.php?workbook=20_05.xlsx&amp;sheet=U0&amp;row=8231&amp;col=7&amp;number=1.45e-06&amp;sourceID=14","1.45e-06")</f>
        <v>1.45e-06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HYPERLINK("http://141.218.60.56/~jnz1568/getInfo.php?workbook=20_05.xlsx&amp;sheet=U0&amp;row=8232&amp;col=6&amp;number=3.8&amp;sourceID=14","3.8")</f>
        <v>3.8</v>
      </c>
      <c r="G8232" s="4" t="str">
        <f>HYPERLINK("http://141.218.60.56/~jnz1568/getInfo.php?workbook=20_05.xlsx&amp;sheet=U0&amp;row=8232&amp;col=7&amp;number=1.45e-06&amp;sourceID=14","1.45e-06")</f>
        <v>1.45e-06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HYPERLINK("http://141.218.60.56/~jnz1568/getInfo.php?workbook=20_05.xlsx&amp;sheet=U0&amp;row=8233&amp;col=6&amp;number=3.9&amp;sourceID=14","3.9")</f>
        <v>3.9</v>
      </c>
      <c r="G8233" s="4" t="str">
        <f>HYPERLINK("http://141.218.60.56/~jnz1568/getInfo.php?workbook=20_05.xlsx&amp;sheet=U0&amp;row=8233&amp;col=7&amp;number=1.45e-06&amp;sourceID=14","1.45e-06")</f>
        <v>1.45e-06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HYPERLINK("http://141.218.60.56/~jnz1568/getInfo.php?workbook=20_05.xlsx&amp;sheet=U0&amp;row=8234&amp;col=6&amp;number=4&amp;sourceID=14","4")</f>
        <v>4</v>
      </c>
      <c r="G8234" s="4" t="str">
        <f>HYPERLINK("http://141.218.60.56/~jnz1568/getInfo.php?workbook=20_05.xlsx&amp;sheet=U0&amp;row=8234&amp;col=7&amp;number=1.45e-06&amp;sourceID=14","1.45e-06")</f>
        <v>1.45e-06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HYPERLINK("http://141.218.60.56/~jnz1568/getInfo.php?workbook=20_05.xlsx&amp;sheet=U0&amp;row=8235&amp;col=6&amp;number=4.1&amp;sourceID=14","4.1")</f>
        <v>4.1</v>
      </c>
      <c r="G8235" s="4" t="str">
        <f>HYPERLINK("http://141.218.60.56/~jnz1568/getInfo.php?workbook=20_05.xlsx&amp;sheet=U0&amp;row=8235&amp;col=7&amp;number=1.45e-06&amp;sourceID=14","1.45e-06")</f>
        <v>1.45e-06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HYPERLINK("http://141.218.60.56/~jnz1568/getInfo.php?workbook=20_05.xlsx&amp;sheet=U0&amp;row=8236&amp;col=6&amp;number=4.2&amp;sourceID=14","4.2")</f>
        <v>4.2</v>
      </c>
      <c r="G8236" s="4" t="str">
        <f>HYPERLINK("http://141.218.60.56/~jnz1568/getInfo.php?workbook=20_05.xlsx&amp;sheet=U0&amp;row=8236&amp;col=7&amp;number=1.45e-06&amp;sourceID=14","1.45e-06")</f>
        <v>1.45e-06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HYPERLINK("http://141.218.60.56/~jnz1568/getInfo.php?workbook=20_05.xlsx&amp;sheet=U0&amp;row=8237&amp;col=6&amp;number=4.3&amp;sourceID=14","4.3")</f>
        <v>4.3</v>
      </c>
      <c r="G8237" s="4" t="str">
        <f>HYPERLINK("http://141.218.60.56/~jnz1568/getInfo.php?workbook=20_05.xlsx&amp;sheet=U0&amp;row=8237&amp;col=7&amp;number=1.45e-06&amp;sourceID=14","1.45e-06")</f>
        <v>1.45e-06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HYPERLINK("http://141.218.60.56/~jnz1568/getInfo.php?workbook=20_05.xlsx&amp;sheet=U0&amp;row=8238&amp;col=6&amp;number=4.4&amp;sourceID=14","4.4")</f>
        <v>4.4</v>
      </c>
      <c r="G8238" s="4" t="str">
        <f>HYPERLINK("http://141.218.60.56/~jnz1568/getInfo.php?workbook=20_05.xlsx&amp;sheet=U0&amp;row=8238&amp;col=7&amp;number=1.45e-06&amp;sourceID=14","1.45e-06")</f>
        <v>1.45e-06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HYPERLINK("http://141.218.60.56/~jnz1568/getInfo.php?workbook=20_05.xlsx&amp;sheet=U0&amp;row=8239&amp;col=6&amp;number=4.5&amp;sourceID=14","4.5")</f>
        <v>4.5</v>
      </c>
      <c r="G8239" s="4" t="str">
        <f>HYPERLINK("http://141.218.60.56/~jnz1568/getInfo.php?workbook=20_05.xlsx&amp;sheet=U0&amp;row=8239&amp;col=7&amp;number=1.44e-06&amp;sourceID=14","1.44e-06")</f>
        <v>1.44e-06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HYPERLINK("http://141.218.60.56/~jnz1568/getInfo.php?workbook=20_05.xlsx&amp;sheet=U0&amp;row=8240&amp;col=6&amp;number=4.6&amp;sourceID=14","4.6")</f>
        <v>4.6</v>
      </c>
      <c r="G8240" s="4" t="str">
        <f>HYPERLINK("http://141.218.60.56/~jnz1568/getInfo.php?workbook=20_05.xlsx&amp;sheet=U0&amp;row=8240&amp;col=7&amp;number=1.44e-06&amp;sourceID=14","1.44e-06")</f>
        <v>1.44e-06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HYPERLINK("http://141.218.60.56/~jnz1568/getInfo.php?workbook=20_05.xlsx&amp;sheet=U0&amp;row=8241&amp;col=6&amp;number=4.7&amp;sourceID=14","4.7")</f>
        <v>4.7</v>
      </c>
      <c r="G8241" s="4" t="str">
        <f>HYPERLINK("http://141.218.60.56/~jnz1568/getInfo.php?workbook=20_05.xlsx&amp;sheet=U0&amp;row=8241&amp;col=7&amp;number=1.44e-06&amp;sourceID=14","1.44e-06")</f>
        <v>1.44e-06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HYPERLINK("http://141.218.60.56/~jnz1568/getInfo.php?workbook=20_05.xlsx&amp;sheet=U0&amp;row=8242&amp;col=6&amp;number=4.8&amp;sourceID=14","4.8")</f>
        <v>4.8</v>
      </c>
      <c r="G8242" s="4" t="str">
        <f>HYPERLINK("http://141.218.60.56/~jnz1568/getInfo.php?workbook=20_05.xlsx&amp;sheet=U0&amp;row=8242&amp;col=7&amp;number=1.43e-06&amp;sourceID=14","1.43e-06")</f>
        <v>1.43e-06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HYPERLINK("http://141.218.60.56/~jnz1568/getInfo.php?workbook=20_05.xlsx&amp;sheet=U0&amp;row=8243&amp;col=6&amp;number=4.9&amp;sourceID=14","4.9")</f>
        <v>4.9</v>
      </c>
      <c r="G8243" s="4" t="str">
        <f>HYPERLINK("http://141.218.60.56/~jnz1568/getInfo.php?workbook=20_05.xlsx&amp;sheet=U0&amp;row=8243&amp;col=7&amp;number=1.43e-06&amp;sourceID=14","1.43e-06")</f>
        <v>1.43e-06</v>
      </c>
    </row>
    <row r="8244" spans="1:7">
      <c r="A8244" s="3">
        <v>20</v>
      </c>
      <c r="B8244" s="3">
        <v>5</v>
      </c>
      <c r="C8244" s="3">
        <v>4</v>
      </c>
      <c r="D8244" s="3">
        <v>51</v>
      </c>
      <c r="E8244" s="3">
        <v>1</v>
      </c>
      <c r="F8244" s="4" t="str">
        <f>HYPERLINK("http://141.218.60.56/~jnz1568/getInfo.php?workbook=20_05.xlsx&amp;sheet=U0&amp;row=8244&amp;col=6&amp;number=3&amp;sourceID=14","3")</f>
        <v>3</v>
      </c>
      <c r="G8244" s="4" t="str">
        <f>HYPERLINK("http://141.218.60.56/~jnz1568/getInfo.php?workbook=20_05.xlsx&amp;sheet=U0&amp;row=8244&amp;col=7&amp;number=0.00345&amp;sourceID=14","0.00345")</f>
        <v>0.00345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HYPERLINK("http://141.218.60.56/~jnz1568/getInfo.php?workbook=20_05.xlsx&amp;sheet=U0&amp;row=8245&amp;col=6&amp;number=3.1&amp;sourceID=14","3.1")</f>
        <v>3.1</v>
      </c>
      <c r="G8245" s="4" t="str">
        <f>HYPERLINK("http://141.218.60.56/~jnz1568/getInfo.php?workbook=20_05.xlsx&amp;sheet=U0&amp;row=8245&amp;col=7&amp;number=0.00344&amp;sourceID=14","0.00344")</f>
        <v>0.00344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HYPERLINK("http://141.218.60.56/~jnz1568/getInfo.php?workbook=20_05.xlsx&amp;sheet=U0&amp;row=8246&amp;col=6&amp;number=3.2&amp;sourceID=14","3.2")</f>
        <v>3.2</v>
      </c>
      <c r="G8246" s="4" t="str">
        <f>HYPERLINK("http://141.218.60.56/~jnz1568/getInfo.php?workbook=20_05.xlsx&amp;sheet=U0&amp;row=8246&amp;col=7&amp;number=0.00344&amp;sourceID=14","0.00344")</f>
        <v>0.00344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HYPERLINK("http://141.218.60.56/~jnz1568/getInfo.php?workbook=20_05.xlsx&amp;sheet=U0&amp;row=8247&amp;col=6&amp;number=3.3&amp;sourceID=14","3.3")</f>
        <v>3.3</v>
      </c>
      <c r="G8247" s="4" t="str">
        <f>HYPERLINK("http://141.218.60.56/~jnz1568/getInfo.php?workbook=20_05.xlsx&amp;sheet=U0&amp;row=8247&amp;col=7&amp;number=0.00344&amp;sourceID=14","0.00344")</f>
        <v>0.00344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HYPERLINK("http://141.218.60.56/~jnz1568/getInfo.php?workbook=20_05.xlsx&amp;sheet=U0&amp;row=8248&amp;col=6&amp;number=3.4&amp;sourceID=14","3.4")</f>
        <v>3.4</v>
      </c>
      <c r="G8248" s="4" t="str">
        <f>HYPERLINK("http://141.218.60.56/~jnz1568/getInfo.php?workbook=20_05.xlsx&amp;sheet=U0&amp;row=8248&amp;col=7&amp;number=0.00344&amp;sourceID=14","0.00344")</f>
        <v>0.00344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HYPERLINK("http://141.218.60.56/~jnz1568/getInfo.php?workbook=20_05.xlsx&amp;sheet=U0&amp;row=8249&amp;col=6&amp;number=3.5&amp;sourceID=14","3.5")</f>
        <v>3.5</v>
      </c>
      <c r="G8249" s="4" t="str">
        <f>HYPERLINK("http://141.218.60.56/~jnz1568/getInfo.php?workbook=20_05.xlsx&amp;sheet=U0&amp;row=8249&amp;col=7&amp;number=0.00344&amp;sourceID=14","0.00344")</f>
        <v>0.00344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HYPERLINK("http://141.218.60.56/~jnz1568/getInfo.php?workbook=20_05.xlsx&amp;sheet=U0&amp;row=8250&amp;col=6&amp;number=3.6&amp;sourceID=14","3.6")</f>
        <v>3.6</v>
      </c>
      <c r="G8250" s="4" t="str">
        <f>HYPERLINK("http://141.218.60.56/~jnz1568/getInfo.php?workbook=20_05.xlsx&amp;sheet=U0&amp;row=8250&amp;col=7&amp;number=0.00344&amp;sourceID=14","0.00344")</f>
        <v>0.00344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HYPERLINK("http://141.218.60.56/~jnz1568/getInfo.php?workbook=20_05.xlsx&amp;sheet=U0&amp;row=8251&amp;col=6&amp;number=3.7&amp;sourceID=14","3.7")</f>
        <v>3.7</v>
      </c>
      <c r="G8251" s="4" t="str">
        <f>HYPERLINK("http://141.218.60.56/~jnz1568/getInfo.php?workbook=20_05.xlsx&amp;sheet=U0&amp;row=8251&amp;col=7&amp;number=0.00344&amp;sourceID=14","0.00344")</f>
        <v>0.00344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HYPERLINK("http://141.218.60.56/~jnz1568/getInfo.php?workbook=20_05.xlsx&amp;sheet=U0&amp;row=8252&amp;col=6&amp;number=3.8&amp;sourceID=14","3.8")</f>
        <v>3.8</v>
      </c>
      <c r="G8252" s="4" t="str">
        <f>HYPERLINK("http://141.218.60.56/~jnz1568/getInfo.php?workbook=20_05.xlsx&amp;sheet=U0&amp;row=8252&amp;col=7&amp;number=0.00344&amp;sourceID=14","0.00344")</f>
        <v>0.00344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HYPERLINK("http://141.218.60.56/~jnz1568/getInfo.php?workbook=20_05.xlsx&amp;sheet=U0&amp;row=8253&amp;col=6&amp;number=3.9&amp;sourceID=14","3.9")</f>
        <v>3.9</v>
      </c>
      <c r="G8253" s="4" t="str">
        <f>HYPERLINK("http://141.218.60.56/~jnz1568/getInfo.php?workbook=20_05.xlsx&amp;sheet=U0&amp;row=8253&amp;col=7&amp;number=0.00344&amp;sourceID=14","0.00344")</f>
        <v>0.00344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HYPERLINK("http://141.218.60.56/~jnz1568/getInfo.php?workbook=20_05.xlsx&amp;sheet=U0&amp;row=8254&amp;col=6&amp;number=4&amp;sourceID=14","4")</f>
        <v>4</v>
      </c>
      <c r="G8254" s="4" t="str">
        <f>HYPERLINK("http://141.218.60.56/~jnz1568/getInfo.php?workbook=20_05.xlsx&amp;sheet=U0&amp;row=8254&amp;col=7&amp;number=0.00344&amp;sourceID=14","0.00344")</f>
        <v>0.00344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HYPERLINK("http://141.218.60.56/~jnz1568/getInfo.php?workbook=20_05.xlsx&amp;sheet=U0&amp;row=8255&amp;col=6&amp;number=4.1&amp;sourceID=14","4.1")</f>
        <v>4.1</v>
      </c>
      <c r="G8255" s="4" t="str">
        <f>HYPERLINK("http://141.218.60.56/~jnz1568/getInfo.php?workbook=20_05.xlsx&amp;sheet=U0&amp;row=8255&amp;col=7&amp;number=0.00343&amp;sourceID=14","0.00343")</f>
        <v>0.00343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HYPERLINK("http://141.218.60.56/~jnz1568/getInfo.php?workbook=20_05.xlsx&amp;sheet=U0&amp;row=8256&amp;col=6&amp;number=4.2&amp;sourceID=14","4.2")</f>
        <v>4.2</v>
      </c>
      <c r="G8256" s="4" t="str">
        <f>HYPERLINK("http://141.218.60.56/~jnz1568/getInfo.php?workbook=20_05.xlsx&amp;sheet=U0&amp;row=8256&amp;col=7&amp;number=0.00343&amp;sourceID=14","0.00343")</f>
        <v>0.00343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HYPERLINK("http://141.218.60.56/~jnz1568/getInfo.php?workbook=20_05.xlsx&amp;sheet=U0&amp;row=8257&amp;col=6&amp;number=4.3&amp;sourceID=14","4.3")</f>
        <v>4.3</v>
      </c>
      <c r="G8257" s="4" t="str">
        <f>HYPERLINK("http://141.218.60.56/~jnz1568/getInfo.php?workbook=20_05.xlsx&amp;sheet=U0&amp;row=8257&amp;col=7&amp;number=0.00343&amp;sourceID=14","0.00343")</f>
        <v>0.00343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HYPERLINK("http://141.218.60.56/~jnz1568/getInfo.php?workbook=20_05.xlsx&amp;sheet=U0&amp;row=8258&amp;col=6&amp;number=4.4&amp;sourceID=14","4.4")</f>
        <v>4.4</v>
      </c>
      <c r="G8258" s="4" t="str">
        <f>HYPERLINK("http://141.218.60.56/~jnz1568/getInfo.php?workbook=20_05.xlsx&amp;sheet=U0&amp;row=8258&amp;col=7&amp;number=0.00342&amp;sourceID=14","0.00342")</f>
        <v>0.00342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HYPERLINK("http://141.218.60.56/~jnz1568/getInfo.php?workbook=20_05.xlsx&amp;sheet=U0&amp;row=8259&amp;col=6&amp;number=4.5&amp;sourceID=14","4.5")</f>
        <v>4.5</v>
      </c>
      <c r="G8259" s="4" t="str">
        <f>HYPERLINK("http://141.218.60.56/~jnz1568/getInfo.php?workbook=20_05.xlsx&amp;sheet=U0&amp;row=8259&amp;col=7&amp;number=0.00342&amp;sourceID=14","0.00342")</f>
        <v>0.00342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HYPERLINK("http://141.218.60.56/~jnz1568/getInfo.php?workbook=20_05.xlsx&amp;sheet=U0&amp;row=8260&amp;col=6&amp;number=4.6&amp;sourceID=14","4.6")</f>
        <v>4.6</v>
      </c>
      <c r="G8260" s="4" t="str">
        <f>HYPERLINK("http://141.218.60.56/~jnz1568/getInfo.php?workbook=20_05.xlsx&amp;sheet=U0&amp;row=8260&amp;col=7&amp;number=0.00341&amp;sourceID=14","0.00341")</f>
        <v>0.00341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HYPERLINK("http://141.218.60.56/~jnz1568/getInfo.php?workbook=20_05.xlsx&amp;sheet=U0&amp;row=8261&amp;col=6&amp;number=4.7&amp;sourceID=14","4.7")</f>
        <v>4.7</v>
      </c>
      <c r="G8261" s="4" t="str">
        <f>HYPERLINK("http://141.218.60.56/~jnz1568/getInfo.php?workbook=20_05.xlsx&amp;sheet=U0&amp;row=8261&amp;col=7&amp;number=0.0034&amp;sourceID=14","0.0034")</f>
        <v>0.0034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HYPERLINK("http://141.218.60.56/~jnz1568/getInfo.php?workbook=20_05.xlsx&amp;sheet=U0&amp;row=8262&amp;col=6&amp;number=4.8&amp;sourceID=14","4.8")</f>
        <v>4.8</v>
      </c>
      <c r="G8262" s="4" t="str">
        <f>HYPERLINK("http://141.218.60.56/~jnz1568/getInfo.php?workbook=20_05.xlsx&amp;sheet=U0&amp;row=8262&amp;col=7&amp;number=0.00339&amp;sourceID=14","0.00339")</f>
        <v>0.00339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HYPERLINK("http://141.218.60.56/~jnz1568/getInfo.php?workbook=20_05.xlsx&amp;sheet=U0&amp;row=8263&amp;col=6&amp;number=4.9&amp;sourceID=14","4.9")</f>
        <v>4.9</v>
      </c>
      <c r="G8263" s="4" t="str">
        <f>HYPERLINK("http://141.218.60.56/~jnz1568/getInfo.php?workbook=20_05.xlsx&amp;sheet=U0&amp;row=8263&amp;col=7&amp;number=0.00338&amp;sourceID=14","0.00338")</f>
        <v>0.00338</v>
      </c>
    </row>
    <row r="8264" spans="1:7">
      <c r="A8264" s="3">
        <v>20</v>
      </c>
      <c r="B8264" s="3">
        <v>5</v>
      </c>
      <c r="C8264" s="3">
        <v>4</v>
      </c>
      <c r="D8264" s="3">
        <v>52</v>
      </c>
      <c r="E8264" s="3">
        <v>1</v>
      </c>
      <c r="F8264" s="4" t="str">
        <f>HYPERLINK("http://141.218.60.56/~jnz1568/getInfo.php?workbook=20_05.xlsx&amp;sheet=U0&amp;row=8264&amp;col=6&amp;number=3&amp;sourceID=14","3")</f>
        <v>3</v>
      </c>
      <c r="G8264" s="4" t="str">
        <f>HYPERLINK("http://141.218.60.56/~jnz1568/getInfo.php?workbook=20_05.xlsx&amp;sheet=U0&amp;row=8264&amp;col=7&amp;number=0.0052&amp;sourceID=14","0.0052")</f>
        <v>0.0052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HYPERLINK("http://141.218.60.56/~jnz1568/getInfo.php?workbook=20_05.xlsx&amp;sheet=U0&amp;row=8265&amp;col=6&amp;number=3.1&amp;sourceID=14","3.1")</f>
        <v>3.1</v>
      </c>
      <c r="G8265" s="4" t="str">
        <f>HYPERLINK("http://141.218.60.56/~jnz1568/getInfo.php?workbook=20_05.xlsx&amp;sheet=U0&amp;row=8265&amp;col=7&amp;number=0.0052&amp;sourceID=14","0.0052")</f>
        <v>0.0052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HYPERLINK("http://141.218.60.56/~jnz1568/getInfo.php?workbook=20_05.xlsx&amp;sheet=U0&amp;row=8266&amp;col=6&amp;number=3.2&amp;sourceID=14","3.2")</f>
        <v>3.2</v>
      </c>
      <c r="G8266" s="4" t="str">
        <f>HYPERLINK("http://141.218.60.56/~jnz1568/getInfo.php?workbook=20_05.xlsx&amp;sheet=U0&amp;row=8266&amp;col=7&amp;number=0.0052&amp;sourceID=14","0.0052")</f>
        <v>0.0052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HYPERLINK("http://141.218.60.56/~jnz1568/getInfo.php?workbook=20_05.xlsx&amp;sheet=U0&amp;row=8267&amp;col=6&amp;number=3.3&amp;sourceID=14","3.3")</f>
        <v>3.3</v>
      </c>
      <c r="G8267" s="4" t="str">
        <f>HYPERLINK("http://141.218.60.56/~jnz1568/getInfo.php?workbook=20_05.xlsx&amp;sheet=U0&amp;row=8267&amp;col=7&amp;number=0.0052&amp;sourceID=14","0.0052")</f>
        <v>0.0052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HYPERLINK("http://141.218.60.56/~jnz1568/getInfo.php?workbook=20_05.xlsx&amp;sheet=U0&amp;row=8268&amp;col=6&amp;number=3.4&amp;sourceID=14","3.4")</f>
        <v>3.4</v>
      </c>
      <c r="G8268" s="4" t="str">
        <f>HYPERLINK("http://141.218.60.56/~jnz1568/getInfo.php?workbook=20_05.xlsx&amp;sheet=U0&amp;row=8268&amp;col=7&amp;number=0.0052&amp;sourceID=14","0.0052")</f>
        <v>0.0052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HYPERLINK("http://141.218.60.56/~jnz1568/getInfo.php?workbook=20_05.xlsx&amp;sheet=U0&amp;row=8269&amp;col=6&amp;number=3.5&amp;sourceID=14","3.5")</f>
        <v>3.5</v>
      </c>
      <c r="G8269" s="4" t="str">
        <f>HYPERLINK("http://141.218.60.56/~jnz1568/getInfo.php?workbook=20_05.xlsx&amp;sheet=U0&amp;row=8269&amp;col=7&amp;number=0.0052&amp;sourceID=14","0.0052")</f>
        <v>0.0052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HYPERLINK("http://141.218.60.56/~jnz1568/getInfo.php?workbook=20_05.xlsx&amp;sheet=U0&amp;row=8270&amp;col=6&amp;number=3.6&amp;sourceID=14","3.6")</f>
        <v>3.6</v>
      </c>
      <c r="G8270" s="4" t="str">
        <f>HYPERLINK("http://141.218.60.56/~jnz1568/getInfo.php?workbook=20_05.xlsx&amp;sheet=U0&amp;row=8270&amp;col=7&amp;number=0.0052&amp;sourceID=14","0.0052")</f>
        <v>0.0052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HYPERLINK("http://141.218.60.56/~jnz1568/getInfo.php?workbook=20_05.xlsx&amp;sheet=U0&amp;row=8271&amp;col=6&amp;number=3.7&amp;sourceID=14","3.7")</f>
        <v>3.7</v>
      </c>
      <c r="G8271" s="4" t="str">
        <f>HYPERLINK("http://141.218.60.56/~jnz1568/getInfo.php?workbook=20_05.xlsx&amp;sheet=U0&amp;row=8271&amp;col=7&amp;number=0.0052&amp;sourceID=14","0.0052")</f>
        <v>0.0052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HYPERLINK("http://141.218.60.56/~jnz1568/getInfo.php?workbook=20_05.xlsx&amp;sheet=U0&amp;row=8272&amp;col=6&amp;number=3.8&amp;sourceID=14","3.8")</f>
        <v>3.8</v>
      </c>
      <c r="G8272" s="4" t="str">
        <f>HYPERLINK("http://141.218.60.56/~jnz1568/getInfo.php?workbook=20_05.xlsx&amp;sheet=U0&amp;row=8272&amp;col=7&amp;number=0.0052&amp;sourceID=14","0.0052")</f>
        <v>0.0052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HYPERLINK("http://141.218.60.56/~jnz1568/getInfo.php?workbook=20_05.xlsx&amp;sheet=U0&amp;row=8273&amp;col=6&amp;number=3.9&amp;sourceID=14","3.9")</f>
        <v>3.9</v>
      </c>
      <c r="G8273" s="4" t="str">
        <f>HYPERLINK("http://141.218.60.56/~jnz1568/getInfo.php?workbook=20_05.xlsx&amp;sheet=U0&amp;row=8273&amp;col=7&amp;number=0.0052&amp;sourceID=14","0.0052")</f>
        <v>0.0052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HYPERLINK("http://141.218.60.56/~jnz1568/getInfo.php?workbook=20_05.xlsx&amp;sheet=U0&amp;row=8274&amp;col=6&amp;number=4&amp;sourceID=14","4")</f>
        <v>4</v>
      </c>
      <c r="G8274" s="4" t="str">
        <f>HYPERLINK("http://141.218.60.56/~jnz1568/getInfo.php?workbook=20_05.xlsx&amp;sheet=U0&amp;row=8274&amp;col=7&amp;number=0.00519&amp;sourceID=14","0.00519")</f>
        <v>0.00519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HYPERLINK("http://141.218.60.56/~jnz1568/getInfo.php?workbook=20_05.xlsx&amp;sheet=U0&amp;row=8275&amp;col=6&amp;number=4.1&amp;sourceID=14","4.1")</f>
        <v>4.1</v>
      </c>
      <c r="G8275" s="4" t="str">
        <f>HYPERLINK("http://141.218.60.56/~jnz1568/getInfo.php?workbook=20_05.xlsx&amp;sheet=U0&amp;row=8275&amp;col=7&amp;number=0.00519&amp;sourceID=14","0.00519")</f>
        <v>0.00519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HYPERLINK("http://141.218.60.56/~jnz1568/getInfo.php?workbook=20_05.xlsx&amp;sheet=U0&amp;row=8276&amp;col=6&amp;number=4.2&amp;sourceID=14","4.2")</f>
        <v>4.2</v>
      </c>
      <c r="G8276" s="4" t="str">
        <f>HYPERLINK("http://141.218.60.56/~jnz1568/getInfo.php?workbook=20_05.xlsx&amp;sheet=U0&amp;row=8276&amp;col=7&amp;number=0.00519&amp;sourceID=14","0.00519")</f>
        <v>0.00519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HYPERLINK("http://141.218.60.56/~jnz1568/getInfo.php?workbook=20_05.xlsx&amp;sheet=U0&amp;row=8277&amp;col=6&amp;number=4.3&amp;sourceID=14","4.3")</f>
        <v>4.3</v>
      </c>
      <c r="G8277" s="4" t="str">
        <f>HYPERLINK("http://141.218.60.56/~jnz1568/getInfo.php?workbook=20_05.xlsx&amp;sheet=U0&amp;row=8277&amp;col=7&amp;number=0.00519&amp;sourceID=14","0.00519")</f>
        <v>0.00519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HYPERLINK("http://141.218.60.56/~jnz1568/getInfo.php?workbook=20_05.xlsx&amp;sheet=U0&amp;row=8278&amp;col=6&amp;number=4.4&amp;sourceID=14","4.4")</f>
        <v>4.4</v>
      </c>
      <c r="G8278" s="4" t="str">
        <f>HYPERLINK("http://141.218.60.56/~jnz1568/getInfo.php?workbook=20_05.xlsx&amp;sheet=U0&amp;row=8278&amp;col=7&amp;number=0.00518&amp;sourceID=14","0.00518")</f>
        <v>0.00518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HYPERLINK("http://141.218.60.56/~jnz1568/getInfo.php?workbook=20_05.xlsx&amp;sheet=U0&amp;row=8279&amp;col=6&amp;number=4.5&amp;sourceID=14","4.5")</f>
        <v>4.5</v>
      </c>
      <c r="G8279" s="4" t="str">
        <f>HYPERLINK("http://141.218.60.56/~jnz1568/getInfo.php?workbook=20_05.xlsx&amp;sheet=U0&amp;row=8279&amp;col=7&amp;number=0.00518&amp;sourceID=14","0.00518")</f>
        <v>0.00518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HYPERLINK("http://141.218.60.56/~jnz1568/getInfo.php?workbook=20_05.xlsx&amp;sheet=U0&amp;row=8280&amp;col=6&amp;number=4.6&amp;sourceID=14","4.6")</f>
        <v>4.6</v>
      </c>
      <c r="G8280" s="4" t="str">
        <f>HYPERLINK("http://141.218.60.56/~jnz1568/getInfo.php?workbook=20_05.xlsx&amp;sheet=U0&amp;row=8280&amp;col=7&amp;number=0.00517&amp;sourceID=14","0.00517")</f>
        <v>0.00517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HYPERLINK("http://141.218.60.56/~jnz1568/getInfo.php?workbook=20_05.xlsx&amp;sheet=U0&amp;row=8281&amp;col=6&amp;number=4.7&amp;sourceID=14","4.7")</f>
        <v>4.7</v>
      </c>
      <c r="G8281" s="4" t="str">
        <f>HYPERLINK("http://141.218.60.56/~jnz1568/getInfo.php?workbook=20_05.xlsx&amp;sheet=U0&amp;row=8281&amp;col=7&amp;number=0.00517&amp;sourceID=14","0.00517")</f>
        <v>0.00517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HYPERLINK("http://141.218.60.56/~jnz1568/getInfo.php?workbook=20_05.xlsx&amp;sheet=U0&amp;row=8282&amp;col=6&amp;number=4.8&amp;sourceID=14","4.8")</f>
        <v>4.8</v>
      </c>
      <c r="G8282" s="4" t="str">
        <f>HYPERLINK("http://141.218.60.56/~jnz1568/getInfo.php?workbook=20_05.xlsx&amp;sheet=U0&amp;row=8282&amp;col=7&amp;number=0.00516&amp;sourceID=14","0.00516")</f>
        <v>0.00516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HYPERLINK("http://141.218.60.56/~jnz1568/getInfo.php?workbook=20_05.xlsx&amp;sheet=U0&amp;row=8283&amp;col=6&amp;number=4.9&amp;sourceID=14","4.9")</f>
        <v>4.9</v>
      </c>
      <c r="G8283" s="4" t="str">
        <f>HYPERLINK("http://141.218.60.56/~jnz1568/getInfo.php?workbook=20_05.xlsx&amp;sheet=U0&amp;row=8283&amp;col=7&amp;number=0.00515&amp;sourceID=14","0.00515")</f>
        <v>0.00515</v>
      </c>
    </row>
    <row r="8284" spans="1:7">
      <c r="A8284" s="3">
        <v>20</v>
      </c>
      <c r="B8284" s="3">
        <v>5</v>
      </c>
      <c r="C8284" s="3">
        <v>4</v>
      </c>
      <c r="D8284" s="3">
        <v>53</v>
      </c>
      <c r="E8284" s="3">
        <v>1</v>
      </c>
      <c r="F8284" s="4" t="str">
        <f>HYPERLINK("http://141.218.60.56/~jnz1568/getInfo.php?workbook=20_05.xlsx&amp;sheet=U0&amp;row=8284&amp;col=6&amp;number=3&amp;sourceID=14","3")</f>
        <v>3</v>
      </c>
      <c r="G8284" s="4" t="str">
        <f>HYPERLINK("http://141.218.60.56/~jnz1568/getInfo.php?workbook=20_05.xlsx&amp;sheet=U0&amp;row=8284&amp;col=7&amp;number=0.0052&amp;sourceID=14","0.0052")</f>
        <v>0.0052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HYPERLINK("http://141.218.60.56/~jnz1568/getInfo.php?workbook=20_05.xlsx&amp;sheet=U0&amp;row=8285&amp;col=6&amp;number=3.1&amp;sourceID=14","3.1")</f>
        <v>3.1</v>
      </c>
      <c r="G8285" s="4" t="str">
        <f>HYPERLINK("http://141.218.60.56/~jnz1568/getInfo.php?workbook=20_05.xlsx&amp;sheet=U0&amp;row=8285&amp;col=7&amp;number=0.0052&amp;sourceID=14","0.0052")</f>
        <v>0.0052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HYPERLINK("http://141.218.60.56/~jnz1568/getInfo.php?workbook=20_05.xlsx&amp;sheet=U0&amp;row=8286&amp;col=6&amp;number=3.2&amp;sourceID=14","3.2")</f>
        <v>3.2</v>
      </c>
      <c r="G8286" s="4" t="str">
        <f>HYPERLINK("http://141.218.60.56/~jnz1568/getInfo.php?workbook=20_05.xlsx&amp;sheet=U0&amp;row=8286&amp;col=7&amp;number=0.0052&amp;sourceID=14","0.0052")</f>
        <v>0.0052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HYPERLINK("http://141.218.60.56/~jnz1568/getInfo.php?workbook=20_05.xlsx&amp;sheet=U0&amp;row=8287&amp;col=6&amp;number=3.3&amp;sourceID=14","3.3")</f>
        <v>3.3</v>
      </c>
      <c r="G8287" s="4" t="str">
        <f>HYPERLINK("http://141.218.60.56/~jnz1568/getInfo.php?workbook=20_05.xlsx&amp;sheet=U0&amp;row=8287&amp;col=7&amp;number=0.0052&amp;sourceID=14","0.0052")</f>
        <v>0.0052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HYPERLINK("http://141.218.60.56/~jnz1568/getInfo.php?workbook=20_05.xlsx&amp;sheet=U0&amp;row=8288&amp;col=6&amp;number=3.4&amp;sourceID=14","3.4")</f>
        <v>3.4</v>
      </c>
      <c r="G8288" s="4" t="str">
        <f>HYPERLINK("http://141.218.60.56/~jnz1568/getInfo.php?workbook=20_05.xlsx&amp;sheet=U0&amp;row=8288&amp;col=7&amp;number=0.0052&amp;sourceID=14","0.0052")</f>
        <v>0.0052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HYPERLINK("http://141.218.60.56/~jnz1568/getInfo.php?workbook=20_05.xlsx&amp;sheet=U0&amp;row=8289&amp;col=6&amp;number=3.5&amp;sourceID=14","3.5")</f>
        <v>3.5</v>
      </c>
      <c r="G8289" s="4" t="str">
        <f>HYPERLINK("http://141.218.60.56/~jnz1568/getInfo.php?workbook=20_05.xlsx&amp;sheet=U0&amp;row=8289&amp;col=7&amp;number=0.0052&amp;sourceID=14","0.0052")</f>
        <v>0.0052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HYPERLINK("http://141.218.60.56/~jnz1568/getInfo.php?workbook=20_05.xlsx&amp;sheet=U0&amp;row=8290&amp;col=6&amp;number=3.6&amp;sourceID=14","3.6")</f>
        <v>3.6</v>
      </c>
      <c r="G8290" s="4" t="str">
        <f>HYPERLINK("http://141.218.60.56/~jnz1568/getInfo.php?workbook=20_05.xlsx&amp;sheet=U0&amp;row=8290&amp;col=7&amp;number=0.0052&amp;sourceID=14","0.0052")</f>
        <v>0.0052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HYPERLINK("http://141.218.60.56/~jnz1568/getInfo.php?workbook=20_05.xlsx&amp;sheet=U0&amp;row=8291&amp;col=6&amp;number=3.7&amp;sourceID=14","3.7")</f>
        <v>3.7</v>
      </c>
      <c r="G8291" s="4" t="str">
        <f>HYPERLINK("http://141.218.60.56/~jnz1568/getInfo.php?workbook=20_05.xlsx&amp;sheet=U0&amp;row=8291&amp;col=7&amp;number=0.0052&amp;sourceID=14","0.0052")</f>
        <v>0.0052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HYPERLINK("http://141.218.60.56/~jnz1568/getInfo.php?workbook=20_05.xlsx&amp;sheet=U0&amp;row=8292&amp;col=6&amp;number=3.8&amp;sourceID=14","3.8")</f>
        <v>3.8</v>
      </c>
      <c r="G8292" s="4" t="str">
        <f>HYPERLINK("http://141.218.60.56/~jnz1568/getInfo.php?workbook=20_05.xlsx&amp;sheet=U0&amp;row=8292&amp;col=7&amp;number=0.0052&amp;sourceID=14","0.0052")</f>
        <v>0.0052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HYPERLINK("http://141.218.60.56/~jnz1568/getInfo.php?workbook=20_05.xlsx&amp;sheet=U0&amp;row=8293&amp;col=6&amp;number=3.9&amp;sourceID=14","3.9")</f>
        <v>3.9</v>
      </c>
      <c r="G8293" s="4" t="str">
        <f>HYPERLINK("http://141.218.60.56/~jnz1568/getInfo.php?workbook=20_05.xlsx&amp;sheet=U0&amp;row=8293&amp;col=7&amp;number=0.0052&amp;sourceID=14","0.0052")</f>
        <v>0.0052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HYPERLINK("http://141.218.60.56/~jnz1568/getInfo.php?workbook=20_05.xlsx&amp;sheet=U0&amp;row=8294&amp;col=6&amp;number=4&amp;sourceID=14","4")</f>
        <v>4</v>
      </c>
      <c r="G8294" s="4" t="str">
        <f>HYPERLINK("http://141.218.60.56/~jnz1568/getInfo.php?workbook=20_05.xlsx&amp;sheet=U0&amp;row=8294&amp;col=7&amp;number=0.00519&amp;sourceID=14","0.00519")</f>
        <v>0.00519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HYPERLINK("http://141.218.60.56/~jnz1568/getInfo.php?workbook=20_05.xlsx&amp;sheet=U0&amp;row=8295&amp;col=6&amp;number=4.1&amp;sourceID=14","4.1")</f>
        <v>4.1</v>
      </c>
      <c r="G8295" s="4" t="str">
        <f>HYPERLINK("http://141.218.60.56/~jnz1568/getInfo.php?workbook=20_05.xlsx&amp;sheet=U0&amp;row=8295&amp;col=7&amp;number=0.00519&amp;sourceID=14","0.00519")</f>
        <v>0.00519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HYPERLINK("http://141.218.60.56/~jnz1568/getInfo.php?workbook=20_05.xlsx&amp;sheet=U0&amp;row=8296&amp;col=6&amp;number=4.2&amp;sourceID=14","4.2")</f>
        <v>4.2</v>
      </c>
      <c r="G8296" s="4" t="str">
        <f>HYPERLINK("http://141.218.60.56/~jnz1568/getInfo.php?workbook=20_05.xlsx&amp;sheet=U0&amp;row=8296&amp;col=7&amp;number=0.00519&amp;sourceID=14","0.00519")</f>
        <v>0.00519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HYPERLINK("http://141.218.60.56/~jnz1568/getInfo.php?workbook=20_05.xlsx&amp;sheet=U0&amp;row=8297&amp;col=6&amp;number=4.3&amp;sourceID=14","4.3")</f>
        <v>4.3</v>
      </c>
      <c r="G8297" s="4" t="str">
        <f>HYPERLINK("http://141.218.60.56/~jnz1568/getInfo.php?workbook=20_05.xlsx&amp;sheet=U0&amp;row=8297&amp;col=7&amp;number=0.00519&amp;sourceID=14","0.00519")</f>
        <v>0.00519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HYPERLINK("http://141.218.60.56/~jnz1568/getInfo.php?workbook=20_05.xlsx&amp;sheet=U0&amp;row=8298&amp;col=6&amp;number=4.4&amp;sourceID=14","4.4")</f>
        <v>4.4</v>
      </c>
      <c r="G8298" s="4" t="str">
        <f>HYPERLINK("http://141.218.60.56/~jnz1568/getInfo.php?workbook=20_05.xlsx&amp;sheet=U0&amp;row=8298&amp;col=7&amp;number=0.00518&amp;sourceID=14","0.00518")</f>
        <v>0.00518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HYPERLINK("http://141.218.60.56/~jnz1568/getInfo.php?workbook=20_05.xlsx&amp;sheet=U0&amp;row=8299&amp;col=6&amp;number=4.5&amp;sourceID=14","4.5")</f>
        <v>4.5</v>
      </c>
      <c r="G8299" s="4" t="str">
        <f>HYPERLINK("http://141.218.60.56/~jnz1568/getInfo.php?workbook=20_05.xlsx&amp;sheet=U0&amp;row=8299&amp;col=7&amp;number=0.00518&amp;sourceID=14","0.00518")</f>
        <v>0.00518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HYPERLINK("http://141.218.60.56/~jnz1568/getInfo.php?workbook=20_05.xlsx&amp;sheet=U0&amp;row=8300&amp;col=6&amp;number=4.6&amp;sourceID=14","4.6")</f>
        <v>4.6</v>
      </c>
      <c r="G8300" s="4" t="str">
        <f>HYPERLINK("http://141.218.60.56/~jnz1568/getInfo.php?workbook=20_05.xlsx&amp;sheet=U0&amp;row=8300&amp;col=7&amp;number=0.00517&amp;sourceID=14","0.00517")</f>
        <v>0.00517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HYPERLINK("http://141.218.60.56/~jnz1568/getInfo.php?workbook=20_05.xlsx&amp;sheet=U0&amp;row=8301&amp;col=6&amp;number=4.7&amp;sourceID=14","4.7")</f>
        <v>4.7</v>
      </c>
      <c r="G8301" s="4" t="str">
        <f>HYPERLINK("http://141.218.60.56/~jnz1568/getInfo.php?workbook=20_05.xlsx&amp;sheet=U0&amp;row=8301&amp;col=7&amp;number=0.00517&amp;sourceID=14","0.00517")</f>
        <v>0.00517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HYPERLINK("http://141.218.60.56/~jnz1568/getInfo.php?workbook=20_05.xlsx&amp;sheet=U0&amp;row=8302&amp;col=6&amp;number=4.8&amp;sourceID=14","4.8")</f>
        <v>4.8</v>
      </c>
      <c r="G8302" s="4" t="str">
        <f>HYPERLINK("http://141.218.60.56/~jnz1568/getInfo.php?workbook=20_05.xlsx&amp;sheet=U0&amp;row=8302&amp;col=7&amp;number=0.00516&amp;sourceID=14","0.00516")</f>
        <v>0.00516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HYPERLINK("http://141.218.60.56/~jnz1568/getInfo.php?workbook=20_05.xlsx&amp;sheet=U0&amp;row=8303&amp;col=6&amp;number=4.9&amp;sourceID=14","4.9")</f>
        <v>4.9</v>
      </c>
      <c r="G8303" s="4" t="str">
        <f>HYPERLINK("http://141.218.60.56/~jnz1568/getInfo.php?workbook=20_05.xlsx&amp;sheet=U0&amp;row=8303&amp;col=7&amp;number=0.00515&amp;sourceID=14","0.00515")</f>
        <v>0.00515</v>
      </c>
    </row>
    <row r="8304" spans="1:7">
      <c r="A8304" s="3">
        <v>20</v>
      </c>
      <c r="B8304" s="3">
        <v>5</v>
      </c>
      <c r="C8304" s="3">
        <v>4</v>
      </c>
      <c r="D8304" s="3">
        <v>54</v>
      </c>
      <c r="E8304" s="3">
        <v>1</v>
      </c>
      <c r="F8304" s="4" t="str">
        <f>HYPERLINK("http://141.218.60.56/~jnz1568/getInfo.php?workbook=20_05.xlsx&amp;sheet=U0&amp;row=8304&amp;col=6&amp;number=3&amp;sourceID=14","3")</f>
        <v>3</v>
      </c>
      <c r="G8304" s="4" t="str">
        <f>HYPERLINK("http://141.218.60.56/~jnz1568/getInfo.php?workbook=20_05.xlsx&amp;sheet=U0&amp;row=8304&amp;col=7&amp;number=9.44e-05&amp;sourceID=14","9.44e-05")</f>
        <v>9.44e-05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HYPERLINK("http://141.218.60.56/~jnz1568/getInfo.php?workbook=20_05.xlsx&amp;sheet=U0&amp;row=8305&amp;col=6&amp;number=3.1&amp;sourceID=14","3.1")</f>
        <v>3.1</v>
      </c>
      <c r="G8305" s="4" t="str">
        <f>HYPERLINK("http://141.218.60.56/~jnz1568/getInfo.php?workbook=20_05.xlsx&amp;sheet=U0&amp;row=8305&amp;col=7&amp;number=9.44e-05&amp;sourceID=14","9.44e-05")</f>
        <v>9.44e-05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HYPERLINK("http://141.218.60.56/~jnz1568/getInfo.php?workbook=20_05.xlsx&amp;sheet=U0&amp;row=8306&amp;col=6&amp;number=3.2&amp;sourceID=14","3.2")</f>
        <v>3.2</v>
      </c>
      <c r="G8306" s="4" t="str">
        <f>HYPERLINK("http://141.218.60.56/~jnz1568/getInfo.php?workbook=20_05.xlsx&amp;sheet=U0&amp;row=8306&amp;col=7&amp;number=9.44e-05&amp;sourceID=14","9.44e-05")</f>
        <v>9.44e-05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HYPERLINK("http://141.218.60.56/~jnz1568/getInfo.php?workbook=20_05.xlsx&amp;sheet=U0&amp;row=8307&amp;col=6&amp;number=3.3&amp;sourceID=14","3.3")</f>
        <v>3.3</v>
      </c>
      <c r="G8307" s="4" t="str">
        <f>HYPERLINK("http://141.218.60.56/~jnz1568/getInfo.php?workbook=20_05.xlsx&amp;sheet=U0&amp;row=8307&amp;col=7&amp;number=9.44e-05&amp;sourceID=14","9.44e-05")</f>
        <v>9.44e-05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HYPERLINK("http://141.218.60.56/~jnz1568/getInfo.php?workbook=20_05.xlsx&amp;sheet=U0&amp;row=8308&amp;col=6&amp;number=3.4&amp;sourceID=14","3.4")</f>
        <v>3.4</v>
      </c>
      <c r="G8308" s="4" t="str">
        <f>HYPERLINK("http://141.218.60.56/~jnz1568/getInfo.php?workbook=20_05.xlsx&amp;sheet=U0&amp;row=8308&amp;col=7&amp;number=9.44e-05&amp;sourceID=14","9.44e-05")</f>
        <v>9.44e-05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HYPERLINK("http://141.218.60.56/~jnz1568/getInfo.php?workbook=20_05.xlsx&amp;sheet=U0&amp;row=8309&amp;col=6&amp;number=3.5&amp;sourceID=14","3.5")</f>
        <v>3.5</v>
      </c>
      <c r="G8309" s="4" t="str">
        <f>HYPERLINK("http://141.218.60.56/~jnz1568/getInfo.php?workbook=20_05.xlsx&amp;sheet=U0&amp;row=8309&amp;col=7&amp;number=9.44e-05&amp;sourceID=14","9.44e-05")</f>
        <v>9.44e-05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HYPERLINK("http://141.218.60.56/~jnz1568/getInfo.php?workbook=20_05.xlsx&amp;sheet=U0&amp;row=8310&amp;col=6&amp;number=3.6&amp;sourceID=14","3.6")</f>
        <v>3.6</v>
      </c>
      <c r="G8310" s="4" t="str">
        <f>HYPERLINK("http://141.218.60.56/~jnz1568/getInfo.php?workbook=20_05.xlsx&amp;sheet=U0&amp;row=8310&amp;col=7&amp;number=9.44e-05&amp;sourceID=14","9.44e-05")</f>
        <v>9.44e-05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HYPERLINK("http://141.218.60.56/~jnz1568/getInfo.php?workbook=20_05.xlsx&amp;sheet=U0&amp;row=8311&amp;col=6&amp;number=3.7&amp;sourceID=14","3.7")</f>
        <v>3.7</v>
      </c>
      <c r="G8311" s="4" t="str">
        <f>HYPERLINK("http://141.218.60.56/~jnz1568/getInfo.php?workbook=20_05.xlsx&amp;sheet=U0&amp;row=8311&amp;col=7&amp;number=9.43e-05&amp;sourceID=14","9.43e-05")</f>
        <v>9.43e-05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HYPERLINK("http://141.218.60.56/~jnz1568/getInfo.php?workbook=20_05.xlsx&amp;sheet=U0&amp;row=8312&amp;col=6&amp;number=3.8&amp;sourceID=14","3.8")</f>
        <v>3.8</v>
      </c>
      <c r="G8312" s="4" t="str">
        <f>HYPERLINK("http://141.218.60.56/~jnz1568/getInfo.php?workbook=20_05.xlsx&amp;sheet=U0&amp;row=8312&amp;col=7&amp;number=9.43e-05&amp;sourceID=14","9.43e-05")</f>
        <v>9.43e-05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HYPERLINK("http://141.218.60.56/~jnz1568/getInfo.php?workbook=20_05.xlsx&amp;sheet=U0&amp;row=8313&amp;col=6&amp;number=3.9&amp;sourceID=14","3.9")</f>
        <v>3.9</v>
      </c>
      <c r="G8313" s="4" t="str">
        <f>HYPERLINK("http://141.218.60.56/~jnz1568/getInfo.php?workbook=20_05.xlsx&amp;sheet=U0&amp;row=8313&amp;col=7&amp;number=9.43e-05&amp;sourceID=14","9.43e-05")</f>
        <v>9.43e-05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HYPERLINK("http://141.218.60.56/~jnz1568/getInfo.php?workbook=20_05.xlsx&amp;sheet=U0&amp;row=8314&amp;col=6&amp;number=4&amp;sourceID=14","4")</f>
        <v>4</v>
      </c>
      <c r="G8314" s="4" t="str">
        <f>HYPERLINK("http://141.218.60.56/~jnz1568/getInfo.php?workbook=20_05.xlsx&amp;sheet=U0&amp;row=8314&amp;col=7&amp;number=9.42e-05&amp;sourceID=14","9.42e-05")</f>
        <v>9.42e-05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HYPERLINK("http://141.218.60.56/~jnz1568/getInfo.php?workbook=20_05.xlsx&amp;sheet=U0&amp;row=8315&amp;col=6&amp;number=4.1&amp;sourceID=14","4.1")</f>
        <v>4.1</v>
      </c>
      <c r="G8315" s="4" t="str">
        <f>HYPERLINK("http://141.218.60.56/~jnz1568/getInfo.php?workbook=20_05.xlsx&amp;sheet=U0&amp;row=8315&amp;col=7&amp;number=9.42e-05&amp;sourceID=14","9.42e-05")</f>
        <v>9.42e-05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HYPERLINK("http://141.218.60.56/~jnz1568/getInfo.php?workbook=20_05.xlsx&amp;sheet=U0&amp;row=8316&amp;col=6&amp;number=4.2&amp;sourceID=14","4.2")</f>
        <v>4.2</v>
      </c>
      <c r="G8316" s="4" t="str">
        <f>HYPERLINK("http://141.218.60.56/~jnz1568/getInfo.php?workbook=20_05.xlsx&amp;sheet=U0&amp;row=8316&amp;col=7&amp;number=9.41e-05&amp;sourceID=14","9.41e-05")</f>
        <v>9.41e-05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HYPERLINK("http://141.218.60.56/~jnz1568/getInfo.php?workbook=20_05.xlsx&amp;sheet=U0&amp;row=8317&amp;col=6&amp;number=4.3&amp;sourceID=14","4.3")</f>
        <v>4.3</v>
      </c>
      <c r="G8317" s="4" t="str">
        <f>HYPERLINK("http://141.218.60.56/~jnz1568/getInfo.php?workbook=20_05.xlsx&amp;sheet=U0&amp;row=8317&amp;col=7&amp;number=9.4e-05&amp;sourceID=14","9.4e-05")</f>
        <v>9.4e-05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HYPERLINK("http://141.218.60.56/~jnz1568/getInfo.php?workbook=20_05.xlsx&amp;sheet=U0&amp;row=8318&amp;col=6&amp;number=4.4&amp;sourceID=14","4.4")</f>
        <v>4.4</v>
      </c>
      <c r="G8318" s="4" t="str">
        <f>HYPERLINK("http://141.218.60.56/~jnz1568/getInfo.php?workbook=20_05.xlsx&amp;sheet=U0&amp;row=8318&amp;col=7&amp;number=9.39e-05&amp;sourceID=14","9.39e-05")</f>
        <v>9.39e-05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HYPERLINK("http://141.218.60.56/~jnz1568/getInfo.php?workbook=20_05.xlsx&amp;sheet=U0&amp;row=8319&amp;col=6&amp;number=4.5&amp;sourceID=14","4.5")</f>
        <v>4.5</v>
      </c>
      <c r="G8319" s="4" t="str">
        <f>HYPERLINK("http://141.218.60.56/~jnz1568/getInfo.php?workbook=20_05.xlsx&amp;sheet=U0&amp;row=8319&amp;col=7&amp;number=9.37e-05&amp;sourceID=14","9.37e-05")</f>
        <v>9.37e-05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HYPERLINK("http://141.218.60.56/~jnz1568/getInfo.php?workbook=20_05.xlsx&amp;sheet=U0&amp;row=8320&amp;col=6&amp;number=4.6&amp;sourceID=14","4.6")</f>
        <v>4.6</v>
      </c>
      <c r="G8320" s="4" t="str">
        <f>HYPERLINK("http://141.218.60.56/~jnz1568/getInfo.php?workbook=20_05.xlsx&amp;sheet=U0&amp;row=8320&amp;col=7&amp;number=9.36e-05&amp;sourceID=14","9.36e-05")</f>
        <v>9.36e-05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HYPERLINK("http://141.218.60.56/~jnz1568/getInfo.php?workbook=20_05.xlsx&amp;sheet=U0&amp;row=8321&amp;col=6&amp;number=4.7&amp;sourceID=14","4.7")</f>
        <v>4.7</v>
      </c>
      <c r="G8321" s="4" t="str">
        <f>HYPERLINK("http://141.218.60.56/~jnz1568/getInfo.php?workbook=20_05.xlsx&amp;sheet=U0&amp;row=8321&amp;col=7&amp;number=9.33e-05&amp;sourceID=14","9.33e-05")</f>
        <v>9.33e-05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HYPERLINK("http://141.218.60.56/~jnz1568/getInfo.php?workbook=20_05.xlsx&amp;sheet=U0&amp;row=8322&amp;col=6&amp;number=4.8&amp;sourceID=14","4.8")</f>
        <v>4.8</v>
      </c>
      <c r="G8322" s="4" t="str">
        <f>HYPERLINK("http://141.218.60.56/~jnz1568/getInfo.php?workbook=20_05.xlsx&amp;sheet=U0&amp;row=8322&amp;col=7&amp;number=9.3e-05&amp;sourceID=14","9.3e-05")</f>
        <v>9.3e-05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HYPERLINK("http://141.218.60.56/~jnz1568/getInfo.php?workbook=20_05.xlsx&amp;sheet=U0&amp;row=8323&amp;col=6&amp;number=4.9&amp;sourceID=14","4.9")</f>
        <v>4.9</v>
      </c>
      <c r="G8323" s="4" t="str">
        <f>HYPERLINK("http://141.218.60.56/~jnz1568/getInfo.php?workbook=20_05.xlsx&amp;sheet=U0&amp;row=8323&amp;col=7&amp;number=9.27e-05&amp;sourceID=14","9.27e-05")</f>
        <v>9.27e-05</v>
      </c>
    </row>
    <row r="8324" spans="1:7">
      <c r="A8324" s="3">
        <v>20</v>
      </c>
      <c r="B8324" s="3">
        <v>5</v>
      </c>
      <c r="C8324" s="3">
        <v>4</v>
      </c>
      <c r="D8324" s="3">
        <v>55</v>
      </c>
      <c r="E8324" s="3">
        <v>1</v>
      </c>
      <c r="F8324" s="4" t="str">
        <f>HYPERLINK("http://141.218.60.56/~jnz1568/getInfo.php?workbook=20_05.xlsx&amp;sheet=U0&amp;row=8324&amp;col=6&amp;number=3&amp;sourceID=14","3")</f>
        <v>3</v>
      </c>
      <c r="G8324" s="4" t="str">
        <f>HYPERLINK("http://141.218.60.56/~jnz1568/getInfo.php?workbook=20_05.xlsx&amp;sheet=U0&amp;row=8324&amp;col=7&amp;number=0.000557&amp;sourceID=14","0.000557")</f>
        <v>0.000557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HYPERLINK("http://141.218.60.56/~jnz1568/getInfo.php?workbook=20_05.xlsx&amp;sheet=U0&amp;row=8325&amp;col=6&amp;number=3.1&amp;sourceID=14","3.1")</f>
        <v>3.1</v>
      </c>
      <c r="G8325" s="4" t="str">
        <f>HYPERLINK("http://141.218.60.56/~jnz1568/getInfo.php?workbook=20_05.xlsx&amp;sheet=U0&amp;row=8325&amp;col=7&amp;number=0.000557&amp;sourceID=14","0.000557")</f>
        <v>0.000557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HYPERLINK("http://141.218.60.56/~jnz1568/getInfo.php?workbook=20_05.xlsx&amp;sheet=U0&amp;row=8326&amp;col=6&amp;number=3.2&amp;sourceID=14","3.2")</f>
        <v>3.2</v>
      </c>
      <c r="G8326" s="4" t="str">
        <f>HYPERLINK("http://141.218.60.56/~jnz1568/getInfo.php?workbook=20_05.xlsx&amp;sheet=U0&amp;row=8326&amp;col=7&amp;number=0.000557&amp;sourceID=14","0.000557")</f>
        <v>0.000557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HYPERLINK("http://141.218.60.56/~jnz1568/getInfo.php?workbook=20_05.xlsx&amp;sheet=U0&amp;row=8327&amp;col=6&amp;number=3.3&amp;sourceID=14","3.3")</f>
        <v>3.3</v>
      </c>
      <c r="G8327" s="4" t="str">
        <f>HYPERLINK("http://141.218.60.56/~jnz1568/getInfo.php?workbook=20_05.xlsx&amp;sheet=U0&amp;row=8327&amp;col=7&amp;number=0.000557&amp;sourceID=14","0.000557")</f>
        <v>0.000557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HYPERLINK("http://141.218.60.56/~jnz1568/getInfo.php?workbook=20_05.xlsx&amp;sheet=U0&amp;row=8328&amp;col=6&amp;number=3.4&amp;sourceID=14","3.4")</f>
        <v>3.4</v>
      </c>
      <c r="G8328" s="4" t="str">
        <f>HYPERLINK("http://141.218.60.56/~jnz1568/getInfo.php?workbook=20_05.xlsx&amp;sheet=U0&amp;row=8328&amp;col=7&amp;number=0.000557&amp;sourceID=14","0.000557")</f>
        <v>0.000557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HYPERLINK("http://141.218.60.56/~jnz1568/getInfo.php?workbook=20_05.xlsx&amp;sheet=U0&amp;row=8329&amp;col=6&amp;number=3.5&amp;sourceID=14","3.5")</f>
        <v>3.5</v>
      </c>
      <c r="G8329" s="4" t="str">
        <f>HYPERLINK("http://141.218.60.56/~jnz1568/getInfo.php?workbook=20_05.xlsx&amp;sheet=U0&amp;row=8329&amp;col=7&amp;number=0.000557&amp;sourceID=14","0.000557")</f>
        <v>0.000557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HYPERLINK("http://141.218.60.56/~jnz1568/getInfo.php?workbook=20_05.xlsx&amp;sheet=U0&amp;row=8330&amp;col=6&amp;number=3.6&amp;sourceID=14","3.6")</f>
        <v>3.6</v>
      </c>
      <c r="G8330" s="4" t="str">
        <f>HYPERLINK("http://141.218.60.56/~jnz1568/getInfo.php?workbook=20_05.xlsx&amp;sheet=U0&amp;row=8330&amp;col=7&amp;number=0.000556&amp;sourceID=14","0.000556")</f>
        <v>0.000556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HYPERLINK("http://141.218.60.56/~jnz1568/getInfo.php?workbook=20_05.xlsx&amp;sheet=U0&amp;row=8331&amp;col=6&amp;number=3.7&amp;sourceID=14","3.7")</f>
        <v>3.7</v>
      </c>
      <c r="G8331" s="4" t="str">
        <f>HYPERLINK("http://141.218.60.56/~jnz1568/getInfo.php?workbook=20_05.xlsx&amp;sheet=U0&amp;row=8331&amp;col=7&amp;number=0.000556&amp;sourceID=14","0.000556")</f>
        <v>0.000556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HYPERLINK("http://141.218.60.56/~jnz1568/getInfo.php?workbook=20_05.xlsx&amp;sheet=U0&amp;row=8332&amp;col=6&amp;number=3.8&amp;sourceID=14","3.8")</f>
        <v>3.8</v>
      </c>
      <c r="G8332" s="4" t="str">
        <f>HYPERLINK("http://141.218.60.56/~jnz1568/getInfo.php?workbook=20_05.xlsx&amp;sheet=U0&amp;row=8332&amp;col=7&amp;number=0.000556&amp;sourceID=14","0.000556")</f>
        <v>0.000556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HYPERLINK("http://141.218.60.56/~jnz1568/getInfo.php?workbook=20_05.xlsx&amp;sheet=U0&amp;row=8333&amp;col=6&amp;number=3.9&amp;sourceID=14","3.9")</f>
        <v>3.9</v>
      </c>
      <c r="G8333" s="4" t="str">
        <f>HYPERLINK("http://141.218.60.56/~jnz1568/getInfo.php?workbook=20_05.xlsx&amp;sheet=U0&amp;row=8333&amp;col=7&amp;number=0.000556&amp;sourceID=14","0.000556")</f>
        <v>0.000556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HYPERLINK("http://141.218.60.56/~jnz1568/getInfo.php?workbook=20_05.xlsx&amp;sheet=U0&amp;row=8334&amp;col=6&amp;number=4&amp;sourceID=14","4")</f>
        <v>4</v>
      </c>
      <c r="G8334" s="4" t="str">
        <f>HYPERLINK("http://141.218.60.56/~jnz1568/getInfo.php?workbook=20_05.xlsx&amp;sheet=U0&amp;row=8334&amp;col=7&amp;number=0.000556&amp;sourceID=14","0.000556")</f>
        <v>0.000556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HYPERLINK("http://141.218.60.56/~jnz1568/getInfo.php?workbook=20_05.xlsx&amp;sheet=U0&amp;row=8335&amp;col=6&amp;number=4.1&amp;sourceID=14","4.1")</f>
        <v>4.1</v>
      </c>
      <c r="G8335" s="4" t="str">
        <f>HYPERLINK("http://141.218.60.56/~jnz1568/getInfo.php?workbook=20_05.xlsx&amp;sheet=U0&amp;row=8335&amp;col=7&amp;number=0.000555&amp;sourceID=14","0.000555")</f>
        <v>0.000555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HYPERLINK("http://141.218.60.56/~jnz1568/getInfo.php?workbook=20_05.xlsx&amp;sheet=U0&amp;row=8336&amp;col=6&amp;number=4.2&amp;sourceID=14","4.2")</f>
        <v>4.2</v>
      </c>
      <c r="G8336" s="4" t="str">
        <f>HYPERLINK("http://141.218.60.56/~jnz1568/getInfo.php?workbook=20_05.xlsx&amp;sheet=U0&amp;row=8336&amp;col=7&amp;number=0.000555&amp;sourceID=14","0.000555")</f>
        <v>0.000555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HYPERLINK("http://141.218.60.56/~jnz1568/getInfo.php?workbook=20_05.xlsx&amp;sheet=U0&amp;row=8337&amp;col=6&amp;number=4.3&amp;sourceID=14","4.3")</f>
        <v>4.3</v>
      </c>
      <c r="G8337" s="4" t="str">
        <f>HYPERLINK("http://141.218.60.56/~jnz1568/getInfo.php?workbook=20_05.xlsx&amp;sheet=U0&amp;row=8337&amp;col=7&amp;number=0.000554&amp;sourceID=14","0.000554")</f>
        <v>0.000554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HYPERLINK("http://141.218.60.56/~jnz1568/getInfo.php?workbook=20_05.xlsx&amp;sheet=U0&amp;row=8338&amp;col=6&amp;number=4.4&amp;sourceID=14","4.4")</f>
        <v>4.4</v>
      </c>
      <c r="G8338" s="4" t="str">
        <f>HYPERLINK("http://141.218.60.56/~jnz1568/getInfo.php?workbook=20_05.xlsx&amp;sheet=U0&amp;row=8338&amp;col=7&amp;number=0.000554&amp;sourceID=14","0.000554")</f>
        <v>0.000554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HYPERLINK("http://141.218.60.56/~jnz1568/getInfo.php?workbook=20_05.xlsx&amp;sheet=U0&amp;row=8339&amp;col=6&amp;number=4.5&amp;sourceID=14","4.5")</f>
        <v>4.5</v>
      </c>
      <c r="G8339" s="4" t="str">
        <f>HYPERLINK("http://141.218.60.56/~jnz1568/getInfo.php?workbook=20_05.xlsx&amp;sheet=U0&amp;row=8339&amp;col=7&amp;number=0.000553&amp;sourceID=14","0.000553")</f>
        <v>0.000553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HYPERLINK("http://141.218.60.56/~jnz1568/getInfo.php?workbook=20_05.xlsx&amp;sheet=U0&amp;row=8340&amp;col=6&amp;number=4.6&amp;sourceID=14","4.6")</f>
        <v>4.6</v>
      </c>
      <c r="G8340" s="4" t="str">
        <f>HYPERLINK("http://141.218.60.56/~jnz1568/getInfo.php?workbook=20_05.xlsx&amp;sheet=U0&amp;row=8340&amp;col=7&amp;number=0.000552&amp;sourceID=14","0.000552")</f>
        <v>0.000552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HYPERLINK("http://141.218.60.56/~jnz1568/getInfo.php?workbook=20_05.xlsx&amp;sheet=U0&amp;row=8341&amp;col=6&amp;number=4.7&amp;sourceID=14","4.7")</f>
        <v>4.7</v>
      </c>
      <c r="G8341" s="4" t="str">
        <f>HYPERLINK("http://141.218.60.56/~jnz1568/getInfo.php?workbook=20_05.xlsx&amp;sheet=U0&amp;row=8341&amp;col=7&amp;number=0.000551&amp;sourceID=14","0.000551")</f>
        <v>0.000551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HYPERLINK("http://141.218.60.56/~jnz1568/getInfo.php?workbook=20_05.xlsx&amp;sheet=U0&amp;row=8342&amp;col=6&amp;number=4.8&amp;sourceID=14","4.8")</f>
        <v>4.8</v>
      </c>
      <c r="G8342" s="4" t="str">
        <f>HYPERLINK("http://141.218.60.56/~jnz1568/getInfo.php?workbook=20_05.xlsx&amp;sheet=U0&amp;row=8342&amp;col=7&amp;number=0.000549&amp;sourceID=14","0.000549")</f>
        <v>0.000549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HYPERLINK("http://141.218.60.56/~jnz1568/getInfo.php?workbook=20_05.xlsx&amp;sheet=U0&amp;row=8343&amp;col=6&amp;number=4.9&amp;sourceID=14","4.9")</f>
        <v>4.9</v>
      </c>
      <c r="G8343" s="4" t="str">
        <f>HYPERLINK("http://141.218.60.56/~jnz1568/getInfo.php?workbook=20_05.xlsx&amp;sheet=U0&amp;row=8343&amp;col=7&amp;number=0.000547&amp;sourceID=14","0.000547")</f>
        <v>0.000547</v>
      </c>
    </row>
    <row r="8344" spans="1:7">
      <c r="A8344" s="3">
        <v>20</v>
      </c>
      <c r="B8344" s="3">
        <v>5</v>
      </c>
      <c r="C8344" s="3">
        <v>4</v>
      </c>
      <c r="D8344" s="3">
        <v>56</v>
      </c>
      <c r="E8344" s="3">
        <v>1</v>
      </c>
      <c r="F8344" s="4" t="str">
        <f>HYPERLINK("http://141.218.60.56/~jnz1568/getInfo.php?workbook=20_05.xlsx&amp;sheet=U0&amp;row=8344&amp;col=6&amp;number=3&amp;sourceID=14","3")</f>
        <v>3</v>
      </c>
      <c r="G8344" s="4" t="str">
        <f>HYPERLINK("http://141.218.60.56/~jnz1568/getInfo.php?workbook=20_05.xlsx&amp;sheet=U0&amp;row=8344&amp;col=7&amp;number=4.54e-05&amp;sourceID=14","4.54e-05")</f>
        <v>4.54e-05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HYPERLINK("http://141.218.60.56/~jnz1568/getInfo.php?workbook=20_05.xlsx&amp;sheet=U0&amp;row=8345&amp;col=6&amp;number=3.1&amp;sourceID=14","3.1")</f>
        <v>3.1</v>
      </c>
      <c r="G8345" s="4" t="str">
        <f>HYPERLINK("http://141.218.60.56/~jnz1568/getInfo.php?workbook=20_05.xlsx&amp;sheet=U0&amp;row=8345&amp;col=7&amp;number=4.54e-05&amp;sourceID=14","4.54e-05")</f>
        <v>4.54e-05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HYPERLINK("http://141.218.60.56/~jnz1568/getInfo.php?workbook=20_05.xlsx&amp;sheet=U0&amp;row=8346&amp;col=6&amp;number=3.2&amp;sourceID=14","3.2")</f>
        <v>3.2</v>
      </c>
      <c r="G8346" s="4" t="str">
        <f>HYPERLINK("http://141.218.60.56/~jnz1568/getInfo.php?workbook=20_05.xlsx&amp;sheet=U0&amp;row=8346&amp;col=7&amp;number=4.54e-05&amp;sourceID=14","4.54e-05")</f>
        <v>4.54e-05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HYPERLINK("http://141.218.60.56/~jnz1568/getInfo.php?workbook=20_05.xlsx&amp;sheet=U0&amp;row=8347&amp;col=6&amp;number=3.3&amp;sourceID=14","3.3")</f>
        <v>3.3</v>
      </c>
      <c r="G8347" s="4" t="str">
        <f>HYPERLINK("http://141.218.60.56/~jnz1568/getInfo.php?workbook=20_05.xlsx&amp;sheet=U0&amp;row=8347&amp;col=7&amp;number=4.54e-05&amp;sourceID=14","4.54e-05")</f>
        <v>4.54e-05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HYPERLINK("http://141.218.60.56/~jnz1568/getInfo.php?workbook=20_05.xlsx&amp;sheet=U0&amp;row=8348&amp;col=6&amp;number=3.4&amp;sourceID=14","3.4")</f>
        <v>3.4</v>
      </c>
      <c r="G8348" s="4" t="str">
        <f>HYPERLINK("http://141.218.60.56/~jnz1568/getInfo.php?workbook=20_05.xlsx&amp;sheet=U0&amp;row=8348&amp;col=7&amp;number=4.54e-05&amp;sourceID=14","4.54e-05")</f>
        <v>4.54e-05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HYPERLINK("http://141.218.60.56/~jnz1568/getInfo.php?workbook=20_05.xlsx&amp;sheet=U0&amp;row=8349&amp;col=6&amp;number=3.5&amp;sourceID=14","3.5")</f>
        <v>3.5</v>
      </c>
      <c r="G8349" s="4" t="str">
        <f>HYPERLINK("http://141.218.60.56/~jnz1568/getInfo.php?workbook=20_05.xlsx&amp;sheet=U0&amp;row=8349&amp;col=7&amp;number=4.53e-05&amp;sourceID=14","4.53e-05")</f>
        <v>4.53e-05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HYPERLINK("http://141.218.60.56/~jnz1568/getInfo.php?workbook=20_05.xlsx&amp;sheet=U0&amp;row=8350&amp;col=6&amp;number=3.6&amp;sourceID=14","3.6")</f>
        <v>3.6</v>
      </c>
      <c r="G8350" s="4" t="str">
        <f>HYPERLINK("http://141.218.60.56/~jnz1568/getInfo.php?workbook=20_05.xlsx&amp;sheet=U0&amp;row=8350&amp;col=7&amp;number=4.53e-05&amp;sourceID=14","4.53e-05")</f>
        <v>4.53e-05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HYPERLINK("http://141.218.60.56/~jnz1568/getInfo.php?workbook=20_05.xlsx&amp;sheet=U0&amp;row=8351&amp;col=6&amp;number=3.7&amp;sourceID=14","3.7")</f>
        <v>3.7</v>
      </c>
      <c r="G8351" s="4" t="str">
        <f>HYPERLINK("http://141.218.60.56/~jnz1568/getInfo.php?workbook=20_05.xlsx&amp;sheet=U0&amp;row=8351&amp;col=7&amp;number=4.53e-05&amp;sourceID=14","4.53e-05")</f>
        <v>4.53e-05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HYPERLINK("http://141.218.60.56/~jnz1568/getInfo.php?workbook=20_05.xlsx&amp;sheet=U0&amp;row=8352&amp;col=6&amp;number=3.8&amp;sourceID=14","3.8")</f>
        <v>3.8</v>
      </c>
      <c r="G8352" s="4" t="str">
        <f>HYPERLINK("http://141.218.60.56/~jnz1568/getInfo.php?workbook=20_05.xlsx&amp;sheet=U0&amp;row=8352&amp;col=7&amp;number=4.53e-05&amp;sourceID=14","4.53e-05")</f>
        <v>4.53e-05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HYPERLINK("http://141.218.60.56/~jnz1568/getInfo.php?workbook=20_05.xlsx&amp;sheet=U0&amp;row=8353&amp;col=6&amp;number=3.9&amp;sourceID=14","3.9")</f>
        <v>3.9</v>
      </c>
      <c r="G8353" s="4" t="str">
        <f>HYPERLINK("http://141.218.60.56/~jnz1568/getInfo.php?workbook=20_05.xlsx&amp;sheet=U0&amp;row=8353&amp;col=7&amp;number=4.53e-05&amp;sourceID=14","4.53e-05")</f>
        <v>4.53e-05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HYPERLINK("http://141.218.60.56/~jnz1568/getInfo.php?workbook=20_05.xlsx&amp;sheet=U0&amp;row=8354&amp;col=6&amp;number=4&amp;sourceID=14","4")</f>
        <v>4</v>
      </c>
      <c r="G8354" s="4" t="str">
        <f>HYPERLINK("http://141.218.60.56/~jnz1568/getInfo.php?workbook=20_05.xlsx&amp;sheet=U0&amp;row=8354&amp;col=7&amp;number=4.53e-05&amp;sourceID=14","4.53e-05")</f>
        <v>4.53e-05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HYPERLINK("http://141.218.60.56/~jnz1568/getInfo.php?workbook=20_05.xlsx&amp;sheet=U0&amp;row=8355&amp;col=6&amp;number=4.1&amp;sourceID=14","4.1")</f>
        <v>4.1</v>
      </c>
      <c r="G8355" s="4" t="str">
        <f>HYPERLINK("http://141.218.60.56/~jnz1568/getInfo.php?workbook=20_05.xlsx&amp;sheet=U0&amp;row=8355&amp;col=7&amp;number=4.53e-05&amp;sourceID=14","4.53e-05")</f>
        <v>4.53e-05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HYPERLINK("http://141.218.60.56/~jnz1568/getInfo.php?workbook=20_05.xlsx&amp;sheet=U0&amp;row=8356&amp;col=6&amp;number=4.2&amp;sourceID=14","4.2")</f>
        <v>4.2</v>
      </c>
      <c r="G8356" s="4" t="str">
        <f>HYPERLINK("http://141.218.60.56/~jnz1568/getInfo.php?workbook=20_05.xlsx&amp;sheet=U0&amp;row=8356&amp;col=7&amp;number=4.52e-05&amp;sourceID=14","4.52e-05")</f>
        <v>4.52e-05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HYPERLINK("http://141.218.60.56/~jnz1568/getInfo.php?workbook=20_05.xlsx&amp;sheet=U0&amp;row=8357&amp;col=6&amp;number=4.3&amp;sourceID=14","4.3")</f>
        <v>4.3</v>
      </c>
      <c r="G8357" s="4" t="str">
        <f>HYPERLINK("http://141.218.60.56/~jnz1568/getInfo.php?workbook=20_05.xlsx&amp;sheet=U0&amp;row=8357&amp;col=7&amp;number=4.52e-05&amp;sourceID=14","4.52e-05")</f>
        <v>4.52e-05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HYPERLINK("http://141.218.60.56/~jnz1568/getInfo.php?workbook=20_05.xlsx&amp;sheet=U0&amp;row=8358&amp;col=6&amp;number=4.4&amp;sourceID=14","4.4")</f>
        <v>4.4</v>
      </c>
      <c r="G8358" s="4" t="str">
        <f>HYPERLINK("http://141.218.60.56/~jnz1568/getInfo.php?workbook=20_05.xlsx&amp;sheet=U0&amp;row=8358&amp;col=7&amp;number=4.52e-05&amp;sourceID=14","4.52e-05")</f>
        <v>4.52e-05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HYPERLINK("http://141.218.60.56/~jnz1568/getInfo.php?workbook=20_05.xlsx&amp;sheet=U0&amp;row=8359&amp;col=6&amp;number=4.5&amp;sourceID=14","4.5")</f>
        <v>4.5</v>
      </c>
      <c r="G8359" s="4" t="str">
        <f>HYPERLINK("http://141.218.60.56/~jnz1568/getInfo.php?workbook=20_05.xlsx&amp;sheet=U0&amp;row=8359&amp;col=7&amp;number=4.51e-05&amp;sourceID=14","4.51e-05")</f>
        <v>4.51e-05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HYPERLINK("http://141.218.60.56/~jnz1568/getInfo.php?workbook=20_05.xlsx&amp;sheet=U0&amp;row=8360&amp;col=6&amp;number=4.6&amp;sourceID=14","4.6")</f>
        <v>4.6</v>
      </c>
      <c r="G8360" s="4" t="str">
        <f>HYPERLINK("http://141.218.60.56/~jnz1568/getInfo.php?workbook=20_05.xlsx&amp;sheet=U0&amp;row=8360&amp;col=7&amp;number=4.51e-05&amp;sourceID=14","4.51e-05")</f>
        <v>4.51e-05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HYPERLINK("http://141.218.60.56/~jnz1568/getInfo.php?workbook=20_05.xlsx&amp;sheet=U0&amp;row=8361&amp;col=6&amp;number=4.7&amp;sourceID=14","4.7")</f>
        <v>4.7</v>
      </c>
      <c r="G8361" s="4" t="str">
        <f>HYPERLINK("http://141.218.60.56/~jnz1568/getInfo.php?workbook=20_05.xlsx&amp;sheet=U0&amp;row=8361&amp;col=7&amp;number=4.5e-05&amp;sourceID=14","4.5e-05")</f>
        <v>4.5e-05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HYPERLINK("http://141.218.60.56/~jnz1568/getInfo.php?workbook=20_05.xlsx&amp;sheet=U0&amp;row=8362&amp;col=6&amp;number=4.8&amp;sourceID=14","4.8")</f>
        <v>4.8</v>
      </c>
      <c r="G8362" s="4" t="str">
        <f>HYPERLINK("http://141.218.60.56/~jnz1568/getInfo.php?workbook=20_05.xlsx&amp;sheet=U0&amp;row=8362&amp;col=7&amp;number=4.49e-05&amp;sourceID=14","4.49e-05")</f>
        <v>4.49e-05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HYPERLINK("http://141.218.60.56/~jnz1568/getInfo.php?workbook=20_05.xlsx&amp;sheet=U0&amp;row=8363&amp;col=6&amp;number=4.9&amp;sourceID=14","4.9")</f>
        <v>4.9</v>
      </c>
      <c r="G8363" s="4" t="str">
        <f>HYPERLINK("http://141.218.60.56/~jnz1568/getInfo.php?workbook=20_05.xlsx&amp;sheet=U0&amp;row=8363&amp;col=7&amp;number=4.47e-05&amp;sourceID=14","4.47e-05")</f>
        <v>4.47e-05</v>
      </c>
    </row>
    <row r="8364" spans="1:7">
      <c r="A8364" s="3">
        <v>20</v>
      </c>
      <c r="B8364" s="3">
        <v>5</v>
      </c>
      <c r="C8364" s="3">
        <v>4</v>
      </c>
      <c r="D8364" s="3">
        <v>57</v>
      </c>
      <c r="E8364" s="3">
        <v>1</v>
      </c>
      <c r="F8364" s="4" t="str">
        <f>HYPERLINK("http://141.218.60.56/~jnz1568/getInfo.php?workbook=20_05.xlsx&amp;sheet=U0&amp;row=8364&amp;col=6&amp;number=3&amp;sourceID=14","3")</f>
        <v>3</v>
      </c>
      <c r="G8364" s="4" t="str">
        <f>HYPERLINK("http://141.218.60.56/~jnz1568/getInfo.php?workbook=20_05.xlsx&amp;sheet=U0&amp;row=8364&amp;col=7&amp;number=0.00908&amp;sourceID=14","0.00908")</f>
        <v>0.00908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HYPERLINK("http://141.218.60.56/~jnz1568/getInfo.php?workbook=20_05.xlsx&amp;sheet=U0&amp;row=8365&amp;col=6&amp;number=3.1&amp;sourceID=14","3.1")</f>
        <v>3.1</v>
      </c>
      <c r="G8365" s="4" t="str">
        <f>HYPERLINK("http://141.218.60.56/~jnz1568/getInfo.php?workbook=20_05.xlsx&amp;sheet=U0&amp;row=8365&amp;col=7&amp;number=0.00909&amp;sourceID=14","0.00909")</f>
        <v>0.00909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HYPERLINK("http://141.218.60.56/~jnz1568/getInfo.php?workbook=20_05.xlsx&amp;sheet=U0&amp;row=8366&amp;col=6&amp;number=3.2&amp;sourceID=14","3.2")</f>
        <v>3.2</v>
      </c>
      <c r="G8366" s="4" t="str">
        <f>HYPERLINK("http://141.218.60.56/~jnz1568/getInfo.php?workbook=20_05.xlsx&amp;sheet=U0&amp;row=8366&amp;col=7&amp;number=0.00909&amp;sourceID=14","0.00909")</f>
        <v>0.00909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HYPERLINK("http://141.218.60.56/~jnz1568/getInfo.php?workbook=20_05.xlsx&amp;sheet=U0&amp;row=8367&amp;col=6&amp;number=3.3&amp;sourceID=14","3.3")</f>
        <v>3.3</v>
      </c>
      <c r="G8367" s="4" t="str">
        <f>HYPERLINK("http://141.218.60.56/~jnz1568/getInfo.php?workbook=20_05.xlsx&amp;sheet=U0&amp;row=8367&amp;col=7&amp;number=0.00909&amp;sourceID=14","0.00909")</f>
        <v>0.00909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HYPERLINK("http://141.218.60.56/~jnz1568/getInfo.php?workbook=20_05.xlsx&amp;sheet=U0&amp;row=8368&amp;col=6&amp;number=3.4&amp;sourceID=14","3.4")</f>
        <v>3.4</v>
      </c>
      <c r="G8368" s="4" t="str">
        <f>HYPERLINK("http://141.218.60.56/~jnz1568/getInfo.php?workbook=20_05.xlsx&amp;sheet=U0&amp;row=8368&amp;col=7&amp;number=0.00909&amp;sourceID=14","0.00909")</f>
        <v>0.00909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HYPERLINK("http://141.218.60.56/~jnz1568/getInfo.php?workbook=20_05.xlsx&amp;sheet=U0&amp;row=8369&amp;col=6&amp;number=3.5&amp;sourceID=14","3.5")</f>
        <v>3.5</v>
      </c>
      <c r="G8369" s="4" t="str">
        <f>HYPERLINK("http://141.218.60.56/~jnz1568/getInfo.php?workbook=20_05.xlsx&amp;sheet=U0&amp;row=8369&amp;col=7&amp;number=0.00909&amp;sourceID=14","0.00909")</f>
        <v>0.00909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HYPERLINK("http://141.218.60.56/~jnz1568/getInfo.php?workbook=20_05.xlsx&amp;sheet=U0&amp;row=8370&amp;col=6&amp;number=3.6&amp;sourceID=14","3.6")</f>
        <v>3.6</v>
      </c>
      <c r="G8370" s="4" t="str">
        <f>HYPERLINK("http://141.218.60.56/~jnz1568/getInfo.php?workbook=20_05.xlsx&amp;sheet=U0&amp;row=8370&amp;col=7&amp;number=0.00909&amp;sourceID=14","0.00909")</f>
        <v>0.00909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HYPERLINK("http://141.218.60.56/~jnz1568/getInfo.php?workbook=20_05.xlsx&amp;sheet=U0&amp;row=8371&amp;col=6&amp;number=3.7&amp;sourceID=14","3.7")</f>
        <v>3.7</v>
      </c>
      <c r="G8371" s="4" t="str">
        <f>HYPERLINK("http://141.218.60.56/~jnz1568/getInfo.php?workbook=20_05.xlsx&amp;sheet=U0&amp;row=8371&amp;col=7&amp;number=0.00909&amp;sourceID=14","0.00909")</f>
        <v>0.00909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HYPERLINK("http://141.218.60.56/~jnz1568/getInfo.php?workbook=20_05.xlsx&amp;sheet=U0&amp;row=8372&amp;col=6&amp;number=3.8&amp;sourceID=14","3.8")</f>
        <v>3.8</v>
      </c>
      <c r="G8372" s="4" t="str">
        <f>HYPERLINK("http://141.218.60.56/~jnz1568/getInfo.php?workbook=20_05.xlsx&amp;sheet=U0&amp;row=8372&amp;col=7&amp;number=0.00909&amp;sourceID=14","0.00909")</f>
        <v>0.00909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HYPERLINK("http://141.218.60.56/~jnz1568/getInfo.php?workbook=20_05.xlsx&amp;sheet=U0&amp;row=8373&amp;col=6&amp;number=3.9&amp;sourceID=14","3.9")</f>
        <v>3.9</v>
      </c>
      <c r="G8373" s="4" t="str">
        <f>HYPERLINK("http://141.218.60.56/~jnz1568/getInfo.php?workbook=20_05.xlsx&amp;sheet=U0&amp;row=8373&amp;col=7&amp;number=0.00909&amp;sourceID=14","0.00909")</f>
        <v>0.00909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HYPERLINK("http://141.218.60.56/~jnz1568/getInfo.php?workbook=20_05.xlsx&amp;sheet=U0&amp;row=8374&amp;col=6&amp;number=4&amp;sourceID=14","4")</f>
        <v>4</v>
      </c>
      <c r="G8374" s="4" t="str">
        <f>HYPERLINK("http://141.218.60.56/~jnz1568/getInfo.php?workbook=20_05.xlsx&amp;sheet=U0&amp;row=8374&amp;col=7&amp;number=0.00909&amp;sourceID=14","0.00909")</f>
        <v>0.00909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HYPERLINK("http://141.218.60.56/~jnz1568/getInfo.php?workbook=20_05.xlsx&amp;sheet=U0&amp;row=8375&amp;col=6&amp;number=4.1&amp;sourceID=14","4.1")</f>
        <v>4.1</v>
      </c>
      <c r="G8375" s="4" t="str">
        <f>HYPERLINK("http://141.218.60.56/~jnz1568/getInfo.php?workbook=20_05.xlsx&amp;sheet=U0&amp;row=8375&amp;col=7&amp;number=0.00909&amp;sourceID=14","0.00909")</f>
        <v>0.00909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HYPERLINK("http://141.218.60.56/~jnz1568/getInfo.php?workbook=20_05.xlsx&amp;sheet=U0&amp;row=8376&amp;col=6&amp;number=4.2&amp;sourceID=14","4.2")</f>
        <v>4.2</v>
      </c>
      <c r="G8376" s="4" t="str">
        <f>HYPERLINK("http://141.218.60.56/~jnz1568/getInfo.php?workbook=20_05.xlsx&amp;sheet=U0&amp;row=8376&amp;col=7&amp;number=0.0091&amp;sourceID=14","0.0091")</f>
        <v>0.0091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HYPERLINK("http://141.218.60.56/~jnz1568/getInfo.php?workbook=20_05.xlsx&amp;sheet=U0&amp;row=8377&amp;col=6&amp;number=4.3&amp;sourceID=14","4.3")</f>
        <v>4.3</v>
      </c>
      <c r="G8377" s="4" t="str">
        <f>HYPERLINK("http://141.218.60.56/~jnz1568/getInfo.php?workbook=20_05.xlsx&amp;sheet=U0&amp;row=8377&amp;col=7&amp;number=0.0091&amp;sourceID=14","0.0091")</f>
        <v>0.0091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HYPERLINK("http://141.218.60.56/~jnz1568/getInfo.php?workbook=20_05.xlsx&amp;sheet=U0&amp;row=8378&amp;col=6&amp;number=4.4&amp;sourceID=14","4.4")</f>
        <v>4.4</v>
      </c>
      <c r="G8378" s="4" t="str">
        <f>HYPERLINK("http://141.218.60.56/~jnz1568/getInfo.php?workbook=20_05.xlsx&amp;sheet=U0&amp;row=8378&amp;col=7&amp;number=0.00911&amp;sourceID=14","0.00911")</f>
        <v>0.00911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HYPERLINK("http://141.218.60.56/~jnz1568/getInfo.php?workbook=20_05.xlsx&amp;sheet=U0&amp;row=8379&amp;col=6&amp;number=4.5&amp;sourceID=14","4.5")</f>
        <v>4.5</v>
      </c>
      <c r="G8379" s="4" t="str">
        <f>HYPERLINK("http://141.218.60.56/~jnz1568/getInfo.php?workbook=20_05.xlsx&amp;sheet=U0&amp;row=8379&amp;col=7&amp;number=0.00911&amp;sourceID=14","0.00911")</f>
        <v>0.00911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HYPERLINK("http://141.218.60.56/~jnz1568/getInfo.php?workbook=20_05.xlsx&amp;sheet=U0&amp;row=8380&amp;col=6&amp;number=4.6&amp;sourceID=14","4.6")</f>
        <v>4.6</v>
      </c>
      <c r="G8380" s="4" t="str">
        <f>HYPERLINK("http://141.218.60.56/~jnz1568/getInfo.php?workbook=20_05.xlsx&amp;sheet=U0&amp;row=8380&amp;col=7&amp;number=0.00912&amp;sourceID=14","0.00912")</f>
        <v>0.00912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HYPERLINK("http://141.218.60.56/~jnz1568/getInfo.php?workbook=20_05.xlsx&amp;sheet=U0&amp;row=8381&amp;col=6&amp;number=4.7&amp;sourceID=14","4.7")</f>
        <v>4.7</v>
      </c>
      <c r="G8381" s="4" t="str">
        <f>HYPERLINK("http://141.218.60.56/~jnz1568/getInfo.php?workbook=20_05.xlsx&amp;sheet=U0&amp;row=8381&amp;col=7&amp;number=0.00913&amp;sourceID=14","0.00913")</f>
        <v>0.00913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HYPERLINK("http://141.218.60.56/~jnz1568/getInfo.php?workbook=20_05.xlsx&amp;sheet=U0&amp;row=8382&amp;col=6&amp;number=4.8&amp;sourceID=14","4.8")</f>
        <v>4.8</v>
      </c>
      <c r="G8382" s="4" t="str">
        <f>HYPERLINK("http://141.218.60.56/~jnz1568/getInfo.php?workbook=20_05.xlsx&amp;sheet=U0&amp;row=8382&amp;col=7&amp;number=0.00914&amp;sourceID=14","0.00914")</f>
        <v>0.00914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HYPERLINK("http://141.218.60.56/~jnz1568/getInfo.php?workbook=20_05.xlsx&amp;sheet=U0&amp;row=8383&amp;col=6&amp;number=4.9&amp;sourceID=14","4.9")</f>
        <v>4.9</v>
      </c>
      <c r="G8383" s="4" t="str">
        <f>HYPERLINK("http://141.218.60.56/~jnz1568/getInfo.php?workbook=20_05.xlsx&amp;sheet=U0&amp;row=8383&amp;col=7&amp;number=0.00915&amp;sourceID=14","0.00915")</f>
        <v>0.00915</v>
      </c>
    </row>
    <row r="8384" spans="1:7">
      <c r="A8384" s="3">
        <v>20</v>
      </c>
      <c r="B8384" s="3">
        <v>5</v>
      </c>
      <c r="C8384" s="3">
        <v>4</v>
      </c>
      <c r="D8384" s="3">
        <v>58</v>
      </c>
      <c r="E8384" s="3">
        <v>1</v>
      </c>
      <c r="F8384" s="4" t="str">
        <f>HYPERLINK("http://141.218.60.56/~jnz1568/getInfo.php?workbook=20_05.xlsx&amp;sheet=U0&amp;row=8384&amp;col=6&amp;number=3&amp;sourceID=14","3")</f>
        <v>3</v>
      </c>
      <c r="G8384" s="4" t="str">
        <f>HYPERLINK("http://141.218.60.56/~jnz1568/getInfo.php?workbook=20_05.xlsx&amp;sheet=U0&amp;row=8384&amp;col=7&amp;number=0.00468&amp;sourceID=14","0.00468")</f>
        <v>0.00468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HYPERLINK("http://141.218.60.56/~jnz1568/getInfo.php?workbook=20_05.xlsx&amp;sheet=U0&amp;row=8385&amp;col=6&amp;number=3.1&amp;sourceID=14","3.1")</f>
        <v>3.1</v>
      </c>
      <c r="G8385" s="4" t="str">
        <f>HYPERLINK("http://141.218.60.56/~jnz1568/getInfo.php?workbook=20_05.xlsx&amp;sheet=U0&amp;row=8385&amp;col=7&amp;number=0.00468&amp;sourceID=14","0.00468")</f>
        <v>0.00468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HYPERLINK("http://141.218.60.56/~jnz1568/getInfo.php?workbook=20_05.xlsx&amp;sheet=U0&amp;row=8386&amp;col=6&amp;number=3.2&amp;sourceID=14","3.2")</f>
        <v>3.2</v>
      </c>
      <c r="G8386" s="4" t="str">
        <f>HYPERLINK("http://141.218.60.56/~jnz1568/getInfo.php?workbook=20_05.xlsx&amp;sheet=U0&amp;row=8386&amp;col=7&amp;number=0.00468&amp;sourceID=14","0.00468")</f>
        <v>0.00468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HYPERLINK("http://141.218.60.56/~jnz1568/getInfo.php?workbook=20_05.xlsx&amp;sheet=U0&amp;row=8387&amp;col=6&amp;number=3.3&amp;sourceID=14","3.3")</f>
        <v>3.3</v>
      </c>
      <c r="G8387" s="4" t="str">
        <f>HYPERLINK("http://141.218.60.56/~jnz1568/getInfo.php?workbook=20_05.xlsx&amp;sheet=U0&amp;row=8387&amp;col=7&amp;number=0.00468&amp;sourceID=14","0.00468")</f>
        <v>0.00468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HYPERLINK("http://141.218.60.56/~jnz1568/getInfo.php?workbook=20_05.xlsx&amp;sheet=U0&amp;row=8388&amp;col=6&amp;number=3.4&amp;sourceID=14","3.4")</f>
        <v>3.4</v>
      </c>
      <c r="G8388" s="4" t="str">
        <f>HYPERLINK("http://141.218.60.56/~jnz1568/getInfo.php?workbook=20_05.xlsx&amp;sheet=U0&amp;row=8388&amp;col=7&amp;number=0.00468&amp;sourceID=14","0.00468")</f>
        <v>0.00468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HYPERLINK("http://141.218.60.56/~jnz1568/getInfo.php?workbook=20_05.xlsx&amp;sheet=U0&amp;row=8389&amp;col=6&amp;number=3.5&amp;sourceID=14","3.5")</f>
        <v>3.5</v>
      </c>
      <c r="G8389" s="4" t="str">
        <f>HYPERLINK("http://141.218.60.56/~jnz1568/getInfo.php?workbook=20_05.xlsx&amp;sheet=U0&amp;row=8389&amp;col=7&amp;number=0.00468&amp;sourceID=14","0.00468")</f>
        <v>0.00468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HYPERLINK("http://141.218.60.56/~jnz1568/getInfo.php?workbook=20_05.xlsx&amp;sheet=U0&amp;row=8390&amp;col=6&amp;number=3.6&amp;sourceID=14","3.6")</f>
        <v>3.6</v>
      </c>
      <c r="G8390" s="4" t="str">
        <f>HYPERLINK("http://141.218.60.56/~jnz1568/getInfo.php?workbook=20_05.xlsx&amp;sheet=U0&amp;row=8390&amp;col=7&amp;number=0.00468&amp;sourceID=14","0.00468")</f>
        <v>0.00468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HYPERLINK("http://141.218.60.56/~jnz1568/getInfo.php?workbook=20_05.xlsx&amp;sheet=U0&amp;row=8391&amp;col=6&amp;number=3.7&amp;sourceID=14","3.7")</f>
        <v>3.7</v>
      </c>
      <c r="G8391" s="4" t="str">
        <f>HYPERLINK("http://141.218.60.56/~jnz1568/getInfo.php?workbook=20_05.xlsx&amp;sheet=U0&amp;row=8391&amp;col=7&amp;number=0.00468&amp;sourceID=14","0.00468")</f>
        <v>0.00468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HYPERLINK("http://141.218.60.56/~jnz1568/getInfo.php?workbook=20_05.xlsx&amp;sheet=U0&amp;row=8392&amp;col=6&amp;number=3.8&amp;sourceID=14","3.8")</f>
        <v>3.8</v>
      </c>
      <c r="G8392" s="4" t="str">
        <f>HYPERLINK("http://141.218.60.56/~jnz1568/getInfo.php?workbook=20_05.xlsx&amp;sheet=U0&amp;row=8392&amp;col=7&amp;number=0.00469&amp;sourceID=14","0.00469")</f>
        <v>0.00469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HYPERLINK("http://141.218.60.56/~jnz1568/getInfo.php?workbook=20_05.xlsx&amp;sheet=U0&amp;row=8393&amp;col=6&amp;number=3.9&amp;sourceID=14","3.9")</f>
        <v>3.9</v>
      </c>
      <c r="G8393" s="4" t="str">
        <f>HYPERLINK("http://141.218.60.56/~jnz1568/getInfo.php?workbook=20_05.xlsx&amp;sheet=U0&amp;row=8393&amp;col=7&amp;number=0.00469&amp;sourceID=14","0.00469")</f>
        <v>0.00469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HYPERLINK("http://141.218.60.56/~jnz1568/getInfo.php?workbook=20_05.xlsx&amp;sheet=U0&amp;row=8394&amp;col=6&amp;number=4&amp;sourceID=14","4")</f>
        <v>4</v>
      </c>
      <c r="G8394" s="4" t="str">
        <f>HYPERLINK("http://141.218.60.56/~jnz1568/getInfo.php?workbook=20_05.xlsx&amp;sheet=U0&amp;row=8394&amp;col=7&amp;number=0.00469&amp;sourceID=14","0.00469")</f>
        <v>0.00469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HYPERLINK("http://141.218.60.56/~jnz1568/getInfo.php?workbook=20_05.xlsx&amp;sheet=U0&amp;row=8395&amp;col=6&amp;number=4.1&amp;sourceID=14","4.1")</f>
        <v>4.1</v>
      </c>
      <c r="G8395" s="4" t="str">
        <f>HYPERLINK("http://141.218.60.56/~jnz1568/getInfo.php?workbook=20_05.xlsx&amp;sheet=U0&amp;row=8395&amp;col=7&amp;number=0.00469&amp;sourceID=14","0.00469")</f>
        <v>0.00469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HYPERLINK("http://141.218.60.56/~jnz1568/getInfo.php?workbook=20_05.xlsx&amp;sheet=U0&amp;row=8396&amp;col=6&amp;number=4.2&amp;sourceID=14","4.2")</f>
        <v>4.2</v>
      </c>
      <c r="G8396" s="4" t="str">
        <f>HYPERLINK("http://141.218.60.56/~jnz1568/getInfo.php?workbook=20_05.xlsx&amp;sheet=U0&amp;row=8396&amp;col=7&amp;number=0.00469&amp;sourceID=14","0.00469")</f>
        <v>0.00469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HYPERLINK("http://141.218.60.56/~jnz1568/getInfo.php?workbook=20_05.xlsx&amp;sheet=U0&amp;row=8397&amp;col=6&amp;number=4.3&amp;sourceID=14","4.3")</f>
        <v>4.3</v>
      </c>
      <c r="G8397" s="4" t="str">
        <f>HYPERLINK("http://141.218.60.56/~jnz1568/getInfo.php?workbook=20_05.xlsx&amp;sheet=U0&amp;row=8397&amp;col=7&amp;number=0.00469&amp;sourceID=14","0.00469")</f>
        <v>0.00469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HYPERLINK("http://141.218.60.56/~jnz1568/getInfo.php?workbook=20_05.xlsx&amp;sheet=U0&amp;row=8398&amp;col=6&amp;number=4.4&amp;sourceID=14","4.4")</f>
        <v>4.4</v>
      </c>
      <c r="G8398" s="4" t="str">
        <f>HYPERLINK("http://141.218.60.56/~jnz1568/getInfo.php?workbook=20_05.xlsx&amp;sheet=U0&amp;row=8398&amp;col=7&amp;number=0.0047&amp;sourceID=14","0.0047")</f>
        <v>0.0047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HYPERLINK("http://141.218.60.56/~jnz1568/getInfo.php?workbook=20_05.xlsx&amp;sheet=U0&amp;row=8399&amp;col=6&amp;number=4.5&amp;sourceID=14","4.5")</f>
        <v>4.5</v>
      </c>
      <c r="G8399" s="4" t="str">
        <f>HYPERLINK("http://141.218.60.56/~jnz1568/getInfo.php?workbook=20_05.xlsx&amp;sheet=U0&amp;row=8399&amp;col=7&amp;number=0.0047&amp;sourceID=14","0.0047")</f>
        <v>0.0047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HYPERLINK("http://141.218.60.56/~jnz1568/getInfo.php?workbook=20_05.xlsx&amp;sheet=U0&amp;row=8400&amp;col=6&amp;number=4.6&amp;sourceID=14","4.6")</f>
        <v>4.6</v>
      </c>
      <c r="G8400" s="4" t="str">
        <f>HYPERLINK("http://141.218.60.56/~jnz1568/getInfo.php?workbook=20_05.xlsx&amp;sheet=U0&amp;row=8400&amp;col=7&amp;number=0.00471&amp;sourceID=14","0.00471")</f>
        <v>0.00471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HYPERLINK("http://141.218.60.56/~jnz1568/getInfo.php?workbook=20_05.xlsx&amp;sheet=U0&amp;row=8401&amp;col=6&amp;number=4.7&amp;sourceID=14","4.7")</f>
        <v>4.7</v>
      </c>
      <c r="G8401" s="4" t="str">
        <f>HYPERLINK("http://141.218.60.56/~jnz1568/getInfo.php?workbook=20_05.xlsx&amp;sheet=U0&amp;row=8401&amp;col=7&amp;number=0.00472&amp;sourceID=14","0.00472")</f>
        <v>0.00472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HYPERLINK("http://141.218.60.56/~jnz1568/getInfo.php?workbook=20_05.xlsx&amp;sheet=U0&amp;row=8402&amp;col=6&amp;number=4.8&amp;sourceID=14","4.8")</f>
        <v>4.8</v>
      </c>
      <c r="G8402" s="4" t="str">
        <f>HYPERLINK("http://141.218.60.56/~jnz1568/getInfo.php?workbook=20_05.xlsx&amp;sheet=U0&amp;row=8402&amp;col=7&amp;number=0.00472&amp;sourceID=14","0.00472")</f>
        <v>0.00472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HYPERLINK("http://141.218.60.56/~jnz1568/getInfo.php?workbook=20_05.xlsx&amp;sheet=U0&amp;row=8403&amp;col=6&amp;number=4.9&amp;sourceID=14","4.9")</f>
        <v>4.9</v>
      </c>
      <c r="G8403" s="4" t="str">
        <f>HYPERLINK("http://141.218.60.56/~jnz1568/getInfo.php?workbook=20_05.xlsx&amp;sheet=U0&amp;row=8403&amp;col=7&amp;number=0.00474&amp;sourceID=14","0.00474")</f>
        <v>0.00474</v>
      </c>
    </row>
    <row r="8404" spans="1:7">
      <c r="A8404" s="3">
        <v>20</v>
      </c>
      <c r="B8404" s="3">
        <v>5</v>
      </c>
      <c r="C8404" s="3">
        <v>4</v>
      </c>
      <c r="D8404" s="3">
        <v>59</v>
      </c>
      <c r="E8404" s="3">
        <v>1</v>
      </c>
      <c r="F8404" s="4" t="str">
        <f>HYPERLINK("http://141.218.60.56/~jnz1568/getInfo.php?workbook=20_05.xlsx&amp;sheet=U0&amp;row=8404&amp;col=6&amp;number=3&amp;sourceID=14","3")</f>
        <v>3</v>
      </c>
      <c r="G8404" s="4" t="str">
        <f>HYPERLINK("http://141.218.60.56/~jnz1568/getInfo.php?workbook=20_05.xlsx&amp;sheet=U0&amp;row=8404&amp;col=7&amp;number=0.00598&amp;sourceID=14","0.00598")</f>
        <v>0.00598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HYPERLINK("http://141.218.60.56/~jnz1568/getInfo.php?workbook=20_05.xlsx&amp;sheet=U0&amp;row=8405&amp;col=6&amp;number=3.1&amp;sourceID=14","3.1")</f>
        <v>3.1</v>
      </c>
      <c r="G8405" s="4" t="str">
        <f>HYPERLINK("http://141.218.60.56/~jnz1568/getInfo.php?workbook=20_05.xlsx&amp;sheet=U0&amp;row=8405&amp;col=7&amp;number=0.00598&amp;sourceID=14","0.00598")</f>
        <v>0.00598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HYPERLINK("http://141.218.60.56/~jnz1568/getInfo.php?workbook=20_05.xlsx&amp;sheet=U0&amp;row=8406&amp;col=6&amp;number=3.2&amp;sourceID=14","3.2")</f>
        <v>3.2</v>
      </c>
      <c r="G8406" s="4" t="str">
        <f>HYPERLINK("http://141.218.60.56/~jnz1568/getInfo.php?workbook=20_05.xlsx&amp;sheet=U0&amp;row=8406&amp;col=7&amp;number=0.00598&amp;sourceID=14","0.00598")</f>
        <v>0.00598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HYPERLINK("http://141.218.60.56/~jnz1568/getInfo.php?workbook=20_05.xlsx&amp;sheet=U0&amp;row=8407&amp;col=6&amp;number=3.3&amp;sourceID=14","3.3")</f>
        <v>3.3</v>
      </c>
      <c r="G8407" s="4" t="str">
        <f>HYPERLINK("http://141.218.60.56/~jnz1568/getInfo.php?workbook=20_05.xlsx&amp;sheet=U0&amp;row=8407&amp;col=7&amp;number=0.00598&amp;sourceID=14","0.00598")</f>
        <v>0.00598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HYPERLINK("http://141.218.60.56/~jnz1568/getInfo.php?workbook=20_05.xlsx&amp;sheet=U0&amp;row=8408&amp;col=6&amp;number=3.4&amp;sourceID=14","3.4")</f>
        <v>3.4</v>
      </c>
      <c r="G8408" s="4" t="str">
        <f>HYPERLINK("http://141.218.60.56/~jnz1568/getInfo.php?workbook=20_05.xlsx&amp;sheet=U0&amp;row=8408&amp;col=7&amp;number=0.00598&amp;sourceID=14","0.00598")</f>
        <v>0.00598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HYPERLINK("http://141.218.60.56/~jnz1568/getInfo.php?workbook=20_05.xlsx&amp;sheet=U0&amp;row=8409&amp;col=6&amp;number=3.5&amp;sourceID=14","3.5")</f>
        <v>3.5</v>
      </c>
      <c r="G8409" s="4" t="str">
        <f>HYPERLINK("http://141.218.60.56/~jnz1568/getInfo.php?workbook=20_05.xlsx&amp;sheet=U0&amp;row=8409&amp;col=7&amp;number=0.00598&amp;sourceID=14","0.00598")</f>
        <v>0.00598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HYPERLINK("http://141.218.60.56/~jnz1568/getInfo.php?workbook=20_05.xlsx&amp;sheet=U0&amp;row=8410&amp;col=6&amp;number=3.6&amp;sourceID=14","3.6")</f>
        <v>3.6</v>
      </c>
      <c r="G8410" s="4" t="str">
        <f>HYPERLINK("http://141.218.60.56/~jnz1568/getInfo.php?workbook=20_05.xlsx&amp;sheet=U0&amp;row=8410&amp;col=7&amp;number=0.00598&amp;sourceID=14","0.00598")</f>
        <v>0.00598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HYPERLINK("http://141.218.60.56/~jnz1568/getInfo.php?workbook=20_05.xlsx&amp;sheet=U0&amp;row=8411&amp;col=6&amp;number=3.7&amp;sourceID=14","3.7")</f>
        <v>3.7</v>
      </c>
      <c r="G8411" s="4" t="str">
        <f>HYPERLINK("http://141.218.60.56/~jnz1568/getInfo.php?workbook=20_05.xlsx&amp;sheet=U0&amp;row=8411&amp;col=7&amp;number=0.00598&amp;sourceID=14","0.00598")</f>
        <v>0.00598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HYPERLINK("http://141.218.60.56/~jnz1568/getInfo.php?workbook=20_05.xlsx&amp;sheet=U0&amp;row=8412&amp;col=6&amp;number=3.8&amp;sourceID=14","3.8")</f>
        <v>3.8</v>
      </c>
      <c r="G8412" s="4" t="str">
        <f>HYPERLINK("http://141.218.60.56/~jnz1568/getInfo.php?workbook=20_05.xlsx&amp;sheet=U0&amp;row=8412&amp;col=7&amp;number=0.00598&amp;sourceID=14","0.00598")</f>
        <v>0.00598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HYPERLINK("http://141.218.60.56/~jnz1568/getInfo.php?workbook=20_05.xlsx&amp;sheet=U0&amp;row=8413&amp;col=6&amp;number=3.9&amp;sourceID=14","3.9")</f>
        <v>3.9</v>
      </c>
      <c r="G8413" s="4" t="str">
        <f>HYPERLINK("http://141.218.60.56/~jnz1568/getInfo.php?workbook=20_05.xlsx&amp;sheet=U0&amp;row=8413&amp;col=7&amp;number=0.00597&amp;sourceID=14","0.00597")</f>
        <v>0.00597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HYPERLINK("http://141.218.60.56/~jnz1568/getInfo.php?workbook=20_05.xlsx&amp;sheet=U0&amp;row=8414&amp;col=6&amp;number=4&amp;sourceID=14","4")</f>
        <v>4</v>
      </c>
      <c r="G8414" s="4" t="str">
        <f>HYPERLINK("http://141.218.60.56/~jnz1568/getInfo.php?workbook=20_05.xlsx&amp;sheet=U0&amp;row=8414&amp;col=7&amp;number=0.00597&amp;sourceID=14","0.00597")</f>
        <v>0.00597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HYPERLINK("http://141.218.60.56/~jnz1568/getInfo.php?workbook=20_05.xlsx&amp;sheet=U0&amp;row=8415&amp;col=6&amp;number=4.1&amp;sourceID=14","4.1")</f>
        <v>4.1</v>
      </c>
      <c r="G8415" s="4" t="str">
        <f>HYPERLINK("http://141.218.60.56/~jnz1568/getInfo.php?workbook=20_05.xlsx&amp;sheet=U0&amp;row=8415&amp;col=7&amp;number=0.00597&amp;sourceID=14","0.00597")</f>
        <v>0.00597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HYPERLINK("http://141.218.60.56/~jnz1568/getInfo.php?workbook=20_05.xlsx&amp;sheet=U0&amp;row=8416&amp;col=6&amp;number=4.2&amp;sourceID=14","4.2")</f>
        <v>4.2</v>
      </c>
      <c r="G8416" s="4" t="str">
        <f>HYPERLINK("http://141.218.60.56/~jnz1568/getInfo.php?workbook=20_05.xlsx&amp;sheet=U0&amp;row=8416&amp;col=7&amp;number=0.00597&amp;sourceID=14","0.00597")</f>
        <v>0.00597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HYPERLINK("http://141.218.60.56/~jnz1568/getInfo.php?workbook=20_05.xlsx&amp;sheet=U0&amp;row=8417&amp;col=6&amp;number=4.3&amp;sourceID=14","4.3")</f>
        <v>4.3</v>
      </c>
      <c r="G8417" s="4" t="str">
        <f>HYPERLINK("http://141.218.60.56/~jnz1568/getInfo.php?workbook=20_05.xlsx&amp;sheet=U0&amp;row=8417&amp;col=7&amp;number=0.00596&amp;sourceID=14","0.00596")</f>
        <v>0.00596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HYPERLINK("http://141.218.60.56/~jnz1568/getInfo.php?workbook=20_05.xlsx&amp;sheet=U0&amp;row=8418&amp;col=6&amp;number=4.4&amp;sourceID=14","4.4")</f>
        <v>4.4</v>
      </c>
      <c r="G8418" s="4" t="str">
        <f>HYPERLINK("http://141.218.60.56/~jnz1568/getInfo.php?workbook=20_05.xlsx&amp;sheet=U0&amp;row=8418&amp;col=7&amp;number=0.00596&amp;sourceID=14","0.00596")</f>
        <v>0.00596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HYPERLINK("http://141.218.60.56/~jnz1568/getInfo.php?workbook=20_05.xlsx&amp;sheet=U0&amp;row=8419&amp;col=6&amp;number=4.5&amp;sourceID=14","4.5")</f>
        <v>4.5</v>
      </c>
      <c r="G8419" s="4" t="str">
        <f>HYPERLINK("http://141.218.60.56/~jnz1568/getInfo.php?workbook=20_05.xlsx&amp;sheet=U0&amp;row=8419&amp;col=7&amp;number=0.00595&amp;sourceID=14","0.00595")</f>
        <v>0.00595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HYPERLINK("http://141.218.60.56/~jnz1568/getInfo.php?workbook=20_05.xlsx&amp;sheet=U0&amp;row=8420&amp;col=6&amp;number=4.6&amp;sourceID=14","4.6")</f>
        <v>4.6</v>
      </c>
      <c r="G8420" s="4" t="str">
        <f>HYPERLINK("http://141.218.60.56/~jnz1568/getInfo.php?workbook=20_05.xlsx&amp;sheet=U0&amp;row=8420&amp;col=7&amp;number=0.00595&amp;sourceID=14","0.00595")</f>
        <v>0.00595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HYPERLINK("http://141.218.60.56/~jnz1568/getInfo.php?workbook=20_05.xlsx&amp;sheet=U0&amp;row=8421&amp;col=6&amp;number=4.7&amp;sourceID=14","4.7")</f>
        <v>4.7</v>
      </c>
      <c r="G8421" s="4" t="str">
        <f>HYPERLINK("http://141.218.60.56/~jnz1568/getInfo.php?workbook=20_05.xlsx&amp;sheet=U0&amp;row=8421&amp;col=7&amp;number=0.00594&amp;sourceID=14","0.00594")</f>
        <v>0.00594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HYPERLINK("http://141.218.60.56/~jnz1568/getInfo.php?workbook=20_05.xlsx&amp;sheet=U0&amp;row=8422&amp;col=6&amp;number=4.8&amp;sourceID=14","4.8")</f>
        <v>4.8</v>
      </c>
      <c r="G8422" s="4" t="str">
        <f>HYPERLINK("http://141.218.60.56/~jnz1568/getInfo.php?workbook=20_05.xlsx&amp;sheet=U0&amp;row=8422&amp;col=7&amp;number=0.00593&amp;sourceID=14","0.00593")</f>
        <v>0.00593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HYPERLINK("http://141.218.60.56/~jnz1568/getInfo.php?workbook=20_05.xlsx&amp;sheet=U0&amp;row=8423&amp;col=6&amp;number=4.9&amp;sourceID=14","4.9")</f>
        <v>4.9</v>
      </c>
      <c r="G8423" s="4" t="str">
        <f>HYPERLINK("http://141.218.60.56/~jnz1568/getInfo.php?workbook=20_05.xlsx&amp;sheet=U0&amp;row=8423&amp;col=7&amp;number=0.00592&amp;sourceID=14","0.00592")</f>
        <v>0.00592</v>
      </c>
    </row>
    <row r="8424" spans="1:7">
      <c r="A8424" s="3">
        <v>20</v>
      </c>
      <c r="B8424" s="3">
        <v>5</v>
      </c>
      <c r="C8424" s="3">
        <v>4</v>
      </c>
      <c r="D8424" s="3">
        <v>60</v>
      </c>
      <c r="E8424" s="3">
        <v>1</v>
      </c>
      <c r="F8424" s="4" t="str">
        <f>HYPERLINK("http://141.218.60.56/~jnz1568/getInfo.php?workbook=20_05.xlsx&amp;sheet=U0&amp;row=8424&amp;col=6&amp;number=3&amp;sourceID=14","3")</f>
        <v>3</v>
      </c>
      <c r="G8424" s="4" t="str">
        <f>HYPERLINK("http://141.218.60.56/~jnz1568/getInfo.php?workbook=20_05.xlsx&amp;sheet=U0&amp;row=8424&amp;col=7&amp;number=0.0055&amp;sourceID=14","0.0055")</f>
        <v>0.0055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HYPERLINK("http://141.218.60.56/~jnz1568/getInfo.php?workbook=20_05.xlsx&amp;sheet=U0&amp;row=8425&amp;col=6&amp;number=3.1&amp;sourceID=14","3.1")</f>
        <v>3.1</v>
      </c>
      <c r="G8425" s="4" t="str">
        <f>HYPERLINK("http://141.218.60.56/~jnz1568/getInfo.php?workbook=20_05.xlsx&amp;sheet=U0&amp;row=8425&amp;col=7&amp;number=0.0055&amp;sourceID=14","0.0055")</f>
        <v>0.0055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HYPERLINK("http://141.218.60.56/~jnz1568/getInfo.php?workbook=20_05.xlsx&amp;sheet=U0&amp;row=8426&amp;col=6&amp;number=3.2&amp;sourceID=14","3.2")</f>
        <v>3.2</v>
      </c>
      <c r="G8426" s="4" t="str">
        <f>HYPERLINK("http://141.218.60.56/~jnz1568/getInfo.php?workbook=20_05.xlsx&amp;sheet=U0&amp;row=8426&amp;col=7&amp;number=0.0055&amp;sourceID=14","0.0055")</f>
        <v>0.0055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HYPERLINK("http://141.218.60.56/~jnz1568/getInfo.php?workbook=20_05.xlsx&amp;sheet=U0&amp;row=8427&amp;col=6&amp;number=3.3&amp;sourceID=14","3.3")</f>
        <v>3.3</v>
      </c>
      <c r="G8427" s="4" t="str">
        <f>HYPERLINK("http://141.218.60.56/~jnz1568/getInfo.php?workbook=20_05.xlsx&amp;sheet=U0&amp;row=8427&amp;col=7&amp;number=0.0055&amp;sourceID=14","0.0055")</f>
        <v>0.0055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HYPERLINK("http://141.218.60.56/~jnz1568/getInfo.php?workbook=20_05.xlsx&amp;sheet=U0&amp;row=8428&amp;col=6&amp;number=3.4&amp;sourceID=14","3.4")</f>
        <v>3.4</v>
      </c>
      <c r="G8428" s="4" t="str">
        <f>HYPERLINK("http://141.218.60.56/~jnz1568/getInfo.php?workbook=20_05.xlsx&amp;sheet=U0&amp;row=8428&amp;col=7&amp;number=0.0055&amp;sourceID=14","0.0055")</f>
        <v>0.0055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HYPERLINK("http://141.218.60.56/~jnz1568/getInfo.php?workbook=20_05.xlsx&amp;sheet=U0&amp;row=8429&amp;col=6&amp;number=3.5&amp;sourceID=14","3.5")</f>
        <v>3.5</v>
      </c>
      <c r="G8429" s="4" t="str">
        <f>HYPERLINK("http://141.218.60.56/~jnz1568/getInfo.php?workbook=20_05.xlsx&amp;sheet=U0&amp;row=8429&amp;col=7&amp;number=0.0055&amp;sourceID=14","0.0055")</f>
        <v>0.0055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HYPERLINK("http://141.218.60.56/~jnz1568/getInfo.php?workbook=20_05.xlsx&amp;sheet=U0&amp;row=8430&amp;col=6&amp;number=3.6&amp;sourceID=14","3.6")</f>
        <v>3.6</v>
      </c>
      <c r="G8430" s="4" t="str">
        <f>HYPERLINK("http://141.218.60.56/~jnz1568/getInfo.php?workbook=20_05.xlsx&amp;sheet=U0&amp;row=8430&amp;col=7&amp;number=0.00551&amp;sourceID=14","0.00551")</f>
        <v>0.00551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HYPERLINK("http://141.218.60.56/~jnz1568/getInfo.php?workbook=20_05.xlsx&amp;sheet=U0&amp;row=8431&amp;col=6&amp;number=3.7&amp;sourceID=14","3.7")</f>
        <v>3.7</v>
      </c>
      <c r="G8431" s="4" t="str">
        <f>HYPERLINK("http://141.218.60.56/~jnz1568/getInfo.php?workbook=20_05.xlsx&amp;sheet=U0&amp;row=8431&amp;col=7&amp;number=0.00551&amp;sourceID=14","0.00551")</f>
        <v>0.00551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HYPERLINK("http://141.218.60.56/~jnz1568/getInfo.php?workbook=20_05.xlsx&amp;sheet=U0&amp;row=8432&amp;col=6&amp;number=3.8&amp;sourceID=14","3.8")</f>
        <v>3.8</v>
      </c>
      <c r="G8432" s="4" t="str">
        <f>HYPERLINK("http://141.218.60.56/~jnz1568/getInfo.php?workbook=20_05.xlsx&amp;sheet=U0&amp;row=8432&amp;col=7&amp;number=0.00551&amp;sourceID=14","0.00551")</f>
        <v>0.00551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HYPERLINK("http://141.218.60.56/~jnz1568/getInfo.php?workbook=20_05.xlsx&amp;sheet=U0&amp;row=8433&amp;col=6&amp;number=3.9&amp;sourceID=14","3.9")</f>
        <v>3.9</v>
      </c>
      <c r="G8433" s="4" t="str">
        <f>HYPERLINK("http://141.218.60.56/~jnz1568/getInfo.php?workbook=20_05.xlsx&amp;sheet=U0&amp;row=8433&amp;col=7&amp;number=0.00551&amp;sourceID=14","0.00551")</f>
        <v>0.00551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HYPERLINK("http://141.218.60.56/~jnz1568/getInfo.php?workbook=20_05.xlsx&amp;sheet=U0&amp;row=8434&amp;col=6&amp;number=4&amp;sourceID=14","4")</f>
        <v>4</v>
      </c>
      <c r="G8434" s="4" t="str">
        <f>HYPERLINK("http://141.218.60.56/~jnz1568/getInfo.php?workbook=20_05.xlsx&amp;sheet=U0&amp;row=8434&amp;col=7&amp;number=0.00551&amp;sourceID=14","0.00551")</f>
        <v>0.00551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HYPERLINK("http://141.218.60.56/~jnz1568/getInfo.php?workbook=20_05.xlsx&amp;sheet=U0&amp;row=8435&amp;col=6&amp;number=4.1&amp;sourceID=14","4.1")</f>
        <v>4.1</v>
      </c>
      <c r="G8435" s="4" t="str">
        <f>HYPERLINK("http://141.218.60.56/~jnz1568/getInfo.php?workbook=20_05.xlsx&amp;sheet=U0&amp;row=8435&amp;col=7&amp;number=0.00551&amp;sourceID=14","0.00551")</f>
        <v>0.00551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HYPERLINK("http://141.218.60.56/~jnz1568/getInfo.php?workbook=20_05.xlsx&amp;sheet=U0&amp;row=8436&amp;col=6&amp;number=4.2&amp;sourceID=14","4.2")</f>
        <v>4.2</v>
      </c>
      <c r="G8436" s="4" t="str">
        <f>HYPERLINK("http://141.218.60.56/~jnz1568/getInfo.php?workbook=20_05.xlsx&amp;sheet=U0&amp;row=8436&amp;col=7&amp;number=0.00551&amp;sourceID=14","0.00551")</f>
        <v>0.00551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HYPERLINK("http://141.218.60.56/~jnz1568/getInfo.php?workbook=20_05.xlsx&amp;sheet=U0&amp;row=8437&amp;col=6&amp;number=4.3&amp;sourceID=14","4.3")</f>
        <v>4.3</v>
      </c>
      <c r="G8437" s="4" t="str">
        <f>HYPERLINK("http://141.218.60.56/~jnz1568/getInfo.php?workbook=20_05.xlsx&amp;sheet=U0&amp;row=8437&amp;col=7&amp;number=0.00551&amp;sourceID=14","0.00551")</f>
        <v>0.00551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HYPERLINK("http://141.218.60.56/~jnz1568/getInfo.php?workbook=20_05.xlsx&amp;sheet=U0&amp;row=8438&amp;col=6&amp;number=4.4&amp;sourceID=14","4.4")</f>
        <v>4.4</v>
      </c>
      <c r="G8438" s="4" t="str">
        <f>HYPERLINK("http://141.218.60.56/~jnz1568/getInfo.php?workbook=20_05.xlsx&amp;sheet=U0&amp;row=8438&amp;col=7&amp;number=0.00552&amp;sourceID=14","0.00552")</f>
        <v>0.00552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HYPERLINK("http://141.218.60.56/~jnz1568/getInfo.php?workbook=20_05.xlsx&amp;sheet=U0&amp;row=8439&amp;col=6&amp;number=4.5&amp;sourceID=14","4.5")</f>
        <v>4.5</v>
      </c>
      <c r="G8439" s="4" t="str">
        <f>HYPERLINK("http://141.218.60.56/~jnz1568/getInfo.php?workbook=20_05.xlsx&amp;sheet=U0&amp;row=8439&amp;col=7&amp;number=0.00552&amp;sourceID=14","0.00552")</f>
        <v>0.00552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HYPERLINK("http://141.218.60.56/~jnz1568/getInfo.php?workbook=20_05.xlsx&amp;sheet=U0&amp;row=8440&amp;col=6&amp;number=4.6&amp;sourceID=14","4.6")</f>
        <v>4.6</v>
      </c>
      <c r="G8440" s="4" t="str">
        <f>HYPERLINK("http://141.218.60.56/~jnz1568/getInfo.php?workbook=20_05.xlsx&amp;sheet=U0&amp;row=8440&amp;col=7&amp;number=0.00553&amp;sourceID=14","0.00553")</f>
        <v>0.00553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HYPERLINK("http://141.218.60.56/~jnz1568/getInfo.php?workbook=20_05.xlsx&amp;sheet=U0&amp;row=8441&amp;col=6&amp;number=4.7&amp;sourceID=14","4.7")</f>
        <v>4.7</v>
      </c>
      <c r="G8441" s="4" t="str">
        <f>HYPERLINK("http://141.218.60.56/~jnz1568/getInfo.php?workbook=20_05.xlsx&amp;sheet=U0&amp;row=8441&amp;col=7&amp;number=0.00553&amp;sourceID=14","0.00553")</f>
        <v>0.00553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HYPERLINK("http://141.218.60.56/~jnz1568/getInfo.php?workbook=20_05.xlsx&amp;sheet=U0&amp;row=8442&amp;col=6&amp;number=4.8&amp;sourceID=14","4.8")</f>
        <v>4.8</v>
      </c>
      <c r="G8442" s="4" t="str">
        <f>HYPERLINK("http://141.218.60.56/~jnz1568/getInfo.php?workbook=20_05.xlsx&amp;sheet=U0&amp;row=8442&amp;col=7&amp;number=0.00554&amp;sourceID=14","0.00554")</f>
        <v>0.00554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HYPERLINK("http://141.218.60.56/~jnz1568/getInfo.php?workbook=20_05.xlsx&amp;sheet=U0&amp;row=8443&amp;col=6&amp;number=4.9&amp;sourceID=14","4.9")</f>
        <v>4.9</v>
      </c>
      <c r="G8443" s="4" t="str">
        <f>HYPERLINK("http://141.218.60.56/~jnz1568/getInfo.php?workbook=20_05.xlsx&amp;sheet=U0&amp;row=8443&amp;col=7&amp;number=0.00555&amp;sourceID=14","0.00555")</f>
        <v>0.00555</v>
      </c>
    </row>
    <row r="8444" spans="1:7">
      <c r="A8444" s="3">
        <v>20</v>
      </c>
      <c r="B8444" s="3">
        <v>5</v>
      </c>
      <c r="C8444" s="3">
        <v>4</v>
      </c>
      <c r="D8444" s="3">
        <v>61</v>
      </c>
      <c r="E8444" s="3">
        <v>1</v>
      </c>
      <c r="F8444" s="4" t="str">
        <f>HYPERLINK("http://141.218.60.56/~jnz1568/getInfo.php?workbook=20_05.xlsx&amp;sheet=U0&amp;row=8444&amp;col=6&amp;number=3&amp;sourceID=14","3")</f>
        <v>3</v>
      </c>
      <c r="G8444" s="4" t="str">
        <f>HYPERLINK("http://141.218.60.56/~jnz1568/getInfo.php?workbook=20_05.xlsx&amp;sheet=U0&amp;row=8444&amp;col=7&amp;number=0.00216&amp;sourceID=14","0.00216")</f>
        <v>0.00216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HYPERLINK("http://141.218.60.56/~jnz1568/getInfo.php?workbook=20_05.xlsx&amp;sheet=U0&amp;row=8445&amp;col=6&amp;number=3.1&amp;sourceID=14","3.1")</f>
        <v>3.1</v>
      </c>
      <c r="G8445" s="4" t="str">
        <f>HYPERLINK("http://141.218.60.56/~jnz1568/getInfo.php?workbook=20_05.xlsx&amp;sheet=U0&amp;row=8445&amp;col=7&amp;number=0.00216&amp;sourceID=14","0.00216")</f>
        <v>0.00216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HYPERLINK("http://141.218.60.56/~jnz1568/getInfo.php?workbook=20_05.xlsx&amp;sheet=U0&amp;row=8446&amp;col=6&amp;number=3.2&amp;sourceID=14","3.2")</f>
        <v>3.2</v>
      </c>
      <c r="G8446" s="4" t="str">
        <f>HYPERLINK("http://141.218.60.56/~jnz1568/getInfo.php?workbook=20_05.xlsx&amp;sheet=U0&amp;row=8446&amp;col=7&amp;number=0.00216&amp;sourceID=14","0.00216")</f>
        <v>0.00216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HYPERLINK("http://141.218.60.56/~jnz1568/getInfo.php?workbook=20_05.xlsx&amp;sheet=U0&amp;row=8447&amp;col=6&amp;number=3.3&amp;sourceID=14","3.3")</f>
        <v>3.3</v>
      </c>
      <c r="G8447" s="4" t="str">
        <f>HYPERLINK("http://141.218.60.56/~jnz1568/getInfo.php?workbook=20_05.xlsx&amp;sheet=U0&amp;row=8447&amp;col=7&amp;number=0.00216&amp;sourceID=14","0.00216")</f>
        <v>0.00216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HYPERLINK("http://141.218.60.56/~jnz1568/getInfo.php?workbook=20_05.xlsx&amp;sheet=U0&amp;row=8448&amp;col=6&amp;number=3.4&amp;sourceID=14","3.4")</f>
        <v>3.4</v>
      </c>
      <c r="G8448" s="4" t="str">
        <f>HYPERLINK("http://141.218.60.56/~jnz1568/getInfo.php?workbook=20_05.xlsx&amp;sheet=U0&amp;row=8448&amp;col=7&amp;number=0.00216&amp;sourceID=14","0.00216")</f>
        <v>0.00216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HYPERLINK("http://141.218.60.56/~jnz1568/getInfo.php?workbook=20_05.xlsx&amp;sheet=U0&amp;row=8449&amp;col=6&amp;number=3.5&amp;sourceID=14","3.5")</f>
        <v>3.5</v>
      </c>
      <c r="G8449" s="4" t="str">
        <f>HYPERLINK("http://141.218.60.56/~jnz1568/getInfo.php?workbook=20_05.xlsx&amp;sheet=U0&amp;row=8449&amp;col=7&amp;number=0.00216&amp;sourceID=14","0.00216")</f>
        <v>0.00216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HYPERLINK("http://141.218.60.56/~jnz1568/getInfo.php?workbook=20_05.xlsx&amp;sheet=U0&amp;row=8450&amp;col=6&amp;number=3.6&amp;sourceID=14","3.6")</f>
        <v>3.6</v>
      </c>
      <c r="G8450" s="4" t="str">
        <f>HYPERLINK("http://141.218.60.56/~jnz1568/getInfo.php?workbook=20_05.xlsx&amp;sheet=U0&amp;row=8450&amp;col=7&amp;number=0.00216&amp;sourceID=14","0.00216")</f>
        <v>0.00216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HYPERLINK("http://141.218.60.56/~jnz1568/getInfo.php?workbook=20_05.xlsx&amp;sheet=U0&amp;row=8451&amp;col=6&amp;number=3.7&amp;sourceID=14","3.7")</f>
        <v>3.7</v>
      </c>
      <c r="G8451" s="4" t="str">
        <f>HYPERLINK("http://141.218.60.56/~jnz1568/getInfo.php?workbook=20_05.xlsx&amp;sheet=U0&amp;row=8451&amp;col=7&amp;number=0.00216&amp;sourceID=14","0.00216")</f>
        <v>0.00216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HYPERLINK("http://141.218.60.56/~jnz1568/getInfo.php?workbook=20_05.xlsx&amp;sheet=U0&amp;row=8452&amp;col=6&amp;number=3.8&amp;sourceID=14","3.8")</f>
        <v>3.8</v>
      </c>
      <c r="G8452" s="4" t="str">
        <f>HYPERLINK("http://141.218.60.56/~jnz1568/getInfo.php?workbook=20_05.xlsx&amp;sheet=U0&amp;row=8452&amp;col=7&amp;number=0.00216&amp;sourceID=14","0.00216")</f>
        <v>0.00216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HYPERLINK("http://141.218.60.56/~jnz1568/getInfo.php?workbook=20_05.xlsx&amp;sheet=U0&amp;row=8453&amp;col=6&amp;number=3.9&amp;sourceID=14","3.9")</f>
        <v>3.9</v>
      </c>
      <c r="G8453" s="4" t="str">
        <f>HYPERLINK("http://141.218.60.56/~jnz1568/getInfo.php?workbook=20_05.xlsx&amp;sheet=U0&amp;row=8453&amp;col=7&amp;number=0.00216&amp;sourceID=14","0.00216")</f>
        <v>0.00216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HYPERLINK("http://141.218.60.56/~jnz1568/getInfo.php?workbook=20_05.xlsx&amp;sheet=U0&amp;row=8454&amp;col=6&amp;number=4&amp;sourceID=14","4")</f>
        <v>4</v>
      </c>
      <c r="G8454" s="4" t="str">
        <f>HYPERLINK("http://141.218.60.56/~jnz1568/getInfo.php?workbook=20_05.xlsx&amp;sheet=U0&amp;row=8454&amp;col=7&amp;number=0.00216&amp;sourceID=14","0.00216")</f>
        <v>0.00216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HYPERLINK("http://141.218.60.56/~jnz1568/getInfo.php?workbook=20_05.xlsx&amp;sheet=U0&amp;row=8455&amp;col=6&amp;number=4.1&amp;sourceID=14","4.1")</f>
        <v>4.1</v>
      </c>
      <c r="G8455" s="4" t="str">
        <f>HYPERLINK("http://141.218.60.56/~jnz1568/getInfo.php?workbook=20_05.xlsx&amp;sheet=U0&amp;row=8455&amp;col=7&amp;number=0.00215&amp;sourceID=14","0.00215")</f>
        <v>0.00215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HYPERLINK("http://141.218.60.56/~jnz1568/getInfo.php?workbook=20_05.xlsx&amp;sheet=U0&amp;row=8456&amp;col=6&amp;number=4.2&amp;sourceID=14","4.2")</f>
        <v>4.2</v>
      </c>
      <c r="G8456" s="4" t="str">
        <f>HYPERLINK("http://141.218.60.56/~jnz1568/getInfo.php?workbook=20_05.xlsx&amp;sheet=U0&amp;row=8456&amp;col=7&amp;number=0.00215&amp;sourceID=14","0.00215")</f>
        <v>0.00215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HYPERLINK("http://141.218.60.56/~jnz1568/getInfo.php?workbook=20_05.xlsx&amp;sheet=U0&amp;row=8457&amp;col=6&amp;number=4.3&amp;sourceID=14","4.3")</f>
        <v>4.3</v>
      </c>
      <c r="G8457" s="4" t="str">
        <f>HYPERLINK("http://141.218.60.56/~jnz1568/getInfo.php?workbook=20_05.xlsx&amp;sheet=U0&amp;row=8457&amp;col=7&amp;number=0.00215&amp;sourceID=14","0.00215")</f>
        <v>0.00215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HYPERLINK("http://141.218.60.56/~jnz1568/getInfo.php?workbook=20_05.xlsx&amp;sheet=U0&amp;row=8458&amp;col=6&amp;number=4.4&amp;sourceID=14","4.4")</f>
        <v>4.4</v>
      </c>
      <c r="G8458" s="4" t="str">
        <f>HYPERLINK("http://141.218.60.56/~jnz1568/getInfo.php?workbook=20_05.xlsx&amp;sheet=U0&amp;row=8458&amp;col=7&amp;number=0.00215&amp;sourceID=14","0.00215")</f>
        <v>0.00215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HYPERLINK("http://141.218.60.56/~jnz1568/getInfo.php?workbook=20_05.xlsx&amp;sheet=U0&amp;row=8459&amp;col=6&amp;number=4.5&amp;sourceID=14","4.5")</f>
        <v>4.5</v>
      </c>
      <c r="G8459" s="4" t="str">
        <f>HYPERLINK("http://141.218.60.56/~jnz1568/getInfo.php?workbook=20_05.xlsx&amp;sheet=U0&amp;row=8459&amp;col=7&amp;number=0.00214&amp;sourceID=14","0.00214")</f>
        <v>0.00214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HYPERLINK("http://141.218.60.56/~jnz1568/getInfo.php?workbook=20_05.xlsx&amp;sheet=U0&amp;row=8460&amp;col=6&amp;number=4.6&amp;sourceID=14","4.6")</f>
        <v>4.6</v>
      </c>
      <c r="G8460" s="4" t="str">
        <f>HYPERLINK("http://141.218.60.56/~jnz1568/getInfo.php?workbook=20_05.xlsx&amp;sheet=U0&amp;row=8460&amp;col=7&amp;number=0.00214&amp;sourceID=14","0.00214")</f>
        <v>0.00214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HYPERLINK("http://141.218.60.56/~jnz1568/getInfo.php?workbook=20_05.xlsx&amp;sheet=U0&amp;row=8461&amp;col=6&amp;number=4.7&amp;sourceID=14","4.7")</f>
        <v>4.7</v>
      </c>
      <c r="G8461" s="4" t="str">
        <f>HYPERLINK("http://141.218.60.56/~jnz1568/getInfo.php?workbook=20_05.xlsx&amp;sheet=U0&amp;row=8461&amp;col=7&amp;number=0.00213&amp;sourceID=14","0.00213")</f>
        <v>0.00213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HYPERLINK("http://141.218.60.56/~jnz1568/getInfo.php?workbook=20_05.xlsx&amp;sheet=U0&amp;row=8462&amp;col=6&amp;number=4.8&amp;sourceID=14","4.8")</f>
        <v>4.8</v>
      </c>
      <c r="G8462" s="4" t="str">
        <f>HYPERLINK("http://141.218.60.56/~jnz1568/getInfo.php?workbook=20_05.xlsx&amp;sheet=U0&amp;row=8462&amp;col=7&amp;number=0.00213&amp;sourceID=14","0.00213")</f>
        <v>0.00213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HYPERLINK("http://141.218.60.56/~jnz1568/getInfo.php?workbook=20_05.xlsx&amp;sheet=U0&amp;row=8463&amp;col=6&amp;number=4.9&amp;sourceID=14","4.9")</f>
        <v>4.9</v>
      </c>
      <c r="G8463" s="4" t="str">
        <f>HYPERLINK("http://141.218.60.56/~jnz1568/getInfo.php?workbook=20_05.xlsx&amp;sheet=U0&amp;row=8463&amp;col=7&amp;number=0.00212&amp;sourceID=14","0.00212")</f>
        <v>0.00212</v>
      </c>
    </row>
    <row r="8464" spans="1:7">
      <c r="A8464" s="3">
        <v>20</v>
      </c>
      <c r="B8464" s="3">
        <v>5</v>
      </c>
      <c r="C8464" s="3">
        <v>4</v>
      </c>
      <c r="D8464" s="3">
        <v>62</v>
      </c>
      <c r="E8464" s="3">
        <v>1</v>
      </c>
      <c r="F8464" s="4" t="str">
        <f>HYPERLINK("http://141.218.60.56/~jnz1568/getInfo.php?workbook=20_05.xlsx&amp;sheet=U0&amp;row=8464&amp;col=6&amp;number=3&amp;sourceID=14","3")</f>
        <v>3</v>
      </c>
      <c r="G8464" s="4" t="str">
        <f>HYPERLINK("http://141.218.60.56/~jnz1568/getInfo.php?workbook=20_05.xlsx&amp;sheet=U0&amp;row=8464&amp;col=7&amp;number=0.000887&amp;sourceID=14","0.000887")</f>
        <v>0.000887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HYPERLINK("http://141.218.60.56/~jnz1568/getInfo.php?workbook=20_05.xlsx&amp;sheet=U0&amp;row=8465&amp;col=6&amp;number=3.1&amp;sourceID=14","3.1")</f>
        <v>3.1</v>
      </c>
      <c r="G8465" s="4" t="str">
        <f>HYPERLINK("http://141.218.60.56/~jnz1568/getInfo.php?workbook=20_05.xlsx&amp;sheet=U0&amp;row=8465&amp;col=7&amp;number=0.000887&amp;sourceID=14","0.000887")</f>
        <v>0.000887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HYPERLINK("http://141.218.60.56/~jnz1568/getInfo.php?workbook=20_05.xlsx&amp;sheet=U0&amp;row=8466&amp;col=6&amp;number=3.2&amp;sourceID=14","3.2")</f>
        <v>3.2</v>
      </c>
      <c r="G8466" s="4" t="str">
        <f>HYPERLINK("http://141.218.60.56/~jnz1568/getInfo.php?workbook=20_05.xlsx&amp;sheet=U0&amp;row=8466&amp;col=7&amp;number=0.000887&amp;sourceID=14","0.000887")</f>
        <v>0.000887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HYPERLINK("http://141.218.60.56/~jnz1568/getInfo.php?workbook=20_05.xlsx&amp;sheet=U0&amp;row=8467&amp;col=6&amp;number=3.3&amp;sourceID=14","3.3")</f>
        <v>3.3</v>
      </c>
      <c r="G8467" s="4" t="str">
        <f>HYPERLINK("http://141.218.60.56/~jnz1568/getInfo.php?workbook=20_05.xlsx&amp;sheet=U0&amp;row=8467&amp;col=7&amp;number=0.000887&amp;sourceID=14","0.000887")</f>
        <v>0.000887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HYPERLINK("http://141.218.60.56/~jnz1568/getInfo.php?workbook=20_05.xlsx&amp;sheet=U0&amp;row=8468&amp;col=6&amp;number=3.4&amp;sourceID=14","3.4")</f>
        <v>3.4</v>
      </c>
      <c r="G8468" s="4" t="str">
        <f>HYPERLINK("http://141.218.60.56/~jnz1568/getInfo.php?workbook=20_05.xlsx&amp;sheet=U0&amp;row=8468&amp;col=7&amp;number=0.000887&amp;sourceID=14","0.000887")</f>
        <v>0.000887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HYPERLINK("http://141.218.60.56/~jnz1568/getInfo.php?workbook=20_05.xlsx&amp;sheet=U0&amp;row=8469&amp;col=6&amp;number=3.5&amp;sourceID=14","3.5")</f>
        <v>3.5</v>
      </c>
      <c r="G8469" s="4" t="str">
        <f>HYPERLINK("http://141.218.60.56/~jnz1568/getInfo.php?workbook=20_05.xlsx&amp;sheet=U0&amp;row=8469&amp;col=7&amp;number=0.000887&amp;sourceID=14","0.000887")</f>
        <v>0.000887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HYPERLINK("http://141.218.60.56/~jnz1568/getInfo.php?workbook=20_05.xlsx&amp;sheet=U0&amp;row=8470&amp;col=6&amp;number=3.6&amp;sourceID=14","3.6")</f>
        <v>3.6</v>
      </c>
      <c r="G8470" s="4" t="str">
        <f>HYPERLINK("http://141.218.60.56/~jnz1568/getInfo.php?workbook=20_05.xlsx&amp;sheet=U0&amp;row=8470&amp;col=7&amp;number=0.000886&amp;sourceID=14","0.000886")</f>
        <v>0.000886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HYPERLINK("http://141.218.60.56/~jnz1568/getInfo.php?workbook=20_05.xlsx&amp;sheet=U0&amp;row=8471&amp;col=6&amp;number=3.7&amp;sourceID=14","3.7")</f>
        <v>3.7</v>
      </c>
      <c r="G8471" s="4" t="str">
        <f>HYPERLINK("http://141.218.60.56/~jnz1568/getInfo.php?workbook=20_05.xlsx&amp;sheet=U0&amp;row=8471&amp;col=7&amp;number=0.000886&amp;sourceID=14","0.000886")</f>
        <v>0.000886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HYPERLINK("http://141.218.60.56/~jnz1568/getInfo.php?workbook=20_05.xlsx&amp;sheet=U0&amp;row=8472&amp;col=6&amp;number=3.8&amp;sourceID=14","3.8")</f>
        <v>3.8</v>
      </c>
      <c r="G8472" s="4" t="str">
        <f>HYPERLINK("http://141.218.60.56/~jnz1568/getInfo.php?workbook=20_05.xlsx&amp;sheet=U0&amp;row=8472&amp;col=7&amp;number=0.000886&amp;sourceID=14","0.000886")</f>
        <v>0.000886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HYPERLINK("http://141.218.60.56/~jnz1568/getInfo.php?workbook=20_05.xlsx&amp;sheet=U0&amp;row=8473&amp;col=6&amp;number=3.9&amp;sourceID=14","3.9")</f>
        <v>3.9</v>
      </c>
      <c r="G8473" s="4" t="str">
        <f>HYPERLINK("http://141.218.60.56/~jnz1568/getInfo.php?workbook=20_05.xlsx&amp;sheet=U0&amp;row=8473&amp;col=7&amp;number=0.000886&amp;sourceID=14","0.000886")</f>
        <v>0.000886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HYPERLINK("http://141.218.60.56/~jnz1568/getInfo.php?workbook=20_05.xlsx&amp;sheet=U0&amp;row=8474&amp;col=6&amp;number=4&amp;sourceID=14","4")</f>
        <v>4</v>
      </c>
      <c r="G8474" s="4" t="str">
        <f>HYPERLINK("http://141.218.60.56/~jnz1568/getInfo.php?workbook=20_05.xlsx&amp;sheet=U0&amp;row=8474&amp;col=7&amp;number=0.000885&amp;sourceID=14","0.000885")</f>
        <v>0.000885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HYPERLINK("http://141.218.60.56/~jnz1568/getInfo.php?workbook=20_05.xlsx&amp;sheet=U0&amp;row=8475&amp;col=6&amp;number=4.1&amp;sourceID=14","4.1")</f>
        <v>4.1</v>
      </c>
      <c r="G8475" s="4" t="str">
        <f>HYPERLINK("http://141.218.60.56/~jnz1568/getInfo.php?workbook=20_05.xlsx&amp;sheet=U0&amp;row=8475&amp;col=7&amp;number=0.000885&amp;sourceID=14","0.000885")</f>
        <v>0.000885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HYPERLINK("http://141.218.60.56/~jnz1568/getInfo.php?workbook=20_05.xlsx&amp;sheet=U0&amp;row=8476&amp;col=6&amp;number=4.2&amp;sourceID=14","4.2")</f>
        <v>4.2</v>
      </c>
      <c r="G8476" s="4" t="str">
        <f>HYPERLINK("http://141.218.60.56/~jnz1568/getInfo.php?workbook=20_05.xlsx&amp;sheet=U0&amp;row=8476&amp;col=7&amp;number=0.000884&amp;sourceID=14","0.000884")</f>
        <v>0.000884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HYPERLINK("http://141.218.60.56/~jnz1568/getInfo.php?workbook=20_05.xlsx&amp;sheet=U0&amp;row=8477&amp;col=6&amp;number=4.3&amp;sourceID=14","4.3")</f>
        <v>4.3</v>
      </c>
      <c r="G8477" s="4" t="str">
        <f>HYPERLINK("http://141.218.60.56/~jnz1568/getInfo.php?workbook=20_05.xlsx&amp;sheet=U0&amp;row=8477&amp;col=7&amp;number=0.000883&amp;sourceID=14","0.000883")</f>
        <v>0.000883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HYPERLINK("http://141.218.60.56/~jnz1568/getInfo.php?workbook=20_05.xlsx&amp;sheet=U0&amp;row=8478&amp;col=6&amp;number=4.4&amp;sourceID=14","4.4")</f>
        <v>4.4</v>
      </c>
      <c r="G8478" s="4" t="str">
        <f>HYPERLINK("http://141.218.60.56/~jnz1568/getInfo.php?workbook=20_05.xlsx&amp;sheet=U0&amp;row=8478&amp;col=7&amp;number=0.000882&amp;sourceID=14","0.000882")</f>
        <v>0.000882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HYPERLINK("http://141.218.60.56/~jnz1568/getInfo.php?workbook=20_05.xlsx&amp;sheet=U0&amp;row=8479&amp;col=6&amp;number=4.5&amp;sourceID=14","4.5")</f>
        <v>4.5</v>
      </c>
      <c r="G8479" s="4" t="str">
        <f>HYPERLINK("http://141.218.60.56/~jnz1568/getInfo.php?workbook=20_05.xlsx&amp;sheet=U0&amp;row=8479&amp;col=7&amp;number=0.00088&amp;sourceID=14","0.00088")</f>
        <v>0.00088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HYPERLINK("http://141.218.60.56/~jnz1568/getInfo.php?workbook=20_05.xlsx&amp;sheet=U0&amp;row=8480&amp;col=6&amp;number=4.6&amp;sourceID=14","4.6")</f>
        <v>4.6</v>
      </c>
      <c r="G8480" s="4" t="str">
        <f>HYPERLINK("http://141.218.60.56/~jnz1568/getInfo.php?workbook=20_05.xlsx&amp;sheet=U0&amp;row=8480&amp;col=7&amp;number=0.000878&amp;sourceID=14","0.000878")</f>
        <v>0.000878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HYPERLINK("http://141.218.60.56/~jnz1568/getInfo.php?workbook=20_05.xlsx&amp;sheet=U0&amp;row=8481&amp;col=6&amp;number=4.7&amp;sourceID=14","4.7")</f>
        <v>4.7</v>
      </c>
      <c r="G8481" s="4" t="str">
        <f>HYPERLINK("http://141.218.60.56/~jnz1568/getInfo.php?workbook=20_05.xlsx&amp;sheet=U0&amp;row=8481&amp;col=7&amp;number=0.000876&amp;sourceID=14","0.000876")</f>
        <v>0.000876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HYPERLINK("http://141.218.60.56/~jnz1568/getInfo.php?workbook=20_05.xlsx&amp;sheet=U0&amp;row=8482&amp;col=6&amp;number=4.8&amp;sourceID=14","4.8")</f>
        <v>4.8</v>
      </c>
      <c r="G8482" s="4" t="str">
        <f>HYPERLINK("http://141.218.60.56/~jnz1568/getInfo.php?workbook=20_05.xlsx&amp;sheet=U0&amp;row=8482&amp;col=7&amp;number=0.000873&amp;sourceID=14","0.000873")</f>
        <v>0.000873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HYPERLINK("http://141.218.60.56/~jnz1568/getInfo.php?workbook=20_05.xlsx&amp;sheet=U0&amp;row=8483&amp;col=6&amp;number=4.9&amp;sourceID=14","4.9")</f>
        <v>4.9</v>
      </c>
      <c r="G8483" s="4" t="str">
        <f>HYPERLINK("http://141.218.60.56/~jnz1568/getInfo.php?workbook=20_05.xlsx&amp;sheet=U0&amp;row=8483&amp;col=7&amp;number=0.00087&amp;sourceID=14","0.00087")</f>
        <v>0.00087</v>
      </c>
    </row>
    <row r="8484" spans="1:7">
      <c r="A8484" s="3">
        <v>20</v>
      </c>
      <c r="B8484" s="3">
        <v>5</v>
      </c>
      <c r="C8484" s="3">
        <v>4</v>
      </c>
      <c r="D8484" s="3">
        <v>63</v>
      </c>
      <c r="E8484" s="3">
        <v>1</v>
      </c>
      <c r="F8484" s="4" t="str">
        <f>HYPERLINK("http://141.218.60.56/~jnz1568/getInfo.php?workbook=20_05.xlsx&amp;sheet=U0&amp;row=8484&amp;col=6&amp;number=3&amp;sourceID=14","3")</f>
        <v>3</v>
      </c>
      <c r="G8484" s="4" t="str">
        <f>HYPERLINK("http://141.218.60.56/~jnz1568/getInfo.php?workbook=20_05.xlsx&amp;sheet=U0&amp;row=8484&amp;col=7&amp;number=0.000677&amp;sourceID=14","0.000677")</f>
        <v>0.000677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HYPERLINK("http://141.218.60.56/~jnz1568/getInfo.php?workbook=20_05.xlsx&amp;sheet=U0&amp;row=8485&amp;col=6&amp;number=3.1&amp;sourceID=14","3.1")</f>
        <v>3.1</v>
      </c>
      <c r="G8485" s="4" t="str">
        <f>HYPERLINK("http://141.218.60.56/~jnz1568/getInfo.php?workbook=20_05.xlsx&amp;sheet=U0&amp;row=8485&amp;col=7&amp;number=0.000677&amp;sourceID=14","0.000677")</f>
        <v>0.000677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HYPERLINK("http://141.218.60.56/~jnz1568/getInfo.php?workbook=20_05.xlsx&amp;sheet=U0&amp;row=8486&amp;col=6&amp;number=3.2&amp;sourceID=14","3.2")</f>
        <v>3.2</v>
      </c>
      <c r="G8486" s="4" t="str">
        <f>HYPERLINK("http://141.218.60.56/~jnz1568/getInfo.php?workbook=20_05.xlsx&amp;sheet=U0&amp;row=8486&amp;col=7&amp;number=0.000677&amp;sourceID=14","0.000677")</f>
        <v>0.000677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HYPERLINK("http://141.218.60.56/~jnz1568/getInfo.php?workbook=20_05.xlsx&amp;sheet=U0&amp;row=8487&amp;col=6&amp;number=3.3&amp;sourceID=14","3.3")</f>
        <v>3.3</v>
      </c>
      <c r="G8487" s="4" t="str">
        <f>HYPERLINK("http://141.218.60.56/~jnz1568/getInfo.php?workbook=20_05.xlsx&amp;sheet=U0&amp;row=8487&amp;col=7&amp;number=0.000677&amp;sourceID=14","0.000677")</f>
        <v>0.000677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HYPERLINK("http://141.218.60.56/~jnz1568/getInfo.php?workbook=20_05.xlsx&amp;sheet=U0&amp;row=8488&amp;col=6&amp;number=3.4&amp;sourceID=14","3.4")</f>
        <v>3.4</v>
      </c>
      <c r="G8488" s="4" t="str">
        <f>HYPERLINK("http://141.218.60.56/~jnz1568/getInfo.php?workbook=20_05.xlsx&amp;sheet=U0&amp;row=8488&amp;col=7&amp;number=0.000677&amp;sourceID=14","0.000677")</f>
        <v>0.000677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HYPERLINK("http://141.218.60.56/~jnz1568/getInfo.php?workbook=20_05.xlsx&amp;sheet=U0&amp;row=8489&amp;col=6&amp;number=3.5&amp;sourceID=14","3.5")</f>
        <v>3.5</v>
      </c>
      <c r="G8489" s="4" t="str">
        <f>HYPERLINK("http://141.218.60.56/~jnz1568/getInfo.php?workbook=20_05.xlsx&amp;sheet=U0&amp;row=8489&amp;col=7&amp;number=0.000677&amp;sourceID=14","0.000677")</f>
        <v>0.000677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HYPERLINK("http://141.218.60.56/~jnz1568/getInfo.php?workbook=20_05.xlsx&amp;sheet=U0&amp;row=8490&amp;col=6&amp;number=3.6&amp;sourceID=14","3.6")</f>
        <v>3.6</v>
      </c>
      <c r="G8490" s="4" t="str">
        <f>HYPERLINK("http://141.218.60.56/~jnz1568/getInfo.php?workbook=20_05.xlsx&amp;sheet=U0&amp;row=8490&amp;col=7&amp;number=0.000677&amp;sourceID=14","0.000677")</f>
        <v>0.000677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HYPERLINK("http://141.218.60.56/~jnz1568/getInfo.php?workbook=20_05.xlsx&amp;sheet=U0&amp;row=8491&amp;col=6&amp;number=3.7&amp;sourceID=14","3.7")</f>
        <v>3.7</v>
      </c>
      <c r="G8491" s="4" t="str">
        <f>HYPERLINK("http://141.218.60.56/~jnz1568/getInfo.php?workbook=20_05.xlsx&amp;sheet=U0&amp;row=8491&amp;col=7&amp;number=0.000677&amp;sourceID=14","0.000677")</f>
        <v>0.000677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HYPERLINK("http://141.218.60.56/~jnz1568/getInfo.php?workbook=20_05.xlsx&amp;sheet=U0&amp;row=8492&amp;col=6&amp;number=3.8&amp;sourceID=14","3.8")</f>
        <v>3.8</v>
      </c>
      <c r="G8492" s="4" t="str">
        <f>HYPERLINK("http://141.218.60.56/~jnz1568/getInfo.php?workbook=20_05.xlsx&amp;sheet=U0&amp;row=8492&amp;col=7&amp;number=0.000676&amp;sourceID=14","0.000676")</f>
        <v>0.000676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HYPERLINK("http://141.218.60.56/~jnz1568/getInfo.php?workbook=20_05.xlsx&amp;sheet=U0&amp;row=8493&amp;col=6&amp;number=3.9&amp;sourceID=14","3.9")</f>
        <v>3.9</v>
      </c>
      <c r="G8493" s="4" t="str">
        <f>HYPERLINK("http://141.218.60.56/~jnz1568/getInfo.php?workbook=20_05.xlsx&amp;sheet=U0&amp;row=8493&amp;col=7&amp;number=0.000676&amp;sourceID=14","0.000676")</f>
        <v>0.000676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HYPERLINK("http://141.218.60.56/~jnz1568/getInfo.php?workbook=20_05.xlsx&amp;sheet=U0&amp;row=8494&amp;col=6&amp;number=4&amp;sourceID=14","4")</f>
        <v>4</v>
      </c>
      <c r="G8494" s="4" t="str">
        <f>HYPERLINK("http://141.218.60.56/~jnz1568/getInfo.php?workbook=20_05.xlsx&amp;sheet=U0&amp;row=8494&amp;col=7&amp;number=0.000676&amp;sourceID=14","0.000676")</f>
        <v>0.000676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HYPERLINK("http://141.218.60.56/~jnz1568/getInfo.php?workbook=20_05.xlsx&amp;sheet=U0&amp;row=8495&amp;col=6&amp;number=4.1&amp;sourceID=14","4.1")</f>
        <v>4.1</v>
      </c>
      <c r="G8495" s="4" t="str">
        <f>HYPERLINK("http://141.218.60.56/~jnz1568/getInfo.php?workbook=20_05.xlsx&amp;sheet=U0&amp;row=8495&amp;col=7&amp;number=0.000675&amp;sourceID=14","0.000675")</f>
        <v>0.000675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HYPERLINK("http://141.218.60.56/~jnz1568/getInfo.php?workbook=20_05.xlsx&amp;sheet=U0&amp;row=8496&amp;col=6&amp;number=4.2&amp;sourceID=14","4.2")</f>
        <v>4.2</v>
      </c>
      <c r="G8496" s="4" t="str">
        <f>HYPERLINK("http://141.218.60.56/~jnz1568/getInfo.php?workbook=20_05.xlsx&amp;sheet=U0&amp;row=8496&amp;col=7&amp;number=0.000675&amp;sourceID=14","0.000675")</f>
        <v>0.000675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HYPERLINK("http://141.218.60.56/~jnz1568/getInfo.php?workbook=20_05.xlsx&amp;sheet=U0&amp;row=8497&amp;col=6&amp;number=4.3&amp;sourceID=14","4.3")</f>
        <v>4.3</v>
      </c>
      <c r="G8497" s="4" t="str">
        <f>HYPERLINK("http://141.218.60.56/~jnz1568/getInfo.php?workbook=20_05.xlsx&amp;sheet=U0&amp;row=8497&amp;col=7&amp;number=0.000674&amp;sourceID=14","0.000674")</f>
        <v>0.000674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HYPERLINK("http://141.218.60.56/~jnz1568/getInfo.php?workbook=20_05.xlsx&amp;sheet=U0&amp;row=8498&amp;col=6&amp;number=4.4&amp;sourceID=14","4.4")</f>
        <v>4.4</v>
      </c>
      <c r="G8498" s="4" t="str">
        <f>HYPERLINK("http://141.218.60.56/~jnz1568/getInfo.php?workbook=20_05.xlsx&amp;sheet=U0&amp;row=8498&amp;col=7&amp;number=0.000673&amp;sourceID=14","0.000673")</f>
        <v>0.000673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HYPERLINK("http://141.218.60.56/~jnz1568/getInfo.php?workbook=20_05.xlsx&amp;sheet=U0&amp;row=8499&amp;col=6&amp;number=4.5&amp;sourceID=14","4.5")</f>
        <v>4.5</v>
      </c>
      <c r="G8499" s="4" t="str">
        <f>HYPERLINK("http://141.218.60.56/~jnz1568/getInfo.php?workbook=20_05.xlsx&amp;sheet=U0&amp;row=8499&amp;col=7&amp;number=0.000672&amp;sourceID=14","0.000672")</f>
        <v>0.000672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HYPERLINK("http://141.218.60.56/~jnz1568/getInfo.php?workbook=20_05.xlsx&amp;sheet=U0&amp;row=8500&amp;col=6&amp;number=4.6&amp;sourceID=14","4.6")</f>
        <v>4.6</v>
      </c>
      <c r="G8500" s="4" t="str">
        <f>HYPERLINK("http://141.218.60.56/~jnz1568/getInfo.php?workbook=20_05.xlsx&amp;sheet=U0&amp;row=8500&amp;col=7&amp;number=0.000671&amp;sourceID=14","0.000671")</f>
        <v>0.000671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HYPERLINK("http://141.218.60.56/~jnz1568/getInfo.php?workbook=20_05.xlsx&amp;sheet=U0&amp;row=8501&amp;col=6&amp;number=4.7&amp;sourceID=14","4.7")</f>
        <v>4.7</v>
      </c>
      <c r="G8501" s="4" t="str">
        <f>HYPERLINK("http://141.218.60.56/~jnz1568/getInfo.php?workbook=20_05.xlsx&amp;sheet=U0&amp;row=8501&amp;col=7&amp;number=0.000669&amp;sourceID=14","0.000669")</f>
        <v>0.000669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HYPERLINK("http://141.218.60.56/~jnz1568/getInfo.php?workbook=20_05.xlsx&amp;sheet=U0&amp;row=8502&amp;col=6&amp;number=4.8&amp;sourceID=14","4.8")</f>
        <v>4.8</v>
      </c>
      <c r="G8502" s="4" t="str">
        <f>HYPERLINK("http://141.218.60.56/~jnz1568/getInfo.php?workbook=20_05.xlsx&amp;sheet=U0&amp;row=8502&amp;col=7&amp;number=0.000667&amp;sourceID=14","0.000667")</f>
        <v>0.000667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HYPERLINK("http://141.218.60.56/~jnz1568/getInfo.php?workbook=20_05.xlsx&amp;sheet=U0&amp;row=8503&amp;col=6&amp;number=4.9&amp;sourceID=14","4.9")</f>
        <v>4.9</v>
      </c>
      <c r="G8503" s="4" t="str">
        <f>HYPERLINK("http://141.218.60.56/~jnz1568/getInfo.php?workbook=20_05.xlsx&amp;sheet=U0&amp;row=8503&amp;col=7&amp;number=0.000665&amp;sourceID=14","0.000665")</f>
        <v>0.000665</v>
      </c>
    </row>
    <row r="8504" spans="1:7">
      <c r="A8504" s="3">
        <v>20</v>
      </c>
      <c r="B8504" s="3">
        <v>5</v>
      </c>
      <c r="C8504" s="3">
        <v>4</v>
      </c>
      <c r="D8504" s="3">
        <v>64</v>
      </c>
      <c r="E8504" s="3">
        <v>1</v>
      </c>
      <c r="F8504" s="4" t="str">
        <f>HYPERLINK("http://141.218.60.56/~jnz1568/getInfo.php?workbook=20_05.xlsx&amp;sheet=U0&amp;row=8504&amp;col=6&amp;number=3&amp;sourceID=14","3")</f>
        <v>3</v>
      </c>
      <c r="G8504" s="4" t="str">
        <f>HYPERLINK("http://141.218.60.56/~jnz1568/getInfo.php?workbook=20_05.xlsx&amp;sheet=U0&amp;row=8504&amp;col=7&amp;number=3.94e-05&amp;sourceID=14","3.94e-05")</f>
        <v>3.94e-05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HYPERLINK("http://141.218.60.56/~jnz1568/getInfo.php?workbook=20_05.xlsx&amp;sheet=U0&amp;row=8505&amp;col=6&amp;number=3.1&amp;sourceID=14","3.1")</f>
        <v>3.1</v>
      </c>
      <c r="G8505" s="4" t="str">
        <f>HYPERLINK("http://141.218.60.56/~jnz1568/getInfo.php?workbook=20_05.xlsx&amp;sheet=U0&amp;row=8505&amp;col=7&amp;number=3.94e-05&amp;sourceID=14","3.94e-05")</f>
        <v>3.94e-05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HYPERLINK("http://141.218.60.56/~jnz1568/getInfo.php?workbook=20_05.xlsx&amp;sheet=U0&amp;row=8506&amp;col=6&amp;number=3.2&amp;sourceID=14","3.2")</f>
        <v>3.2</v>
      </c>
      <c r="G8506" s="4" t="str">
        <f>HYPERLINK("http://141.218.60.56/~jnz1568/getInfo.php?workbook=20_05.xlsx&amp;sheet=U0&amp;row=8506&amp;col=7&amp;number=3.94e-05&amp;sourceID=14","3.94e-05")</f>
        <v>3.94e-05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HYPERLINK("http://141.218.60.56/~jnz1568/getInfo.php?workbook=20_05.xlsx&amp;sheet=U0&amp;row=8507&amp;col=6&amp;number=3.3&amp;sourceID=14","3.3")</f>
        <v>3.3</v>
      </c>
      <c r="G8507" s="4" t="str">
        <f>HYPERLINK("http://141.218.60.56/~jnz1568/getInfo.php?workbook=20_05.xlsx&amp;sheet=U0&amp;row=8507&amp;col=7&amp;number=3.94e-05&amp;sourceID=14","3.94e-05")</f>
        <v>3.94e-05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HYPERLINK("http://141.218.60.56/~jnz1568/getInfo.php?workbook=20_05.xlsx&amp;sheet=U0&amp;row=8508&amp;col=6&amp;number=3.4&amp;sourceID=14","3.4")</f>
        <v>3.4</v>
      </c>
      <c r="G8508" s="4" t="str">
        <f>HYPERLINK("http://141.218.60.56/~jnz1568/getInfo.php?workbook=20_05.xlsx&amp;sheet=U0&amp;row=8508&amp;col=7&amp;number=3.94e-05&amp;sourceID=14","3.94e-05")</f>
        <v>3.94e-05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HYPERLINK("http://141.218.60.56/~jnz1568/getInfo.php?workbook=20_05.xlsx&amp;sheet=U0&amp;row=8509&amp;col=6&amp;number=3.5&amp;sourceID=14","3.5")</f>
        <v>3.5</v>
      </c>
      <c r="G8509" s="4" t="str">
        <f>HYPERLINK("http://141.218.60.56/~jnz1568/getInfo.php?workbook=20_05.xlsx&amp;sheet=U0&amp;row=8509&amp;col=7&amp;number=3.93e-05&amp;sourceID=14","3.93e-05")</f>
        <v>3.93e-05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HYPERLINK("http://141.218.60.56/~jnz1568/getInfo.php?workbook=20_05.xlsx&amp;sheet=U0&amp;row=8510&amp;col=6&amp;number=3.6&amp;sourceID=14","3.6")</f>
        <v>3.6</v>
      </c>
      <c r="G8510" s="4" t="str">
        <f>HYPERLINK("http://141.218.60.56/~jnz1568/getInfo.php?workbook=20_05.xlsx&amp;sheet=U0&amp;row=8510&amp;col=7&amp;number=3.93e-05&amp;sourceID=14","3.93e-05")</f>
        <v>3.93e-05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HYPERLINK("http://141.218.60.56/~jnz1568/getInfo.php?workbook=20_05.xlsx&amp;sheet=U0&amp;row=8511&amp;col=6&amp;number=3.7&amp;sourceID=14","3.7")</f>
        <v>3.7</v>
      </c>
      <c r="G8511" s="4" t="str">
        <f>HYPERLINK("http://141.218.60.56/~jnz1568/getInfo.php?workbook=20_05.xlsx&amp;sheet=U0&amp;row=8511&amp;col=7&amp;number=3.93e-05&amp;sourceID=14","3.93e-05")</f>
        <v>3.93e-05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HYPERLINK("http://141.218.60.56/~jnz1568/getInfo.php?workbook=20_05.xlsx&amp;sheet=U0&amp;row=8512&amp;col=6&amp;number=3.8&amp;sourceID=14","3.8")</f>
        <v>3.8</v>
      </c>
      <c r="G8512" s="4" t="str">
        <f>HYPERLINK("http://141.218.60.56/~jnz1568/getInfo.php?workbook=20_05.xlsx&amp;sheet=U0&amp;row=8512&amp;col=7&amp;number=3.93e-05&amp;sourceID=14","3.93e-05")</f>
        <v>3.93e-05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HYPERLINK("http://141.218.60.56/~jnz1568/getInfo.php?workbook=20_05.xlsx&amp;sheet=U0&amp;row=8513&amp;col=6&amp;number=3.9&amp;sourceID=14","3.9")</f>
        <v>3.9</v>
      </c>
      <c r="G8513" s="4" t="str">
        <f>HYPERLINK("http://141.218.60.56/~jnz1568/getInfo.php?workbook=20_05.xlsx&amp;sheet=U0&amp;row=8513&amp;col=7&amp;number=3.93e-05&amp;sourceID=14","3.93e-05")</f>
        <v>3.93e-05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HYPERLINK("http://141.218.60.56/~jnz1568/getInfo.php?workbook=20_05.xlsx&amp;sheet=U0&amp;row=8514&amp;col=6&amp;number=4&amp;sourceID=14","4")</f>
        <v>4</v>
      </c>
      <c r="G8514" s="4" t="str">
        <f>HYPERLINK("http://141.218.60.56/~jnz1568/getInfo.php?workbook=20_05.xlsx&amp;sheet=U0&amp;row=8514&amp;col=7&amp;number=3.93e-05&amp;sourceID=14","3.93e-05")</f>
        <v>3.93e-05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HYPERLINK("http://141.218.60.56/~jnz1568/getInfo.php?workbook=20_05.xlsx&amp;sheet=U0&amp;row=8515&amp;col=6&amp;number=4.1&amp;sourceID=14","4.1")</f>
        <v>4.1</v>
      </c>
      <c r="G8515" s="4" t="str">
        <f>HYPERLINK("http://141.218.60.56/~jnz1568/getInfo.php?workbook=20_05.xlsx&amp;sheet=U0&amp;row=8515&amp;col=7&amp;number=3.93e-05&amp;sourceID=14","3.93e-05")</f>
        <v>3.93e-05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HYPERLINK("http://141.218.60.56/~jnz1568/getInfo.php?workbook=20_05.xlsx&amp;sheet=U0&amp;row=8516&amp;col=6&amp;number=4.2&amp;sourceID=14","4.2")</f>
        <v>4.2</v>
      </c>
      <c r="G8516" s="4" t="str">
        <f>HYPERLINK("http://141.218.60.56/~jnz1568/getInfo.php?workbook=20_05.xlsx&amp;sheet=U0&amp;row=8516&amp;col=7&amp;number=3.92e-05&amp;sourceID=14","3.92e-05")</f>
        <v>3.92e-05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HYPERLINK("http://141.218.60.56/~jnz1568/getInfo.php?workbook=20_05.xlsx&amp;sheet=U0&amp;row=8517&amp;col=6&amp;number=4.3&amp;sourceID=14","4.3")</f>
        <v>4.3</v>
      </c>
      <c r="G8517" s="4" t="str">
        <f>HYPERLINK("http://141.218.60.56/~jnz1568/getInfo.php?workbook=20_05.xlsx&amp;sheet=U0&amp;row=8517&amp;col=7&amp;number=3.92e-05&amp;sourceID=14","3.92e-05")</f>
        <v>3.92e-05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HYPERLINK("http://141.218.60.56/~jnz1568/getInfo.php?workbook=20_05.xlsx&amp;sheet=U0&amp;row=8518&amp;col=6&amp;number=4.4&amp;sourceID=14","4.4")</f>
        <v>4.4</v>
      </c>
      <c r="G8518" s="4" t="str">
        <f>HYPERLINK("http://141.218.60.56/~jnz1568/getInfo.php?workbook=20_05.xlsx&amp;sheet=U0&amp;row=8518&amp;col=7&amp;number=3.91e-05&amp;sourceID=14","3.91e-05")</f>
        <v>3.91e-05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HYPERLINK("http://141.218.60.56/~jnz1568/getInfo.php?workbook=20_05.xlsx&amp;sheet=U0&amp;row=8519&amp;col=6&amp;number=4.5&amp;sourceID=14","4.5")</f>
        <v>4.5</v>
      </c>
      <c r="G8519" s="4" t="str">
        <f>HYPERLINK("http://141.218.60.56/~jnz1568/getInfo.php?workbook=20_05.xlsx&amp;sheet=U0&amp;row=8519&amp;col=7&amp;number=3.91e-05&amp;sourceID=14","3.91e-05")</f>
        <v>3.91e-05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HYPERLINK("http://141.218.60.56/~jnz1568/getInfo.php?workbook=20_05.xlsx&amp;sheet=U0&amp;row=8520&amp;col=6&amp;number=4.6&amp;sourceID=14","4.6")</f>
        <v>4.6</v>
      </c>
      <c r="G8520" s="4" t="str">
        <f>HYPERLINK("http://141.218.60.56/~jnz1568/getInfo.php?workbook=20_05.xlsx&amp;sheet=U0&amp;row=8520&amp;col=7&amp;number=3.9e-05&amp;sourceID=14","3.9e-05")</f>
        <v>3.9e-05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HYPERLINK("http://141.218.60.56/~jnz1568/getInfo.php?workbook=20_05.xlsx&amp;sheet=U0&amp;row=8521&amp;col=6&amp;number=4.7&amp;sourceID=14","4.7")</f>
        <v>4.7</v>
      </c>
      <c r="G8521" s="4" t="str">
        <f>HYPERLINK("http://141.218.60.56/~jnz1568/getInfo.php?workbook=20_05.xlsx&amp;sheet=U0&amp;row=8521&amp;col=7&amp;number=3.89e-05&amp;sourceID=14","3.89e-05")</f>
        <v>3.89e-05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HYPERLINK("http://141.218.60.56/~jnz1568/getInfo.php?workbook=20_05.xlsx&amp;sheet=U0&amp;row=8522&amp;col=6&amp;number=4.8&amp;sourceID=14","4.8")</f>
        <v>4.8</v>
      </c>
      <c r="G8522" s="4" t="str">
        <f>HYPERLINK("http://141.218.60.56/~jnz1568/getInfo.php?workbook=20_05.xlsx&amp;sheet=U0&amp;row=8522&amp;col=7&amp;number=3.88e-05&amp;sourceID=14","3.88e-05")</f>
        <v>3.88e-05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HYPERLINK("http://141.218.60.56/~jnz1568/getInfo.php?workbook=20_05.xlsx&amp;sheet=U0&amp;row=8523&amp;col=6&amp;number=4.9&amp;sourceID=14","4.9")</f>
        <v>4.9</v>
      </c>
      <c r="G8523" s="4" t="str">
        <f>HYPERLINK("http://141.218.60.56/~jnz1568/getInfo.php?workbook=20_05.xlsx&amp;sheet=U0&amp;row=8523&amp;col=7&amp;number=3.86e-05&amp;sourceID=14","3.86e-05")</f>
        <v>3.86e-05</v>
      </c>
    </row>
    <row r="8524" spans="1:7">
      <c r="A8524" s="3">
        <v>20</v>
      </c>
      <c r="B8524" s="3">
        <v>5</v>
      </c>
      <c r="C8524" s="3">
        <v>4</v>
      </c>
      <c r="D8524" s="3">
        <v>65</v>
      </c>
      <c r="E8524" s="3">
        <v>1</v>
      </c>
      <c r="F8524" s="4" t="str">
        <f>HYPERLINK("http://141.218.60.56/~jnz1568/getInfo.php?workbook=20_05.xlsx&amp;sheet=U0&amp;row=8524&amp;col=6&amp;number=3&amp;sourceID=14","3")</f>
        <v>3</v>
      </c>
      <c r="G8524" s="4" t="str">
        <f>HYPERLINK("http://141.218.60.56/~jnz1568/getInfo.php?workbook=20_05.xlsx&amp;sheet=U0&amp;row=8524&amp;col=7&amp;number=0.00726&amp;sourceID=14","0.00726")</f>
        <v>0.00726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HYPERLINK("http://141.218.60.56/~jnz1568/getInfo.php?workbook=20_05.xlsx&amp;sheet=U0&amp;row=8525&amp;col=6&amp;number=3.1&amp;sourceID=14","3.1")</f>
        <v>3.1</v>
      </c>
      <c r="G8525" s="4" t="str">
        <f>HYPERLINK("http://141.218.60.56/~jnz1568/getInfo.php?workbook=20_05.xlsx&amp;sheet=U0&amp;row=8525&amp;col=7&amp;number=0.00726&amp;sourceID=14","0.00726")</f>
        <v>0.00726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HYPERLINK("http://141.218.60.56/~jnz1568/getInfo.php?workbook=20_05.xlsx&amp;sheet=U0&amp;row=8526&amp;col=6&amp;number=3.2&amp;sourceID=14","3.2")</f>
        <v>3.2</v>
      </c>
      <c r="G8526" s="4" t="str">
        <f>HYPERLINK("http://141.218.60.56/~jnz1568/getInfo.php?workbook=20_05.xlsx&amp;sheet=U0&amp;row=8526&amp;col=7&amp;number=0.00726&amp;sourceID=14","0.00726")</f>
        <v>0.00726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HYPERLINK("http://141.218.60.56/~jnz1568/getInfo.php?workbook=20_05.xlsx&amp;sheet=U0&amp;row=8527&amp;col=6&amp;number=3.3&amp;sourceID=14","3.3")</f>
        <v>3.3</v>
      </c>
      <c r="G8527" s="4" t="str">
        <f>HYPERLINK("http://141.218.60.56/~jnz1568/getInfo.php?workbook=20_05.xlsx&amp;sheet=U0&amp;row=8527&amp;col=7&amp;number=0.00726&amp;sourceID=14","0.00726")</f>
        <v>0.00726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HYPERLINK("http://141.218.60.56/~jnz1568/getInfo.php?workbook=20_05.xlsx&amp;sheet=U0&amp;row=8528&amp;col=6&amp;number=3.4&amp;sourceID=14","3.4")</f>
        <v>3.4</v>
      </c>
      <c r="G8528" s="4" t="str">
        <f>HYPERLINK("http://141.218.60.56/~jnz1568/getInfo.php?workbook=20_05.xlsx&amp;sheet=U0&amp;row=8528&amp;col=7&amp;number=0.00726&amp;sourceID=14","0.00726")</f>
        <v>0.00726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HYPERLINK("http://141.218.60.56/~jnz1568/getInfo.php?workbook=20_05.xlsx&amp;sheet=U0&amp;row=8529&amp;col=6&amp;number=3.5&amp;sourceID=14","3.5")</f>
        <v>3.5</v>
      </c>
      <c r="G8529" s="4" t="str">
        <f>HYPERLINK("http://141.218.60.56/~jnz1568/getInfo.php?workbook=20_05.xlsx&amp;sheet=U0&amp;row=8529&amp;col=7&amp;number=0.00726&amp;sourceID=14","0.00726")</f>
        <v>0.00726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HYPERLINK("http://141.218.60.56/~jnz1568/getInfo.php?workbook=20_05.xlsx&amp;sheet=U0&amp;row=8530&amp;col=6&amp;number=3.6&amp;sourceID=14","3.6")</f>
        <v>3.6</v>
      </c>
      <c r="G8530" s="4" t="str">
        <f>HYPERLINK("http://141.218.60.56/~jnz1568/getInfo.php?workbook=20_05.xlsx&amp;sheet=U0&amp;row=8530&amp;col=7&amp;number=0.00726&amp;sourceID=14","0.00726")</f>
        <v>0.00726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HYPERLINK("http://141.218.60.56/~jnz1568/getInfo.php?workbook=20_05.xlsx&amp;sheet=U0&amp;row=8531&amp;col=6&amp;number=3.7&amp;sourceID=14","3.7")</f>
        <v>3.7</v>
      </c>
      <c r="G8531" s="4" t="str">
        <f>HYPERLINK("http://141.218.60.56/~jnz1568/getInfo.php?workbook=20_05.xlsx&amp;sheet=U0&amp;row=8531&amp;col=7&amp;number=0.00726&amp;sourceID=14","0.00726")</f>
        <v>0.00726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HYPERLINK("http://141.218.60.56/~jnz1568/getInfo.php?workbook=20_05.xlsx&amp;sheet=U0&amp;row=8532&amp;col=6&amp;number=3.8&amp;sourceID=14","3.8")</f>
        <v>3.8</v>
      </c>
      <c r="G8532" s="4" t="str">
        <f>HYPERLINK("http://141.218.60.56/~jnz1568/getInfo.php?workbook=20_05.xlsx&amp;sheet=U0&amp;row=8532&amp;col=7&amp;number=0.00726&amp;sourceID=14","0.00726")</f>
        <v>0.00726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HYPERLINK("http://141.218.60.56/~jnz1568/getInfo.php?workbook=20_05.xlsx&amp;sheet=U0&amp;row=8533&amp;col=6&amp;number=3.9&amp;sourceID=14","3.9")</f>
        <v>3.9</v>
      </c>
      <c r="G8533" s="4" t="str">
        <f>HYPERLINK("http://141.218.60.56/~jnz1568/getInfo.php?workbook=20_05.xlsx&amp;sheet=U0&amp;row=8533&amp;col=7&amp;number=0.00726&amp;sourceID=14","0.00726")</f>
        <v>0.00726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HYPERLINK("http://141.218.60.56/~jnz1568/getInfo.php?workbook=20_05.xlsx&amp;sheet=U0&amp;row=8534&amp;col=6&amp;number=4&amp;sourceID=14","4")</f>
        <v>4</v>
      </c>
      <c r="G8534" s="4" t="str">
        <f>HYPERLINK("http://141.218.60.56/~jnz1568/getInfo.php?workbook=20_05.xlsx&amp;sheet=U0&amp;row=8534&amp;col=7&amp;number=0.00726&amp;sourceID=14","0.00726")</f>
        <v>0.00726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HYPERLINK("http://141.218.60.56/~jnz1568/getInfo.php?workbook=20_05.xlsx&amp;sheet=U0&amp;row=8535&amp;col=6&amp;number=4.1&amp;sourceID=14","4.1")</f>
        <v>4.1</v>
      </c>
      <c r="G8535" s="4" t="str">
        <f>HYPERLINK("http://141.218.60.56/~jnz1568/getInfo.php?workbook=20_05.xlsx&amp;sheet=U0&amp;row=8535&amp;col=7&amp;number=0.00725&amp;sourceID=14","0.00725")</f>
        <v>0.00725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HYPERLINK("http://141.218.60.56/~jnz1568/getInfo.php?workbook=20_05.xlsx&amp;sheet=U0&amp;row=8536&amp;col=6&amp;number=4.2&amp;sourceID=14","4.2")</f>
        <v>4.2</v>
      </c>
      <c r="G8536" s="4" t="str">
        <f>HYPERLINK("http://141.218.60.56/~jnz1568/getInfo.php?workbook=20_05.xlsx&amp;sheet=U0&amp;row=8536&amp;col=7&amp;number=0.00725&amp;sourceID=14","0.00725")</f>
        <v>0.00725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HYPERLINK("http://141.218.60.56/~jnz1568/getInfo.php?workbook=20_05.xlsx&amp;sheet=U0&amp;row=8537&amp;col=6&amp;number=4.3&amp;sourceID=14","4.3")</f>
        <v>4.3</v>
      </c>
      <c r="G8537" s="4" t="str">
        <f>HYPERLINK("http://141.218.60.56/~jnz1568/getInfo.php?workbook=20_05.xlsx&amp;sheet=U0&amp;row=8537&amp;col=7&amp;number=0.00725&amp;sourceID=14","0.00725")</f>
        <v>0.00725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HYPERLINK("http://141.218.60.56/~jnz1568/getInfo.php?workbook=20_05.xlsx&amp;sheet=U0&amp;row=8538&amp;col=6&amp;number=4.4&amp;sourceID=14","4.4")</f>
        <v>4.4</v>
      </c>
      <c r="G8538" s="4" t="str">
        <f>HYPERLINK("http://141.218.60.56/~jnz1568/getInfo.php?workbook=20_05.xlsx&amp;sheet=U0&amp;row=8538&amp;col=7&amp;number=0.00725&amp;sourceID=14","0.00725")</f>
        <v>0.00725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HYPERLINK("http://141.218.60.56/~jnz1568/getInfo.php?workbook=20_05.xlsx&amp;sheet=U0&amp;row=8539&amp;col=6&amp;number=4.5&amp;sourceID=14","4.5")</f>
        <v>4.5</v>
      </c>
      <c r="G8539" s="4" t="str">
        <f>HYPERLINK("http://141.218.60.56/~jnz1568/getInfo.php?workbook=20_05.xlsx&amp;sheet=U0&amp;row=8539&amp;col=7&amp;number=0.00725&amp;sourceID=14","0.00725")</f>
        <v>0.00725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HYPERLINK("http://141.218.60.56/~jnz1568/getInfo.php?workbook=20_05.xlsx&amp;sheet=U0&amp;row=8540&amp;col=6&amp;number=4.6&amp;sourceID=14","4.6")</f>
        <v>4.6</v>
      </c>
      <c r="G8540" s="4" t="str">
        <f>HYPERLINK("http://141.218.60.56/~jnz1568/getInfo.php?workbook=20_05.xlsx&amp;sheet=U0&amp;row=8540&amp;col=7&amp;number=0.00725&amp;sourceID=14","0.00725")</f>
        <v>0.00725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HYPERLINK("http://141.218.60.56/~jnz1568/getInfo.php?workbook=20_05.xlsx&amp;sheet=U0&amp;row=8541&amp;col=6&amp;number=4.7&amp;sourceID=14","4.7")</f>
        <v>4.7</v>
      </c>
      <c r="G8541" s="4" t="str">
        <f>HYPERLINK("http://141.218.60.56/~jnz1568/getInfo.php?workbook=20_05.xlsx&amp;sheet=U0&amp;row=8541&amp;col=7&amp;number=0.00725&amp;sourceID=14","0.00725")</f>
        <v>0.00725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HYPERLINK("http://141.218.60.56/~jnz1568/getInfo.php?workbook=20_05.xlsx&amp;sheet=U0&amp;row=8542&amp;col=6&amp;number=4.8&amp;sourceID=14","4.8")</f>
        <v>4.8</v>
      </c>
      <c r="G8542" s="4" t="str">
        <f>HYPERLINK("http://141.218.60.56/~jnz1568/getInfo.php?workbook=20_05.xlsx&amp;sheet=U0&amp;row=8542&amp;col=7&amp;number=0.00725&amp;sourceID=14","0.00725")</f>
        <v>0.00725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HYPERLINK("http://141.218.60.56/~jnz1568/getInfo.php?workbook=20_05.xlsx&amp;sheet=U0&amp;row=8543&amp;col=6&amp;number=4.9&amp;sourceID=14","4.9")</f>
        <v>4.9</v>
      </c>
      <c r="G8543" s="4" t="str">
        <f>HYPERLINK("http://141.218.60.56/~jnz1568/getInfo.php?workbook=20_05.xlsx&amp;sheet=U0&amp;row=8543&amp;col=7&amp;number=0.00724&amp;sourceID=14","0.00724")</f>
        <v>0.00724</v>
      </c>
    </row>
    <row r="8544" spans="1:7">
      <c r="A8544" s="3">
        <v>20</v>
      </c>
      <c r="B8544" s="3">
        <v>5</v>
      </c>
      <c r="C8544" s="3">
        <v>4</v>
      </c>
      <c r="D8544" s="3">
        <v>66</v>
      </c>
      <c r="E8544" s="3">
        <v>1</v>
      </c>
      <c r="F8544" s="4" t="str">
        <f>HYPERLINK("http://141.218.60.56/~jnz1568/getInfo.php?workbook=20_05.xlsx&amp;sheet=U0&amp;row=8544&amp;col=6&amp;number=3&amp;sourceID=14","3")</f>
        <v>3</v>
      </c>
      <c r="G8544" s="4" t="str">
        <f>HYPERLINK("http://141.218.60.56/~jnz1568/getInfo.php?workbook=20_05.xlsx&amp;sheet=U0&amp;row=8544&amp;col=7&amp;number=0.0227&amp;sourceID=14","0.0227")</f>
        <v>0.0227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HYPERLINK("http://141.218.60.56/~jnz1568/getInfo.php?workbook=20_05.xlsx&amp;sheet=U0&amp;row=8545&amp;col=6&amp;number=3.1&amp;sourceID=14","3.1")</f>
        <v>3.1</v>
      </c>
      <c r="G8545" s="4" t="str">
        <f>HYPERLINK("http://141.218.60.56/~jnz1568/getInfo.php?workbook=20_05.xlsx&amp;sheet=U0&amp;row=8545&amp;col=7&amp;number=0.0227&amp;sourceID=14","0.0227")</f>
        <v>0.0227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HYPERLINK("http://141.218.60.56/~jnz1568/getInfo.php?workbook=20_05.xlsx&amp;sheet=U0&amp;row=8546&amp;col=6&amp;number=3.2&amp;sourceID=14","3.2")</f>
        <v>3.2</v>
      </c>
      <c r="G8546" s="4" t="str">
        <f>HYPERLINK("http://141.218.60.56/~jnz1568/getInfo.php?workbook=20_05.xlsx&amp;sheet=U0&amp;row=8546&amp;col=7&amp;number=0.0227&amp;sourceID=14","0.0227")</f>
        <v>0.0227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HYPERLINK("http://141.218.60.56/~jnz1568/getInfo.php?workbook=20_05.xlsx&amp;sheet=U0&amp;row=8547&amp;col=6&amp;number=3.3&amp;sourceID=14","3.3")</f>
        <v>3.3</v>
      </c>
      <c r="G8547" s="4" t="str">
        <f>HYPERLINK("http://141.218.60.56/~jnz1568/getInfo.php?workbook=20_05.xlsx&amp;sheet=U0&amp;row=8547&amp;col=7&amp;number=0.0227&amp;sourceID=14","0.0227")</f>
        <v>0.0227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HYPERLINK("http://141.218.60.56/~jnz1568/getInfo.php?workbook=20_05.xlsx&amp;sheet=U0&amp;row=8548&amp;col=6&amp;number=3.4&amp;sourceID=14","3.4")</f>
        <v>3.4</v>
      </c>
      <c r="G8548" s="4" t="str">
        <f>HYPERLINK("http://141.218.60.56/~jnz1568/getInfo.php?workbook=20_05.xlsx&amp;sheet=U0&amp;row=8548&amp;col=7&amp;number=0.0227&amp;sourceID=14","0.0227")</f>
        <v>0.0227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HYPERLINK("http://141.218.60.56/~jnz1568/getInfo.php?workbook=20_05.xlsx&amp;sheet=U0&amp;row=8549&amp;col=6&amp;number=3.5&amp;sourceID=14","3.5")</f>
        <v>3.5</v>
      </c>
      <c r="G8549" s="4" t="str">
        <f>HYPERLINK("http://141.218.60.56/~jnz1568/getInfo.php?workbook=20_05.xlsx&amp;sheet=U0&amp;row=8549&amp;col=7&amp;number=0.0227&amp;sourceID=14","0.0227")</f>
        <v>0.0227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HYPERLINK("http://141.218.60.56/~jnz1568/getInfo.php?workbook=20_05.xlsx&amp;sheet=U0&amp;row=8550&amp;col=6&amp;number=3.6&amp;sourceID=14","3.6")</f>
        <v>3.6</v>
      </c>
      <c r="G8550" s="4" t="str">
        <f>HYPERLINK("http://141.218.60.56/~jnz1568/getInfo.php?workbook=20_05.xlsx&amp;sheet=U0&amp;row=8550&amp;col=7&amp;number=0.0227&amp;sourceID=14","0.0227")</f>
        <v>0.0227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HYPERLINK("http://141.218.60.56/~jnz1568/getInfo.php?workbook=20_05.xlsx&amp;sheet=U0&amp;row=8551&amp;col=6&amp;number=3.7&amp;sourceID=14","3.7")</f>
        <v>3.7</v>
      </c>
      <c r="G8551" s="4" t="str">
        <f>HYPERLINK("http://141.218.60.56/~jnz1568/getInfo.php?workbook=20_05.xlsx&amp;sheet=U0&amp;row=8551&amp;col=7&amp;number=0.0227&amp;sourceID=14","0.0227")</f>
        <v>0.0227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HYPERLINK("http://141.218.60.56/~jnz1568/getInfo.php?workbook=20_05.xlsx&amp;sheet=U0&amp;row=8552&amp;col=6&amp;number=3.8&amp;sourceID=14","3.8")</f>
        <v>3.8</v>
      </c>
      <c r="G8552" s="4" t="str">
        <f>HYPERLINK("http://141.218.60.56/~jnz1568/getInfo.php?workbook=20_05.xlsx&amp;sheet=U0&amp;row=8552&amp;col=7&amp;number=0.0227&amp;sourceID=14","0.0227")</f>
        <v>0.0227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HYPERLINK("http://141.218.60.56/~jnz1568/getInfo.php?workbook=20_05.xlsx&amp;sheet=U0&amp;row=8553&amp;col=6&amp;number=3.9&amp;sourceID=14","3.9")</f>
        <v>3.9</v>
      </c>
      <c r="G8553" s="4" t="str">
        <f>HYPERLINK("http://141.218.60.56/~jnz1568/getInfo.php?workbook=20_05.xlsx&amp;sheet=U0&amp;row=8553&amp;col=7&amp;number=0.0227&amp;sourceID=14","0.0227")</f>
        <v>0.0227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HYPERLINK("http://141.218.60.56/~jnz1568/getInfo.php?workbook=20_05.xlsx&amp;sheet=U0&amp;row=8554&amp;col=6&amp;number=4&amp;sourceID=14","4")</f>
        <v>4</v>
      </c>
      <c r="G8554" s="4" t="str">
        <f>HYPERLINK("http://141.218.60.56/~jnz1568/getInfo.php?workbook=20_05.xlsx&amp;sheet=U0&amp;row=8554&amp;col=7&amp;number=0.0228&amp;sourceID=14","0.0228")</f>
        <v>0.0228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HYPERLINK("http://141.218.60.56/~jnz1568/getInfo.php?workbook=20_05.xlsx&amp;sheet=U0&amp;row=8555&amp;col=6&amp;number=4.1&amp;sourceID=14","4.1")</f>
        <v>4.1</v>
      </c>
      <c r="G8555" s="4" t="str">
        <f>HYPERLINK("http://141.218.60.56/~jnz1568/getInfo.php?workbook=20_05.xlsx&amp;sheet=U0&amp;row=8555&amp;col=7&amp;number=0.0228&amp;sourceID=14","0.0228")</f>
        <v>0.0228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HYPERLINK("http://141.218.60.56/~jnz1568/getInfo.php?workbook=20_05.xlsx&amp;sheet=U0&amp;row=8556&amp;col=6&amp;number=4.2&amp;sourceID=14","4.2")</f>
        <v>4.2</v>
      </c>
      <c r="G8556" s="4" t="str">
        <f>HYPERLINK("http://141.218.60.56/~jnz1568/getInfo.php?workbook=20_05.xlsx&amp;sheet=U0&amp;row=8556&amp;col=7&amp;number=0.0228&amp;sourceID=14","0.0228")</f>
        <v>0.0228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HYPERLINK("http://141.218.60.56/~jnz1568/getInfo.php?workbook=20_05.xlsx&amp;sheet=U0&amp;row=8557&amp;col=6&amp;number=4.3&amp;sourceID=14","4.3")</f>
        <v>4.3</v>
      </c>
      <c r="G8557" s="4" t="str">
        <f>HYPERLINK("http://141.218.60.56/~jnz1568/getInfo.php?workbook=20_05.xlsx&amp;sheet=U0&amp;row=8557&amp;col=7&amp;number=0.0228&amp;sourceID=14","0.0228")</f>
        <v>0.0228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HYPERLINK("http://141.218.60.56/~jnz1568/getInfo.php?workbook=20_05.xlsx&amp;sheet=U0&amp;row=8558&amp;col=6&amp;number=4.4&amp;sourceID=14","4.4")</f>
        <v>4.4</v>
      </c>
      <c r="G8558" s="4" t="str">
        <f>HYPERLINK("http://141.218.60.56/~jnz1568/getInfo.php?workbook=20_05.xlsx&amp;sheet=U0&amp;row=8558&amp;col=7&amp;number=0.0228&amp;sourceID=14","0.0228")</f>
        <v>0.0228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HYPERLINK("http://141.218.60.56/~jnz1568/getInfo.php?workbook=20_05.xlsx&amp;sheet=U0&amp;row=8559&amp;col=6&amp;number=4.5&amp;sourceID=14","4.5")</f>
        <v>4.5</v>
      </c>
      <c r="G8559" s="4" t="str">
        <f>HYPERLINK("http://141.218.60.56/~jnz1568/getInfo.php?workbook=20_05.xlsx&amp;sheet=U0&amp;row=8559&amp;col=7&amp;number=0.0228&amp;sourceID=14","0.0228")</f>
        <v>0.0228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HYPERLINK("http://141.218.60.56/~jnz1568/getInfo.php?workbook=20_05.xlsx&amp;sheet=U0&amp;row=8560&amp;col=6&amp;number=4.6&amp;sourceID=14","4.6")</f>
        <v>4.6</v>
      </c>
      <c r="G8560" s="4" t="str">
        <f>HYPERLINK("http://141.218.60.56/~jnz1568/getInfo.php?workbook=20_05.xlsx&amp;sheet=U0&amp;row=8560&amp;col=7&amp;number=0.0228&amp;sourceID=14","0.0228")</f>
        <v>0.0228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HYPERLINK("http://141.218.60.56/~jnz1568/getInfo.php?workbook=20_05.xlsx&amp;sheet=U0&amp;row=8561&amp;col=6&amp;number=4.7&amp;sourceID=14","4.7")</f>
        <v>4.7</v>
      </c>
      <c r="G8561" s="4" t="str">
        <f>HYPERLINK("http://141.218.60.56/~jnz1568/getInfo.php?workbook=20_05.xlsx&amp;sheet=U0&amp;row=8561&amp;col=7&amp;number=0.0229&amp;sourceID=14","0.0229")</f>
        <v>0.0229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HYPERLINK("http://141.218.60.56/~jnz1568/getInfo.php?workbook=20_05.xlsx&amp;sheet=U0&amp;row=8562&amp;col=6&amp;number=4.8&amp;sourceID=14","4.8")</f>
        <v>4.8</v>
      </c>
      <c r="G8562" s="4" t="str">
        <f>HYPERLINK("http://141.218.60.56/~jnz1568/getInfo.php?workbook=20_05.xlsx&amp;sheet=U0&amp;row=8562&amp;col=7&amp;number=0.0229&amp;sourceID=14","0.0229")</f>
        <v>0.0229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HYPERLINK("http://141.218.60.56/~jnz1568/getInfo.php?workbook=20_05.xlsx&amp;sheet=U0&amp;row=8563&amp;col=6&amp;number=4.9&amp;sourceID=14","4.9")</f>
        <v>4.9</v>
      </c>
      <c r="G8563" s="4" t="str">
        <f>HYPERLINK("http://141.218.60.56/~jnz1568/getInfo.php?workbook=20_05.xlsx&amp;sheet=U0&amp;row=8563&amp;col=7&amp;number=0.023&amp;sourceID=14","0.023")</f>
        <v>0.023</v>
      </c>
    </row>
    <row r="8564" spans="1:7">
      <c r="A8564" s="3">
        <v>20</v>
      </c>
      <c r="B8564" s="3">
        <v>5</v>
      </c>
      <c r="C8564" s="3">
        <v>4</v>
      </c>
      <c r="D8564" s="3">
        <v>67</v>
      </c>
      <c r="E8564" s="3">
        <v>1</v>
      </c>
      <c r="F8564" s="4" t="str">
        <f>HYPERLINK("http://141.218.60.56/~jnz1568/getInfo.php?workbook=20_05.xlsx&amp;sheet=U0&amp;row=8564&amp;col=6&amp;number=3&amp;sourceID=14","3")</f>
        <v>3</v>
      </c>
      <c r="G8564" s="4" t="str">
        <f>HYPERLINK("http://141.218.60.56/~jnz1568/getInfo.php?workbook=20_05.xlsx&amp;sheet=U0&amp;row=8564&amp;col=7&amp;number=0.00394&amp;sourceID=14","0.00394")</f>
        <v>0.00394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HYPERLINK("http://141.218.60.56/~jnz1568/getInfo.php?workbook=20_05.xlsx&amp;sheet=U0&amp;row=8565&amp;col=6&amp;number=3.1&amp;sourceID=14","3.1")</f>
        <v>3.1</v>
      </c>
      <c r="G8565" s="4" t="str">
        <f>HYPERLINK("http://141.218.60.56/~jnz1568/getInfo.php?workbook=20_05.xlsx&amp;sheet=U0&amp;row=8565&amp;col=7&amp;number=0.00394&amp;sourceID=14","0.00394")</f>
        <v>0.00394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HYPERLINK("http://141.218.60.56/~jnz1568/getInfo.php?workbook=20_05.xlsx&amp;sheet=U0&amp;row=8566&amp;col=6&amp;number=3.2&amp;sourceID=14","3.2")</f>
        <v>3.2</v>
      </c>
      <c r="G8566" s="4" t="str">
        <f>HYPERLINK("http://141.218.60.56/~jnz1568/getInfo.php?workbook=20_05.xlsx&amp;sheet=U0&amp;row=8566&amp;col=7&amp;number=0.00394&amp;sourceID=14","0.00394")</f>
        <v>0.00394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HYPERLINK("http://141.218.60.56/~jnz1568/getInfo.php?workbook=20_05.xlsx&amp;sheet=U0&amp;row=8567&amp;col=6&amp;number=3.3&amp;sourceID=14","3.3")</f>
        <v>3.3</v>
      </c>
      <c r="G8567" s="4" t="str">
        <f>HYPERLINK("http://141.218.60.56/~jnz1568/getInfo.php?workbook=20_05.xlsx&amp;sheet=U0&amp;row=8567&amp;col=7&amp;number=0.00394&amp;sourceID=14","0.00394")</f>
        <v>0.00394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HYPERLINK("http://141.218.60.56/~jnz1568/getInfo.php?workbook=20_05.xlsx&amp;sheet=U0&amp;row=8568&amp;col=6&amp;number=3.4&amp;sourceID=14","3.4")</f>
        <v>3.4</v>
      </c>
      <c r="G8568" s="4" t="str">
        <f>HYPERLINK("http://141.218.60.56/~jnz1568/getInfo.php?workbook=20_05.xlsx&amp;sheet=U0&amp;row=8568&amp;col=7&amp;number=0.00394&amp;sourceID=14","0.00394")</f>
        <v>0.00394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HYPERLINK("http://141.218.60.56/~jnz1568/getInfo.php?workbook=20_05.xlsx&amp;sheet=U0&amp;row=8569&amp;col=6&amp;number=3.5&amp;sourceID=14","3.5")</f>
        <v>3.5</v>
      </c>
      <c r="G8569" s="4" t="str">
        <f>HYPERLINK("http://141.218.60.56/~jnz1568/getInfo.php?workbook=20_05.xlsx&amp;sheet=U0&amp;row=8569&amp;col=7&amp;number=0.00394&amp;sourceID=14","0.00394")</f>
        <v>0.00394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HYPERLINK("http://141.218.60.56/~jnz1568/getInfo.php?workbook=20_05.xlsx&amp;sheet=U0&amp;row=8570&amp;col=6&amp;number=3.6&amp;sourceID=14","3.6")</f>
        <v>3.6</v>
      </c>
      <c r="G8570" s="4" t="str">
        <f>HYPERLINK("http://141.218.60.56/~jnz1568/getInfo.php?workbook=20_05.xlsx&amp;sheet=U0&amp;row=8570&amp;col=7&amp;number=0.00394&amp;sourceID=14","0.00394")</f>
        <v>0.00394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HYPERLINK("http://141.218.60.56/~jnz1568/getInfo.php?workbook=20_05.xlsx&amp;sheet=U0&amp;row=8571&amp;col=6&amp;number=3.7&amp;sourceID=14","3.7")</f>
        <v>3.7</v>
      </c>
      <c r="G8571" s="4" t="str">
        <f>HYPERLINK("http://141.218.60.56/~jnz1568/getInfo.php?workbook=20_05.xlsx&amp;sheet=U0&amp;row=8571&amp;col=7&amp;number=0.00394&amp;sourceID=14","0.00394")</f>
        <v>0.00394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HYPERLINK("http://141.218.60.56/~jnz1568/getInfo.php?workbook=20_05.xlsx&amp;sheet=U0&amp;row=8572&amp;col=6&amp;number=3.8&amp;sourceID=14","3.8")</f>
        <v>3.8</v>
      </c>
      <c r="G8572" s="4" t="str">
        <f>HYPERLINK("http://141.218.60.56/~jnz1568/getInfo.php?workbook=20_05.xlsx&amp;sheet=U0&amp;row=8572&amp;col=7&amp;number=0.00394&amp;sourceID=14","0.00394")</f>
        <v>0.00394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HYPERLINK("http://141.218.60.56/~jnz1568/getInfo.php?workbook=20_05.xlsx&amp;sheet=U0&amp;row=8573&amp;col=6&amp;number=3.9&amp;sourceID=14","3.9")</f>
        <v>3.9</v>
      </c>
      <c r="G8573" s="4" t="str">
        <f>HYPERLINK("http://141.218.60.56/~jnz1568/getInfo.php?workbook=20_05.xlsx&amp;sheet=U0&amp;row=8573&amp;col=7&amp;number=0.00394&amp;sourceID=14","0.00394")</f>
        <v>0.00394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HYPERLINK("http://141.218.60.56/~jnz1568/getInfo.php?workbook=20_05.xlsx&amp;sheet=U0&amp;row=8574&amp;col=6&amp;number=4&amp;sourceID=14","4")</f>
        <v>4</v>
      </c>
      <c r="G8574" s="4" t="str">
        <f>HYPERLINK("http://141.218.60.56/~jnz1568/getInfo.php?workbook=20_05.xlsx&amp;sheet=U0&amp;row=8574&amp;col=7&amp;number=0.00394&amp;sourceID=14","0.00394")</f>
        <v>0.00394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HYPERLINK("http://141.218.60.56/~jnz1568/getInfo.php?workbook=20_05.xlsx&amp;sheet=U0&amp;row=8575&amp;col=6&amp;number=4.1&amp;sourceID=14","4.1")</f>
        <v>4.1</v>
      </c>
      <c r="G8575" s="4" t="str">
        <f>HYPERLINK("http://141.218.60.56/~jnz1568/getInfo.php?workbook=20_05.xlsx&amp;sheet=U0&amp;row=8575&amp;col=7&amp;number=0.00394&amp;sourceID=14","0.00394")</f>
        <v>0.00394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HYPERLINK("http://141.218.60.56/~jnz1568/getInfo.php?workbook=20_05.xlsx&amp;sheet=U0&amp;row=8576&amp;col=6&amp;number=4.2&amp;sourceID=14","4.2")</f>
        <v>4.2</v>
      </c>
      <c r="G8576" s="4" t="str">
        <f>HYPERLINK("http://141.218.60.56/~jnz1568/getInfo.php?workbook=20_05.xlsx&amp;sheet=U0&amp;row=8576&amp;col=7&amp;number=0.00394&amp;sourceID=14","0.00394")</f>
        <v>0.00394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HYPERLINK("http://141.218.60.56/~jnz1568/getInfo.php?workbook=20_05.xlsx&amp;sheet=U0&amp;row=8577&amp;col=6&amp;number=4.3&amp;sourceID=14","4.3")</f>
        <v>4.3</v>
      </c>
      <c r="G8577" s="4" t="str">
        <f>HYPERLINK("http://141.218.60.56/~jnz1568/getInfo.php?workbook=20_05.xlsx&amp;sheet=U0&amp;row=8577&amp;col=7&amp;number=0.00394&amp;sourceID=14","0.00394")</f>
        <v>0.00394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HYPERLINK("http://141.218.60.56/~jnz1568/getInfo.php?workbook=20_05.xlsx&amp;sheet=U0&amp;row=8578&amp;col=6&amp;number=4.4&amp;sourceID=14","4.4")</f>
        <v>4.4</v>
      </c>
      <c r="G8578" s="4" t="str">
        <f>HYPERLINK("http://141.218.60.56/~jnz1568/getInfo.php?workbook=20_05.xlsx&amp;sheet=U0&amp;row=8578&amp;col=7&amp;number=0.00394&amp;sourceID=14","0.00394")</f>
        <v>0.00394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HYPERLINK("http://141.218.60.56/~jnz1568/getInfo.php?workbook=20_05.xlsx&amp;sheet=U0&amp;row=8579&amp;col=6&amp;number=4.5&amp;sourceID=14","4.5")</f>
        <v>4.5</v>
      </c>
      <c r="G8579" s="4" t="str">
        <f>HYPERLINK("http://141.218.60.56/~jnz1568/getInfo.php?workbook=20_05.xlsx&amp;sheet=U0&amp;row=8579&amp;col=7&amp;number=0.00394&amp;sourceID=14","0.00394")</f>
        <v>0.00394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HYPERLINK("http://141.218.60.56/~jnz1568/getInfo.php?workbook=20_05.xlsx&amp;sheet=U0&amp;row=8580&amp;col=6&amp;number=4.6&amp;sourceID=14","4.6")</f>
        <v>4.6</v>
      </c>
      <c r="G8580" s="4" t="str">
        <f>HYPERLINK("http://141.218.60.56/~jnz1568/getInfo.php?workbook=20_05.xlsx&amp;sheet=U0&amp;row=8580&amp;col=7&amp;number=0.00394&amp;sourceID=14","0.00394")</f>
        <v>0.00394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HYPERLINK("http://141.218.60.56/~jnz1568/getInfo.php?workbook=20_05.xlsx&amp;sheet=U0&amp;row=8581&amp;col=6&amp;number=4.7&amp;sourceID=14","4.7")</f>
        <v>4.7</v>
      </c>
      <c r="G8581" s="4" t="str">
        <f>HYPERLINK("http://141.218.60.56/~jnz1568/getInfo.php?workbook=20_05.xlsx&amp;sheet=U0&amp;row=8581&amp;col=7&amp;number=0.00394&amp;sourceID=14","0.00394")</f>
        <v>0.00394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HYPERLINK("http://141.218.60.56/~jnz1568/getInfo.php?workbook=20_05.xlsx&amp;sheet=U0&amp;row=8582&amp;col=6&amp;number=4.8&amp;sourceID=14","4.8")</f>
        <v>4.8</v>
      </c>
      <c r="G8582" s="4" t="str">
        <f>HYPERLINK("http://141.218.60.56/~jnz1568/getInfo.php?workbook=20_05.xlsx&amp;sheet=U0&amp;row=8582&amp;col=7&amp;number=0.00394&amp;sourceID=14","0.00394")</f>
        <v>0.00394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HYPERLINK("http://141.218.60.56/~jnz1568/getInfo.php?workbook=20_05.xlsx&amp;sheet=U0&amp;row=8583&amp;col=6&amp;number=4.9&amp;sourceID=14","4.9")</f>
        <v>4.9</v>
      </c>
      <c r="G8583" s="4" t="str">
        <f>HYPERLINK("http://141.218.60.56/~jnz1568/getInfo.php?workbook=20_05.xlsx&amp;sheet=U0&amp;row=8583&amp;col=7&amp;number=0.00394&amp;sourceID=14","0.00394")</f>
        <v>0.00394</v>
      </c>
    </row>
    <row r="8584" spans="1:7">
      <c r="A8584" s="3">
        <v>20</v>
      </c>
      <c r="B8584" s="3">
        <v>5</v>
      </c>
      <c r="C8584" s="3">
        <v>4</v>
      </c>
      <c r="D8584" s="3">
        <v>68</v>
      </c>
      <c r="E8584" s="3">
        <v>1</v>
      </c>
      <c r="F8584" s="4" t="str">
        <f>HYPERLINK("http://141.218.60.56/~jnz1568/getInfo.php?workbook=20_05.xlsx&amp;sheet=U0&amp;row=8584&amp;col=6&amp;number=3&amp;sourceID=14","3")</f>
        <v>3</v>
      </c>
      <c r="G8584" s="4" t="str">
        <f>HYPERLINK("http://141.218.60.56/~jnz1568/getInfo.php?workbook=20_05.xlsx&amp;sheet=U0&amp;row=8584&amp;col=7&amp;number=0.00138&amp;sourceID=14","0.00138")</f>
        <v>0.00138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HYPERLINK("http://141.218.60.56/~jnz1568/getInfo.php?workbook=20_05.xlsx&amp;sheet=U0&amp;row=8585&amp;col=6&amp;number=3.1&amp;sourceID=14","3.1")</f>
        <v>3.1</v>
      </c>
      <c r="G8585" s="4" t="str">
        <f>HYPERLINK("http://141.218.60.56/~jnz1568/getInfo.php?workbook=20_05.xlsx&amp;sheet=U0&amp;row=8585&amp;col=7&amp;number=0.00138&amp;sourceID=14","0.00138")</f>
        <v>0.00138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HYPERLINK("http://141.218.60.56/~jnz1568/getInfo.php?workbook=20_05.xlsx&amp;sheet=U0&amp;row=8586&amp;col=6&amp;number=3.2&amp;sourceID=14","3.2")</f>
        <v>3.2</v>
      </c>
      <c r="G8586" s="4" t="str">
        <f>HYPERLINK("http://141.218.60.56/~jnz1568/getInfo.php?workbook=20_05.xlsx&amp;sheet=U0&amp;row=8586&amp;col=7&amp;number=0.00138&amp;sourceID=14","0.00138")</f>
        <v>0.00138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HYPERLINK("http://141.218.60.56/~jnz1568/getInfo.php?workbook=20_05.xlsx&amp;sheet=U0&amp;row=8587&amp;col=6&amp;number=3.3&amp;sourceID=14","3.3")</f>
        <v>3.3</v>
      </c>
      <c r="G8587" s="4" t="str">
        <f>HYPERLINK("http://141.218.60.56/~jnz1568/getInfo.php?workbook=20_05.xlsx&amp;sheet=U0&amp;row=8587&amp;col=7&amp;number=0.00138&amp;sourceID=14","0.00138")</f>
        <v>0.00138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HYPERLINK("http://141.218.60.56/~jnz1568/getInfo.php?workbook=20_05.xlsx&amp;sheet=U0&amp;row=8588&amp;col=6&amp;number=3.4&amp;sourceID=14","3.4")</f>
        <v>3.4</v>
      </c>
      <c r="G8588" s="4" t="str">
        <f>HYPERLINK("http://141.218.60.56/~jnz1568/getInfo.php?workbook=20_05.xlsx&amp;sheet=U0&amp;row=8588&amp;col=7&amp;number=0.00138&amp;sourceID=14","0.00138")</f>
        <v>0.00138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HYPERLINK("http://141.218.60.56/~jnz1568/getInfo.php?workbook=20_05.xlsx&amp;sheet=U0&amp;row=8589&amp;col=6&amp;number=3.5&amp;sourceID=14","3.5")</f>
        <v>3.5</v>
      </c>
      <c r="G8589" s="4" t="str">
        <f>HYPERLINK("http://141.218.60.56/~jnz1568/getInfo.php?workbook=20_05.xlsx&amp;sheet=U0&amp;row=8589&amp;col=7&amp;number=0.00138&amp;sourceID=14","0.00138")</f>
        <v>0.00138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HYPERLINK("http://141.218.60.56/~jnz1568/getInfo.php?workbook=20_05.xlsx&amp;sheet=U0&amp;row=8590&amp;col=6&amp;number=3.6&amp;sourceID=14","3.6")</f>
        <v>3.6</v>
      </c>
      <c r="G8590" s="4" t="str">
        <f>HYPERLINK("http://141.218.60.56/~jnz1568/getInfo.php?workbook=20_05.xlsx&amp;sheet=U0&amp;row=8590&amp;col=7&amp;number=0.00138&amp;sourceID=14","0.00138")</f>
        <v>0.00138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HYPERLINK("http://141.218.60.56/~jnz1568/getInfo.php?workbook=20_05.xlsx&amp;sheet=U0&amp;row=8591&amp;col=6&amp;number=3.7&amp;sourceID=14","3.7")</f>
        <v>3.7</v>
      </c>
      <c r="G8591" s="4" t="str">
        <f>HYPERLINK("http://141.218.60.56/~jnz1568/getInfo.php?workbook=20_05.xlsx&amp;sheet=U0&amp;row=8591&amp;col=7&amp;number=0.00138&amp;sourceID=14","0.00138")</f>
        <v>0.00138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HYPERLINK("http://141.218.60.56/~jnz1568/getInfo.php?workbook=20_05.xlsx&amp;sheet=U0&amp;row=8592&amp;col=6&amp;number=3.8&amp;sourceID=14","3.8")</f>
        <v>3.8</v>
      </c>
      <c r="G8592" s="4" t="str">
        <f>HYPERLINK("http://141.218.60.56/~jnz1568/getInfo.php?workbook=20_05.xlsx&amp;sheet=U0&amp;row=8592&amp;col=7&amp;number=0.00138&amp;sourceID=14","0.00138")</f>
        <v>0.00138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HYPERLINK("http://141.218.60.56/~jnz1568/getInfo.php?workbook=20_05.xlsx&amp;sheet=U0&amp;row=8593&amp;col=6&amp;number=3.9&amp;sourceID=14","3.9")</f>
        <v>3.9</v>
      </c>
      <c r="G8593" s="4" t="str">
        <f>HYPERLINK("http://141.218.60.56/~jnz1568/getInfo.php?workbook=20_05.xlsx&amp;sheet=U0&amp;row=8593&amp;col=7&amp;number=0.00138&amp;sourceID=14","0.00138")</f>
        <v>0.00138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HYPERLINK("http://141.218.60.56/~jnz1568/getInfo.php?workbook=20_05.xlsx&amp;sheet=U0&amp;row=8594&amp;col=6&amp;number=4&amp;sourceID=14","4")</f>
        <v>4</v>
      </c>
      <c r="G8594" s="4" t="str">
        <f>HYPERLINK("http://141.218.60.56/~jnz1568/getInfo.php?workbook=20_05.xlsx&amp;sheet=U0&amp;row=8594&amp;col=7&amp;number=0.00138&amp;sourceID=14","0.00138")</f>
        <v>0.00138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HYPERLINK("http://141.218.60.56/~jnz1568/getInfo.php?workbook=20_05.xlsx&amp;sheet=U0&amp;row=8595&amp;col=6&amp;number=4.1&amp;sourceID=14","4.1")</f>
        <v>4.1</v>
      </c>
      <c r="G8595" s="4" t="str">
        <f>HYPERLINK("http://141.218.60.56/~jnz1568/getInfo.php?workbook=20_05.xlsx&amp;sheet=U0&amp;row=8595&amp;col=7&amp;number=0.00138&amp;sourceID=14","0.00138")</f>
        <v>0.00138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HYPERLINK("http://141.218.60.56/~jnz1568/getInfo.php?workbook=20_05.xlsx&amp;sheet=U0&amp;row=8596&amp;col=6&amp;number=4.2&amp;sourceID=14","4.2")</f>
        <v>4.2</v>
      </c>
      <c r="G8596" s="4" t="str">
        <f>HYPERLINK("http://141.218.60.56/~jnz1568/getInfo.php?workbook=20_05.xlsx&amp;sheet=U0&amp;row=8596&amp;col=7&amp;number=0.00138&amp;sourceID=14","0.00138")</f>
        <v>0.00138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HYPERLINK("http://141.218.60.56/~jnz1568/getInfo.php?workbook=20_05.xlsx&amp;sheet=U0&amp;row=8597&amp;col=6&amp;number=4.3&amp;sourceID=14","4.3")</f>
        <v>4.3</v>
      </c>
      <c r="G8597" s="4" t="str">
        <f>HYPERLINK("http://141.218.60.56/~jnz1568/getInfo.php?workbook=20_05.xlsx&amp;sheet=U0&amp;row=8597&amp;col=7&amp;number=0.00138&amp;sourceID=14","0.00138")</f>
        <v>0.00138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HYPERLINK("http://141.218.60.56/~jnz1568/getInfo.php?workbook=20_05.xlsx&amp;sheet=U0&amp;row=8598&amp;col=6&amp;number=4.4&amp;sourceID=14","4.4")</f>
        <v>4.4</v>
      </c>
      <c r="G8598" s="4" t="str">
        <f>HYPERLINK("http://141.218.60.56/~jnz1568/getInfo.php?workbook=20_05.xlsx&amp;sheet=U0&amp;row=8598&amp;col=7&amp;number=0.00138&amp;sourceID=14","0.00138")</f>
        <v>0.00138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HYPERLINK("http://141.218.60.56/~jnz1568/getInfo.php?workbook=20_05.xlsx&amp;sheet=U0&amp;row=8599&amp;col=6&amp;number=4.5&amp;sourceID=14","4.5")</f>
        <v>4.5</v>
      </c>
      <c r="G8599" s="4" t="str">
        <f>HYPERLINK("http://141.218.60.56/~jnz1568/getInfo.php?workbook=20_05.xlsx&amp;sheet=U0&amp;row=8599&amp;col=7&amp;number=0.00138&amp;sourceID=14","0.00138")</f>
        <v>0.00138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HYPERLINK("http://141.218.60.56/~jnz1568/getInfo.php?workbook=20_05.xlsx&amp;sheet=U0&amp;row=8600&amp;col=6&amp;number=4.6&amp;sourceID=14","4.6")</f>
        <v>4.6</v>
      </c>
      <c r="G8600" s="4" t="str">
        <f>HYPERLINK("http://141.218.60.56/~jnz1568/getInfo.php?workbook=20_05.xlsx&amp;sheet=U0&amp;row=8600&amp;col=7&amp;number=0.00138&amp;sourceID=14","0.00138")</f>
        <v>0.00138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HYPERLINK("http://141.218.60.56/~jnz1568/getInfo.php?workbook=20_05.xlsx&amp;sheet=U0&amp;row=8601&amp;col=6&amp;number=4.7&amp;sourceID=14","4.7")</f>
        <v>4.7</v>
      </c>
      <c r="G8601" s="4" t="str">
        <f>HYPERLINK("http://141.218.60.56/~jnz1568/getInfo.php?workbook=20_05.xlsx&amp;sheet=U0&amp;row=8601&amp;col=7&amp;number=0.00138&amp;sourceID=14","0.00138")</f>
        <v>0.00138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HYPERLINK("http://141.218.60.56/~jnz1568/getInfo.php?workbook=20_05.xlsx&amp;sheet=U0&amp;row=8602&amp;col=6&amp;number=4.8&amp;sourceID=14","4.8")</f>
        <v>4.8</v>
      </c>
      <c r="G8602" s="4" t="str">
        <f>HYPERLINK("http://141.218.60.56/~jnz1568/getInfo.php?workbook=20_05.xlsx&amp;sheet=U0&amp;row=8602&amp;col=7&amp;number=0.00138&amp;sourceID=14","0.00138")</f>
        <v>0.00138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HYPERLINK("http://141.218.60.56/~jnz1568/getInfo.php?workbook=20_05.xlsx&amp;sheet=U0&amp;row=8603&amp;col=6&amp;number=4.9&amp;sourceID=14","4.9")</f>
        <v>4.9</v>
      </c>
      <c r="G8603" s="4" t="str">
        <f>HYPERLINK("http://141.218.60.56/~jnz1568/getInfo.php?workbook=20_05.xlsx&amp;sheet=U0&amp;row=8603&amp;col=7&amp;number=0.00138&amp;sourceID=14","0.00138")</f>
        <v>0.00138</v>
      </c>
    </row>
    <row r="8604" spans="1:7">
      <c r="A8604" s="3">
        <v>20</v>
      </c>
      <c r="B8604" s="3">
        <v>5</v>
      </c>
      <c r="C8604" s="3">
        <v>4</v>
      </c>
      <c r="D8604" s="3">
        <v>69</v>
      </c>
      <c r="E8604" s="3">
        <v>1</v>
      </c>
      <c r="F8604" s="4" t="str">
        <f>HYPERLINK("http://141.218.60.56/~jnz1568/getInfo.php?workbook=20_05.xlsx&amp;sheet=U0&amp;row=8604&amp;col=6&amp;number=3&amp;sourceID=14","3")</f>
        <v>3</v>
      </c>
      <c r="G8604" s="4" t="str">
        <f>HYPERLINK("http://141.218.60.56/~jnz1568/getInfo.php?workbook=20_05.xlsx&amp;sheet=U0&amp;row=8604&amp;col=7&amp;number=5.64e-05&amp;sourceID=14","5.64e-05")</f>
        <v>5.64e-05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HYPERLINK("http://141.218.60.56/~jnz1568/getInfo.php?workbook=20_05.xlsx&amp;sheet=U0&amp;row=8605&amp;col=6&amp;number=3.1&amp;sourceID=14","3.1")</f>
        <v>3.1</v>
      </c>
      <c r="G8605" s="4" t="str">
        <f>HYPERLINK("http://141.218.60.56/~jnz1568/getInfo.php?workbook=20_05.xlsx&amp;sheet=U0&amp;row=8605&amp;col=7&amp;number=5.64e-05&amp;sourceID=14","5.64e-05")</f>
        <v>5.64e-05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HYPERLINK("http://141.218.60.56/~jnz1568/getInfo.php?workbook=20_05.xlsx&amp;sheet=U0&amp;row=8606&amp;col=6&amp;number=3.2&amp;sourceID=14","3.2")</f>
        <v>3.2</v>
      </c>
      <c r="G8606" s="4" t="str">
        <f>HYPERLINK("http://141.218.60.56/~jnz1568/getInfo.php?workbook=20_05.xlsx&amp;sheet=U0&amp;row=8606&amp;col=7&amp;number=5.64e-05&amp;sourceID=14","5.64e-05")</f>
        <v>5.64e-05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HYPERLINK("http://141.218.60.56/~jnz1568/getInfo.php?workbook=20_05.xlsx&amp;sheet=U0&amp;row=8607&amp;col=6&amp;number=3.3&amp;sourceID=14","3.3")</f>
        <v>3.3</v>
      </c>
      <c r="G8607" s="4" t="str">
        <f>HYPERLINK("http://141.218.60.56/~jnz1568/getInfo.php?workbook=20_05.xlsx&amp;sheet=U0&amp;row=8607&amp;col=7&amp;number=5.64e-05&amp;sourceID=14","5.64e-05")</f>
        <v>5.64e-05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HYPERLINK("http://141.218.60.56/~jnz1568/getInfo.php?workbook=20_05.xlsx&amp;sheet=U0&amp;row=8608&amp;col=6&amp;number=3.4&amp;sourceID=14","3.4")</f>
        <v>3.4</v>
      </c>
      <c r="G8608" s="4" t="str">
        <f>HYPERLINK("http://141.218.60.56/~jnz1568/getInfo.php?workbook=20_05.xlsx&amp;sheet=U0&amp;row=8608&amp;col=7&amp;number=5.64e-05&amp;sourceID=14","5.64e-05")</f>
        <v>5.64e-05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HYPERLINK("http://141.218.60.56/~jnz1568/getInfo.php?workbook=20_05.xlsx&amp;sheet=U0&amp;row=8609&amp;col=6&amp;number=3.5&amp;sourceID=14","3.5")</f>
        <v>3.5</v>
      </c>
      <c r="G8609" s="4" t="str">
        <f>HYPERLINK("http://141.218.60.56/~jnz1568/getInfo.php?workbook=20_05.xlsx&amp;sheet=U0&amp;row=8609&amp;col=7&amp;number=5.64e-05&amp;sourceID=14","5.64e-05")</f>
        <v>5.64e-05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HYPERLINK("http://141.218.60.56/~jnz1568/getInfo.php?workbook=20_05.xlsx&amp;sheet=U0&amp;row=8610&amp;col=6&amp;number=3.6&amp;sourceID=14","3.6")</f>
        <v>3.6</v>
      </c>
      <c r="G8610" s="4" t="str">
        <f>HYPERLINK("http://141.218.60.56/~jnz1568/getInfo.php?workbook=20_05.xlsx&amp;sheet=U0&amp;row=8610&amp;col=7&amp;number=5.64e-05&amp;sourceID=14","5.64e-05")</f>
        <v>5.64e-05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HYPERLINK("http://141.218.60.56/~jnz1568/getInfo.php?workbook=20_05.xlsx&amp;sheet=U0&amp;row=8611&amp;col=6&amp;number=3.7&amp;sourceID=14","3.7")</f>
        <v>3.7</v>
      </c>
      <c r="G8611" s="4" t="str">
        <f>HYPERLINK("http://141.218.60.56/~jnz1568/getInfo.php?workbook=20_05.xlsx&amp;sheet=U0&amp;row=8611&amp;col=7&amp;number=5.64e-05&amp;sourceID=14","5.64e-05")</f>
        <v>5.64e-05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HYPERLINK("http://141.218.60.56/~jnz1568/getInfo.php?workbook=20_05.xlsx&amp;sheet=U0&amp;row=8612&amp;col=6&amp;number=3.8&amp;sourceID=14","3.8")</f>
        <v>3.8</v>
      </c>
      <c r="G8612" s="4" t="str">
        <f>HYPERLINK("http://141.218.60.56/~jnz1568/getInfo.php?workbook=20_05.xlsx&amp;sheet=U0&amp;row=8612&amp;col=7&amp;number=5.64e-05&amp;sourceID=14","5.64e-05")</f>
        <v>5.64e-05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HYPERLINK("http://141.218.60.56/~jnz1568/getInfo.php?workbook=20_05.xlsx&amp;sheet=U0&amp;row=8613&amp;col=6&amp;number=3.9&amp;sourceID=14","3.9")</f>
        <v>3.9</v>
      </c>
      <c r="G8613" s="4" t="str">
        <f>HYPERLINK("http://141.218.60.56/~jnz1568/getInfo.php?workbook=20_05.xlsx&amp;sheet=U0&amp;row=8613&amp;col=7&amp;number=5.64e-05&amp;sourceID=14","5.64e-05")</f>
        <v>5.64e-05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HYPERLINK("http://141.218.60.56/~jnz1568/getInfo.php?workbook=20_05.xlsx&amp;sheet=U0&amp;row=8614&amp;col=6&amp;number=4&amp;sourceID=14","4")</f>
        <v>4</v>
      </c>
      <c r="G8614" s="4" t="str">
        <f>HYPERLINK("http://141.218.60.56/~jnz1568/getInfo.php?workbook=20_05.xlsx&amp;sheet=U0&amp;row=8614&amp;col=7&amp;number=5.64e-05&amp;sourceID=14","5.64e-05")</f>
        <v>5.64e-05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HYPERLINK("http://141.218.60.56/~jnz1568/getInfo.php?workbook=20_05.xlsx&amp;sheet=U0&amp;row=8615&amp;col=6&amp;number=4.1&amp;sourceID=14","4.1")</f>
        <v>4.1</v>
      </c>
      <c r="G8615" s="4" t="str">
        <f>HYPERLINK("http://141.218.60.56/~jnz1568/getInfo.php?workbook=20_05.xlsx&amp;sheet=U0&amp;row=8615&amp;col=7&amp;number=5.65e-05&amp;sourceID=14","5.65e-05")</f>
        <v>5.65e-05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HYPERLINK("http://141.218.60.56/~jnz1568/getInfo.php?workbook=20_05.xlsx&amp;sheet=U0&amp;row=8616&amp;col=6&amp;number=4.2&amp;sourceID=14","4.2")</f>
        <v>4.2</v>
      </c>
      <c r="G8616" s="4" t="str">
        <f>HYPERLINK("http://141.218.60.56/~jnz1568/getInfo.php?workbook=20_05.xlsx&amp;sheet=U0&amp;row=8616&amp;col=7&amp;number=5.65e-05&amp;sourceID=14","5.65e-05")</f>
        <v>5.65e-05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HYPERLINK("http://141.218.60.56/~jnz1568/getInfo.php?workbook=20_05.xlsx&amp;sheet=U0&amp;row=8617&amp;col=6&amp;number=4.3&amp;sourceID=14","4.3")</f>
        <v>4.3</v>
      </c>
      <c r="G8617" s="4" t="str">
        <f>HYPERLINK("http://141.218.60.56/~jnz1568/getInfo.php?workbook=20_05.xlsx&amp;sheet=U0&amp;row=8617&amp;col=7&amp;number=5.65e-05&amp;sourceID=14","5.65e-05")</f>
        <v>5.65e-05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HYPERLINK("http://141.218.60.56/~jnz1568/getInfo.php?workbook=20_05.xlsx&amp;sheet=U0&amp;row=8618&amp;col=6&amp;number=4.4&amp;sourceID=14","4.4")</f>
        <v>4.4</v>
      </c>
      <c r="G8618" s="4" t="str">
        <f>HYPERLINK("http://141.218.60.56/~jnz1568/getInfo.php?workbook=20_05.xlsx&amp;sheet=U0&amp;row=8618&amp;col=7&amp;number=5.65e-05&amp;sourceID=14","5.65e-05")</f>
        <v>5.65e-05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HYPERLINK("http://141.218.60.56/~jnz1568/getInfo.php?workbook=20_05.xlsx&amp;sheet=U0&amp;row=8619&amp;col=6&amp;number=4.5&amp;sourceID=14","4.5")</f>
        <v>4.5</v>
      </c>
      <c r="G8619" s="4" t="str">
        <f>HYPERLINK("http://141.218.60.56/~jnz1568/getInfo.php?workbook=20_05.xlsx&amp;sheet=U0&amp;row=8619&amp;col=7&amp;number=5.65e-05&amp;sourceID=14","5.65e-05")</f>
        <v>5.65e-05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HYPERLINK("http://141.218.60.56/~jnz1568/getInfo.php?workbook=20_05.xlsx&amp;sheet=U0&amp;row=8620&amp;col=6&amp;number=4.6&amp;sourceID=14","4.6")</f>
        <v>4.6</v>
      </c>
      <c r="G8620" s="4" t="str">
        <f>HYPERLINK("http://141.218.60.56/~jnz1568/getInfo.php?workbook=20_05.xlsx&amp;sheet=U0&amp;row=8620&amp;col=7&amp;number=5.66e-05&amp;sourceID=14","5.66e-05")</f>
        <v>5.66e-05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HYPERLINK("http://141.218.60.56/~jnz1568/getInfo.php?workbook=20_05.xlsx&amp;sheet=U0&amp;row=8621&amp;col=6&amp;number=4.7&amp;sourceID=14","4.7")</f>
        <v>4.7</v>
      </c>
      <c r="G8621" s="4" t="str">
        <f>HYPERLINK("http://141.218.60.56/~jnz1568/getInfo.php?workbook=20_05.xlsx&amp;sheet=U0&amp;row=8621&amp;col=7&amp;number=5.66e-05&amp;sourceID=14","5.66e-05")</f>
        <v>5.66e-05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HYPERLINK("http://141.218.60.56/~jnz1568/getInfo.php?workbook=20_05.xlsx&amp;sheet=U0&amp;row=8622&amp;col=6&amp;number=4.8&amp;sourceID=14","4.8")</f>
        <v>4.8</v>
      </c>
      <c r="G8622" s="4" t="str">
        <f>HYPERLINK("http://141.218.60.56/~jnz1568/getInfo.php?workbook=20_05.xlsx&amp;sheet=U0&amp;row=8622&amp;col=7&amp;number=5.67e-05&amp;sourceID=14","5.67e-05")</f>
        <v>5.67e-05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HYPERLINK("http://141.218.60.56/~jnz1568/getInfo.php?workbook=20_05.xlsx&amp;sheet=U0&amp;row=8623&amp;col=6&amp;number=4.9&amp;sourceID=14","4.9")</f>
        <v>4.9</v>
      </c>
      <c r="G8623" s="4" t="str">
        <f>HYPERLINK("http://141.218.60.56/~jnz1568/getInfo.php?workbook=20_05.xlsx&amp;sheet=U0&amp;row=8623&amp;col=7&amp;number=5.67e-05&amp;sourceID=14","5.67e-05")</f>
        <v>5.67e-05</v>
      </c>
    </row>
    <row r="8624" spans="1:7">
      <c r="A8624" s="3">
        <v>20</v>
      </c>
      <c r="B8624" s="3">
        <v>5</v>
      </c>
      <c r="C8624" s="3">
        <v>4</v>
      </c>
      <c r="D8624" s="3">
        <v>70</v>
      </c>
      <c r="E8624" s="3">
        <v>1</v>
      </c>
      <c r="F8624" s="4" t="str">
        <f>HYPERLINK("http://141.218.60.56/~jnz1568/getInfo.php?workbook=20_05.xlsx&amp;sheet=U0&amp;row=8624&amp;col=6&amp;number=3&amp;sourceID=14","3")</f>
        <v>3</v>
      </c>
      <c r="G8624" s="4" t="str">
        <f>HYPERLINK("http://141.218.60.56/~jnz1568/getInfo.php?workbook=20_05.xlsx&amp;sheet=U0&amp;row=8624&amp;col=7&amp;number=0.000835&amp;sourceID=14","0.000835")</f>
        <v>0.000835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HYPERLINK("http://141.218.60.56/~jnz1568/getInfo.php?workbook=20_05.xlsx&amp;sheet=U0&amp;row=8625&amp;col=6&amp;number=3.1&amp;sourceID=14","3.1")</f>
        <v>3.1</v>
      </c>
      <c r="G8625" s="4" t="str">
        <f>HYPERLINK("http://141.218.60.56/~jnz1568/getInfo.php?workbook=20_05.xlsx&amp;sheet=U0&amp;row=8625&amp;col=7&amp;number=0.000835&amp;sourceID=14","0.000835")</f>
        <v>0.000835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HYPERLINK("http://141.218.60.56/~jnz1568/getInfo.php?workbook=20_05.xlsx&amp;sheet=U0&amp;row=8626&amp;col=6&amp;number=3.2&amp;sourceID=14","3.2")</f>
        <v>3.2</v>
      </c>
      <c r="G8626" s="4" t="str">
        <f>HYPERLINK("http://141.218.60.56/~jnz1568/getInfo.php?workbook=20_05.xlsx&amp;sheet=U0&amp;row=8626&amp;col=7&amp;number=0.000835&amp;sourceID=14","0.000835")</f>
        <v>0.000835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HYPERLINK("http://141.218.60.56/~jnz1568/getInfo.php?workbook=20_05.xlsx&amp;sheet=U0&amp;row=8627&amp;col=6&amp;number=3.3&amp;sourceID=14","3.3")</f>
        <v>3.3</v>
      </c>
      <c r="G8627" s="4" t="str">
        <f>HYPERLINK("http://141.218.60.56/~jnz1568/getInfo.php?workbook=20_05.xlsx&amp;sheet=U0&amp;row=8627&amp;col=7&amp;number=0.000835&amp;sourceID=14","0.000835")</f>
        <v>0.000835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HYPERLINK("http://141.218.60.56/~jnz1568/getInfo.php?workbook=20_05.xlsx&amp;sheet=U0&amp;row=8628&amp;col=6&amp;number=3.4&amp;sourceID=14","3.4")</f>
        <v>3.4</v>
      </c>
      <c r="G8628" s="4" t="str">
        <f>HYPERLINK("http://141.218.60.56/~jnz1568/getInfo.php?workbook=20_05.xlsx&amp;sheet=U0&amp;row=8628&amp;col=7&amp;number=0.000835&amp;sourceID=14","0.000835")</f>
        <v>0.000835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HYPERLINK("http://141.218.60.56/~jnz1568/getInfo.php?workbook=20_05.xlsx&amp;sheet=U0&amp;row=8629&amp;col=6&amp;number=3.5&amp;sourceID=14","3.5")</f>
        <v>3.5</v>
      </c>
      <c r="G8629" s="4" t="str">
        <f>HYPERLINK("http://141.218.60.56/~jnz1568/getInfo.php?workbook=20_05.xlsx&amp;sheet=U0&amp;row=8629&amp;col=7&amp;number=0.000834&amp;sourceID=14","0.000834")</f>
        <v>0.000834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HYPERLINK("http://141.218.60.56/~jnz1568/getInfo.php?workbook=20_05.xlsx&amp;sheet=U0&amp;row=8630&amp;col=6&amp;number=3.6&amp;sourceID=14","3.6")</f>
        <v>3.6</v>
      </c>
      <c r="G8630" s="4" t="str">
        <f>HYPERLINK("http://141.218.60.56/~jnz1568/getInfo.php?workbook=20_05.xlsx&amp;sheet=U0&amp;row=8630&amp;col=7&amp;number=0.000834&amp;sourceID=14","0.000834")</f>
        <v>0.000834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HYPERLINK("http://141.218.60.56/~jnz1568/getInfo.php?workbook=20_05.xlsx&amp;sheet=U0&amp;row=8631&amp;col=6&amp;number=3.7&amp;sourceID=14","3.7")</f>
        <v>3.7</v>
      </c>
      <c r="G8631" s="4" t="str">
        <f>HYPERLINK("http://141.218.60.56/~jnz1568/getInfo.php?workbook=20_05.xlsx&amp;sheet=U0&amp;row=8631&amp;col=7&amp;number=0.000834&amp;sourceID=14","0.000834")</f>
        <v>0.000834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HYPERLINK("http://141.218.60.56/~jnz1568/getInfo.php?workbook=20_05.xlsx&amp;sheet=U0&amp;row=8632&amp;col=6&amp;number=3.8&amp;sourceID=14","3.8")</f>
        <v>3.8</v>
      </c>
      <c r="G8632" s="4" t="str">
        <f>HYPERLINK("http://141.218.60.56/~jnz1568/getInfo.php?workbook=20_05.xlsx&amp;sheet=U0&amp;row=8632&amp;col=7&amp;number=0.000834&amp;sourceID=14","0.000834")</f>
        <v>0.000834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HYPERLINK("http://141.218.60.56/~jnz1568/getInfo.php?workbook=20_05.xlsx&amp;sheet=U0&amp;row=8633&amp;col=6&amp;number=3.9&amp;sourceID=14","3.9")</f>
        <v>3.9</v>
      </c>
      <c r="G8633" s="4" t="str">
        <f>HYPERLINK("http://141.218.60.56/~jnz1568/getInfo.php?workbook=20_05.xlsx&amp;sheet=U0&amp;row=8633&amp;col=7&amp;number=0.000833&amp;sourceID=14","0.000833")</f>
        <v>0.000833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HYPERLINK("http://141.218.60.56/~jnz1568/getInfo.php?workbook=20_05.xlsx&amp;sheet=U0&amp;row=8634&amp;col=6&amp;number=4&amp;sourceID=14","4")</f>
        <v>4</v>
      </c>
      <c r="G8634" s="4" t="str">
        <f>HYPERLINK("http://141.218.60.56/~jnz1568/getInfo.php?workbook=20_05.xlsx&amp;sheet=U0&amp;row=8634&amp;col=7&amp;number=0.000833&amp;sourceID=14","0.000833")</f>
        <v>0.000833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HYPERLINK("http://141.218.60.56/~jnz1568/getInfo.php?workbook=20_05.xlsx&amp;sheet=U0&amp;row=8635&amp;col=6&amp;number=4.1&amp;sourceID=14","4.1")</f>
        <v>4.1</v>
      </c>
      <c r="G8635" s="4" t="str">
        <f>HYPERLINK("http://141.218.60.56/~jnz1568/getInfo.php?workbook=20_05.xlsx&amp;sheet=U0&amp;row=8635&amp;col=7&amp;number=0.000832&amp;sourceID=14","0.000832")</f>
        <v>0.000832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HYPERLINK("http://141.218.60.56/~jnz1568/getInfo.php?workbook=20_05.xlsx&amp;sheet=U0&amp;row=8636&amp;col=6&amp;number=4.2&amp;sourceID=14","4.2")</f>
        <v>4.2</v>
      </c>
      <c r="G8636" s="4" t="str">
        <f>HYPERLINK("http://141.218.60.56/~jnz1568/getInfo.php?workbook=20_05.xlsx&amp;sheet=U0&amp;row=8636&amp;col=7&amp;number=0.000832&amp;sourceID=14","0.000832")</f>
        <v>0.000832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HYPERLINK("http://141.218.60.56/~jnz1568/getInfo.php?workbook=20_05.xlsx&amp;sheet=U0&amp;row=8637&amp;col=6&amp;number=4.3&amp;sourceID=14","4.3")</f>
        <v>4.3</v>
      </c>
      <c r="G8637" s="4" t="str">
        <f>HYPERLINK("http://141.218.60.56/~jnz1568/getInfo.php?workbook=20_05.xlsx&amp;sheet=U0&amp;row=8637&amp;col=7&amp;number=0.000831&amp;sourceID=14","0.000831")</f>
        <v>0.000831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HYPERLINK("http://141.218.60.56/~jnz1568/getInfo.php?workbook=20_05.xlsx&amp;sheet=U0&amp;row=8638&amp;col=6&amp;number=4.4&amp;sourceID=14","4.4")</f>
        <v>4.4</v>
      </c>
      <c r="G8638" s="4" t="str">
        <f>HYPERLINK("http://141.218.60.56/~jnz1568/getInfo.php?workbook=20_05.xlsx&amp;sheet=U0&amp;row=8638&amp;col=7&amp;number=0.000829&amp;sourceID=14","0.000829")</f>
        <v>0.000829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HYPERLINK("http://141.218.60.56/~jnz1568/getInfo.php?workbook=20_05.xlsx&amp;sheet=U0&amp;row=8639&amp;col=6&amp;number=4.5&amp;sourceID=14","4.5")</f>
        <v>4.5</v>
      </c>
      <c r="G8639" s="4" t="str">
        <f>HYPERLINK("http://141.218.60.56/~jnz1568/getInfo.php?workbook=20_05.xlsx&amp;sheet=U0&amp;row=8639&amp;col=7&amp;number=0.000828&amp;sourceID=14","0.000828")</f>
        <v>0.000828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HYPERLINK("http://141.218.60.56/~jnz1568/getInfo.php?workbook=20_05.xlsx&amp;sheet=U0&amp;row=8640&amp;col=6&amp;number=4.6&amp;sourceID=14","4.6")</f>
        <v>4.6</v>
      </c>
      <c r="G8640" s="4" t="str">
        <f>HYPERLINK("http://141.218.60.56/~jnz1568/getInfo.php?workbook=20_05.xlsx&amp;sheet=U0&amp;row=8640&amp;col=7&amp;number=0.000826&amp;sourceID=14","0.000826")</f>
        <v>0.000826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HYPERLINK("http://141.218.60.56/~jnz1568/getInfo.php?workbook=20_05.xlsx&amp;sheet=U0&amp;row=8641&amp;col=6&amp;number=4.7&amp;sourceID=14","4.7")</f>
        <v>4.7</v>
      </c>
      <c r="G8641" s="4" t="str">
        <f>HYPERLINK("http://141.218.60.56/~jnz1568/getInfo.php?workbook=20_05.xlsx&amp;sheet=U0&amp;row=8641&amp;col=7&amp;number=0.000824&amp;sourceID=14","0.000824")</f>
        <v>0.000824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HYPERLINK("http://141.218.60.56/~jnz1568/getInfo.php?workbook=20_05.xlsx&amp;sheet=U0&amp;row=8642&amp;col=6&amp;number=4.8&amp;sourceID=14","4.8")</f>
        <v>4.8</v>
      </c>
      <c r="G8642" s="4" t="str">
        <f>HYPERLINK("http://141.218.60.56/~jnz1568/getInfo.php?workbook=20_05.xlsx&amp;sheet=U0&amp;row=8642&amp;col=7&amp;number=0.000821&amp;sourceID=14","0.000821")</f>
        <v>0.000821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HYPERLINK("http://141.218.60.56/~jnz1568/getInfo.php?workbook=20_05.xlsx&amp;sheet=U0&amp;row=8643&amp;col=6&amp;number=4.9&amp;sourceID=14","4.9")</f>
        <v>4.9</v>
      </c>
      <c r="G8643" s="4" t="str">
        <f>HYPERLINK("http://141.218.60.56/~jnz1568/getInfo.php?workbook=20_05.xlsx&amp;sheet=U0&amp;row=8643&amp;col=7&amp;number=0.000817&amp;sourceID=14","0.000817")</f>
        <v>0.000817</v>
      </c>
    </row>
    <row r="8644" spans="1:7">
      <c r="A8644" s="3">
        <v>20</v>
      </c>
      <c r="B8644" s="3">
        <v>5</v>
      </c>
      <c r="C8644" s="3">
        <v>4</v>
      </c>
      <c r="D8644" s="3">
        <v>71</v>
      </c>
      <c r="E8644" s="3">
        <v>1</v>
      </c>
      <c r="F8644" s="4" t="str">
        <f>HYPERLINK("http://141.218.60.56/~jnz1568/getInfo.php?workbook=20_05.xlsx&amp;sheet=U0&amp;row=8644&amp;col=6&amp;number=3&amp;sourceID=14","3")</f>
        <v>3</v>
      </c>
      <c r="G8644" s="4" t="str">
        <f>HYPERLINK("http://141.218.60.56/~jnz1568/getInfo.php?workbook=20_05.xlsx&amp;sheet=U0&amp;row=8644&amp;col=7&amp;number=0.00129&amp;sourceID=14","0.00129")</f>
        <v>0.00129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HYPERLINK("http://141.218.60.56/~jnz1568/getInfo.php?workbook=20_05.xlsx&amp;sheet=U0&amp;row=8645&amp;col=6&amp;number=3.1&amp;sourceID=14","3.1")</f>
        <v>3.1</v>
      </c>
      <c r="G8645" s="4" t="str">
        <f>HYPERLINK("http://141.218.60.56/~jnz1568/getInfo.php?workbook=20_05.xlsx&amp;sheet=U0&amp;row=8645&amp;col=7&amp;number=0.00129&amp;sourceID=14","0.00129")</f>
        <v>0.00129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HYPERLINK("http://141.218.60.56/~jnz1568/getInfo.php?workbook=20_05.xlsx&amp;sheet=U0&amp;row=8646&amp;col=6&amp;number=3.2&amp;sourceID=14","3.2")</f>
        <v>3.2</v>
      </c>
      <c r="G8646" s="4" t="str">
        <f>HYPERLINK("http://141.218.60.56/~jnz1568/getInfo.php?workbook=20_05.xlsx&amp;sheet=U0&amp;row=8646&amp;col=7&amp;number=0.00129&amp;sourceID=14","0.00129")</f>
        <v>0.00129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HYPERLINK("http://141.218.60.56/~jnz1568/getInfo.php?workbook=20_05.xlsx&amp;sheet=U0&amp;row=8647&amp;col=6&amp;number=3.3&amp;sourceID=14","3.3")</f>
        <v>3.3</v>
      </c>
      <c r="G8647" s="4" t="str">
        <f>HYPERLINK("http://141.218.60.56/~jnz1568/getInfo.php?workbook=20_05.xlsx&amp;sheet=U0&amp;row=8647&amp;col=7&amp;number=0.00129&amp;sourceID=14","0.00129")</f>
        <v>0.00129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HYPERLINK("http://141.218.60.56/~jnz1568/getInfo.php?workbook=20_05.xlsx&amp;sheet=U0&amp;row=8648&amp;col=6&amp;number=3.4&amp;sourceID=14","3.4")</f>
        <v>3.4</v>
      </c>
      <c r="G8648" s="4" t="str">
        <f>HYPERLINK("http://141.218.60.56/~jnz1568/getInfo.php?workbook=20_05.xlsx&amp;sheet=U0&amp;row=8648&amp;col=7&amp;number=0.00129&amp;sourceID=14","0.00129")</f>
        <v>0.00129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HYPERLINK("http://141.218.60.56/~jnz1568/getInfo.php?workbook=20_05.xlsx&amp;sheet=U0&amp;row=8649&amp;col=6&amp;number=3.5&amp;sourceID=14","3.5")</f>
        <v>3.5</v>
      </c>
      <c r="G8649" s="4" t="str">
        <f>HYPERLINK("http://141.218.60.56/~jnz1568/getInfo.php?workbook=20_05.xlsx&amp;sheet=U0&amp;row=8649&amp;col=7&amp;number=0.00128&amp;sourceID=14","0.00128")</f>
        <v>0.00128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HYPERLINK("http://141.218.60.56/~jnz1568/getInfo.php?workbook=20_05.xlsx&amp;sheet=U0&amp;row=8650&amp;col=6&amp;number=3.6&amp;sourceID=14","3.6")</f>
        <v>3.6</v>
      </c>
      <c r="G8650" s="4" t="str">
        <f>HYPERLINK("http://141.218.60.56/~jnz1568/getInfo.php?workbook=20_05.xlsx&amp;sheet=U0&amp;row=8650&amp;col=7&amp;number=0.00128&amp;sourceID=14","0.00128")</f>
        <v>0.00128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HYPERLINK("http://141.218.60.56/~jnz1568/getInfo.php?workbook=20_05.xlsx&amp;sheet=U0&amp;row=8651&amp;col=6&amp;number=3.7&amp;sourceID=14","3.7")</f>
        <v>3.7</v>
      </c>
      <c r="G8651" s="4" t="str">
        <f>HYPERLINK("http://141.218.60.56/~jnz1568/getInfo.php?workbook=20_05.xlsx&amp;sheet=U0&amp;row=8651&amp;col=7&amp;number=0.00128&amp;sourceID=14","0.00128")</f>
        <v>0.00128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HYPERLINK("http://141.218.60.56/~jnz1568/getInfo.php?workbook=20_05.xlsx&amp;sheet=U0&amp;row=8652&amp;col=6&amp;number=3.8&amp;sourceID=14","3.8")</f>
        <v>3.8</v>
      </c>
      <c r="G8652" s="4" t="str">
        <f>HYPERLINK("http://141.218.60.56/~jnz1568/getInfo.php?workbook=20_05.xlsx&amp;sheet=U0&amp;row=8652&amp;col=7&amp;number=0.00128&amp;sourceID=14","0.00128")</f>
        <v>0.00128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HYPERLINK("http://141.218.60.56/~jnz1568/getInfo.php?workbook=20_05.xlsx&amp;sheet=U0&amp;row=8653&amp;col=6&amp;number=3.9&amp;sourceID=14","3.9")</f>
        <v>3.9</v>
      </c>
      <c r="G8653" s="4" t="str">
        <f>HYPERLINK("http://141.218.60.56/~jnz1568/getInfo.php?workbook=20_05.xlsx&amp;sheet=U0&amp;row=8653&amp;col=7&amp;number=0.00128&amp;sourceID=14","0.00128")</f>
        <v>0.00128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HYPERLINK("http://141.218.60.56/~jnz1568/getInfo.php?workbook=20_05.xlsx&amp;sheet=U0&amp;row=8654&amp;col=6&amp;number=4&amp;sourceID=14","4")</f>
        <v>4</v>
      </c>
      <c r="G8654" s="4" t="str">
        <f>HYPERLINK("http://141.218.60.56/~jnz1568/getInfo.php?workbook=20_05.xlsx&amp;sheet=U0&amp;row=8654&amp;col=7&amp;number=0.00128&amp;sourceID=14","0.00128")</f>
        <v>0.00128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HYPERLINK("http://141.218.60.56/~jnz1568/getInfo.php?workbook=20_05.xlsx&amp;sheet=U0&amp;row=8655&amp;col=6&amp;number=4.1&amp;sourceID=14","4.1")</f>
        <v>4.1</v>
      </c>
      <c r="G8655" s="4" t="str">
        <f>HYPERLINK("http://141.218.60.56/~jnz1568/getInfo.php?workbook=20_05.xlsx&amp;sheet=U0&amp;row=8655&amp;col=7&amp;number=0.00128&amp;sourceID=14","0.00128")</f>
        <v>0.00128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HYPERLINK("http://141.218.60.56/~jnz1568/getInfo.php?workbook=20_05.xlsx&amp;sheet=U0&amp;row=8656&amp;col=6&amp;number=4.2&amp;sourceID=14","4.2")</f>
        <v>4.2</v>
      </c>
      <c r="G8656" s="4" t="str">
        <f>HYPERLINK("http://141.218.60.56/~jnz1568/getInfo.php?workbook=20_05.xlsx&amp;sheet=U0&amp;row=8656&amp;col=7&amp;number=0.00128&amp;sourceID=14","0.00128")</f>
        <v>0.00128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HYPERLINK("http://141.218.60.56/~jnz1568/getInfo.php?workbook=20_05.xlsx&amp;sheet=U0&amp;row=8657&amp;col=6&amp;number=4.3&amp;sourceID=14","4.3")</f>
        <v>4.3</v>
      </c>
      <c r="G8657" s="4" t="str">
        <f>HYPERLINK("http://141.218.60.56/~jnz1568/getInfo.php?workbook=20_05.xlsx&amp;sheet=U0&amp;row=8657&amp;col=7&amp;number=0.00128&amp;sourceID=14","0.00128")</f>
        <v>0.00128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HYPERLINK("http://141.218.60.56/~jnz1568/getInfo.php?workbook=20_05.xlsx&amp;sheet=U0&amp;row=8658&amp;col=6&amp;number=4.4&amp;sourceID=14","4.4")</f>
        <v>4.4</v>
      </c>
      <c r="G8658" s="4" t="str">
        <f>HYPERLINK("http://141.218.60.56/~jnz1568/getInfo.php?workbook=20_05.xlsx&amp;sheet=U0&amp;row=8658&amp;col=7&amp;number=0.00128&amp;sourceID=14","0.00128")</f>
        <v>0.00128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HYPERLINK("http://141.218.60.56/~jnz1568/getInfo.php?workbook=20_05.xlsx&amp;sheet=U0&amp;row=8659&amp;col=6&amp;number=4.5&amp;sourceID=14","4.5")</f>
        <v>4.5</v>
      </c>
      <c r="G8659" s="4" t="str">
        <f>HYPERLINK("http://141.218.60.56/~jnz1568/getInfo.php?workbook=20_05.xlsx&amp;sheet=U0&amp;row=8659&amp;col=7&amp;number=0.00127&amp;sourceID=14","0.00127")</f>
        <v>0.00127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HYPERLINK("http://141.218.60.56/~jnz1568/getInfo.php?workbook=20_05.xlsx&amp;sheet=U0&amp;row=8660&amp;col=6&amp;number=4.6&amp;sourceID=14","4.6")</f>
        <v>4.6</v>
      </c>
      <c r="G8660" s="4" t="str">
        <f>HYPERLINK("http://141.218.60.56/~jnz1568/getInfo.php?workbook=20_05.xlsx&amp;sheet=U0&amp;row=8660&amp;col=7&amp;number=0.00127&amp;sourceID=14","0.00127")</f>
        <v>0.00127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HYPERLINK("http://141.218.60.56/~jnz1568/getInfo.php?workbook=20_05.xlsx&amp;sheet=U0&amp;row=8661&amp;col=6&amp;number=4.7&amp;sourceID=14","4.7")</f>
        <v>4.7</v>
      </c>
      <c r="G8661" s="4" t="str">
        <f>HYPERLINK("http://141.218.60.56/~jnz1568/getInfo.php?workbook=20_05.xlsx&amp;sheet=U0&amp;row=8661&amp;col=7&amp;number=0.00127&amp;sourceID=14","0.00127")</f>
        <v>0.00127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HYPERLINK("http://141.218.60.56/~jnz1568/getInfo.php?workbook=20_05.xlsx&amp;sheet=U0&amp;row=8662&amp;col=6&amp;number=4.8&amp;sourceID=14","4.8")</f>
        <v>4.8</v>
      </c>
      <c r="G8662" s="4" t="str">
        <f>HYPERLINK("http://141.218.60.56/~jnz1568/getInfo.php?workbook=20_05.xlsx&amp;sheet=U0&amp;row=8662&amp;col=7&amp;number=0.00126&amp;sourceID=14","0.00126")</f>
        <v>0.00126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HYPERLINK("http://141.218.60.56/~jnz1568/getInfo.php?workbook=20_05.xlsx&amp;sheet=U0&amp;row=8663&amp;col=6&amp;number=4.9&amp;sourceID=14","4.9")</f>
        <v>4.9</v>
      </c>
      <c r="G8663" s="4" t="str">
        <f>HYPERLINK("http://141.218.60.56/~jnz1568/getInfo.php?workbook=20_05.xlsx&amp;sheet=U0&amp;row=8663&amp;col=7&amp;number=0.00126&amp;sourceID=14","0.00126")</f>
        <v>0.00126</v>
      </c>
    </row>
    <row r="8664" spans="1:7">
      <c r="A8664" s="3">
        <v>20</v>
      </c>
      <c r="B8664" s="3">
        <v>5</v>
      </c>
      <c r="C8664" s="3">
        <v>4</v>
      </c>
      <c r="D8664" s="3">
        <v>72</v>
      </c>
      <c r="E8664" s="3">
        <v>1</v>
      </c>
      <c r="F8664" s="4" t="str">
        <f>HYPERLINK("http://141.218.60.56/~jnz1568/getInfo.php?workbook=20_05.xlsx&amp;sheet=U0&amp;row=8664&amp;col=6&amp;number=3&amp;sourceID=14","3")</f>
        <v>3</v>
      </c>
      <c r="G8664" s="4" t="str">
        <f>HYPERLINK("http://141.218.60.56/~jnz1568/getInfo.php?workbook=20_05.xlsx&amp;sheet=U0&amp;row=8664&amp;col=7&amp;number=1.38e-05&amp;sourceID=14","1.38e-05")</f>
        <v>1.38e-05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HYPERLINK("http://141.218.60.56/~jnz1568/getInfo.php?workbook=20_05.xlsx&amp;sheet=U0&amp;row=8665&amp;col=6&amp;number=3.1&amp;sourceID=14","3.1")</f>
        <v>3.1</v>
      </c>
      <c r="G8665" s="4" t="str">
        <f>HYPERLINK("http://141.218.60.56/~jnz1568/getInfo.php?workbook=20_05.xlsx&amp;sheet=U0&amp;row=8665&amp;col=7&amp;number=1.38e-05&amp;sourceID=14","1.38e-05")</f>
        <v>1.38e-05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HYPERLINK("http://141.218.60.56/~jnz1568/getInfo.php?workbook=20_05.xlsx&amp;sheet=U0&amp;row=8666&amp;col=6&amp;number=3.2&amp;sourceID=14","3.2")</f>
        <v>3.2</v>
      </c>
      <c r="G8666" s="4" t="str">
        <f>HYPERLINK("http://141.218.60.56/~jnz1568/getInfo.php?workbook=20_05.xlsx&amp;sheet=U0&amp;row=8666&amp;col=7&amp;number=1.38e-05&amp;sourceID=14","1.38e-05")</f>
        <v>1.38e-05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HYPERLINK("http://141.218.60.56/~jnz1568/getInfo.php?workbook=20_05.xlsx&amp;sheet=U0&amp;row=8667&amp;col=6&amp;number=3.3&amp;sourceID=14","3.3")</f>
        <v>3.3</v>
      </c>
      <c r="G8667" s="4" t="str">
        <f>HYPERLINK("http://141.218.60.56/~jnz1568/getInfo.php?workbook=20_05.xlsx&amp;sheet=U0&amp;row=8667&amp;col=7&amp;number=1.38e-05&amp;sourceID=14","1.38e-05")</f>
        <v>1.38e-05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HYPERLINK("http://141.218.60.56/~jnz1568/getInfo.php?workbook=20_05.xlsx&amp;sheet=U0&amp;row=8668&amp;col=6&amp;number=3.4&amp;sourceID=14","3.4")</f>
        <v>3.4</v>
      </c>
      <c r="G8668" s="4" t="str">
        <f>HYPERLINK("http://141.218.60.56/~jnz1568/getInfo.php?workbook=20_05.xlsx&amp;sheet=U0&amp;row=8668&amp;col=7&amp;number=1.38e-05&amp;sourceID=14","1.38e-05")</f>
        <v>1.38e-05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HYPERLINK("http://141.218.60.56/~jnz1568/getInfo.php?workbook=20_05.xlsx&amp;sheet=U0&amp;row=8669&amp;col=6&amp;number=3.5&amp;sourceID=14","3.5")</f>
        <v>3.5</v>
      </c>
      <c r="G8669" s="4" t="str">
        <f>HYPERLINK("http://141.218.60.56/~jnz1568/getInfo.php?workbook=20_05.xlsx&amp;sheet=U0&amp;row=8669&amp;col=7&amp;number=1.38e-05&amp;sourceID=14","1.38e-05")</f>
        <v>1.38e-05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HYPERLINK("http://141.218.60.56/~jnz1568/getInfo.php?workbook=20_05.xlsx&amp;sheet=U0&amp;row=8670&amp;col=6&amp;number=3.6&amp;sourceID=14","3.6")</f>
        <v>3.6</v>
      </c>
      <c r="G8670" s="4" t="str">
        <f>HYPERLINK("http://141.218.60.56/~jnz1568/getInfo.php?workbook=20_05.xlsx&amp;sheet=U0&amp;row=8670&amp;col=7&amp;number=1.38e-05&amp;sourceID=14","1.38e-05")</f>
        <v>1.38e-05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HYPERLINK("http://141.218.60.56/~jnz1568/getInfo.php?workbook=20_05.xlsx&amp;sheet=U0&amp;row=8671&amp;col=6&amp;number=3.7&amp;sourceID=14","3.7")</f>
        <v>3.7</v>
      </c>
      <c r="G8671" s="4" t="str">
        <f>HYPERLINK("http://141.218.60.56/~jnz1568/getInfo.php?workbook=20_05.xlsx&amp;sheet=U0&amp;row=8671&amp;col=7&amp;number=1.38e-05&amp;sourceID=14","1.38e-05")</f>
        <v>1.38e-05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HYPERLINK("http://141.218.60.56/~jnz1568/getInfo.php?workbook=20_05.xlsx&amp;sheet=U0&amp;row=8672&amp;col=6&amp;number=3.8&amp;sourceID=14","3.8")</f>
        <v>3.8</v>
      </c>
      <c r="G8672" s="4" t="str">
        <f>HYPERLINK("http://141.218.60.56/~jnz1568/getInfo.php?workbook=20_05.xlsx&amp;sheet=U0&amp;row=8672&amp;col=7&amp;number=1.38e-05&amp;sourceID=14","1.38e-05")</f>
        <v>1.38e-05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HYPERLINK("http://141.218.60.56/~jnz1568/getInfo.php?workbook=20_05.xlsx&amp;sheet=U0&amp;row=8673&amp;col=6&amp;number=3.9&amp;sourceID=14","3.9")</f>
        <v>3.9</v>
      </c>
      <c r="G8673" s="4" t="str">
        <f>HYPERLINK("http://141.218.60.56/~jnz1568/getInfo.php?workbook=20_05.xlsx&amp;sheet=U0&amp;row=8673&amp;col=7&amp;number=1.38e-05&amp;sourceID=14","1.38e-05")</f>
        <v>1.38e-05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HYPERLINK("http://141.218.60.56/~jnz1568/getInfo.php?workbook=20_05.xlsx&amp;sheet=U0&amp;row=8674&amp;col=6&amp;number=4&amp;sourceID=14","4")</f>
        <v>4</v>
      </c>
      <c r="G8674" s="4" t="str">
        <f>HYPERLINK("http://141.218.60.56/~jnz1568/getInfo.php?workbook=20_05.xlsx&amp;sheet=U0&amp;row=8674&amp;col=7&amp;number=1.38e-05&amp;sourceID=14","1.38e-05")</f>
        <v>1.38e-05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HYPERLINK("http://141.218.60.56/~jnz1568/getInfo.php?workbook=20_05.xlsx&amp;sheet=U0&amp;row=8675&amp;col=6&amp;number=4.1&amp;sourceID=14","4.1")</f>
        <v>4.1</v>
      </c>
      <c r="G8675" s="4" t="str">
        <f>HYPERLINK("http://141.218.60.56/~jnz1568/getInfo.php?workbook=20_05.xlsx&amp;sheet=U0&amp;row=8675&amp;col=7&amp;number=1.38e-05&amp;sourceID=14","1.38e-05")</f>
        <v>1.38e-05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HYPERLINK("http://141.218.60.56/~jnz1568/getInfo.php?workbook=20_05.xlsx&amp;sheet=U0&amp;row=8676&amp;col=6&amp;number=4.2&amp;sourceID=14","4.2")</f>
        <v>4.2</v>
      </c>
      <c r="G8676" s="4" t="str">
        <f>HYPERLINK("http://141.218.60.56/~jnz1568/getInfo.php?workbook=20_05.xlsx&amp;sheet=U0&amp;row=8676&amp;col=7&amp;number=1.38e-05&amp;sourceID=14","1.38e-05")</f>
        <v>1.38e-05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HYPERLINK("http://141.218.60.56/~jnz1568/getInfo.php?workbook=20_05.xlsx&amp;sheet=U0&amp;row=8677&amp;col=6&amp;number=4.3&amp;sourceID=14","4.3")</f>
        <v>4.3</v>
      </c>
      <c r="G8677" s="4" t="str">
        <f>HYPERLINK("http://141.218.60.56/~jnz1568/getInfo.php?workbook=20_05.xlsx&amp;sheet=U0&amp;row=8677&amp;col=7&amp;number=1.38e-05&amp;sourceID=14","1.38e-05")</f>
        <v>1.38e-05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HYPERLINK("http://141.218.60.56/~jnz1568/getInfo.php?workbook=20_05.xlsx&amp;sheet=U0&amp;row=8678&amp;col=6&amp;number=4.4&amp;sourceID=14","4.4")</f>
        <v>4.4</v>
      </c>
      <c r="G8678" s="4" t="str">
        <f>HYPERLINK("http://141.218.60.56/~jnz1568/getInfo.php?workbook=20_05.xlsx&amp;sheet=U0&amp;row=8678&amp;col=7&amp;number=1.37e-05&amp;sourceID=14","1.37e-05")</f>
        <v>1.37e-05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HYPERLINK("http://141.218.60.56/~jnz1568/getInfo.php?workbook=20_05.xlsx&amp;sheet=U0&amp;row=8679&amp;col=6&amp;number=4.5&amp;sourceID=14","4.5")</f>
        <v>4.5</v>
      </c>
      <c r="G8679" s="4" t="str">
        <f>HYPERLINK("http://141.218.60.56/~jnz1568/getInfo.php?workbook=20_05.xlsx&amp;sheet=U0&amp;row=8679&amp;col=7&amp;number=1.37e-05&amp;sourceID=14","1.37e-05")</f>
        <v>1.37e-05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HYPERLINK("http://141.218.60.56/~jnz1568/getInfo.php?workbook=20_05.xlsx&amp;sheet=U0&amp;row=8680&amp;col=6&amp;number=4.6&amp;sourceID=14","4.6")</f>
        <v>4.6</v>
      </c>
      <c r="G8680" s="4" t="str">
        <f>HYPERLINK("http://141.218.60.56/~jnz1568/getInfo.php?workbook=20_05.xlsx&amp;sheet=U0&amp;row=8680&amp;col=7&amp;number=1.37e-05&amp;sourceID=14","1.37e-05")</f>
        <v>1.37e-05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HYPERLINK("http://141.218.60.56/~jnz1568/getInfo.php?workbook=20_05.xlsx&amp;sheet=U0&amp;row=8681&amp;col=6&amp;number=4.7&amp;sourceID=14","4.7")</f>
        <v>4.7</v>
      </c>
      <c r="G8681" s="4" t="str">
        <f>HYPERLINK("http://141.218.60.56/~jnz1568/getInfo.php?workbook=20_05.xlsx&amp;sheet=U0&amp;row=8681&amp;col=7&amp;number=1.36e-05&amp;sourceID=14","1.36e-05")</f>
        <v>1.36e-05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HYPERLINK("http://141.218.60.56/~jnz1568/getInfo.php?workbook=20_05.xlsx&amp;sheet=U0&amp;row=8682&amp;col=6&amp;number=4.8&amp;sourceID=14","4.8")</f>
        <v>4.8</v>
      </c>
      <c r="G8682" s="4" t="str">
        <f>HYPERLINK("http://141.218.60.56/~jnz1568/getInfo.php?workbook=20_05.xlsx&amp;sheet=U0&amp;row=8682&amp;col=7&amp;number=1.36e-05&amp;sourceID=14","1.36e-05")</f>
        <v>1.36e-05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HYPERLINK("http://141.218.60.56/~jnz1568/getInfo.php?workbook=20_05.xlsx&amp;sheet=U0&amp;row=8683&amp;col=6&amp;number=4.9&amp;sourceID=14","4.9")</f>
        <v>4.9</v>
      </c>
      <c r="G8683" s="4" t="str">
        <f>HYPERLINK("http://141.218.60.56/~jnz1568/getInfo.php?workbook=20_05.xlsx&amp;sheet=U0&amp;row=8683&amp;col=7&amp;number=1.35e-05&amp;sourceID=14","1.35e-05")</f>
        <v>1.35e-05</v>
      </c>
    </row>
    <row r="8684" spans="1:7">
      <c r="A8684" s="3">
        <v>20</v>
      </c>
      <c r="B8684" s="3">
        <v>5</v>
      </c>
      <c r="C8684" s="3">
        <v>4</v>
      </c>
      <c r="D8684" s="3">
        <v>73</v>
      </c>
      <c r="E8684" s="3">
        <v>1</v>
      </c>
      <c r="F8684" s="4" t="str">
        <f>HYPERLINK("http://141.218.60.56/~jnz1568/getInfo.php?workbook=20_05.xlsx&amp;sheet=U0&amp;row=8684&amp;col=6&amp;number=3&amp;sourceID=14","3")</f>
        <v>3</v>
      </c>
      <c r="G8684" s="4" t="str">
        <f>HYPERLINK("http://141.218.60.56/~jnz1568/getInfo.php?workbook=20_05.xlsx&amp;sheet=U0&amp;row=8684&amp;col=7&amp;number=4.51e-05&amp;sourceID=14","4.51e-05")</f>
        <v>4.51e-05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HYPERLINK("http://141.218.60.56/~jnz1568/getInfo.php?workbook=20_05.xlsx&amp;sheet=U0&amp;row=8685&amp;col=6&amp;number=3.1&amp;sourceID=14","3.1")</f>
        <v>3.1</v>
      </c>
      <c r="G8685" s="4" t="str">
        <f>HYPERLINK("http://141.218.60.56/~jnz1568/getInfo.php?workbook=20_05.xlsx&amp;sheet=U0&amp;row=8685&amp;col=7&amp;number=4.51e-05&amp;sourceID=14","4.51e-05")</f>
        <v>4.51e-05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HYPERLINK("http://141.218.60.56/~jnz1568/getInfo.php?workbook=20_05.xlsx&amp;sheet=U0&amp;row=8686&amp;col=6&amp;number=3.2&amp;sourceID=14","3.2")</f>
        <v>3.2</v>
      </c>
      <c r="G8686" s="4" t="str">
        <f>HYPERLINK("http://141.218.60.56/~jnz1568/getInfo.php?workbook=20_05.xlsx&amp;sheet=U0&amp;row=8686&amp;col=7&amp;number=4.51e-05&amp;sourceID=14","4.51e-05")</f>
        <v>4.51e-05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HYPERLINK("http://141.218.60.56/~jnz1568/getInfo.php?workbook=20_05.xlsx&amp;sheet=U0&amp;row=8687&amp;col=6&amp;number=3.3&amp;sourceID=14","3.3")</f>
        <v>3.3</v>
      </c>
      <c r="G8687" s="4" t="str">
        <f>HYPERLINK("http://141.218.60.56/~jnz1568/getInfo.php?workbook=20_05.xlsx&amp;sheet=U0&amp;row=8687&amp;col=7&amp;number=4.51e-05&amp;sourceID=14","4.51e-05")</f>
        <v>4.51e-05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HYPERLINK("http://141.218.60.56/~jnz1568/getInfo.php?workbook=20_05.xlsx&amp;sheet=U0&amp;row=8688&amp;col=6&amp;number=3.4&amp;sourceID=14","3.4")</f>
        <v>3.4</v>
      </c>
      <c r="G8688" s="4" t="str">
        <f>HYPERLINK("http://141.218.60.56/~jnz1568/getInfo.php?workbook=20_05.xlsx&amp;sheet=U0&amp;row=8688&amp;col=7&amp;number=4.51e-05&amp;sourceID=14","4.51e-05")</f>
        <v>4.51e-05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HYPERLINK("http://141.218.60.56/~jnz1568/getInfo.php?workbook=20_05.xlsx&amp;sheet=U0&amp;row=8689&amp;col=6&amp;number=3.5&amp;sourceID=14","3.5")</f>
        <v>3.5</v>
      </c>
      <c r="G8689" s="4" t="str">
        <f>HYPERLINK("http://141.218.60.56/~jnz1568/getInfo.php?workbook=20_05.xlsx&amp;sheet=U0&amp;row=8689&amp;col=7&amp;number=4.51e-05&amp;sourceID=14","4.51e-05")</f>
        <v>4.51e-05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HYPERLINK("http://141.218.60.56/~jnz1568/getInfo.php?workbook=20_05.xlsx&amp;sheet=U0&amp;row=8690&amp;col=6&amp;number=3.6&amp;sourceID=14","3.6")</f>
        <v>3.6</v>
      </c>
      <c r="G8690" s="4" t="str">
        <f>HYPERLINK("http://141.218.60.56/~jnz1568/getInfo.php?workbook=20_05.xlsx&amp;sheet=U0&amp;row=8690&amp;col=7&amp;number=4.51e-05&amp;sourceID=14","4.51e-05")</f>
        <v>4.51e-05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HYPERLINK("http://141.218.60.56/~jnz1568/getInfo.php?workbook=20_05.xlsx&amp;sheet=U0&amp;row=8691&amp;col=6&amp;number=3.7&amp;sourceID=14","3.7")</f>
        <v>3.7</v>
      </c>
      <c r="G8691" s="4" t="str">
        <f>HYPERLINK("http://141.218.60.56/~jnz1568/getInfo.php?workbook=20_05.xlsx&amp;sheet=U0&amp;row=8691&amp;col=7&amp;number=4.5e-05&amp;sourceID=14","4.5e-05")</f>
        <v>4.5e-05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HYPERLINK("http://141.218.60.56/~jnz1568/getInfo.php?workbook=20_05.xlsx&amp;sheet=U0&amp;row=8692&amp;col=6&amp;number=3.8&amp;sourceID=14","3.8")</f>
        <v>3.8</v>
      </c>
      <c r="G8692" s="4" t="str">
        <f>HYPERLINK("http://141.218.60.56/~jnz1568/getInfo.php?workbook=20_05.xlsx&amp;sheet=U0&amp;row=8692&amp;col=7&amp;number=4.5e-05&amp;sourceID=14","4.5e-05")</f>
        <v>4.5e-05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HYPERLINK("http://141.218.60.56/~jnz1568/getInfo.php?workbook=20_05.xlsx&amp;sheet=U0&amp;row=8693&amp;col=6&amp;number=3.9&amp;sourceID=14","3.9")</f>
        <v>3.9</v>
      </c>
      <c r="G8693" s="4" t="str">
        <f>HYPERLINK("http://141.218.60.56/~jnz1568/getInfo.php?workbook=20_05.xlsx&amp;sheet=U0&amp;row=8693&amp;col=7&amp;number=4.5e-05&amp;sourceID=14","4.5e-05")</f>
        <v>4.5e-05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HYPERLINK("http://141.218.60.56/~jnz1568/getInfo.php?workbook=20_05.xlsx&amp;sheet=U0&amp;row=8694&amp;col=6&amp;number=4&amp;sourceID=14","4")</f>
        <v>4</v>
      </c>
      <c r="G8694" s="4" t="str">
        <f>HYPERLINK("http://141.218.60.56/~jnz1568/getInfo.php?workbook=20_05.xlsx&amp;sheet=U0&amp;row=8694&amp;col=7&amp;number=4.5e-05&amp;sourceID=14","4.5e-05")</f>
        <v>4.5e-05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HYPERLINK("http://141.218.60.56/~jnz1568/getInfo.php?workbook=20_05.xlsx&amp;sheet=U0&amp;row=8695&amp;col=6&amp;number=4.1&amp;sourceID=14","4.1")</f>
        <v>4.1</v>
      </c>
      <c r="G8695" s="4" t="str">
        <f>HYPERLINK("http://141.218.60.56/~jnz1568/getInfo.php?workbook=20_05.xlsx&amp;sheet=U0&amp;row=8695&amp;col=7&amp;number=4.5e-05&amp;sourceID=14","4.5e-05")</f>
        <v>4.5e-05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HYPERLINK("http://141.218.60.56/~jnz1568/getInfo.php?workbook=20_05.xlsx&amp;sheet=U0&amp;row=8696&amp;col=6&amp;number=4.2&amp;sourceID=14","4.2")</f>
        <v>4.2</v>
      </c>
      <c r="G8696" s="4" t="str">
        <f>HYPERLINK("http://141.218.60.56/~jnz1568/getInfo.php?workbook=20_05.xlsx&amp;sheet=U0&amp;row=8696&amp;col=7&amp;number=4.5e-05&amp;sourceID=14","4.5e-05")</f>
        <v>4.5e-05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HYPERLINK("http://141.218.60.56/~jnz1568/getInfo.php?workbook=20_05.xlsx&amp;sheet=U0&amp;row=8697&amp;col=6&amp;number=4.3&amp;sourceID=14","4.3")</f>
        <v>4.3</v>
      </c>
      <c r="G8697" s="4" t="str">
        <f>HYPERLINK("http://141.218.60.56/~jnz1568/getInfo.php?workbook=20_05.xlsx&amp;sheet=U0&amp;row=8697&amp;col=7&amp;number=4.49e-05&amp;sourceID=14","4.49e-05")</f>
        <v>4.49e-05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HYPERLINK("http://141.218.60.56/~jnz1568/getInfo.php?workbook=20_05.xlsx&amp;sheet=U0&amp;row=8698&amp;col=6&amp;number=4.4&amp;sourceID=14","4.4")</f>
        <v>4.4</v>
      </c>
      <c r="G8698" s="4" t="str">
        <f>HYPERLINK("http://141.218.60.56/~jnz1568/getInfo.php?workbook=20_05.xlsx&amp;sheet=U0&amp;row=8698&amp;col=7&amp;number=4.49e-05&amp;sourceID=14","4.49e-05")</f>
        <v>4.49e-05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HYPERLINK("http://141.218.60.56/~jnz1568/getInfo.php?workbook=20_05.xlsx&amp;sheet=U0&amp;row=8699&amp;col=6&amp;number=4.5&amp;sourceID=14","4.5")</f>
        <v>4.5</v>
      </c>
      <c r="G8699" s="4" t="str">
        <f>HYPERLINK("http://141.218.60.56/~jnz1568/getInfo.php?workbook=20_05.xlsx&amp;sheet=U0&amp;row=8699&amp;col=7&amp;number=4.48e-05&amp;sourceID=14","4.48e-05")</f>
        <v>4.48e-05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HYPERLINK("http://141.218.60.56/~jnz1568/getInfo.php?workbook=20_05.xlsx&amp;sheet=U0&amp;row=8700&amp;col=6&amp;number=4.6&amp;sourceID=14","4.6")</f>
        <v>4.6</v>
      </c>
      <c r="G8700" s="4" t="str">
        <f>HYPERLINK("http://141.218.60.56/~jnz1568/getInfo.php?workbook=20_05.xlsx&amp;sheet=U0&amp;row=8700&amp;col=7&amp;number=4.47e-05&amp;sourceID=14","4.47e-05")</f>
        <v>4.47e-05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HYPERLINK("http://141.218.60.56/~jnz1568/getInfo.php?workbook=20_05.xlsx&amp;sheet=U0&amp;row=8701&amp;col=6&amp;number=4.7&amp;sourceID=14","4.7")</f>
        <v>4.7</v>
      </c>
      <c r="G8701" s="4" t="str">
        <f>HYPERLINK("http://141.218.60.56/~jnz1568/getInfo.php?workbook=20_05.xlsx&amp;sheet=U0&amp;row=8701&amp;col=7&amp;number=4.46e-05&amp;sourceID=14","4.46e-05")</f>
        <v>4.46e-05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HYPERLINK("http://141.218.60.56/~jnz1568/getInfo.php?workbook=20_05.xlsx&amp;sheet=U0&amp;row=8702&amp;col=6&amp;number=4.8&amp;sourceID=14","4.8")</f>
        <v>4.8</v>
      </c>
      <c r="G8702" s="4" t="str">
        <f>HYPERLINK("http://141.218.60.56/~jnz1568/getInfo.php?workbook=20_05.xlsx&amp;sheet=U0&amp;row=8702&amp;col=7&amp;number=4.45e-05&amp;sourceID=14","4.45e-05")</f>
        <v>4.45e-05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HYPERLINK("http://141.218.60.56/~jnz1568/getInfo.php?workbook=20_05.xlsx&amp;sheet=U0&amp;row=8703&amp;col=6&amp;number=4.9&amp;sourceID=14","4.9")</f>
        <v>4.9</v>
      </c>
      <c r="G8703" s="4" t="str">
        <f>HYPERLINK("http://141.218.60.56/~jnz1568/getInfo.php?workbook=20_05.xlsx&amp;sheet=U0&amp;row=8703&amp;col=7&amp;number=4.44e-05&amp;sourceID=14","4.44e-05")</f>
        <v>4.44e-05</v>
      </c>
    </row>
    <row r="8704" spans="1:7">
      <c r="A8704" s="3">
        <v>20</v>
      </c>
      <c r="B8704" s="3">
        <v>5</v>
      </c>
      <c r="C8704" s="3">
        <v>4</v>
      </c>
      <c r="D8704" s="3">
        <v>74</v>
      </c>
      <c r="E8704" s="3">
        <v>1</v>
      </c>
      <c r="F8704" s="4" t="str">
        <f>HYPERLINK("http://141.218.60.56/~jnz1568/getInfo.php?workbook=20_05.xlsx&amp;sheet=U0&amp;row=8704&amp;col=6&amp;number=3&amp;sourceID=14","3")</f>
        <v>3</v>
      </c>
      <c r="G8704" s="4" t="str">
        <f>HYPERLINK("http://141.218.60.56/~jnz1568/getInfo.php?workbook=20_05.xlsx&amp;sheet=U0&amp;row=8704&amp;col=7&amp;number=0.00241&amp;sourceID=14","0.00241")</f>
        <v>0.00241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HYPERLINK("http://141.218.60.56/~jnz1568/getInfo.php?workbook=20_05.xlsx&amp;sheet=U0&amp;row=8705&amp;col=6&amp;number=3.1&amp;sourceID=14","3.1")</f>
        <v>3.1</v>
      </c>
      <c r="G8705" s="4" t="str">
        <f>HYPERLINK("http://141.218.60.56/~jnz1568/getInfo.php?workbook=20_05.xlsx&amp;sheet=U0&amp;row=8705&amp;col=7&amp;number=0.00242&amp;sourceID=14","0.00242")</f>
        <v>0.00242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HYPERLINK("http://141.218.60.56/~jnz1568/getInfo.php?workbook=20_05.xlsx&amp;sheet=U0&amp;row=8706&amp;col=6&amp;number=3.2&amp;sourceID=14","3.2")</f>
        <v>3.2</v>
      </c>
      <c r="G8706" s="4" t="str">
        <f>HYPERLINK("http://141.218.60.56/~jnz1568/getInfo.php?workbook=20_05.xlsx&amp;sheet=U0&amp;row=8706&amp;col=7&amp;number=0.00242&amp;sourceID=14","0.00242")</f>
        <v>0.00242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HYPERLINK("http://141.218.60.56/~jnz1568/getInfo.php?workbook=20_05.xlsx&amp;sheet=U0&amp;row=8707&amp;col=6&amp;number=3.3&amp;sourceID=14","3.3")</f>
        <v>3.3</v>
      </c>
      <c r="G8707" s="4" t="str">
        <f>HYPERLINK("http://141.218.60.56/~jnz1568/getInfo.php?workbook=20_05.xlsx&amp;sheet=U0&amp;row=8707&amp;col=7&amp;number=0.00242&amp;sourceID=14","0.00242")</f>
        <v>0.00242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HYPERLINK("http://141.218.60.56/~jnz1568/getInfo.php?workbook=20_05.xlsx&amp;sheet=U0&amp;row=8708&amp;col=6&amp;number=3.4&amp;sourceID=14","3.4")</f>
        <v>3.4</v>
      </c>
      <c r="G8708" s="4" t="str">
        <f>HYPERLINK("http://141.218.60.56/~jnz1568/getInfo.php?workbook=20_05.xlsx&amp;sheet=U0&amp;row=8708&amp;col=7&amp;number=0.00242&amp;sourceID=14","0.00242")</f>
        <v>0.00242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HYPERLINK("http://141.218.60.56/~jnz1568/getInfo.php?workbook=20_05.xlsx&amp;sheet=U0&amp;row=8709&amp;col=6&amp;number=3.5&amp;sourceID=14","3.5")</f>
        <v>3.5</v>
      </c>
      <c r="G8709" s="4" t="str">
        <f>HYPERLINK("http://141.218.60.56/~jnz1568/getInfo.php?workbook=20_05.xlsx&amp;sheet=U0&amp;row=8709&amp;col=7&amp;number=0.00242&amp;sourceID=14","0.00242")</f>
        <v>0.00242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HYPERLINK("http://141.218.60.56/~jnz1568/getInfo.php?workbook=20_05.xlsx&amp;sheet=U0&amp;row=8710&amp;col=6&amp;number=3.6&amp;sourceID=14","3.6")</f>
        <v>3.6</v>
      </c>
      <c r="G8710" s="4" t="str">
        <f>HYPERLINK("http://141.218.60.56/~jnz1568/getInfo.php?workbook=20_05.xlsx&amp;sheet=U0&amp;row=8710&amp;col=7&amp;number=0.00242&amp;sourceID=14","0.00242")</f>
        <v>0.00242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HYPERLINK("http://141.218.60.56/~jnz1568/getInfo.php?workbook=20_05.xlsx&amp;sheet=U0&amp;row=8711&amp;col=6&amp;number=3.7&amp;sourceID=14","3.7")</f>
        <v>3.7</v>
      </c>
      <c r="G8711" s="4" t="str">
        <f>HYPERLINK("http://141.218.60.56/~jnz1568/getInfo.php?workbook=20_05.xlsx&amp;sheet=U0&amp;row=8711&amp;col=7&amp;number=0.00242&amp;sourceID=14","0.00242")</f>
        <v>0.00242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HYPERLINK("http://141.218.60.56/~jnz1568/getInfo.php?workbook=20_05.xlsx&amp;sheet=U0&amp;row=8712&amp;col=6&amp;number=3.8&amp;sourceID=14","3.8")</f>
        <v>3.8</v>
      </c>
      <c r="G8712" s="4" t="str">
        <f>HYPERLINK("http://141.218.60.56/~jnz1568/getInfo.php?workbook=20_05.xlsx&amp;sheet=U0&amp;row=8712&amp;col=7&amp;number=0.00242&amp;sourceID=14","0.00242")</f>
        <v>0.00242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HYPERLINK("http://141.218.60.56/~jnz1568/getInfo.php?workbook=20_05.xlsx&amp;sheet=U0&amp;row=8713&amp;col=6&amp;number=3.9&amp;sourceID=14","3.9")</f>
        <v>3.9</v>
      </c>
      <c r="G8713" s="4" t="str">
        <f>HYPERLINK("http://141.218.60.56/~jnz1568/getInfo.php?workbook=20_05.xlsx&amp;sheet=U0&amp;row=8713&amp;col=7&amp;number=0.00242&amp;sourceID=14","0.00242")</f>
        <v>0.00242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HYPERLINK("http://141.218.60.56/~jnz1568/getInfo.php?workbook=20_05.xlsx&amp;sheet=U0&amp;row=8714&amp;col=6&amp;number=4&amp;sourceID=14","4")</f>
        <v>4</v>
      </c>
      <c r="G8714" s="4" t="str">
        <f>HYPERLINK("http://141.218.60.56/~jnz1568/getInfo.php?workbook=20_05.xlsx&amp;sheet=U0&amp;row=8714&amp;col=7&amp;number=0.00242&amp;sourceID=14","0.00242")</f>
        <v>0.00242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HYPERLINK("http://141.218.60.56/~jnz1568/getInfo.php?workbook=20_05.xlsx&amp;sheet=U0&amp;row=8715&amp;col=6&amp;number=4.1&amp;sourceID=14","4.1")</f>
        <v>4.1</v>
      </c>
      <c r="G8715" s="4" t="str">
        <f>HYPERLINK("http://141.218.60.56/~jnz1568/getInfo.php?workbook=20_05.xlsx&amp;sheet=U0&amp;row=8715&amp;col=7&amp;number=0.00242&amp;sourceID=14","0.00242")</f>
        <v>0.00242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HYPERLINK("http://141.218.60.56/~jnz1568/getInfo.php?workbook=20_05.xlsx&amp;sheet=U0&amp;row=8716&amp;col=6&amp;number=4.2&amp;sourceID=14","4.2")</f>
        <v>4.2</v>
      </c>
      <c r="G8716" s="4" t="str">
        <f>HYPERLINK("http://141.218.60.56/~jnz1568/getInfo.php?workbook=20_05.xlsx&amp;sheet=U0&amp;row=8716&amp;col=7&amp;number=0.00243&amp;sourceID=14","0.00243")</f>
        <v>0.00243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HYPERLINK("http://141.218.60.56/~jnz1568/getInfo.php?workbook=20_05.xlsx&amp;sheet=U0&amp;row=8717&amp;col=6&amp;number=4.3&amp;sourceID=14","4.3")</f>
        <v>4.3</v>
      </c>
      <c r="G8717" s="4" t="str">
        <f>HYPERLINK("http://141.218.60.56/~jnz1568/getInfo.php?workbook=20_05.xlsx&amp;sheet=U0&amp;row=8717&amp;col=7&amp;number=0.00243&amp;sourceID=14","0.00243")</f>
        <v>0.00243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HYPERLINK("http://141.218.60.56/~jnz1568/getInfo.php?workbook=20_05.xlsx&amp;sheet=U0&amp;row=8718&amp;col=6&amp;number=4.4&amp;sourceID=14","4.4")</f>
        <v>4.4</v>
      </c>
      <c r="G8718" s="4" t="str">
        <f>HYPERLINK("http://141.218.60.56/~jnz1568/getInfo.php?workbook=20_05.xlsx&amp;sheet=U0&amp;row=8718&amp;col=7&amp;number=0.00243&amp;sourceID=14","0.00243")</f>
        <v>0.00243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HYPERLINK("http://141.218.60.56/~jnz1568/getInfo.php?workbook=20_05.xlsx&amp;sheet=U0&amp;row=8719&amp;col=6&amp;number=4.5&amp;sourceID=14","4.5")</f>
        <v>4.5</v>
      </c>
      <c r="G8719" s="4" t="str">
        <f>HYPERLINK("http://141.218.60.56/~jnz1568/getInfo.php?workbook=20_05.xlsx&amp;sheet=U0&amp;row=8719&amp;col=7&amp;number=0.00244&amp;sourceID=14","0.00244")</f>
        <v>0.00244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HYPERLINK("http://141.218.60.56/~jnz1568/getInfo.php?workbook=20_05.xlsx&amp;sheet=U0&amp;row=8720&amp;col=6&amp;number=4.6&amp;sourceID=14","4.6")</f>
        <v>4.6</v>
      </c>
      <c r="G8720" s="4" t="str">
        <f>HYPERLINK("http://141.218.60.56/~jnz1568/getInfo.php?workbook=20_05.xlsx&amp;sheet=U0&amp;row=8720&amp;col=7&amp;number=0.00245&amp;sourceID=14","0.00245")</f>
        <v>0.00245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HYPERLINK("http://141.218.60.56/~jnz1568/getInfo.php?workbook=20_05.xlsx&amp;sheet=U0&amp;row=8721&amp;col=6&amp;number=4.7&amp;sourceID=14","4.7")</f>
        <v>4.7</v>
      </c>
      <c r="G8721" s="4" t="str">
        <f>HYPERLINK("http://141.218.60.56/~jnz1568/getInfo.php?workbook=20_05.xlsx&amp;sheet=U0&amp;row=8721&amp;col=7&amp;number=0.00245&amp;sourceID=14","0.00245")</f>
        <v>0.00245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HYPERLINK("http://141.218.60.56/~jnz1568/getInfo.php?workbook=20_05.xlsx&amp;sheet=U0&amp;row=8722&amp;col=6&amp;number=4.8&amp;sourceID=14","4.8")</f>
        <v>4.8</v>
      </c>
      <c r="G8722" s="4" t="str">
        <f>HYPERLINK("http://141.218.60.56/~jnz1568/getInfo.php?workbook=20_05.xlsx&amp;sheet=U0&amp;row=8722&amp;col=7&amp;number=0.00247&amp;sourceID=14","0.00247")</f>
        <v>0.00247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HYPERLINK("http://141.218.60.56/~jnz1568/getInfo.php?workbook=20_05.xlsx&amp;sheet=U0&amp;row=8723&amp;col=6&amp;number=4.9&amp;sourceID=14","4.9")</f>
        <v>4.9</v>
      </c>
      <c r="G8723" s="4" t="str">
        <f>HYPERLINK("http://141.218.60.56/~jnz1568/getInfo.php?workbook=20_05.xlsx&amp;sheet=U0&amp;row=8723&amp;col=7&amp;number=0.00248&amp;sourceID=14","0.00248")</f>
        <v>0.00248</v>
      </c>
    </row>
    <row r="8724" spans="1:7">
      <c r="A8724" s="3">
        <v>20</v>
      </c>
      <c r="B8724" s="3">
        <v>5</v>
      </c>
      <c r="C8724" s="3">
        <v>4</v>
      </c>
      <c r="D8724" s="3">
        <v>75</v>
      </c>
      <c r="E8724" s="3">
        <v>1</v>
      </c>
      <c r="F8724" s="4" t="str">
        <f>HYPERLINK("http://141.218.60.56/~jnz1568/getInfo.php?workbook=20_05.xlsx&amp;sheet=U0&amp;row=8724&amp;col=6&amp;number=3&amp;sourceID=14","3")</f>
        <v>3</v>
      </c>
      <c r="G8724" s="4" t="str">
        <f>HYPERLINK("http://141.218.60.56/~jnz1568/getInfo.php?workbook=20_05.xlsx&amp;sheet=U0&amp;row=8724&amp;col=7&amp;number=0.001&amp;sourceID=14","0.001")</f>
        <v>0.001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HYPERLINK("http://141.218.60.56/~jnz1568/getInfo.php?workbook=20_05.xlsx&amp;sheet=U0&amp;row=8725&amp;col=6&amp;number=3.1&amp;sourceID=14","3.1")</f>
        <v>3.1</v>
      </c>
      <c r="G8725" s="4" t="str">
        <f>HYPERLINK("http://141.218.60.56/~jnz1568/getInfo.php?workbook=20_05.xlsx&amp;sheet=U0&amp;row=8725&amp;col=7&amp;number=0.001&amp;sourceID=14","0.001")</f>
        <v>0.001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HYPERLINK("http://141.218.60.56/~jnz1568/getInfo.php?workbook=20_05.xlsx&amp;sheet=U0&amp;row=8726&amp;col=6&amp;number=3.2&amp;sourceID=14","3.2")</f>
        <v>3.2</v>
      </c>
      <c r="G8726" s="4" t="str">
        <f>HYPERLINK("http://141.218.60.56/~jnz1568/getInfo.php?workbook=20_05.xlsx&amp;sheet=U0&amp;row=8726&amp;col=7&amp;number=0.001&amp;sourceID=14","0.001")</f>
        <v>0.001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HYPERLINK("http://141.218.60.56/~jnz1568/getInfo.php?workbook=20_05.xlsx&amp;sheet=U0&amp;row=8727&amp;col=6&amp;number=3.3&amp;sourceID=14","3.3")</f>
        <v>3.3</v>
      </c>
      <c r="G8727" s="4" t="str">
        <f>HYPERLINK("http://141.218.60.56/~jnz1568/getInfo.php?workbook=20_05.xlsx&amp;sheet=U0&amp;row=8727&amp;col=7&amp;number=0.001&amp;sourceID=14","0.001")</f>
        <v>0.001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HYPERLINK("http://141.218.60.56/~jnz1568/getInfo.php?workbook=20_05.xlsx&amp;sheet=U0&amp;row=8728&amp;col=6&amp;number=3.4&amp;sourceID=14","3.4")</f>
        <v>3.4</v>
      </c>
      <c r="G8728" s="4" t="str">
        <f>HYPERLINK("http://141.218.60.56/~jnz1568/getInfo.php?workbook=20_05.xlsx&amp;sheet=U0&amp;row=8728&amp;col=7&amp;number=0.001&amp;sourceID=14","0.001")</f>
        <v>0.001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HYPERLINK("http://141.218.60.56/~jnz1568/getInfo.php?workbook=20_05.xlsx&amp;sheet=U0&amp;row=8729&amp;col=6&amp;number=3.5&amp;sourceID=14","3.5")</f>
        <v>3.5</v>
      </c>
      <c r="G8729" s="4" t="str">
        <f>HYPERLINK("http://141.218.60.56/~jnz1568/getInfo.php?workbook=20_05.xlsx&amp;sheet=U0&amp;row=8729&amp;col=7&amp;number=0.001&amp;sourceID=14","0.001")</f>
        <v>0.001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HYPERLINK("http://141.218.60.56/~jnz1568/getInfo.php?workbook=20_05.xlsx&amp;sheet=U0&amp;row=8730&amp;col=6&amp;number=3.6&amp;sourceID=14","3.6")</f>
        <v>3.6</v>
      </c>
      <c r="G8730" s="4" t="str">
        <f>HYPERLINK("http://141.218.60.56/~jnz1568/getInfo.php?workbook=20_05.xlsx&amp;sheet=U0&amp;row=8730&amp;col=7&amp;number=0.001&amp;sourceID=14","0.001")</f>
        <v>0.001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HYPERLINK("http://141.218.60.56/~jnz1568/getInfo.php?workbook=20_05.xlsx&amp;sheet=U0&amp;row=8731&amp;col=6&amp;number=3.7&amp;sourceID=14","3.7")</f>
        <v>3.7</v>
      </c>
      <c r="G8731" s="4" t="str">
        <f>HYPERLINK("http://141.218.60.56/~jnz1568/getInfo.php?workbook=20_05.xlsx&amp;sheet=U0&amp;row=8731&amp;col=7&amp;number=0.001&amp;sourceID=14","0.001")</f>
        <v>0.001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HYPERLINK("http://141.218.60.56/~jnz1568/getInfo.php?workbook=20_05.xlsx&amp;sheet=U0&amp;row=8732&amp;col=6&amp;number=3.8&amp;sourceID=14","3.8")</f>
        <v>3.8</v>
      </c>
      <c r="G8732" s="4" t="str">
        <f>HYPERLINK("http://141.218.60.56/~jnz1568/getInfo.php?workbook=20_05.xlsx&amp;sheet=U0&amp;row=8732&amp;col=7&amp;number=0.001&amp;sourceID=14","0.001")</f>
        <v>0.001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HYPERLINK("http://141.218.60.56/~jnz1568/getInfo.php?workbook=20_05.xlsx&amp;sheet=U0&amp;row=8733&amp;col=6&amp;number=3.9&amp;sourceID=14","3.9")</f>
        <v>3.9</v>
      </c>
      <c r="G8733" s="4" t="str">
        <f>HYPERLINK("http://141.218.60.56/~jnz1568/getInfo.php?workbook=20_05.xlsx&amp;sheet=U0&amp;row=8733&amp;col=7&amp;number=0.001&amp;sourceID=14","0.001")</f>
        <v>0.001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HYPERLINK("http://141.218.60.56/~jnz1568/getInfo.php?workbook=20_05.xlsx&amp;sheet=U0&amp;row=8734&amp;col=6&amp;number=4&amp;sourceID=14","4")</f>
        <v>4</v>
      </c>
      <c r="G8734" s="4" t="str">
        <f>HYPERLINK("http://141.218.60.56/~jnz1568/getInfo.php?workbook=20_05.xlsx&amp;sheet=U0&amp;row=8734&amp;col=7&amp;number=0.001&amp;sourceID=14","0.001")</f>
        <v>0.001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HYPERLINK("http://141.218.60.56/~jnz1568/getInfo.php?workbook=20_05.xlsx&amp;sheet=U0&amp;row=8735&amp;col=6&amp;number=4.1&amp;sourceID=14","4.1")</f>
        <v>4.1</v>
      </c>
      <c r="G8735" s="4" t="str">
        <f>HYPERLINK("http://141.218.60.56/~jnz1568/getInfo.php?workbook=20_05.xlsx&amp;sheet=U0&amp;row=8735&amp;col=7&amp;number=0.000999&amp;sourceID=14","0.000999")</f>
        <v>0.000999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HYPERLINK("http://141.218.60.56/~jnz1568/getInfo.php?workbook=20_05.xlsx&amp;sheet=U0&amp;row=8736&amp;col=6&amp;number=4.2&amp;sourceID=14","4.2")</f>
        <v>4.2</v>
      </c>
      <c r="G8736" s="4" t="str">
        <f>HYPERLINK("http://141.218.60.56/~jnz1568/getInfo.php?workbook=20_05.xlsx&amp;sheet=U0&amp;row=8736&amp;col=7&amp;number=0.000998&amp;sourceID=14","0.000998")</f>
        <v>0.000998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HYPERLINK("http://141.218.60.56/~jnz1568/getInfo.php?workbook=20_05.xlsx&amp;sheet=U0&amp;row=8737&amp;col=6&amp;number=4.3&amp;sourceID=14","4.3")</f>
        <v>4.3</v>
      </c>
      <c r="G8737" s="4" t="str">
        <f>HYPERLINK("http://141.218.60.56/~jnz1568/getInfo.php?workbook=20_05.xlsx&amp;sheet=U0&amp;row=8737&amp;col=7&amp;number=0.000998&amp;sourceID=14","0.000998")</f>
        <v>0.000998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HYPERLINK("http://141.218.60.56/~jnz1568/getInfo.php?workbook=20_05.xlsx&amp;sheet=U0&amp;row=8738&amp;col=6&amp;number=4.4&amp;sourceID=14","4.4")</f>
        <v>4.4</v>
      </c>
      <c r="G8738" s="4" t="str">
        <f>HYPERLINK("http://141.218.60.56/~jnz1568/getInfo.php?workbook=20_05.xlsx&amp;sheet=U0&amp;row=8738&amp;col=7&amp;number=0.000997&amp;sourceID=14","0.000997")</f>
        <v>0.000997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HYPERLINK("http://141.218.60.56/~jnz1568/getInfo.php?workbook=20_05.xlsx&amp;sheet=U0&amp;row=8739&amp;col=6&amp;number=4.5&amp;sourceID=14","4.5")</f>
        <v>4.5</v>
      </c>
      <c r="G8739" s="4" t="str">
        <f>HYPERLINK("http://141.218.60.56/~jnz1568/getInfo.php?workbook=20_05.xlsx&amp;sheet=U0&amp;row=8739&amp;col=7&amp;number=0.000995&amp;sourceID=14","0.000995")</f>
        <v>0.000995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HYPERLINK("http://141.218.60.56/~jnz1568/getInfo.php?workbook=20_05.xlsx&amp;sheet=U0&amp;row=8740&amp;col=6&amp;number=4.6&amp;sourceID=14","4.6")</f>
        <v>4.6</v>
      </c>
      <c r="G8740" s="4" t="str">
        <f>HYPERLINK("http://141.218.60.56/~jnz1568/getInfo.php?workbook=20_05.xlsx&amp;sheet=U0&amp;row=8740&amp;col=7&amp;number=0.000994&amp;sourceID=14","0.000994")</f>
        <v>0.000994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HYPERLINK("http://141.218.60.56/~jnz1568/getInfo.php?workbook=20_05.xlsx&amp;sheet=U0&amp;row=8741&amp;col=6&amp;number=4.7&amp;sourceID=14","4.7")</f>
        <v>4.7</v>
      </c>
      <c r="G8741" s="4" t="str">
        <f>HYPERLINK("http://141.218.60.56/~jnz1568/getInfo.php?workbook=20_05.xlsx&amp;sheet=U0&amp;row=8741&amp;col=7&amp;number=0.000992&amp;sourceID=14","0.000992")</f>
        <v>0.000992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HYPERLINK("http://141.218.60.56/~jnz1568/getInfo.php?workbook=20_05.xlsx&amp;sheet=U0&amp;row=8742&amp;col=6&amp;number=4.8&amp;sourceID=14","4.8")</f>
        <v>4.8</v>
      </c>
      <c r="G8742" s="4" t="str">
        <f>HYPERLINK("http://141.218.60.56/~jnz1568/getInfo.php?workbook=20_05.xlsx&amp;sheet=U0&amp;row=8742&amp;col=7&amp;number=0.000989&amp;sourceID=14","0.000989")</f>
        <v>0.000989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HYPERLINK("http://141.218.60.56/~jnz1568/getInfo.php?workbook=20_05.xlsx&amp;sheet=U0&amp;row=8743&amp;col=6&amp;number=4.9&amp;sourceID=14","4.9")</f>
        <v>4.9</v>
      </c>
      <c r="G8743" s="4" t="str">
        <f>HYPERLINK("http://141.218.60.56/~jnz1568/getInfo.php?workbook=20_05.xlsx&amp;sheet=U0&amp;row=8743&amp;col=7&amp;number=0.000986&amp;sourceID=14","0.000986")</f>
        <v>0.000986</v>
      </c>
    </row>
    <row r="8744" spans="1:7">
      <c r="A8744" s="3">
        <v>20</v>
      </c>
      <c r="B8744" s="3">
        <v>5</v>
      </c>
      <c r="C8744" s="3">
        <v>4</v>
      </c>
      <c r="D8744" s="3">
        <v>76</v>
      </c>
      <c r="E8744" s="3">
        <v>1</v>
      </c>
      <c r="F8744" s="4" t="str">
        <f>HYPERLINK("http://141.218.60.56/~jnz1568/getInfo.php?workbook=20_05.xlsx&amp;sheet=U0&amp;row=8744&amp;col=6&amp;number=3&amp;sourceID=14","3")</f>
        <v>3</v>
      </c>
      <c r="G8744" s="4" t="str">
        <f>HYPERLINK("http://141.218.60.56/~jnz1568/getInfo.php?workbook=20_05.xlsx&amp;sheet=U0&amp;row=8744&amp;col=7&amp;number=0.00651&amp;sourceID=14","0.00651")</f>
        <v>0.00651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HYPERLINK("http://141.218.60.56/~jnz1568/getInfo.php?workbook=20_05.xlsx&amp;sheet=U0&amp;row=8745&amp;col=6&amp;number=3.1&amp;sourceID=14","3.1")</f>
        <v>3.1</v>
      </c>
      <c r="G8745" s="4" t="str">
        <f>HYPERLINK("http://141.218.60.56/~jnz1568/getInfo.php?workbook=20_05.xlsx&amp;sheet=U0&amp;row=8745&amp;col=7&amp;number=0.00651&amp;sourceID=14","0.00651")</f>
        <v>0.00651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HYPERLINK("http://141.218.60.56/~jnz1568/getInfo.php?workbook=20_05.xlsx&amp;sheet=U0&amp;row=8746&amp;col=6&amp;number=3.2&amp;sourceID=14","3.2")</f>
        <v>3.2</v>
      </c>
      <c r="G8746" s="4" t="str">
        <f>HYPERLINK("http://141.218.60.56/~jnz1568/getInfo.php?workbook=20_05.xlsx&amp;sheet=U0&amp;row=8746&amp;col=7&amp;number=0.00651&amp;sourceID=14","0.00651")</f>
        <v>0.00651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HYPERLINK("http://141.218.60.56/~jnz1568/getInfo.php?workbook=20_05.xlsx&amp;sheet=U0&amp;row=8747&amp;col=6&amp;number=3.3&amp;sourceID=14","3.3")</f>
        <v>3.3</v>
      </c>
      <c r="G8747" s="4" t="str">
        <f>HYPERLINK("http://141.218.60.56/~jnz1568/getInfo.php?workbook=20_05.xlsx&amp;sheet=U0&amp;row=8747&amp;col=7&amp;number=0.00651&amp;sourceID=14","0.00651")</f>
        <v>0.00651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HYPERLINK("http://141.218.60.56/~jnz1568/getInfo.php?workbook=20_05.xlsx&amp;sheet=U0&amp;row=8748&amp;col=6&amp;number=3.4&amp;sourceID=14","3.4")</f>
        <v>3.4</v>
      </c>
      <c r="G8748" s="4" t="str">
        <f>HYPERLINK("http://141.218.60.56/~jnz1568/getInfo.php?workbook=20_05.xlsx&amp;sheet=U0&amp;row=8748&amp;col=7&amp;number=0.00651&amp;sourceID=14","0.00651")</f>
        <v>0.00651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HYPERLINK("http://141.218.60.56/~jnz1568/getInfo.php?workbook=20_05.xlsx&amp;sheet=U0&amp;row=8749&amp;col=6&amp;number=3.5&amp;sourceID=14","3.5")</f>
        <v>3.5</v>
      </c>
      <c r="G8749" s="4" t="str">
        <f>HYPERLINK("http://141.218.60.56/~jnz1568/getInfo.php?workbook=20_05.xlsx&amp;sheet=U0&amp;row=8749&amp;col=7&amp;number=0.00651&amp;sourceID=14","0.00651")</f>
        <v>0.00651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HYPERLINK("http://141.218.60.56/~jnz1568/getInfo.php?workbook=20_05.xlsx&amp;sheet=U0&amp;row=8750&amp;col=6&amp;number=3.6&amp;sourceID=14","3.6")</f>
        <v>3.6</v>
      </c>
      <c r="G8750" s="4" t="str">
        <f>HYPERLINK("http://141.218.60.56/~jnz1568/getInfo.php?workbook=20_05.xlsx&amp;sheet=U0&amp;row=8750&amp;col=7&amp;number=0.00651&amp;sourceID=14","0.00651")</f>
        <v>0.00651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HYPERLINK("http://141.218.60.56/~jnz1568/getInfo.php?workbook=20_05.xlsx&amp;sheet=U0&amp;row=8751&amp;col=6&amp;number=3.7&amp;sourceID=14","3.7")</f>
        <v>3.7</v>
      </c>
      <c r="G8751" s="4" t="str">
        <f>HYPERLINK("http://141.218.60.56/~jnz1568/getInfo.php?workbook=20_05.xlsx&amp;sheet=U0&amp;row=8751&amp;col=7&amp;number=0.00651&amp;sourceID=14","0.00651")</f>
        <v>0.00651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HYPERLINK("http://141.218.60.56/~jnz1568/getInfo.php?workbook=20_05.xlsx&amp;sheet=U0&amp;row=8752&amp;col=6&amp;number=3.8&amp;sourceID=14","3.8")</f>
        <v>3.8</v>
      </c>
      <c r="G8752" s="4" t="str">
        <f>HYPERLINK("http://141.218.60.56/~jnz1568/getInfo.php?workbook=20_05.xlsx&amp;sheet=U0&amp;row=8752&amp;col=7&amp;number=0.00651&amp;sourceID=14","0.00651")</f>
        <v>0.00651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HYPERLINK("http://141.218.60.56/~jnz1568/getInfo.php?workbook=20_05.xlsx&amp;sheet=U0&amp;row=8753&amp;col=6&amp;number=3.9&amp;sourceID=14","3.9")</f>
        <v>3.9</v>
      </c>
      <c r="G8753" s="4" t="str">
        <f>HYPERLINK("http://141.218.60.56/~jnz1568/getInfo.php?workbook=20_05.xlsx&amp;sheet=U0&amp;row=8753&amp;col=7&amp;number=0.00651&amp;sourceID=14","0.00651")</f>
        <v>0.00651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HYPERLINK("http://141.218.60.56/~jnz1568/getInfo.php?workbook=20_05.xlsx&amp;sheet=U0&amp;row=8754&amp;col=6&amp;number=4&amp;sourceID=14","4")</f>
        <v>4</v>
      </c>
      <c r="G8754" s="4" t="str">
        <f>HYPERLINK("http://141.218.60.56/~jnz1568/getInfo.php?workbook=20_05.xlsx&amp;sheet=U0&amp;row=8754&amp;col=7&amp;number=0.00651&amp;sourceID=14","0.00651")</f>
        <v>0.00651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HYPERLINK("http://141.218.60.56/~jnz1568/getInfo.php?workbook=20_05.xlsx&amp;sheet=U0&amp;row=8755&amp;col=6&amp;number=4.1&amp;sourceID=14","4.1")</f>
        <v>4.1</v>
      </c>
      <c r="G8755" s="4" t="str">
        <f>HYPERLINK("http://141.218.60.56/~jnz1568/getInfo.php?workbook=20_05.xlsx&amp;sheet=U0&amp;row=8755&amp;col=7&amp;number=0.00651&amp;sourceID=14","0.00651")</f>
        <v>0.00651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HYPERLINK("http://141.218.60.56/~jnz1568/getInfo.php?workbook=20_05.xlsx&amp;sheet=U0&amp;row=8756&amp;col=6&amp;number=4.2&amp;sourceID=14","4.2")</f>
        <v>4.2</v>
      </c>
      <c r="G8756" s="4" t="str">
        <f>HYPERLINK("http://141.218.60.56/~jnz1568/getInfo.php?workbook=20_05.xlsx&amp;sheet=U0&amp;row=8756&amp;col=7&amp;number=0.00652&amp;sourceID=14","0.00652")</f>
        <v>0.00652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HYPERLINK("http://141.218.60.56/~jnz1568/getInfo.php?workbook=20_05.xlsx&amp;sheet=U0&amp;row=8757&amp;col=6&amp;number=4.3&amp;sourceID=14","4.3")</f>
        <v>4.3</v>
      </c>
      <c r="G8757" s="4" t="str">
        <f>HYPERLINK("http://141.218.60.56/~jnz1568/getInfo.php?workbook=20_05.xlsx&amp;sheet=U0&amp;row=8757&amp;col=7&amp;number=0.00652&amp;sourceID=14","0.00652")</f>
        <v>0.00652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HYPERLINK("http://141.218.60.56/~jnz1568/getInfo.php?workbook=20_05.xlsx&amp;sheet=U0&amp;row=8758&amp;col=6&amp;number=4.4&amp;sourceID=14","4.4")</f>
        <v>4.4</v>
      </c>
      <c r="G8758" s="4" t="str">
        <f>HYPERLINK("http://141.218.60.56/~jnz1568/getInfo.php?workbook=20_05.xlsx&amp;sheet=U0&amp;row=8758&amp;col=7&amp;number=0.00652&amp;sourceID=14","0.00652")</f>
        <v>0.00652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HYPERLINK("http://141.218.60.56/~jnz1568/getInfo.php?workbook=20_05.xlsx&amp;sheet=U0&amp;row=8759&amp;col=6&amp;number=4.5&amp;sourceID=14","4.5")</f>
        <v>4.5</v>
      </c>
      <c r="G8759" s="4" t="str">
        <f>HYPERLINK("http://141.218.60.56/~jnz1568/getInfo.php?workbook=20_05.xlsx&amp;sheet=U0&amp;row=8759&amp;col=7&amp;number=0.00652&amp;sourceID=14","0.00652")</f>
        <v>0.00652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HYPERLINK("http://141.218.60.56/~jnz1568/getInfo.php?workbook=20_05.xlsx&amp;sheet=U0&amp;row=8760&amp;col=6&amp;number=4.6&amp;sourceID=14","4.6")</f>
        <v>4.6</v>
      </c>
      <c r="G8760" s="4" t="str">
        <f>HYPERLINK("http://141.218.60.56/~jnz1568/getInfo.php?workbook=20_05.xlsx&amp;sheet=U0&amp;row=8760&amp;col=7&amp;number=0.00652&amp;sourceID=14","0.00652")</f>
        <v>0.00652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HYPERLINK("http://141.218.60.56/~jnz1568/getInfo.php?workbook=20_05.xlsx&amp;sheet=U0&amp;row=8761&amp;col=6&amp;number=4.7&amp;sourceID=14","4.7")</f>
        <v>4.7</v>
      </c>
      <c r="G8761" s="4" t="str">
        <f>HYPERLINK("http://141.218.60.56/~jnz1568/getInfo.php?workbook=20_05.xlsx&amp;sheet=U0&amp;row=8761&amp;col=7&amp;number=0.00653&amp;sourceID=14","0.00653")</f>
        <v>0.00653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HYPERLINK("http://141.218.60.56/~jnz1568/getInfo.php?workbook=20_05.xlsx&amp;sheet=U0&amp;row=8762&amp;col=6&amp;number=4.8&amp;sourceID=14","4.8")</f>
        <v>4.8</v>
      </c>
      <c r="G8762" s="4" t="str">
        <f>HYPERLINK("http://141.218.60.56/~jnz1568/getInfo.php?workbook=20_05.xlsx&amp;sheet=U0&amp;row=8762&amp;col=7&amp;number=0.00653&amp;sourceID=14","0.00653")</f>
        <v>0.00653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HYPERLINK("http://141.218.60.56/~jnz1568/getInfo.php?workbook=20_05.xlsx&amp;sheet=U0&amp;row=8763&amp;col=6&amp;number=4.9&amp;sourceID=14","4.9")</f>
        <v>4.9</v>
      </c>
      <c r="G8763" s="4" t="str">
        <f>HYPERLINK("http://141.218.60.56/~jnz1568/getInfo.php?workbook=20_05.xlsx&amp;sheet=U0&amp;row=8763&amp;col=7&amp;number=0.00653&amp;sourceID=14","0.00653")</f>
        <v>0.00653</v>
      </c>
    </row>
    <row r="8764" spans="1:7">
      <c r="A8764" s="3">
        <v>20</v>
      </c>
      <c r="B8764" s="3">
        <v>5</v>
      </c>
      <c r="C8764" s="3">
        <v>4</v>
      </c>
      <c r="D8764" s="3">
        <v>77</v>
      </c>
      <c r="E8764" s="3">
        <v>1</v>
      </c>
      <c r="F8764" s="4" t="str">
        <f>HYPERLINK("http://141.218.60.56/~jnz1568/getInfo.php?workbook=20_05.xlsx&amp;sheet=U0&amp;row=8764&amp;col=6&amp;number=3&amp;sourceID=14","3")</f>
        <v>3</v>
      </c>
      <c r="G8764" s="4" t="str">
        <f>HYPERLINK("http://141.218.60.56/~jnz1568/getInfo.php?workbook=20_05.xlsx&amp;sheet=U0&amp;row=8764&amp;col=7&amp;number=9.74e-05&amp;sourceID=14","9.74e-05")</f>
        <v>9.74e-05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HYPERLINK("http://141.218.60.56/~jnz1568/getInfo.php?workbook=20_05.xlsx&amp;sheet=U0&amp;row=8765&amp;col=6&amp;number=3.1&amp;sourceID=14","3.1")</f>
        <v>3.1</v>
      </c>
      <c r="G8765" s="4" t="str">
        <f>HYPERLINK("http://141.218.60.56/~jnz1568/getInfo.php?workbook=20_05.xlsx&amp;sheet=U0&amp;row=8765&amp;col=7&amp;number=9.74e-05&amp;sourceID=14","9.74e-05")</f>
        <v>9.74e-05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HYPERLINK("http://141.218.60.56/~jnz1568/getInfo.php?workbook=20_05.xlsx&amp;sheet=U0&amp;row=8766&amp;col=6&amp;number=3.2&amp;sourceID=14","3.2")</f>
        <v>3.2</v>
      </c>
      <c r="G8766" s="4" t="str">
        <f>HYPERLINK("http://141.218.60.56/~jnz1568/getInfo.php?workbook=20_05.xlsx&amp;sheet=U0&amp;row=8766&amp;col=7&amp;number=9.73e-05&amp;sourceID=14","9.73e-05")</f>
        <v>9.73e-05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HYPERLINK("http://141.218.60.56/~jnz1568/getInfo.php?workbook=20_05.xlsx&amp;sheet=U0&amp;row=8767&amp;col=6&amp;number=3.3&amp;sourceID=14","3.3")</f>
        <v>3.3</v>
      </c>
      <c r="G8767" s="4" t="str">
        <f>HYPERLINK("http://141.218.60.56/~jnz1568/getInfo.php?workbook=20_05.xlsx&amp;sheet=U0&amp;row=8767&amp;col=7&amp;number=9.73e-05&amp;sourceID=14","9.73e-05")</f>
        <v>9.73e-05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HYPERLINK("http://141.218.60.56/~jnz1568/getInfo.php?workbook=20_05.xlsx&amp;sheet=U0&amp;row=8768&amp;col=6&amp;number=3.4&amp;sourceID=14","3.4")</f>
        <v>3.4</v>
      </c>
      <c r="G8768" s="4" t="str">
        <f>HYPERLINK("http://141.218.60.56/~jnz1568/getInfo.php?workbook=20_05.xlsx&amp;sheet=U0&amp;row=8768&amp;col=7&amp;number=9.73e-05&amp;sourceID=14","9.73e-05")</f>
        <v>9.73e-05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HYPERLINK("http://141.218.60.56/~jnz1568/getInfo.php?workbook=20_05.xlsx&amp;sheet=U0&amp;row=8769&amp;col=6&amp;number=3.5&amp;sourceID=14","3.5")</f>
        <v>3.5</v>
      </c>
      <c r="G8769" s="4" t="str">
        <f>HYPERLINK("http://141.218.60.56/~jnz1568/getInfo.php?workbook=20_05.xlsx&amp;sheet=U0&amp;row=8769&amp;col=7&amp;number=9.73e-05&amp;sourceID=14","9.73e-05")</f>
        <v>9.73e-05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HYPERLINK("http://141.218.60.56/~jnz1568/getInfo.php?workbook=20_05.xlsx&amp;sheet=U0&amp;row=8770&amp;col=6&amp;number=3.6&amp;sourceID=14","3.6")</f>
        <v>3.6</v>
      </c>
      <c r="G8770" s="4" t="str">
        <f>HYPERLINK("http://141.218.60.56/~jnz1568/getInfo.php?workbook=20_05.xlsx&amp;sheet=U0&amp;row=8770&amp;col=7&amp;number=9.73e-05&amp;sourceID=14","9.73e-05")</f>
        <v>9.73e-05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HYPERLINK("http://141.218.60.56/~jnz1568/getInfo.php?workbook=20_05.xlsx&amp;sheet=U0&amp;row=8771&amp;col=6&amp;number=3.7&amp;sourceID=14","3.7")</f>
        <v>3.7</v>
      </c>
      <c r="G8771" s="4" t="str">
        <f>HYPERLINK("http://141.218.60.56/~jnz1568/getInfo.php?workbook=20_05.xlsx&amp;sheet=U0&amp;row=8771&amp;col=7&amp;number=9.73e-05&amp;sourceID=14","9.73e-05")</f>
        <v>9.73e-05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HYPERLINK("http://141.218.60.56/~jnz1568/getInfo.php?workbook=20_05.xlsx&amp;sheet=U0&amp;row=8772&amp;col=6&amp;number=3.8&amp;sourceID=14","3.8")</f>
        <v>3.8</v>
      </c>
      <c r="G8772" s="4" t="str">
        <f>HYPERLINK("http://141.218.60.56/~jnz1568/getInfo.php?workbook=20_05.xlsx&amp;sheet=U0&amp;row=8772&amp;col=7&amp;number=9.72e-05&amp;sourceID=14","9.72e-05")</f>
        <v>9.72e-05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HYPERLINK("http://141.218.60.56/~jnz1568/getInfo.php?workbook=20_05.xlsx&amp;sheet=U0&amp;row=8773&amp;col=6&amp;number=3.9&amp;sourceID=14","3.9")</f>
        <v>3.9</v>
      </c>
      <c r="G8773" s="4" t="str">
        <f>HYPERLINK("http://141.218.60.56/~jnz1568/getInfo.php?workbook=20_05.xlsx&amp;sheet=U0&amp;row=8773&amp;col=7&amp;number=9.72e-05&amp;sourceID=14","9.72e-05")</f>
        <v>9.72e-05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HYPERLINK("http://141.218.60.56/~jnz1568/getInfo.php?workbook=20_05.xlsx&amp;sheet=U0&amp;row=8774&amp;col=6&amp;number=4&amp;sourceID=14","4")</f>
        <v>4</v>
      </c>
      <c r="G8774" s="4" t="str">
        <f>HYPERLINK("http://141.218.60.56/~jnz1568/getInfo.php?workbook=20_05.xlsx&amp;sheet=U0&amp;row=8774&amp;col=7&amp;number=9.71e-05&amp;sourceID=14","9.71e-05")</f>
        <v>9.71e-05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HYPERLINK("http://141.218.60.56/~jnz1568/getInfo.php?workbook=20_05.xlsx&amp;sheet=U0&amp;row=8775&amp;col=6&amp;number=4.1&amp;sourceID=14","4.1")</f>
        <v>4.1</v>
      </c>
      <c r="G8775" s="4" t="str">
        <f>HYPERLINK("http://141.218.60.56/~jnz1568/getInfo.php?workbook=20_05.xlsx&amp;sheet=U0&amp;row=8775&amp;col=7&amp;number=9.71e-05&amp;sourceID=14","9.71e-05")</f>
        <v>9.71e-05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HYPERLINK("http://141.218.60.56/~jnz1568/getInfo.php?workbook=20_05.xlsx&amp;sheet=U0&amp;row=8776&amp;col=6&amp;number=4.2&amp;sourceID=14","4.2")</f>
        <v>4.2</v>
      </c>
      <c r="G8776" s="4" t="str">
        <f>HYPERLINK("http://141.218.60.56/~jnz1568/getInfo.php?workbook=20_05.xlsx&amp;sheet=U0&amp;row=8776&amp;col=7&amp;number=9.7e-05&amp;sourceID=14","9.7e-05")</f>
        <v>9.7e-05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HYPERLINK("http://141.218.60.56/~jnz1568/getInfo.php?workbook=20_05.xlsx&amp;sheet=U0&amp;row=8777&amp;col=6&amp;number=4.3&amp;sourceID=14","4.3")</f>
        <v>4.3</v>
      </c>
      <c r="G8777" s="4" t="str">
        <f>HYPERLINK("http://141.218.60.56/~jnz1568/getInfo.php?workbook=20_05.xlsx&amp;sheet=U0&amp;row=8777&amp;col=7&amp;number=9.69e-05&amp;sourceID=14","9.69e-05")</f>
        <v>9.69e-05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HYPERLINK("http://141.218.60.56/~jnz1568/getInfo.php?workbook=20_05.xlsx&amp;sheet=U0&amp;row=8778&amp;col=6&amp;number=4.4&amp;sourceID=14","4.4")</f>
        <v>4.4</v>
      </c>
      <c r="G8778" s="4" t="str">
        <f>HYPERLINK("http://141.218.60.56/~jnz1568/getInfo.php?workbook=20_05.xlsx&amp;sheet=U0&amp;row=8778&amp;col=7&amp;number=9.68e-05&amp;sourceID=14","9.68e-05")</f>
        <v>9.68e-05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HYPERLINK("http://141.218.60.56/~jnz1568/getInfo.php?workbook=20_05.xlsx&amp;sheet=U0&amp;row=8779&amp;col=6&amp;number=4.5&amp;sourceID=14","4.5")</f>
        <v>4.5</v>
      </c>
      <c r="G8779" s="4" t="str">
        <f>HYPERLINK("http://141.218.60.56/~jnz1568/getInfo.php?workbook=20_05.xlsx&amp;sheet=U0&amp;row=8779&amp;col=7&amp;number=9.66e-05&amp;sourceID=14","9.66e-05")</f>
        <v>9.66e-05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HYPERLINK("http://141.218.60.56/~jnz1568/getInfo.php?workbook=20_05.xlsx&amp;sheet=U0&amp;row=8780&amp;col=6&amp;number=4.6&amp;sourceID=14","4.6")</f>
        <v>4.6</v>
      </c>
      <c r="G8780" s="4" t="str">
        <f>HYPERLINK("http://141.218.60.56/~jnz1568/getInfo.php?workbook=20_05.xlsx&amp;sheet=U0&amp;row=8780&amp;col=7&amp;number=9.64e-05&amp;sourceID=14","9.64e-05")</f>
        <v>9.64e-05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HYPERLINK("http://141.218.60.56/~jnz1568/getInfo.php?workbook=20_05.xlsx&amp;sheet=U0&amp;row=8781&amp;col=6&amp;number=4.7&amp;sourceID=14","4.7")</f>
        <v>4.7</v>
      </c>
      <c r="G8781" s="4" t="str">
        <f>HYPERLINK("http://141.218.60.56/~jnz1568/getInfo.php?workbook=20_05.xlsx&amp;sheet=U0&amp;row=8781&amp;col=7&amp;number=9.62e-05&amp;sourceID=14","9.62e-05")</f>
        <v>9.62e-05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HYPERLINK("http://141.218.60.56/~jnz1568/getInfo.php?workbook=20_05.xlsx&amp;sheet=U0&amp;row=8782&amp;col=6&amp;number=4.8&amp;sourceID=14","4.8")</f>
        <v>4.8</v>
      </c>
      <c r="G8782" s="4" t="str">
        <f>HYPERLINK("http://141.218.60.56/~jnz1568/getInfo.php?workbook=20_05.xlsx&amp;sheet=U0&amp;row=8782&amp;col=7&amp;number=9.59e-05&amp;sourceID=14","9.59e-05")</f>
        <v>9.59e-05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HYPERLINK("http://141.218.60.56/~jnz1568/getInfo.php?workbook=20_05.xlsx&amp;sheet=U0&amp;row=8783&amp;col=6&amp;number=4.9&amp;sourceID=14","4.9")</f>
        <v>4.9</v>
      </c>
      <c r="G8783" s="4" t="str">
        <f>HYPERLINK("http://141.218.60.56/~jnz1568/getInfo.php?workbook=20_05.xlsx&amp;sheet=U0&amp;row=8783&amp;col=7&amp;number=9.55e-05&amp;sourceID=14","9.55e-05")</f>
        <v>9.55e-05</v>
      </c>
    </row>
    <row r="8784" spans="1:7">
      <c r="A8784" s="3">
        <v>20</v>
      </c>
      <c r="B8784" s="3">
        <v>5</v>
      </c>
      <c r="C8784" s="3">
        <v>4</v>
      </c>
      <c r="D8784" s="3">
        <v>78</v>
      </c>
      <c r="E8784" s="3">
        <v>1</v>
      </c>
      <c r="F8784" s="4" t="str">
        <f>HYPERLINK("http://141.218.60.56/~jnz1568/getInfo.php?workbook=20_05.xlsx&amp;sheet=U0&amp;row=8784&amp;col=6&amp;number=3&amp;sourceID=14","3")</f>
        <v>3</v>
      </c>
      <c r="G8784" s="4" t="str">
        <f>HYPERLINK("http://141.218.60.56/~jnz1568/getInfo.php?workbook=20_05.xlsx&amp;sheet=U0&amp;row=8784&amp;col=7&amp;number=0.0381&amp;sourceID=14","0.0381")</f>
        <v>0.0381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HYPERLINK("http://141.218.60.56/~jnz1568/getInfo.php?workbook=20_05.xlsx&amp;sheet=U0&amp;row=8785&amp;col=6&amp;number=3.1&amp;sourceID=14","3.1")</f>
        <v>3.1</v>
      </c>
      <c r="G8785" s="4" t="str">
        <f>HYPERLINK("http://141.218.60.56/~jnz1568/getInfo.php?workbook=20_05.xlsx&amp;sheet=U0&amp;row=8785&amp;col=7&amp;number=0.0381&amp;sourceID=14","0.0381")</f>
        <v>0.0381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HYPERLINK("http://141.218.60.56/~jnz1568/getInfo.php?workbook=20_05.xlsx&amp;sheet=U0&amp;row=8786&amp;col=6&amp;number=3.2&amp;sourceID=14","3.2")</f>
        <v>3.2</v>
      </c>
      <c r="G8786" s="4" t="str">
        <f>HYPERLINK("http://141.218.60.56/~jnz1568/getInfo.php?workbook=20_05.xlsx&amp;sheet=U0&amp;row=8786&amp;col=7&amp;number=0.0381&amp;sourceID=14","0.0381")</f>
        <v>0.0381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HYPERLINK("http://141.218.60.56/~jnz1568/getInfo.php?workbook=20_05.xlsx&amp;sheet=U0&amp;row=8787&amp;col=6&amp;number=3.3&amp;sourceID=14","3.3")</f>
        <v>3.3</v>
      </c>
      <c r="G8787" s="4" t="str">
        <f>HYPERLINK("http://141.218.60.56/~jnz1568/getInfo.php?workbook=20_05.xlsx&amp;sheet=U0&amp;row=8787&amp;col=7&amp;number=0.0381&amp;sourceID=14","0.0381")</f>
        <v>0.0381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HYPERLINK("http://141.218.60.56/~jnz1568/getInfo.php?workbook=20_05.xlsx&amp;sheet=U0&amp;row=8788&amp;col=6&amp;number=3.4&amp;sourceID=14","3.4")</f>
        <v>3.4</v>
      </c>
      <c r="G8788" s="4" t="str">
        <f>HYPERLINK("http://141.218.60.56/~jnz1568/getInfo.php?workbook=20_05.xlsx&amp;sheet=U0&amp;row=8788&amp;col=7&amp;number=0.0381&amp;sourceID=14","0.0381")</f>
        <v>0.0381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HYPERLINK("http://141.218.60.56/~jnz1568/getInfo.php?workbook=20_05.xlsx&amp;sheet=U0&amp;row=8789&amp;col=6&amp;number=3.5&amp;sourceID=14","3.5")</f>
        <v>3.5</v>
      </c>
      <c r="G8789" s="4" t="str">
        <f>HYPERLINK("http://141.218.60.56/~jnz1568/getInfo.php?workbook=20_05.xlsx&amp;sheet=U0&amp;row=8789&amp;col=7&amp;number=0.0381&amp;sourceID=14","0.0381")</f>
        <v>0.0381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HYPERLINK("http://141.218.60.56/~jnz1568/getInfo.php?workbook=20_05.xlsx&amp;sheet=U0&amp;row=8790&amp;col=6&amp;number=3.6&amp;sourceID=14","3.6")</f>
        <v>3.6</v>
      </c>
      <c r="G8790" s="4" t="str">
        <f>HYPERLINK("http://141.218.60.56/~jnz1568/getInfo.php?workbook=20_05.xlsx&amp;sheet=U0&amp;row=8790&amp;col=7&amp;number=0.0381&amp;sourceID=14","0.0381")</f>
        <v>0.0381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HYPERLINK("http://141.218.60.56/~jnz1568/getInfo.php?workbook=20_05.xlsx&amp;sheet=U0&amp;row=8791&amp;col=6&amp;number=3.7&amp;sourceID=14","3.7")</f>
        <v>3.7</v>
      </c>
      <c r="G8791" s="4" t="str">
        <f>HYPERLINK("http://141.218.60.56/~jnz1568/getInfo.php?workbook=20_05.xlsx&amp;sheet=U0&amp;row=8791&amp;col=7&amp;number=0.0382&amp;sourceID=14","0.0382")</f>
        <v>0.0382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HYPERLINK("http://141.218.60.56/~jnz1568/getInfo.php?workbook=20_05.xlsx&amp;sheet=U0&amp;row=8792&amp;col=6&amp;number=3.8&amp;sourceID=14","3.8")</f>
        <v>3.8</v>
      </c>
      <c r="G8792" s="4" t="str">
        <f>HYPERLINK("http://141.218.60.56/~jnz1568/getInfo.php?workbook=20_05.xlsx&amp;sheet=U0&amp;row=8792&amp;col=7&amp;number=0.0382&amp;sourceID=14","0.0382")</f>
        <v>0.0382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HYPERLINK("http://141.218.60.56/~jnz1568/getInfo.php?workbook=20_05.xlsx&amp;sheet=U0&amp;row=8793&amp;col=6&amp;number=3.9&amp;sourceID=14","3.9")</f>
        <v>3.9</v>
      </c>
      <c r="G8793" s="4" t="str">
        <f>HYPERLINK("http://141.218.60.56/~jnz1568/getInfo.php?workbook=20_05.xlsx&amp;sheet=U0&amp;row=8793&amp;col=7&amp;number=0.0382&amp;sourceID=14","0.0382")</f>
        <v>0.0382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HYPERLINK("http://141.218.60.56/~jnz1568/getInfo.php?workbook=20_05.xlsx&amp;sheet=U0&amp;row=8794&amp;col=6&amp;number=4&amp;sourceID=14","4")</f>
        <v>4</v>
      </c>
      <c r="G8794" s="4" t="str">
        <f>HYPERLINK("http://141.218.60.56/~jnz1568/getInfo.php?workbook=20_05.xlsx&amp;sheet=U0&amp;row=8794&amp;col=7&amp;number=0.0382&amp;sourceID=14","0.0382")</f>
        <v>0.0382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HYPERLINK("http://141.218.60.56/~jnz1568/getInfo.php?workbook=20_05.xlsx&amp;sheet=U0&amp;row=8795&amp;col=6&amp;number=4.1&amp;sourceID=14","4.1")</f>
        <v>4.1</v>
      </c>
      <c r="G8795" s="4" t="str">
        <f>HYPERLINK("http://141.218.60.56/~jnz1568/getInfo.php?workbook=20_05.xlsx&amp;sheet=U0&amp;row=8795&amp;col=7&amp;number=0.0382&amp;sourceID=14","0.0382")</f>
        <v>0.0382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HYPERLINK("http://141.218.60.56/~jnz1568/getInfo.php?workbook=20_05.xlsx&amp;sheet=U0&amp;row=8796&amp;col=6&amp;number=4.2&amp;sourceID=14","4.2")</f>
        <v>4.2</v>
      </c>
      <c r="G8796" s="4" t="str">
        <f>HYPERLINK("http://141.218.60.56/~jnz1568/getInfo.php?workbook=20_05.xlsx&amp;sheet=U0&amp;row=8796&amp;col=7&amp;number=0.0382&amp;sourceID=14","0.0382")</f>
        <v>0.0382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HYPERLINK("http://141.218.60.56/~jnz1568/getInfo.php?workbook=20_05.xlsx&amp;sheet=U0&amp;row=8797&amp;col=6&amp;number=4.3&amp;sourceID=14","4.3")</f>
        <v>4.3</v>
      </c>
      <c r="G8797" s="4" t="str">
        <f>HYPERLINK("http://141.218.60.56/~jnz1568/getInfo.php?workbook=20_05.xlsx&amp;sheet=U0&amp;row=8797&amp;col=7&amp;number=0.0383&amp;sourceID=14","0.0383")</f>
        <v>0.0383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HYPERLINK("http://141.218.60.56/~jnz1568/getInfo.php?workbook=20_05.xlsx&amp;sheet=U0&amp;row=8798&amp;col=6&amp;number=4.4&amp;sourceID=14","4.4")</f>
        <v>4.4</v>
      </c>
      <c r="G8798" s="4" t="str">
        <f>HYPERLINK("http://141.218.60.56/~jnz1568/getInfo.php?workbook=20_05.xlsx&amp;sheet=U0&amp;row=8798&amp;col=7&amp;number=0.0383&amp;sourceID=14","0.0383")</f>
        <v>0.0383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HYPERLINK("http://141.218.60.56/~jnz1568/getInfo.php?workbook=20_05.xlsx&amp;sheet=U0&amp;row=8799&amp;col=6&amp;number=4.5&amp;sourceID=14","4.5")</f>
        <v>4.5</v>
      </c>
      <c r="G8799" s="4" t="str">
        <f>HYPERLINK("http://141.218.60.56/~jnz1568/getInfo.php?workbook=20_05.xlsx&amp;sheet=U0&amp;row=8799&amp;col=7&amp;number=0.0383&amp;sourceID=14","0.0383")</f>
        <v>0.0383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HYPERLINK("http://141.218.60.56/~jnz1568/getInfo.php?workbook=20_05.xlsx&amp;sheet=U0&amp;row=8800&amp;col=6&amp;number=4.6&amp;sourceID=14","4.6")</f>
        <v>4.6</v>
      </c>
      <c r="G8800" s="4" t="str">
        <f>HYPERLINK("http://141.218.60.56/~jnz1568/getInfo.php?workbook=20_05.xlsx&amp;sheet=U0&amp;row=8800&amp;col=7&amp;number=0.0384&amp;sourceID=14","0.0384")</f>
        <v>0.0384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HYPERLINK("http://141.218.60.56/~jnz1568/getInfo.php?workbook=20_05.xlsx&amp;sheet=U0&amp;row=8801&amp;col=6&amp;number=4.7&amp;sourceID=14","4.7")</f>
        <v>4.7</v>
      </c>
      <c r="G8801" s="4" t="str">
        <f>HYPERLINK("http://141.218.60.56/~jnz1568/getInfo.php?workbook=20_05.xlsx&amp;sheet=U0&amp;row=8801&amp;col=7&amp;number=0.0385&amp;sourceID=14","0.0385")</f>
        <v>0.0385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HYPERLINK("http://141.218.60.56/~jnz1568/getInfo.php?workbook=20_05.xlsx&amp;sheet=U0&amp;row=8802&amp;col=6&amp;number=4.8&amp;sourceID=14","4.8")</f>
        <v>4.8</v>
      </c>
      <c r="G8802" s="4" t="str">
        <f>HYPERLINK("http://141.218.60.56/~jnz1568/getInfo.php?workbook=20_05.xlsx&amp;sheet=U0&amp;row=8802&amp;col=7&amp;number=0.0386&amp;sourceID=14","0.0386")</f>
        <v>0.0386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HYPERLINK("http://141.218.60.56/~jnz1568/getInfo.php?workbook=20_05.xlsx&amp;sheet=U0&amp;row=8803&amp;col=6&amp;number=4.9&amp;sourceID=14","4.9")</f>
        <v>4.9</v>
      </c>
      <c r="G8803" s="4" t="str">
        <f>HYPERLINK("http://141.218.60.56/~jnz1568/getInfo.php?workbook=20_05.xlsx&amp;sheet=U0&amp;row=8803&amp;col=7&amp;number=0.0387&amp;sourceID=14","0.0387")</f>
        <v>0.0387</v>
      </c>
    </row>
    <row r="8804" spans="1:7">
      <c r="A8804" s="3">
        <v>20</v>
      </c>
      <c r="B8804" s="3">
        <v>5</v>
      </c>
      <c r="C8804" s="3">
        <v>4</v>
      </c>
      <c r="D8804" s="3">
        <v>79</v>
      </c>
      <c r="E8804" s="3">
        <v>1</v>
      </c>
      <c r="F8804" s="4" t="str">
        <f>HYPERLINK("http://141.218.60.56/~jnz1568/getInfo.php?workbook=20_05.xlsx&amp;sheet=U0&amp;row=8804&amp;col=6&amp;number=3&amp;sourceID=14","3")</f>
        <v>3</v>
      </c>
      <c r="G8804" s="4" t="str">
        <f>HYPERLINK("http://141.218.60.56/~jnz1568/getInfo.php?workbook=20_05.xlsx&amp;sheet=U0&amp;row=8804&amp;col=7&amp;number=0.00299&amp;sourceID=14","0.00299")</f>
        <v>0.00299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HYPERLINK("http://141.218.60.56/~jnz1568/getInfo.php?workbook=20_05.xlsx&amp;sheet=U0&amp;row=8805&amp;col=6&amp;number=3.1&amp;sourceID=14","3.1")</f>
        <v>3.1</v>
      </c>
      <c r="G8805" s="4" t="str">
        <f>HYPERLINK("http://141.218.60.56/~jnz1568/getInfo.php?workbook=20_05.xlsx&amp;sheet=U0&amp;row=8805&amp;col=7&amp;number=0.00299&amp;sourceID=14","0.00299")</f>
        <v>0.00299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HYPERLINK("http://141.218.60.56/~jnz1568/getInfo.php?workbook=20_05.xlsx&amp;sheet=U0&amp;row=8806&amp;col=6&amp;number=3.2&amp;sourceID=14","3.2")</f>
        <v>3.2</v>
      </c>
      <c r="G8806" s="4" t="str">
        <f>HYPERLINK("http://141.218.60.56/~jnz1568/getInfo.php?workbook=20_05.xlsx&amp;sheet=U0&amp;row=8806&amp;col=7&amp;number=0.00299&amp;sourceID=14","0.00299")</f>
        <v>0.00299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HYPERLINK("http://141.218.60.56/~jnz1568/getInfo.php?workbook=20_05.xlsx&amp;sheet=U0&amp;row=8807&amp;col=6&amp;number=3.3&amp;sourceID=14","3.3")</f>
        <v>3.3</v>
      </c>
      <c r="G8807" s="4" t="str">
        <f>HYPERLINK("http://141.218.60.56/~jnz1568/getInfo.php?workbook=20_05.xlsx&amp;sheet=U0&amp;row=8807&amp;col=7&amp;number=0.00299&amp;sourceID=14","0.00299")</f>
        <v>0.00299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HYPERLINK("http://141.218.60.56/~jnz1568/getInfo.php?workbook=20_05.xlsx&amp;sheet=U0&amp;row=8808&amp;col=6&amp;number=3.4&amp;sourceID=14","3.4")</f>
        <v>3.4</v>
      </c>
      <c r="G8808" s="4" t="str">
        <f>HYPERLINK("http://141.218.60.56/~jnz1568/getInfo.php?workbook=20_05.xlsx&amp;sheet=U0&amp;row=8808&amp;col=7&amp;number=0.00299&amp;sourceID=14","0.00299")</f>
        <v>0.00299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HYPERLINK("http://141.218.60.56/~jnz1568/getInfo.php?workbook=20_05.xlsx&amp;sheet=U0&amp;row=8809&amp;col=6&amp;number=3.5&amp;sourceID=14","3.5")</f>
        <v>3.5</v>
      </c>
      <c r="G8809" s="4" t="str">
        <f>HYPERLINK("http://141.218.60.56/~jnz1568/getInfo.php?workbook=20_05.xlsx&amp;sheet=U0&amp;row=8809&amp;col=7&amp;number=0.00299&amp;sourceID=14","0.00299")</f>
        <v>0.00299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HYPERLINK("http://141.218.60.56/~jnz1568/getInfo.php?workbook=20_05.xlsx&amp;sheet=U0&amp;row=8810&amp;col=6&amp;number=3.6&amp;sourceID=14","3.6")</f>
        <v>3.6</v>
      </c>
      <c r="G8810" s="4" t="str">
        <f>HYPERLINK("http://141.218.60.56/~jnz1568/getInfo.php?workbook=20_05.xlsx&amp;sheet=U0&amp;row=8810&amp;col=7&amp;number=0.00299&amp;sourceID=14","0.00299")</f>
        <v>0.00299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HYPERLINK("http://141.218.60.56/~jnz1568/getInfo.php?workbook=20_05.xlsx&amp;sheet=U0&amp;row=8811&amp;col=6&amp;number=3.7&amp;sourceID=14","3.7")</f>
        <v>3.7</v>
      </c>
      <c r="G8811" s="4" t="str">
        <f>HYPERLINK("http://141.218.60.56/~jnz1568/getInfo.php?workbook=20_05.xlsx&amp;sheet=U0&amp;row=8811&amp;col=7&amp;number=0.00298&amp;sourceID=14","0.00298")</f>
        <v>0.00298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HYPERLINK("http://141.218.60.56/~jnz1568/getInfo.php?workbook=20_05.xlsx&amp;sheet=U0&amp;row=8812&amp;col=6&amp;number=3.8&amp;sourceID=14","3.8")</f>
        <v>3.8</v>
      </c>
      <c r="G8812" s="4" t="str">
        <f>HYPERLINK("http://141.218.60.56/~jnz1568/getInfo.php?workbook=20_05.xlsx&amp;sheet=U0&amp;row=8812&amp;col=7&amp;number=0.00298&amp;sourceID=14","0.00298")</f>
        <v>0.00298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HYPERLINK("http://141.218.60.56/~jnz1568/getInfo.php?workbook=20_05.xlsx&amp;sheet=U0&amp;row=8813&amp;col=6&amp;number=3.9&amp;sourceID=14","3.9")</f>
        <v>3.9</v>
      </c>
      <c r="G8813" s="4" t="str">
        <f>HYPERLINK("http://141.218.60.56/~jnz1568/getInfo.php?workbook=20_05.xlsx&amp;sheet=U0&amp;row=8813&amp;col=7&amp;number=0.00298&amp;sourceID=14","0.00298")</f>
        <v>0.00298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HYPERLINK("http://141.218.60.56/~jnz1568/getInfo.php?workbook=20_05.xlsx&amp;sheet=U0&amp;row=8814&amp;col=6&amp;number=4&amp;sourceID=14","4")</f>
        <v>4</v>
      </c>
      <c r="G8814" s="4" t="str">
        <f>HYPERLINK("http://141.218.60.56/~jnz1568/getInfo.php?workbook=20_05.xlsx&amp;sheet=U0&amp;row=8814&amp;col=7&amp;number=0.00298&amp;sourceID=14","0.00298")</f>
        <v>0.00298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HYPERLINK("http://141.218.60.56/~jnz1568/getInfo.php?workbook=20_05.xlsx&amp;sheet=U0&amp;row=8815&amp;col=6&amp;number=4.1&amp;sourceID=14","4.1")</f>
        <v>4.1</v>
      </c>
      <c r="G8815" s="4" t="str">
        <f>HYPERLINK("http://141.218.60.56/~jnz1568/getInfo.php?workbook=20_05.xlsx&amp;sheet=U0&amp;row=8815&amp;col=7&amp;number=0.00298&amp;sourceID=14","0.00298")</f>
        <v>0.00298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HYPERLINK("http://141.218.60.56/~jnz1568/getInfo.php?workbook=20_05.xlsx&amp;sheet=U0&amp;row=8816&amp;col=6&amp;number=4.2&amp;sourceID=14","4.2")</f>
        <v>4.2</v>
      </c>
      <c r="G8816" s="4" t="str">
        <f>HYPERLINK("http://141.218.60.56/~jnz1568/getInfo.php?workbook=20_05.xlsx&amp;sheet=U0&amp;row=8816&amp;col=7&amp;number=0.00297&amp;sourceID=14","0.00297")</f>
        <v>0.00297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HYPERLINK("http://141.218.60.56/~jnz1568/getInfo.php?workbook=20_05.xlsx&amp;sheet=U0&amp;row=8817&amp;col=6&amp;number=4.3&amp;sourceID=14","4.3")</f>
        <v>4.3</v>
      </c>
      <c r="G8817" s="4" t="str">
        <f>HYPERLINK("http://141.218.60.56/~jnz1568/getInfo.php?workbook=20_05.xlsx&amp;sheet=U0&amp;row=8817&amp;col=7&amp;number=0.00297&amp;sourceID=14","0.00297")</f>
        <v>0.00297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HYPERLINK("http://141.218.60.56/~jnz1568/getInfo.php?workbook=20_05.xlsx&amp;sheet=U0&amp;row=8818&amp;col=6&amp;number=4.4&amp;sourceID=14","4.4")</f>
        <v>4.4</v>
      </c>
      <c r="G8818" s="4" t="str">
        <f>HYPERLINK("http://141.218.60.56/~jnz1568/getInfo.php?workbook=20_05.xlsx&amp;sheet=U0&amp;row=8818&amp;col=7&amp;number=0.00297&amp;sourceID=14","0.00297")</f>
        <v>0.00297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HYPERLINK("http://141.218.60.56/~jnz1568/getInfo.php?workbook=20_05.xlsx&amp;sheet=U0&amp;row=8819&amp;col=6&amp;number=4.5&amp;sourceID=14","4.5")</f>
        <v>4.5</v>
      </c>
      <c r="G8819" s="4" t="str">
        <f>HYPERLINK("http://141.218.60.56/~jnz1568/getInfo.php?workbook=20_05.xlsx&amp;sheet=U0&amp;row=8819&amp;col=7&amp;number=0.00296&amp;sourceID=14","0.00296")</f>
        <v>0.00296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HYPERLINK("http://141.218.60.56/~jnz1568/getInfo.php?workbook=20_05.xlsx&amp;sheet=U0&amp;row=8820&amp;col=6&amp;number=4.6&amp;sourceID=14","4.6")</f>
        <v>4.6</v>
      </c>
      <c r="G8820" s="4" t="str">
        <f>HYPERLINK("http://141.218.60.56/~jnz1568/getInfo.php?workbook=20_05.xlsx&amp;sheet=U0&amp;row=8820&amp;col=7&amp;number=0.00295&amp;sourceID=14","0.00295")</f>
        <v>0.00295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HYPERLINK("http://141.218.60.56/~jnz1568/getInfo.php?workbook=20_05.xlsx&amp;sheet=U0&amp;row=8821&amp;col=6&amp;number=4.7&amp;sourceID=14","4.7")</f>
        <v>4.7</v>
      </c>
      <c r="G8821" s="4" t="str">
        <f>HYPERLINK("http://141.218.60.56/~jnz1568/getInfo.php?workbook=20_05.xlsx&amp;sheet=U0&amp;row=8821&amp;col=7&amp;number=0.00294&amp;sourceID=14","0.00294")</f>
        <v>0.00294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HYPERLINK("http://141.218.60.56/~jnz1568/getInfo.php?workbook=20_05.xlsx&amp;sheet=U0&amp;row=8822&amp;col=6&amp;number=4.8&amp;sourceID=14","4.8")</f>
        <v>4.8</v>
      </c>
      <c r="G8822" s="4" t="str">
        <f>HYPERLINK("http://141.218.60.56/~jnz1568/getInfo.php?workbook=20_05.xlsx&amp;sheet=U0&amp;row=8822&amp;col=7&amp;number=0.00293&amp;sourceID=14","0.00293")</f>
        <v>0.00293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HYPERLINK("http://141.218.60.56/~jnz1568/getInfo.php?workbook=20_05.xlsx&amp;sheet=U0&amp;row=8823&amp;col=6&amp;number=4.9&amp;sourceID=14","4.9")</f>
        <v>4.9</v>
      </c>
      <c r="G8823" s="4" t="str">
        <f>HYPERLINK("http://141.218.60.56/~jnz1568/getInfo.php?workbook=20_05.xlsx&amp;sheet=U0&amp;row=8823&amp;col=7&amp;number=0.00292&amp;sourceID=14","0.00292")</f>
        <v>0.00292</v>
      </c>
    </row>
    <row r="8824" spans="1:7">
      <c r="A8824" s="3">
        <v>20</v>
      </c>
      <c r="B8824" s="3">
        <v>5</v>
      </c>
      <c r="C8824" s="3">
        <v>4</v>
      </c>
      <c r="D8824" s="3">
        <v>80</v>
      </c>
      <c r="E8824" s="3">
        <v>1</v>
      </c>
      <c r="F8824" s="4" t="str">
        <f>HYPERLINK("http://141.218.60.56/~jnz1568/getInfo.php?workbook=20_05.xlsx&amp;sheet=U0&amp;row=8824&amp;col=6&amp;number=3&amp;sourceID=14","3")</f>
        <v>3</v>
      </c>
      <c r="G8824" s="4" t="str">
        <f>HYPERLINK("http://141.218.60.56/~jnz1568/getInfo.php?workbook=20_05.xlsx&amp;sheet=U0&amp;row=8824&amp;col=7&amp;number=2.71e-05&amp;sourceID=14","2.71e-05")</f>
        <v>2.71e-05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HYPERLINK("http://141.218.60.56/~jnz1568/getInfo.php?workbook=20_05.xlsx&amp;sheet=U0&amp;row=8825&amp;col=6&amp;number=3.1&amp;sourceID=14","3.1")</f>
        <v>3.1</v>
      </c>
      <c r="G8825" s="4" t="str">
        <f>HYPERLINK("http://141.218.60.56/~jnz1568/getInfo.php?workbook=20_05.xlsx&amp;sheet=U0&amp;row=8825&amp;col=7&amp;number=2.71e-05&amp;sourceID=14","2.71e-05")</f>
        <v>2.71e-05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HYPERLINK("http://141.218.60.56/~jnz1568/getInfo.php?workbook=20_05.xlsx&amp;sheet=U0&amp;row=8826&amp;col=6&amp;number=3.2&amp;sourceID=14","3.2")</f>
        <v>3.2</v>
      </c>
      <c r="G8826" s="4" t="str">
        <f>HYPERLINK("http://141.218.60.56/~jnz1568/getInfo.php?workbook=20_05.xlsx&amp;sheet=U0&amp;row=8826&amp;col=7&amp;number=2.71e-05&amp;sourceID=14","2.71e-05")</f>
        <v>2.71e-05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HYPERLINK("http://141.218.60.56/~jnz1568/getInfo.php?workbook=20_05.xlsx&amp;sheet=U0&amp;row=8827&amp;col=6&amp;number=3.3&amp;sourceID=14","3.3")</f>
        <v>3.3</v>
      </c>
      <c r="G8827" s="4" t="str">
        <f>HYPERLINK("http://141.218.60.56/~jnz1568/getInfo.php?workbook=20_05.xlsx&amp;sheet=U0&amp;row=8827&amp;col=7&amp;number=2.71e-05&amp;sourceID=14","2.71e-05")</f>
        <v>2.71e-05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HYPERLINK("http://141.218.60.56/~jnz1568/getInfo.php?workbook=20_05.xlsx&amp;sheet=U0&amp;row=8828&amp;col=6&amp;number=3.4&amp;sourceID=14","3.4")</f>
        <v>3.4</v>
      </c>
      <c r="G8828" s="4" t="str">
        <f>HYPERLINK("http://141.218.60.56/~jnz1568/getInfo.php?workbook=20_05.xlsx&amp;sheet=U0&amp;row=8828&amp;col=7&amp;number=2.71e-05&amp;sourceID=14","2.71e-05")</f>
        <v>2.71e-05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HYPERLINK("http://141.218.60.56/~jnz1568/getInfo.php?workbook=20_05.xlsx&amp;sheet=U0&amp;row=8829&amp;col=6&amp;number=3.5&amp;sourceID=14","3.5")</f>
        <v>3.5</v>
      </c>
      <c r="G8829" s="4" t="str">
        <f>HYPERLINK("http://141.218.60.56/~jnz1568/getInfo.php?workbook=20_05.xlsx&amp;sheet=U0&amp;row=8829&amp;col=7&amp;number=2.71e-05&amp;sourceID=14","2.71e-05")</f>
        <v>2.71e-05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HYPERLINK("http://141.218.60.56/~jnz1568/getInfo.php?workbook=20_05.xlsx&amp;sheet=U0&amp;row=8830&amp;col=6&amp;number=3.6&amp;sourceID=14","3.6")</f>
        <v>3.6</v>
      </c>
      <c r="G8830" s="4" t="str">
        <f>HYPERLINK("http://141.218.60.56/~jnz1568/getInfo.php?workbook=20_05.xlsx&amp;sheet=U0&amp;row=8830&amp;col=7&amp;number=2.71e-05&amp;sourceID=14","2.71e-05")</f>
        <v>2.71e-05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HYPERLINK("http://141.218.60.56/~jnz1568/getInfo.php?workbook=20_05.xlsx&amp;sheet=U0&amp;row=8831&amp;col=6&amp;number=3.7&amp;sourceID=14","3.7")</f>
        <v>3.7</v>
      </c>
      <c r="G8831" s="4" t="str">
        <f>HYPERLINK("http://141.218.60.56/~jnz1568/getInfo.php?workbook=20_05.xlsx&amp;sheet=U0&amp;row=8831&amp;col=7&amp;number=2.71e-05&amp;sourceID=14","2.71e-05")</f>
        <v>2.71e-05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HYPERLINK("http://141.218.60.56/~jnz1568/getInfo.php?workbook=20_05.xlsx&amp;sheet=U0&amp;row=8832&amp;col=6&amp;number=3.8&amp;sourceID=14","3.8")</f>
        <v>3.8</v>
      </c>
      <c r="G8832" s="4" t="str">
        <f>HYPERLINK("http://141.218.60.56/~jnz1568/getInfo.php?workbook=20_05.xlsx&amp;sheet=U0&amp;row=8832&amp;col=7&amp;number=2.71e-05&amp;sourceID=14","2.71e-05")</f>
        <v>2.71e-05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HYPERLINK("http://141.218.60.56/~jnz1568/getInfo.php?workbook=20_05.xlsx&amp;sheet=U0&amp;row=8833&amp;col=6&amp;number=3.9&amp;sourceID=14","3.9")</f>
        <v>3.9</v>
      </c>
      <c r="G8833" s="4" t="str">
        <f>HYPERLINK("http://141.218.60.56/~jnz1568/getInfo.php?workbook=20_05.xlsx&amp;sheet=U0&amp;row=8833&amp;col=7&amp;number=2.71e-05&amp;sourceID=14","2.71e-05")</f>
        <v>2.71e-05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HYPERLINK("http://141.218.60.56/~jnz1568/getInfo.php?workbook=20_05.xlsx&amp;sheet=U0&amp;row=8834&amp;col=6&amp;number=4&amp;sourceID=14","4")</f>
        <v>4</v>
      </c>
      <c r="G8834" s="4" t="str">
        <f>HYPERLINK("http://141.218.60.56/~jnz1568/getInfo.php?workbook=20_05.xlsx&amp;sheet=U0&amp;row=8834&amp;col=7&amp;number=2.71e-05&amp;sourceID=14","2.71e-05")</f>
        <v>2.71e-05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HYPERLINK("http://141.218.60.56/~jnz1568/getInfo.php?workbook=20_05.xlsx&amp;sheet=U0&amp;row=8835&amp;col=6&amp;number=4.1&amp;sourceID=14","4.1")</f>
        <v>4.1</v>
      </c>
      <c r="G8835" s="4" t="str">
        <f>HYPERLINK("http://141.218.60.56/~jnz1568/getInfo.php?workbook=20_05.xlsx&amp;sheet=U0&amp;row=8835&amp;col=7&amp;number=2.71e-05&amp;sourceID=14","2.71e-05")</f>
        <v>2.71e-05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HYPERLINK("http://141.218.60.56/~jnz1568/getInfo.php?workbook=20_05.xlsx&amp;sheet=U0&amp;row=8836&amp;col=6&amp;number=4.2&amp;sourceID=14","4.2")</f>
        <v>4.2</v>
      </c>
      <c r="G8836" s="4" t="str">
        <f>HYPERLINK("http://141.218.60.56/~jnz1568/getInfo.php?workbook=20_05.xlsx&amp;sheet=U0&amp;row=8836&amp;col=7&amp;number=2.71e-05&amp;sourceID=14","2.71e-05")</f>
        <v>2.71e-05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HYPERLINK("http://141.218.60.56/~jnz1568/getInfo.php?workbook=20_05.xlsx&amp;sheet=U0&amp;row=8837&amp;col=6&amp;number=4.3&amp;sourceID=14","4.3")</f>
        <v>4.3</v>
      </c>
      <c r="G8837" s="4" t="str">
        <f>HYPERLINK("http://141.218.60.56/~jnz1568/getInfo.php?workbook=20_05.xlsx&amp;sheet=U0&amp;row=8837&amp;col=7&amp;number=2.71e-05&amp;sourceID=14","2.71e-05")</f>
        <v>2.71e-05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HYPERLINK("http://141.218.60.56/~jnz1568/getInfo.php?workbook=20_05.xlsx&amp;sheet=U0&amp;row=8838&amp;col=6&amp;number=4.4&amp;sourceID=14","4.4")</f>
        <v>4.4</v>
      </c>
      <c r="G8838" s="4" t="str">
        <f>HYPERLINK("http://141.218.60.56/~jnz1568/getInfo.php?workbook=20_05.xlsx&amp;sheet=U0&amp;row=8838&amp;col=7&amp;number=2.71e-05&amp;sourceID=14","2.71e-05")</f>
        <v>2.71e-05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HYPERLINK("http://141.218.60.56/~jnz1568/getInfo.php?workbook=20_05.xlsx&amp;sheet=U0&amp;row=8839&amp;col=6&amp;number=4.5&amp;sourceID=14","4.5")</f>
        <v>4.5</v>
      </c>
      <c r="G8839" s="4" t="str">
        <f>HYPERLINK("http://141.218.60.56/~jnz1568/getInfo.php?workbook=20_05.xlsx&amp;sheet=U0&amp;row=8839&amp;col=7&amp;number=2.71e-05&amp;sourceID=14","2.71e-05")</f>
        <v>2.71e-05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HYPERLINK("http://141.218.60.56/~jnz1568/getInfo.php?workbook=20_05.xlsx&amp;sheet=U0&amp;row=8840&amp;col=6&amp;number=4.6&amp;sourceID=14","4.6")</f>
        <v>4.6</v>
      </c>
      <c r="G8840" s="4" t="str">
        <f>HYPERLINK("http://141.218.60.56/~jnz1568/getInfo.php?workbook=20_05.xlsx&amp;sheet=U0&amp;row=8840&amp;col=7&amp;number=2.71e-05&amp;sourceID=14","2.71e-05")</f>
        <v>2.71e-05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HYPERLINK("http://141.218.60.56/~jnz1568/getInfo.php?workbook=20_05.xlsx&amp;sheet=U0&amp;row=8841&amp;col=6&amp;number=4.7&amp;sourceID=14","4.7")</f>
        <v>4.7</v>
      </c>
      <c r="G8841" s="4" t="str">
        <f>HYPERLINK("http://141.218.60.56/~jnz1568/getInfo.php?workbook=20_05.xlsx&amp;sheet=U0&amp;row=8841&amp;col=7&amp;number=2.7e-05&amp;sourceID=14","2.7e-05")</f>
        <v>2.7e-05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HYPERLINK("http://141.218.60.56/~jnz1568/getInfo.php?workbook=20_05.xlsx&amp;sheet=U0&amp;row=8842&amp;col=6&amp;number=4.8&amp;sourceID=14","4.8")</f>
        <v>4.8</v>
      </c>
      <c r="G8842" s="4" t="str">
        <f>HYPERLINK("http://141.218.60.56/~jnz1568/getInfo.php?workbook=20_05.xlsx&amp;sheet=U0&amp;row=8842&amp;col=7&amp;number=2.7e-05&amp;sourceID=14","2.7e-05")</f>
        <v>2.7e-05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HYPERLINK("http://141.218.60.56/~jnz1568/getInfo.php?workbook=20_05.xlsx&amp;sheet=U0&amp;row=8843&amp;col=6&amp;number=4.9&amp;sourceID=14","4.9")</f>
        <v>4.9</v>
      </c>
      <c r="G8843" s="4" t="str">
        <f>HYPERLINK("http://141.218.60.56/~jnz1568/getInfo.php?workbook=20_05.xlsx&amp;sheet=U0&amp;row=8843&amp;col=7&amp;number=2.7e-05&amp;sourceID=14","2.7e-05")</f>
        <v>2.7e-05</v>
      </c>
    </row>
    <row r="8844" spans="1:7">
      <c r="A8844" s="3">
        <v>20</v>
      </c>
      <c r="B8844" s="3">
        <v>5</v>
      </c>
      <c r="C8844" s="3">
        <v>4</v>
      </c>
      <c r="D8844" s="3">
        <v>81</v>
      </c>
      <c r="E8844" s="3">
        <v>1</v>
      </c>
      <c r="F8844" s="4" t="str">
        <f>HYPERLINK("http://141.218.60.56/~jnz1568/getInfo.php?workbook=20_05.xlsx&amp;sheet=U0&amp;row=8844&amp;col=6&amp;number=3&amp;sourceID=14","3")</f>
        <v>3</v>
      </c>
      <c r="G8844" s="4" t="str">
        <f>HYPERLINK("http://141.218.60.56/~jnz1568/getInfo.php?workbook=20_05.xlsx&amp;sheet=U0&amp;row=8844&amp;col=7&amp;number=0.000175&amp;sourceID=14","0.000175")</f>
        <v>0.000175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HYPERLINK("http://141.218.60.56/~jnz1568/getInfo.php?workbook=20_05.xlsx&amp;sheet=U0&amp;row=8845&amp;col=6&amp;number=3.1&amp;sourceID=14","3.1")</f>
        <v>3.1</v>
      </c>
      <c r="G8845" s="4" t="str">
        <f>HYPERLINK("http://141.218.60.56/~jnz1568/getInfo.php?workbook=20_05.xlsx&amp;sheet=U0&amp;row=8845&amp;col=7&amp;number=0.000175&amp;sourceID=14","0.000175")</f>
        <v>0.000175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HYPERLINK("http://141.218.60.56/~jnz1568/getInfo.php?workbook=20_05.xlsx&amp;sheet=U0&amp;row=8846&amp;col=6&amp;number=3.2&amp;sourceID=14","3.2")</f>
        <v>3.2</v>
      </c>
      <c r="G8846" s="4" t="str">
        <f>HYPERLINK("http://141.218.60.56/~jnz1568/getInfo.php?workbook=20_05.xlsx&amp;sheet=U0&amp;row=8846&amp;col=7&amp;number=0.000175&amp;sourceID=14","0.000175")</f>
        <v>0.000175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HYPERLINK("http://141.218.60.56/~jnz1568/getInfo.php?workbook=20_05.xlsx&amp;sheet=U0&amp;row=8847&amp;col=6&amp;number=3.3&amp;sourceID=14","3.3")</f>
        <v>3.3</v>
      </c>
      <c r="G8847" s="4" t="str">
        <f>HYPERLINK("http://141.218.60.56/~jnz1568/getInfo.php?workbook=20_05.xlsx&amp;sheet=U0&amp;row=8847&amp;col=7&amp;number=0.000175&amp;sourceID=14","0.000175")</f>
        <v>0.000175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HYPERLINK("http://141.218.60.56/~jnz1568/getInfo.php?workbook=20_05.xlsx&amp;sheet=U0&amp;row=8848&amp;col=6&amp;number=3.4&amp;sourceID=14","3.4")</f>
        <v>3.4</v>
      </c>
      <c r="G8848" s="4" t="str">
        <f>HYPERLINK("http://141.218.60.56/~jnz1568/getInfo.php?workbook=20_05.xlsx&amp;sheet=U0&amp;row=8848&amp;col=7&amp;number=0.000175&amp;sourceID=14","0.000175")</f>
        <v>0.000175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HYPERLINK("http://141.218.60.56/~jnz1568/getInfo.php?workbook=20_05.xlsx&amp;sheet=U0&amp;row=8849&amp;col=6&amp;number=3.5&amp;sourceID=14","3.5")</f>
        <v>3.5</v>
      </c>
      <c r="G8849" s="4" t="str">
        <f>HYPERLINK("http://141.218.60.56/~jnz1568/getInfo.php?workbook=20_05.xlsx&amp;sheet=U0&amp;row=8849&amp;col=7&amp;number=0.000175&amp;sourceID=14","0.000175")</f>
        <v>0.000175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HYPERLINK("http://141.218.60.56/~jnz1568/getInfo.php?workbook=20_05.xlsx&amp;sheet=U0&amp;row=8850&amp;col=6&amp;number=3.6&amp;sourceID=14","3.6")</f>
        <v>3.6</v>
      </c>
      <c r="G8850" s="4" t="str">
        <f>HYPERLINK("http://141.218.60.56/~jnz1568/getInfo.php?workbook=20_05.xlsx&amp;sheet=U0&amp;row=8850&amp;col=7&amp;number=0.000175&amp;sourceID=14","0.000175")</f>
        <v>0.000175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HYPERLINK("http://141.218.60.56/~jnz1568/getInfo.php?workbook=20_05.xlsx&amp;sheet=U0&amp;row=8851&amp;col=6&amp;number=3.7&amp;sourceID=14","3.7")</f>
        <v>3.7</v>
      </c>
      <c r="G8851" s="4" t="str">
        <f>HYPERLINK("http://141.218.60.56/~jnz1568/getInfo.php?workbook=20_05.xlsx&amp;sheet=U0&amp;row=8851&amp;col=7&amp;number=0.000175&amp;sourceID=14","0.000175")</f>
        <v>0.000175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HYPERLINK("http://141.218.60.56/~jnz1568/getInfo.php?workbook=20_05.xlsx&amp;sheet=U0&amp;row=8852&amp;col=6&amp;number=3.8&amp;sourceID=14","3.8")</f>
        <v>3.8</v>
      </c>
      <c r="G8852" s="4" t="str">
        <f>HYPERLINK("http://141.218.60.56/~jnz1568/getInfo.php?workbook=20_05.xlsx&amp;sheet=U0&amp;row=8852&amp;col=7&amp;number=0.000175&amp;sourceID=14","0.000175")</f>
        <v>0.000175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HYPERLINK("http://141.218.60.56/~jnz1568/getInfo.php?workbook=20_05.xlsx&amp;sheet=U0&amp;row=8853&amp;col=6&amp;number=3.9&amp;sourceID=14","3.9")</f>
        <v>3.9</v>
      </c>
      <c r="G8853" s="4" t="str">
        <f>HYPERLINK("http://141.218.60.56/~jnz1568/getInfo.php?workbook=20_05.xlsx&amp;sheet=U0&amp;row=8853&amp;col=7&amp;number=0.000175&amp;sourceID=14","0.000175")</f>
        <v>0.000175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HYPERLINK("http://141.218.60.56/~jnz1568/getInfo.php?workbook=20_05.xlsx&amp;sheet=U0&amp;row=8854&amp;col=6&amp;number=4&amp;sourceID=14","4")</f>
        <v>4</v>
      </c>
      <c r="G8854" s="4" t="str">
        <f>HYPERLINK("http://141.218.60.56/~jnz1568/getInfo.php?workbook=20_05.xlsx&amp;sheet=U0&amp;row=8854&amp;col=7&amp;number=0.000175&amp;sourceID=14","0.000175")</f>
        <v>0.000175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HYPERLINK("http://141.218.60.56/~jnz1568/getInfo.php?workbook=20_05.xlsx&amp;sheet=U0&amp;row=8855&amp;col=6&amp;number=4.1&amp;sourceID=14","4.1")</f>
        <v>4.1</v>
      </c>
      <c r="G8855" s="4" t="str">
        <f>HYPERLINK("http://141.218.60.56/~jnz1568/getInfo.php?workbook=20_05.xlsx&amp;sheet=U0&amp;row=8855&amp;col=7&amp;number=0.000175&amp;sourceID=14","0.000175")</f>
        <v>0.000175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HYPERLINK("http://141.218.60.56/~jnz1568/getInfo.php?workbook=20_05.xlsx&amp;sheet=U0&amp;row=8856&amp;col=6&amp;number=4.2&amp;sourceID=14","4.2")</f>
        <v>4.2</v>
      </c>
      <c r="G8856" s="4" t="str">
        <f>HYPERLINK("http://141.218.60.56/~jnz1568/getInfo.php?workbook=20_05.xlsx&amp;sheet=U0&amp;row=8856&amp;col=7&amp;number=0.000175&amp;sourceID=14","0.000175")</f>
        <v>0.000175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HYPERLINK("http://141.218.60.56/~jnz1568/getInfo.php?workbook=20_05.xlsx&amp;sheet=U0&amp;row=8857&amp;col=6&amp;number=4.3&amp;sourceID=14","4.3")</f>
        <v>4.3</v>
      </c>
      <c r="G8857" s="4" t="str">
        <f>HYPERLINK("http://141.218.60.56/~jnz1568/getInfo.php?workbook=20_05.xlsx&amp;sheet=U0&amp;row=8857&amp;col=7&amp;number=0.000175&amp;sourceID=14","0.000175")</f>
        <v>0.000175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HYPERLINK("http://141.218.60.56/~jnz1568/getInfo.php?workbook=20_05.xlsx&amp;sheet=U0&amp;row=8858&amp;col=6&amp;number=4.4&amp;sourceID=14","4.4")</f>
        <v>4.4</v>
      </c>
      <c r="G8858" s="4" t="str">
        <f>HYPERLINK("http://141.218.60.56/~jnz1568/getInfo.php?workbook=20_05.xlsx&amp;sheet=U0&amp;row=8858&amp;col=7&amp;number=0.000175&amp;sourceID=14","0.000175")</f>
        <v>0.000175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HYPERLINK("http://141.218.60.56/~jnz1568/getInfo.php?workbook=20_05.xlsx&amp;sheet=U0&amp;row=8859&amp;col=6&amp;number=4.5&amp;sourceID=14","4.5")</f>
        <v>4.5</v>
      </c>
      <c r="G8859" s="4" t="str">
        <f>HYPERLINK("http://141.218.60.56/~jnz1568/getInfo.php?workbook=20_05.xlsx&amp;sheet=U0&amp;row=8859&amp;col=7&amp;number=0.000175&amp;sourceID=14","0.000175")</f>
        <v>0.000175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HYPERLINK("http://141.218.60.56/~jnz1568/getInfo.php?workbook=20_05.xlsx&amp;sheet=U0&amp;row=8860&amp;col=6&amp;number=4.6&amp;sourceID=14","4.6")</f>
        <v>4.6</v>
      </c>
      <c r="G8860" s="4" t="str">
        <f>HYPERLINK("http://141.218.60.56/~jnz1568/getInfo.php?workbook=20_05.xlsx&amp;sheet=U0&amp;row=8860&amp;col=7&amp;number=0.000174&amp;sourceID=14","0.000174")</f>
        <v>0.000174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HYPERLINK("http://141.218.60.56/~jnz1568/getInfo.php?workbook=20_05.xlsx&amp;sheet=U0&amp;row=8861&amp;col=6&amp;number=4.7&amp;sourceID=14","4.7")</f>
        <v>4.7</v>
      </c>
      <c r="G8861" s="4" t="str">
        <f>HYPERLINK("http://141.218.60.56/~jnz1568/getInfo.php?workbook=20_05.xlsx&amp;sheet=U0&amp;row=8861&amp;col=7&amp;number=0.000174&amp;sourceID=14","0.000174")</f>
        <v>0.000174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HYPERLINK("http://141.218.60.56/~jnz1568/getInfo.php?workbook=20_05.xlsx&amp;sheet=U0&amp;row=8862&amp;col=6&amp;number=4.8&amp;sourceID=14","4.8")</f>
        <v>4.8</v>
      </c>
      <c r="G8862" s="4" t="str">
        <f>HYPERLINK("http://141.218.60.56/~jnz1568/getInfo.php?workbook=20_05.xlsx&amp;sheet=U0&amp;row=8862&amp;col=7&amp;number=0.000174&amp;sourceID=14","0.000174")</f>
        <v>0.000174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HYPERLINK("http://141.218.60.56/~jnz1568/getInfo.php?workbook=20_05.xlsx&amp;sheet=U0&amp;row=8863&amp;col=6&amp;number=4.9&amp;sourceID=14","4.9")</f>
        <v>4.9</v>
      </c>
      <c r="G8863" s="4" t="str">
        <f>HYPERLINK("http://141.218.60.56/~jnz1568/getInfo.php?workbook=20_05.xlsx&amp;sheet=U0&amp;row=8863&amp;col=7&amp;number=0.000174&amp;sourceID=14","0.000174")</f>
        <v>0.000174</v>
      </c>
    </row>
    <row r="8864" spans="1:7">
      <c r="A8864" s="3">
        <v>20</v>
      </c>
      <c r="B8864" s="3">
        <v>5</v>
      </c>
      <c r="C8864" s="3">
        <v>4</v>
      </c>
      <c r="D8864" s="3">
        <v>82</v>
      </c>
      <c r="E8864" s="3">
        <v>1</v>
      </c>
      <c r="F8864" s="4" t="str">
        <f>HYPERLINK("http://141.218.60.56/~jnz1568/getInfo.php?workbook=20_05.xlsx&amp;sheet=U0&amp;row=8864&amp;col=6&amp;number=3&amp;sourceID=14","3")</f>
        <v>3</v>
      </c>
      <c r="G8864" s="4" t="str">
        <f>HYPERLINK("http://141.218.60.56/~jnz1568/getInfo.php?workbook=20_05.xlsx&amp;sheet=U0&amp;row=8864&amp;col=7&amp;number=0.000966&amp;sourceID=14","0.000966")</f>
        <v>0.000966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HYPERLINK("http://141.218.60.56/~jnz1568/getInfo.php?workbook=20_05.xlsx&amp;sheet=U0&amp;row=8865&amp;col=6&amp;number=3.1&amp;sourceID=14","3.1")</f>
        <v>3.1</v>
      </c>
      <c r="G8865" s="4" t="str">
        <f>HYPERLINK("http://141.218.60.56/~jnz1568/getInfo.php?workbook=20_05.xlsx&amp;sheet=U0&amp;row=8865&amp;col=7&amp;number=0.000966&amp;sourceID=14","0.000966")</f>
        <v>0.000966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HYPERLINK("http://141.218.60.56/~jnz1568/getInfo.php?workbook=20_05.xlsx&amp;sheet=U0&amp;row=8866&amp;col=6&amp;number=3.2&amp;sourceID=14","3.2")</f>
        <v>3.2</v>
      </c>
      <c r="G8866" s="4" t="str">
        <f>HYPERLINK("http://141.218.60.56/~jnz1568/getInfo.php?workbook=20_05.xlsx&amp;sheet=U0&amp;row=8866&amp;col=7&amp;number=0.000966&amp;sourceID=14","0.000966")</f>
        <v>0.000966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HYPERLINK("http://141.218.60.56/~jnz1568/getInfo.php?workbook=20_05.xlsx&amp;sheet=U0&amp;row=8867&amp;col=6&amp;number=3.3&amp;sourceID=14","3.3")</f>
        <v>3.3</v>
      </c>
      <c r="G8867" s="4" t="str">
        <f>HYPERLINK("http://141.218.60.56/~jnz1568/getInfo.php?workbook=20_05.xlsx&amp;sheet=U0&amp;row=8867&amp;col=7&amp;number=0.000966&amp;sourceID=14","0.000966")</f>
        <v>0.000966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HYPERLINK("http://141.218.60.56/~jnz1568/getInfo.php?workbook=20_05.xlsx&amp;sheet=U0&amp;row=8868&amp;col=6&amp;number=3.4&amp;sourceID=14","3.4")</f>
        <v>3.4</v>
      </c>
      <c r="G8868" s="4" t="str">
        <f>HYPERLINK("http://141.218.60.56/~jnz1568/getInfo.php?workbook=20_05.xlsx&amp;sheet=U0&amp;row=8868&amp;col=7&amp;number=0.000966&amp;sourceID=14","0.000966")</f>
        <v>0.000966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HYPERLINK("http://141.218.60.56/~jnz1568/getInfo.php?workbook=20_05.xlsx&amp;sheet=U0&amp;row=8869&amp;col=6&amp;number=3.5&amp;sourceID=14","3.5")</f>
        <v>3.5</v>
      </c>
      <c r="G8869" s="4" t="str">
        <f>HYPERLINK("http://141.218.60.56/~jnz1568/getInfo.php?workbook=20_05.xlsx&amp;sheet=U0&amp;row=8869&amp;col=7&amp;number=0.000966&amp;sourceID=14","0.000966")</f>
        <v>0.000966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HYPERLINK("http://141.218.60.56/~jnz1568/getInfo.php?workbook=20_05.xlsx&amp;sheet=U0&amp;row=8870&amp;col=6&amp;number=3.6&amp;sourceID=14","3.6")</f>
        <v>3.6</v>
      </c>
      <c r="G8870" s="4" t="str">
        <f>HYPERLINK("http://141.218.60.56/~jnz1568/getInfo.php?workbook=20_05.xlsx&amp;sheet=U0&amp;row=8870&amp;col=7&amp;number=0.000966&amp;sourceID=14","0.000966")</f>
        <v>0.000966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HYPERLINK("http://141.218.60.56/~jnz1568/getInfo.php?workbook=20_05.xlsx&amp;sheet=U0&amp;row=8871&amp;col=6&amp;number=3.7&amp;sourceID=14","3.7")</f>
        <v>3.7</v>
      </c>
      <c r="G8871" s="4" t="str">
        <f>HYPERLINK("http://141.218.60.56/~jnz1568/getInfo.php?workbook=20_05.xlsx&amp;sheet=U0&amp;row=8871&amp;col=7&amp;number=0.000966&amp;sourceID=14","0.000966")</f>
        <v>0.000966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HYPERLINK("http://141.218.60.56/~jnz1568/getInfo.php?workbook=20_05.xlsx&amp;sheet=U0&amp;row=8872&amp;col=6&amp;number=3.8&amp;sourceID=14","3.8")</f>
        <v>3.8</v>
      </c>
      <c r="G8872" s="4" t="str">
        <f>HYPERLINK("http://141.218.60.56/~jnz1568/getInfo.php?workbook=20_05.xlsx&amp;sheet=U0&amp;row=8872&amp;col=7&amp;number=0.000966&amp;sourceID=14","0.000966")</f>
        <v>0.000966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HYPERLINK("http://141.218.60.56/~jnz1568/getInfo.php?workbook=20_05.xlsx&amp;sheet=U0&amp;row=8873&amp;col=6&amp;number=3.9&amp;sourceID=14","3.9")</f>
        <v>3.9</v>
      </c>
      <c r="G8873" s="4" t="str">
        <f>HYPERLINK("http://141.218.60.56/~jnz1568/getInfo.php?workbook=20_05.xlsx&amp;sheet=U0&amp;row=8873&amp;col=7&amp;number=0.000966&amp;sourceID=14","0.000966")</f>
        <v>0.000966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HYPERLINK("http://141.218.60.56/~jnz1568/getInfo.php?workbook=20_05.xlsx&amp;sheet=U0&amp;row=8874&amp;col=6&amp;number=4&amp;sourceID=14","4")</f>
        <v>4</v>
      </c>
      <c r="G8874" s="4" t="str">
        <f>HYPERLINK("http://141.218.60.56/~jnz1568/getInfo.php?workbook=20_05.xlsx&amp;sheet=U0&amp;row=8874&amp;col=7&amp;number=0.000966&amp;sourceID=14","0.000966")</f>
        <v>0.000966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HYPERLINK("http://141.218.60.56/~jnz1568/getInfo.php?workbook=20_05.xlsx&amp;sheet=U0&amp;row=8875&amp;col=6&amp;number=4.1&amp;sourceID=14","4.1")</f>
        <v>4.1</v>
      </c>
      <c r="G8875" s="4" t="str">
        <f>HYPERLINK("http://141.218.60.56/~jnz1568/getInfo.php?workbook=20_05.xlsx&amp;sheet=U0&amp;row=8875&amp;col=7&amp;number=0.000966&amp;sourceID=14","0.000966")</f>
        <v>0.000966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HYPERLINK("http://141.218.60.56/~jnz1568/getInfo.php?workbook=20_05.xlsx&amp;sheet=U0&amp;row=8876&amp;col=6&amp;number=4.2&amp;sourceID=14","4.2")</f>
        <v>4.2</v>
      </c>
      <c r="G8876" s="4" t="str">
        <f>HYPERLINK("http://141.218.60.56/~jnz1568/getInfo.php?workbook=20_05.xlsx&amp;sheet=U0&amp;row=8876&amp;col=7&amp;number=0.000966&amp;sourceID=14","0.000966")</f>
        <v>0.000966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HYPERLINK("http://141.218.60.56/~jnz1568/getInfo.php?workbook=20_05.xlsx&amp;sheet=U0&amp;row=8877&amp;col=6&amp;number=4.3&amp;sourceID=14","4.3")</f>
        <v>4.3</v>
      </c>
      <c r="G8877" s="4" t="str">
        <f>HYPERLINK("http://141.218.60.56/~jnz1568/getInfo.php?workbook=20_05.xlsx&amp;sheet=U0&amp;row=8877&amp;col=7&amp;number=0.000967&amp;sourceID=14","0.000967")</f>
        <v>0.000967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HYPERLINK("http://141.218.60.56/~jnz1568/getInfo.php?workbook=20_05.xlsx&amp;sheet=U0&amp;row=8878&amp;col=6&amp;number=4.4&amp;sourceID=14","4.4")</f>
        <v>4.4</v>
      </c>
      <c r="G8878" s="4" t="str">
        <f>HYPERLINK("http://141.218.60.56/~jnz1568/getInfo.php?workbook=20_05.xlsx&amp;sheet=U0&amp;row=8878&amp;col=7&amp;number=0.000967&amp;sourceID=14","0.000967")</f>
        <v>0.000967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HYPERLINK("http://141.218.60.56/~jnz1568/getInfo.php?workbook=20_05.xlsx&amp;sheet=U0&amp;row=8879&amp;col=6&amp;number=4.5&amp;sourceID=14","4.5")</f>
        <v>4.5</v>
      </c>
      <c r="G8879" s="4" t="str">
        <f>HYPERLINK("http://141.218.60.56/~jnz1568/getInfo.php?workbook=20_05.xlsx&amp;sheet=U0&amp;row=8879&amp;col=7&amp;number=0.000967&amp;sourceID=14","0.000967")</f>
        <v>0.000967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HYPERLINK("http://141.218.60.56/~jnz1568/getInfo.php?workbook=20_05.xlsx&amp;sheet=U0&amp;row=8880&amp;col=6&amp;number=4.6&amp;sourceID=14","4.6")</f>
        <v>4.6</v>
      </c>
      <c r="G8880" s="4" t="str">
        <f>HYPERLINK("http://141.218.60.56/~jnz1568/getInfo.php?workbook=20_05.xlsx&amp;sheet=U0&amp;row=8880&amp;col=7&amp;number=0.000967&amp;sourceID=14","0.000967")</f>
        <v>0.000967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HYPERLINK("http://141.218.60.56/~jnz1568/getInfo.php?workbook=20_05.xlsx&amp;sheet=U0&amp;row=8881&amp;col=6&amp;number=4.7&amp;sourceID=14","4.7")</f>
        <v>4.7</v>
      </c>
      <c r="G8881" s="4" t="str">
        <f>HYPERLINK("http://141.218.60.56/~jnz1568/getInfo.php?workbook=20_05.xlsx&amp;sheet=U0&amp;row=8881&amp;col=7&amp;number=0.000968&amp;sourceID=14","0.000968")</f>
        <v>0.000968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HYPERLINK("http://141.218.60.56/~jnz1568/getInfo.php?workbook=20_05.xlsx&amp;sheet=U0&amp;row=8882&amp;col=6&amp;number=4.8&amp;sourceID=14","4.8")</f>
        <v>4.8</v>
      </c>
      <c r="G8882" s="4" t="str">
        <f>HYPERLINK("http://141.218.60.56/~jnz1568/getInfo.php?workbook=20_05.xlsx&amp;sheet=U0&amp;row=8882&amp;col=7&amp;number=0.000968&amp;sourceID=14","0.000968")</f>
        <v>0.000968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HYPERLINK("http://141.218.60.56/~jnz1568/getInfo.php?workbook=20_05.xlsx&amp;sheet=U0&amp;row=8883&amp;col=6&amp;number=4.9&amp;sourceID=14","4.9")</f>
        <v>4.9</v>
      </c>
      <c r="G8883" s="4" t="str">
        <f>HYPERLINK("http://141.218.60.56/~jnz1568/getInfo.php?workbook=20_05.xlsx&amp;sheet=U0&amp;row=8883&amp;col=7&amp;number=0.000969&amp;sourceID=14","0.000969")</f>
        <v>0.000969</v>
      </c>
    </row>
    <row r="8884" spans="1:7">
      <c r="A8884" s="3">
        <v>20</v>
      </c>
      <c r="B8884" s="3">
        <v>5</v>
      </c>
      <c r="C8884" s="3">
        <v>4</v>
      </c>
      <c r="D8884" s="3">
        <v>83</v>
      </c>
      <c r="E8884" s="3">
        <v>1</v>
      </c>
      <c r="F8884" s="4" t="str">
        <f>HYPERLINK("http://141.218.60.56/~jnz1568/getInfo.php?workbook=20_05.xlsx&amp;sheet=U0&amp;row=8884&amp;col=6&amp;number=3&amp;sourceID=14","3")</f>
        <v>3</v>
      </c>
      <c r="G8884" s="4" t="str">
        <f>HYPERLINK("http://141.218.60.56/~jnz1568/getInfo.php?workbook=20_05.xlsx&amp;sheet=U0&amp;row=8884&amp;col=7&amp;number=0.00174&amp;sourceID=14","0.00174")</f>
        <v>0.00174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HYPERLINK("http://141.218.60.56/~jnz1568/getInfo.php?workbook=20_05.xlsx&amp;sheet=U0&amp;row=8885&amp;col=6&amp;number=3.1&amp;sourceID=14","3.1")</f>
        <v>3.1</v>
      </c>
      <c r="G8885" s="4" t="str">
        <f>HYPERLINK("http://141.218.60.56/~jnz1568/getInfo.php?workbook=20_05.xlsx&amp;sheet=U0&amp;row=8885&amp;col=7&amp;number=0.00174&amp;sourceID=14","0.00174")</f>
        <v>0.00174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HYPERLINK("http://141.218.60.56/~jnz1568/getInfo.php?workbook=20_05.xlsx&amp;sheet=U0&amp;row=8886&amp;col=6&amp;number=3.2&amp;sourceID=14","3.2")</f>
        <v>3.2</v>
      </c>
      <c r="G8886" s="4" t="str">
        <f>HYPERLINK("http://141.218.60.56/~jnz1568/getInfo.php?workbook=20_05.xlsx&amp;sheet=U0&amp;row=8886&amp;col=7&amp;number=0.00175&amp;sourceID=14","0.00175")</f>
        <v>0.00175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HYPERLINK("http://141.218.60.56/~jnz1568/getInfo.php?workbook=20_05.xlsx&amp;sheet=U0&amp;row=8887&amp;col=6&amp;number=3.3&amp;sourceID=14","3.3")</f>
        <v>3.3</v>
      </c>
      <c r="G8887" s="4" t="str">
        <f>HYPERLINK("http://141.218.60.56/~jnz1568/getInfo.php?workbook=20_05.xlsx&amp;sheet=U0&amp;row=8887&amp;col=7&amp;number=0.00175&amp;sourceID=14","0.00175")</f>
        <v>0.00175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HYPERLINK("http://141.218.60.56/~jnz1568/getInfo.php?workbook=20_05.xlsx&amp;sheet=U0&amp;row=8888&amp;col=6&amp;number=3.4&amp;sourceID=14","3.4")</f>
        <v>3.4</v>
      </c>
      <c r="G8888" s="4" t="str">
        <f>HYPERLINK("http://141.218.60.56/~jnz1568/getInfo.php?workbook=20_05.xlsx&amp;sheet=U0&amp;row=8888&amp;col=7&amp;number=0.00175&amp;sourceID=14","0.00175")</f>
        <v>0.00175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HYPERLINK("http://141.218.60.56/~jnz1568/getInfo.php?workbook=20_05.xlsx&amp;sheet=U0&amp;row=8889&amp;col=6&amp;number=3.5&amp;sourceID=14","3.5")</f>
        <v>3.5</v>
      </c>
      <c r="G8889" s="4" t="str">
        <f>HYPERLINK("http://141.218.60.56/~jnz1568/getInfo.php?workbook=20_05.xlsx&amp;sheet=U0&amp;row=8889&amp;col=7&amp;number=0.00175&amp;sourceID=14","0.00175")</f>
        <v>0.00175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HYPERLINK("http://141.218.60.56/~jnz1568/getInfo.php?workbook=20_05.xlsx&amp;sheet=U0&amp;row=8890&amp;col=6&amp;number=3.6&amp;sourceID=14","3.6")</f>
        <v>3.6</v>
      </c>
      <c r="G8890" s="4" t="str">
        <f>HYPERLINK("http://141.218.60.56/~jnz1568/getInfo.php?workbook=20_05.xlsx&amp;sheet=U0&amp;row=8890&amp;col=7&amp;number=0.00175&amp;sourceID=14","0.00175")</f>
        <v>0.00175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HYPERLINK("http://141.218.60.56/~jnz1568/getInfo.php?workbook=20_05.xlsx&amp;sheet=U0&amp;row=8891&amp;col=6&amp;number=3.7&amp;sourceID=14","3.7")</f>
        <v>3.7</v>
      </c>
      <c r="G8891" s="4" t="str">
        <f>HYPERLINK("http://141.218.60.56/~jnz1568/getInfo.php?workbook=20_05.xlsx&amp;sheet=U0&amp;row=8891&amp;col=7&amp;number=0.00175&amp;sourceID=14","0.00175")</f>
        <v>0.00175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HYPERLINK("http://141.218.60.56/~jnz1568/getInfo.php?workbook=20_05.xlsx&amp;sheet=U0&amp;row=8892&amp;col=6&amp;number=3.8&amp;sourceID=14","3.8")</f>
        <v>3.8</v>
      </c>
      <c r="G8892" s="4" t="str">
        <f>HYPERLINK("http://141.218.60.56/~jnz1568/getInfo.php?workbook=20_05.xlsx&amp;sheet=U0&amp;row=8892&amp;col=7&amp;number=0.00175&amp;sourceID=14","0.00175")</f>
        <v>0.00175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HYPERLINK("http://141.218.60.56/~jnz1568/getInfo.php?workbook=20_05.xlsx&amp;sheet=U0&amp;row=8893&amp;col=6&amp;number=3.9&amp;sourceID=14","3.9")</f>
        <v>3.9</v>
      </c>
      <c r="G8893" s="4" t="str">
        <f>HYPERLINK("http://141.218.60.56/~jnz1568/getInfo.php?workbook=20_05.xlsx&amp;sheet=U0&amp;row=8893&amp;col=7&amp;number=0.00175&amp;sourceID=14","0.00175")</f>
        <v>0.00175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HYPERLINK("http://141.218.60.56/~jnz1568/getInfo.php?workbook=20_05.xlsx&amp;sheet=U0&amp;row=8894&amp;col=6&amp;number=4&amp;sourceID=14","4")</f>
        <v>4</v>
      </c>
      <c r="G8894" s="4" t="str">
        <f>HYPERLINK("http://141.218.60.56/~jnz1568/getInfo.php?workbook=20_05.xlsx&amp;sheet=U0&amp;row=8894&amp;col=7&amp;number=0.00175&amp;sourceID=14","0.00175")</f>
        <v>0.00175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HYPERLINK("http://141.218.60.56/~jnz1568/getInfo.php?workbook=20_05.xlsx&amp;sheet=U0&amp;row=8895&amp;col=6&amp;number=4.1&amp;sourceID=14","4.1")</f>
        <v>4.1</v>
      </c>
      <c r="G8895" s="4" t="str">
        <f>HYPERLINK("http://141.218.60.56/~jnz1568/getInfo.php?workbook=20_05.xlsx&amp;sheet=U0&amp;row=8895&amp;col=7&amp;number=0.00175&amp;sourceID=14","0.00175")</f>
        <v>0.00175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HYPERLINK("http://141.218.60.56/~jnz1568/getInfo.php?workbook=20_05.xlsx&amp;sheet=U0&amp;row=8896&amp;col=6&amp;number=4.2&amp;sourceID=14","4.2")</f>
        <v>4.2</v>
      </c>
      <c r="G8896" s="4" t="str">
        <f>HYPERLINK("http://141.218.60.56/~jnz1568/getInfo.php?workbook=20_05.xlsx&amp;sheet=U0&amp;row=8896&amp;col=7&amp;number=0.00175&amp;sourceID=14","0.00175")</f>
        <v>0.00175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HYPERLINK("http://141.218.60.56/~jnz1568/getInfo.php?workbook=20_05.xlsx&amp;sheet=U0&amp;row=8897&amp;col=6&amp;number=4.3&amp;sourceID=14","4.3")</f>
        <v>4.3</v>
      </c>
      <c r="G8897" s="4" t="str">
        <f>HYPERLINK("http://141.218.60.56/~jnz1568/getInfo.php?workbook=20_05.xlsx&amp;sheet=U0&amp;row=8897&amp;col=7&amp;number=0.00176&amp;sourceID=14","0.00176")</f>
        <v>0.00176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HYPERLINK("http://141.218.60.56/~jnz1568/getInfo.php?workbook=20_05.xlsx&amp;sheet=U0&amp;row=8898&amp;col=6&amp;number=4.4&amp;sourceID=14","4.4")</f>
        <v>4.4</v>
      </c>
      <c r="G8898" s="4" t="str">
        <f>HYPERLINK("http://141.218.60.56/~jnz1568/getInfo.php?workbook=20_05.xlsx&amp;sheet=U0&amp;row=8898&amp;col=7&amp;number=0.00176&amp;sourceID=14","0.00176")</f>
        <v>0.00176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HYPERLINK("http://141.218.60.56/~jnz1568/getInfo.php?workbook=20_05.xlsx&amp;sheet=U0&amp;row=8899&amp;col=6&amp;number=4.5&amp;sourceID=14","4.5")</f>
        <v>4.5</v>
      </c>
      <c r="G8899" s="4" t="str">
        <f>HYPERLINK("http://141.218.60.56/~jnz1568/getInfo.php?workbook=20_05.xlsx&amp;sheet=U0&amp;row=8899&amp;col=7&amp;number=0.00177&amp;sourceID=14","0.00177")</f>
        <v>0.00177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HYPERLINK("http://141.218.60.56/~jnz1568/getInfo.php?workbook=20_05.xlsx&amp;sheet=U0&amp;row=8900&amp;col=6&amp;number=4.6&amp;sourceID=14","4.6")</f>
        <v>4.6</v>
      </c>
      <c r="G8900" s="4" t="str">
        <f>HYPERLINK("http://141.218.60.56/~jnz1568/getInfo.php?workbook=20_05.xlsx&amp;sheet=U0&amp;row=8900&amp;col=7&amp;number=0.00177&amp;sourceID=14","0.00177")</f>
        <v>0.00177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HYPERLINK("http://141.218.60.56/~jnz1568/getInfo.php?workbook=20_05.xlsx&amp;sheet=U0&amp;row=8901&amp;col=6&amp;number=4.7&amp;sourceID=14","4.7")</f>
        <v>4.7</v>
      </c>
      <c r="G8901" s="4" t="str">
        <f>HYPERLINK("http://141.218.60.56/~jnz1568/getInfo.php?workbook=20_05.xlsx&amp;sheet=U0&amp;row=8901&amp;col=7&amp;number=0.00178&amp;sourceID=14","0.00178")</f>
        <v>0.00178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HYPERLINK("http://141.218.60.56/~jnz1568/getInfo.php?workbook=20_05.xlsx&amp;sheet=U0&amp;row=8902&amp;col=6&amp;number=4.8&amp;sourceID=14","4.8")</f>
        <v>4.8</v>
      </c>
      <c r="G8902" s="4" t="str">
        <f>HYPERLINK("http://141.218.60.56/~jnz1568/getInfo.php?workbook=20_05.xlsx&amp;sheet=U0&amp;row=8902&amp;col=7&amp;number=0.00179&amp;sourceID=14","0.00179")</f>
        <v>0.00179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HYPERLINK("http://141.218.60.56/~jnz1568/getInfo.php?workbook=20_05.xlsx&amp;sheet=U0&amp;row=8903&amp;col=6&amp;number=4.9&amp;sourceID=14","4.9")</f>
        <v>4.9</v>
      </c>
      <c r="G8903" s="4" t="str">
        <f>HYPERLINK("http://141.218.60.56/~jnz1568/getInfo.php?workbook=20_05.xlsx&amp;sheet=U0&amp;row=8903&amp;col=7&amp;number=0.0018&amp;sourceID=14","0.0018")</f>
        <v>0.0018</v>
      </c>
    </row>
    <row r="8904" spans="1:7">
      <c r="A8904" s="3">
        <v>20</v>
      </c>
      <c r="B8904" s="3">
        <v>5</v>
      </c>
      <c r="C8904" s="3">
        <v>4</v>
      </c>
      <c r="D8904" s="3">
        <v>84</v>
      </c>
      <c r="E8904" s="3">
        <v>1</v>
      </c>
      <c r="F8904" s="4" t="str">
        <f>HYPERLINK("http://141.218.60.56/~jnz1568/getInfo.php?workbook=20_05.xlsx&amp;sheet=U0&amp;row=8904&amp;col=6&amp;number=3&amp;sourceID=14","3")</f>
        <v>3</v>
      </c>
      <c r="G8904" s="4" t="str">
        <f>HYPERLINK("http://141.218.60.56/~jnz1568/getInfo.php?workbook=20_05.xlsx&amp;sheet=U0&amp;row=8904&amp;col=7&amp;number=0.000298&amp;sourceID=14","0.000298")</f>
        <v>0.000298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HYPERLINK("http://141.218.60.56/~jnz1568/getInfo.php?workbook=20_05.xlsx&amp;sheet=U0&amp;row=8905&amp;col=6&amp;number=3.1&amp;sourceID=14","3.1")</f>
        <v>3.1</v>
      </c>
      <c r="G8905" s="4" t="str">
        <f>HYPERLINK("http://141.218.60.56/~jnz1568/getInfo.php?workbook=20_05.xlsx&amp;sheet=U0&amp;row=8905&amp;col=7&amp;number=0.000298&amp;sourceID=14","0.000298")</f>
        <v>0.000298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HYPERLINK("http://141.218.60.56/~jnz1568/getInfo.php?workbook=20_05.xlsx&amp;sheet=U0&amp;row=8906&amp;col=6&amp;number=3.2&amp;sourceID=14","3.2")</f>
        <v>3.2</v>
      </c>
      <c r="G8906" s="4" t="str">
        <f>HYPERLINK("http://141.218.60.56/~jnz1568/getInfo.php?workbook=20_05.xlsx&amp;sheet=U0&amp;row=8906&amp;col=7&amp;number=0.000298&amp;sourceID=14","0.000298")</f>
        <v>0.000298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HYPERLINK("http://141.218.60.56/~jnz1568/getInfo.php?workbook=20_05.xlsx&amp;sheet=U0&amp;row=8907&amp;col=6&amp;number=3.3&amp;sourceID=14","3.3")</f>
        <v>3.3</v>
      </c>
      <c r="G8907" s="4" t="str">
        <f>HYPERLINK("http://141.218.60.56/~jnz1568/getInfo.php?workbook=20_05.xlsx&amp;sheet=U0&amp;row=8907&amp;col=7&amp;number=0.000298&amp;sourceID=14","0.000298")</f>
        <v>0.000298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HYPERLINK("http://141.218.60.56/~jnz1568/getInfo.php?workbook=20_05.xlsx&amp;sheet=U0&amp;row=8908&amp;col=6&amp;number=3.4&amp;sourceID=14","3.4")</f>
        <v>3.4</v>
      </c>
      <c r="G8908" s="4" t="str">
        <f>HYPERLINK("http://141.218.60.56/~jnz1568/getInfo.php?workbook=20_05.xlsx&amp;sheet=U0&amp;row=8908&amp;col=7&amp;number=0.000298&amp;sourceID=14","0.000298")</f>
        <v>0.000298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HYPERLINK("http://141.218.60.56/~jnz1568/getInfo.php?workbook=20_05.xlsx&amp;sheet=U0&amp;row=8909&amp;col=6&amp;number=3.5&amp;sourceID=14","3.5")</f>
        <v>3.5</v>
      </c>
      <c r="G8909" s="4" t="str">
        <f>HYPERLINK("http://141.218.60.56/~jnz1568/getInfo.php?workbook=20_05.xlsx&amp;sheet=U0&amp;row=8909&amp;col=7&amp;number=0.000298&amp;sourceID=14","0.000298")</f>
        <v>0.000298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HYPERLINK("http://141.218.60.56/~jnz1568/getInfo.php?workbook=20_05.xlsx&amp;sheet=U0&amp;row=8910&amp;col=6&amp;number=3.6&amp;sourceID=14","3.6")</f>
        <v>3.6</v>
      </c>
      <c r="G8910" s="4" t="str">
        <f>HYPERLINK("http://141.218.60.56/~jnz1568/getInfo.php?workbook=20_05.xlsx&amp;sheet=U0&amp;row=8910&amp;col=7&amp;number=0.000298&amp;sourceID=14","0.000298")</f>
        <v>0.000298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HYPERLINK("http://141.218.60.56/~jnz1568/getInfo.php?workbook=20_05.xlsx&amp;sheet=U0&amp;row=8911&amp;col=6&amp;number=3.7&amp;sourceID=14","3.7")</f>
        <v>3.7</v>
      </c>
      <c r="G8911" s="4" t="str">
        <f>HYPERLINK("http://141.218.60.56/~jnz1568/getInfo.php?workbook=20_05.xlsx&amp;sheet=U0&amp;row=8911&amp;col=7&amp;number=0.000298&amp;sourceID=14","0.000298")</f>
        <v>0.000298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HYPERLINK("http://141.218.60.56/~jnz1568/getInfo.php?workbook=20_05.xlsx&amp;sheet=U0&amp;row=8912&amp;col=6&amp;number=3.8&amp;sourceID=14","3.8")</f>
        <v>3.8</v>
      </c>
      <c r="G8912" s="4" t="str">
        <f>HYPERLINK("http://141.218.60.56/~jnz1568/getInfo.php?workbook=20_05.xlsx&amp;sheet=U0&amp;row=8912&amp;col=7&amp;number=0.000298&amp;sourceID=14","0.000298")</f>
        <v>0.000298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HYPERLINK("http://141.218.60.56/~jnz1568/getInfo.php?workbook=20_05.xlsx&amp;sheet=U0&amp;row=8913&amp;col=6&amp;number=3.9&amp;sourceID=14","3.9")</f>
        <v>3.9</v>
      </c>
      <c r="G8913" s="4" t="str">
        <f>HYPERLINK("http://141.218.60.56/~jnz1568/getInfo.php?workbook=20_05.xlsx&amp;sheet=U0&amp;row=8913&amp;col=7&amp;number=0.000298&amp;sourceID=14","0.000298")</f>
        <v>0.000298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HYPERLINK("http://141.218.60.56/~jnz1568/getInfo.php?workbook=20_05.xlsx&amp;sheet=U0&amp;row=8914&amp;col=6&amp;number=4&amp;sourceID=14","4")</f>
        <v>4</v>
      </c>
      <c r="G8914" s="4" t="str">
        <f>HYPERLINK("http://141.218.60.56/~jnz1568/getInfo.php?workbook=20_05.xlsx&amp;sheet=U0&amp;row=8914&amp;col=7&amp;number=0.000298&amp;sourceID=14","0.000298")</f>
        <v>0.000298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HYPERLINK("http://141.218.60.56/~jnz1568/getInfo.php?workbook=20_05.xlsx&amp;sheet=U0&amp;row=8915&amp;col=6&amp;number=4.1&amp;sourceID=14","4.1")</f>
        <v>4.1</v>
      </c>
      <c r="G8915" s="4" t="str">
        <f>HYPERLINK("http://141.218.60.56/~jnz1568/getInfo.php?workbook=20_05.xlsx&amp;sheet=U0&amp;row=8915&amp;col=7&amp;number=0.000298&amp;sourceID=14","0.000298")</f>
        <v>0.000298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HYPERLINK("http://141.218.60.56/~jnz1568/getInfo.php?workbook=20_05.xlsx&amp;sheet=U0&amp;row=8916&amp;col=6&amp;number=4.2&amp;sourceID=14","4.2")</f>
        <v>4.2</v>
      </c>
      <c r="G8916" s="4" t="str">
        <f>HYPERLINK("http://141.218.60.56/~jnz1568/getInfo.php?workbook=20_05.xlsx&amp;sheet=U0&amp;row=8916&amp;col=7&amp;number=0.000298&amp;sourceID=14","0.000298")</f>
        <v>0.000298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HYPERLINK("http://141.218.60.56/~jnz1568/getInfo.php?workbook=20_05.xlsx&amp;sheet=U0&amp;row=8917&amp;col=6&amp;number=4.3&amp;sourceID=14","4.3")</f>
        <v>4.3</v>
      </c>
      <c r="G8917" s="4" t="str">
        <f>HYPERLINK("http://141.218.60.56/~jnz1568/getInfo.php?workbook=20_05.xlsx&amp;sheet=U0&amp;row=8917&amp;col=7&amp;number=0.000297&amp;sourceID=14","0.000297")</f>
        <v>0.000297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HYPERLINK("http://141.218.60.56/~jnz1568/getInfo.php?workbook=20_05.xlsx&amp;sheet=U0&amp;row=8918&amp;col=6&amp;number=4.4&amp;sourceID=14","4.4")</f>
        <v>4.4</v>
      </c>
      <c r="G8918" s="4" t="str">
        <f>HYPERLINK("http://141.218.60.56/~jnz1568/getInfo.php?workbook=20_05.xlsx&amp;sheet=U0&amp;row=8918&amp;col=7&amp;number=0.000297&amp;sourceID=14","0.000297")</f>
        <v>0.000297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HYPERLINK("http://141.218.60.56/~jnz1568/getInfo.php?workbook=20_05.xlsx&amp;sheet=U0&amp;row=8919&amp;col=6&amp;number=4.5&amp;sourceID=14","4.5")</f>
        <v>4.5</v>
      </c>
      <c r="G8919" s="4" t="str">
        <f>HYPERLINK("http://141.218.60.56/~jnz1568/getInfo.php?workbook=20_05.xlsx&amp;sheet=U0&amp;row=8919&amp;col=7&amp;number=0.000297&amp;sourceID=14","0.000297")</f>
        <v>0.000297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HYPERLINK("http://141.218.60.56/~jnz1568/getInfo.php?workbook=20_05.xlsx&amp;sheet=U0&amp;row=8920&amp;col=6&amp;number=4.6&amp;sourceID=14","4.6")</f>
        <v>4.6</v>
      </c>
      <c r="G8920" s="4" t="str">
        <f>HYPERLINK("http://141.218.60.56/~jnz1568/getInfo.php?workbook=20_05.xlsx&amp;sheet=U0&amp;row=8920&amp;col=7&amp;number=0.000296&amp;sourceID=14","0.000296")</f>
        <v>0.000296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HYPERLINK("http://141.218.60.56/~jnz1568/getInfo.php?workbook=20_05.xlsx&amp;sheet=U0&amp;row=8921&amp;col=6&amp;number=4.7&amp;sourceID=14","4.7")</f>
        <v>4.7</v>
      </c>
      <c r="G8921" s="4" t="str">
        <f>HYPERLINK("http://141.218.60.56/~jnz1568/getInfo.php?workbook=20_05.xlsx&amp;sheet=U0&amp;row=8921&amp;col=7&amp;number=0.000296&amp;sourceID=14","0.000296")</f>
        <v>0.000296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HYPERLINK("http://141.218.60.56/~jnz1568/getInfo.php?workbook=20_05.xlsx&amp;sheet=U0&amp;row=8922&amp;col=6&amp;number=4.8&amp;sourceID=14","4.8")</f>
        <v>4.8</v>
      </c>
      <c r="G8922" s="4" t="str">
        <f>HYPERLINK("http://141.218.60.56/~jnz1568/getInfo.php?workbook=20_05.xlsx&amp;sheet=U0&amp;row=8922&amp;col=7&amp;number=0.000295&amp;sourceID=14","0.000295")</f>
        <v>0.000295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HYPERLINK("http://141.218.60.56/~jnz1568/getInfo.php?workbook=20_05.xlsx&amp;sheet=U0&amp;row=8923&amp;col=6&amp;number=4.9&amp;sourceID=14","4.9")</f>
        <v>4.9</v>
      </c>
      <c r="G8923" s="4" t="str">
        <f>HYPERLINK("http://141.218.60.56/~jnz1568/getInfo.php?workbook=20_05.xlsx&amp;sheet=U0&amp;row=8923&amp;col=7&amp;number=0.000294&amp;sourceID=14","0.000294")</f>
        <v>0.000294</v>
      </c>
    </row>
    <row r="8924" spans="1:7">
      <c r="A8924" s="3">
        <v>20</v>
      </c>
      <c r="B8924" s="3">
        <v>5</v>
      </c>
      <c r="C8924" s="3">
        <v>4</v>
      </c>
      <c r="D8924" s="3">
        <v>85</v>
      </c>
      <c r="E8924" s="3">
        <v>1</v>
      </c>
      <c r="F8924" s="4" t="str">
        <f>HYPERLINK("http://141.218.60.56/~jnz1568/getInfo.php?workbook=20_05.xlsx&amp;sheet=U0&amp;row=8924&amp;col=6&amp;number=3&amp;sourceID=14","3")</f>
        <v>3</v>
      </c>
      <c r="G8924" s="4" t="str">
        <f>HYPERLINK("http://141.218.60.56/~jnz1568/getInfo.php?workbook=20_05.xlsx&amp;sheet=U0&amp;row=8924&amp;col=7&amp;number=9.76e-05&amp;sourceID=14","9.76e-05")</f>
        <v>9.76e-05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HYPERLINK("http://141.218.60.56/~jnz1568/getInfo.php?workbook=20_05.xlsx&amp;sheet=U0&amp;row=8925&amp;col=6&amp;number=3.1&amp;sourceID=14","3.1")</f>
        <v>3.1</v>
      </c>
      <c r="G8925" s="4" t="str">
        <f>HYPERLINK("http://141.218.60.56/~jnz1568/getInfo.php?workbook=20_05.xlsx&amp;sheet=U0&amp;row=8925&amp;col=7&amp;number=9.76e-05&amp;sourceID=14","9.76e-05")</f>
        <v>9.76e-05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HYPERLINK("http://141.218.60.56/~jnz1568/getInfo.php?workbook=20_05.xlsx&amp;sheet=U0&amp;row=8926&amp;col=6&amp;number=3.2&amp;sourceID=14","3.2")</f>
        <v>3.2</v>
      </c>
      <c r="G8926" s="4" t="str">
        <f>HYPERLINK("http://141.218.60.56/~jnz1568/getInfo.php?workbook=20_05.xlsx&amp;sheet=U0&amp;row=8926&amp;col=7&amp;number=9.76e-05&amp;sourceID=14","9.76e-05")</f>
        <v>9.76e-05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HYPERLINK("http://141.218.60.56/~jnz1568/getInfo.php?workbook=20_05.xlsx&amp;sheet=U0&amp;row=8927&amp;col=6&amp;number=3.3&amp;sourceID=14","3.3")</f>
        <v>3.3</v>
      </c>
      <c r="G8927" s="4" t="str">
        <f>HYPERLINK("http://141.218.60.56/~jnz1568/getInfo.php?workbook=20_05.xlsx&amp;sheet=U0&amp;row=8927&amp;col=7&amp;number=9.76e-05&amp;sourceID=14","9.76e-05")</f>
        <v>9.76e-05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HYPERLINK("http://141.218.60.56/~jnz1568/getInfo.php?workbook=20_05.xlsx&amp;sheet=U0&amp;row=8928&amp;col=6&amp;number=3.4&amp;sourceID=14","3.4")</f>
        <v>3.4</v>
      </c>
      <c r="G8928" s="4" t="str">
        <f>HYPERLINK("http://141.218.60.56/~jnz1568/getInfo.php?workbook=20_05.xlsx&amp;sheet=U0&amp;row=8928&amp;col=7&amp;number=9.76e-05&amp;sourceID=14","9.76e-05")</f>
        <v>9.76e-05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HYPERLINK("http://141.218.60.56/~jnz1568/getInfo.php?workbook=20_05.xlsx&amp;sheet=U0&amp;row=8929&amp;col=6&amp;number=3.5&amp;sourceID=14","3.5")</f>
        <v>3.5</v>
      </c>
      <c r="G8929" s="4" t="str">
        <f>HYPERLINK("http://141.218.60.56/~jnz1568/getInfo.php?workbook=20_05.xlsx&amp;sheet=U0&amp;row=8929&amp;col=7&amp;number=9.76e-05&amp;sourceID=14","9.76e-05")</f>
        <v>9.76e-05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HYPERLINK("http://141.218.60.56/~jnz1568/getInfo.php?workbook=20_05.xlsx&amp;sheet=U0&amp;row=8930&amp;col=6&amp;number=3.6&amp;sourceID=14","3.6")</f>
        <v>3.6</v>
      </c>
      <c r="G8930" s="4" t="str">
        <f>HYPERLINK("http://141.218.60.56/~jnz1568/getInfo.php?workbook=20_05.xlsx&amp;sheet=U0&amp;row=8930&amp;col=7&amp;number=9.75e-05&amp;sourceID=14","9.75e-05")</f>
        <v>9.75e-05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HYPERLINK("http://141.218.60.56/~jnz1568/getInfo.php?workbook=20_05.xlsx&amp;sheet=U0&amp;row=8931&amp;col=6&amp;number=3.7&amp;sourceID=14","3.7")</f>
        <v>3.7</v>
      </c>
      <c r="G8931" s="4" t="str">
        <f>HYPERLINK("http://141.218.60.56/~jnz1568/getInfo.php?workbook=20_05.xlsx&amp;sheet=U0&amp;row=8931&amp;col=7&amp;number=9.75e-05&amp;sourceID=14","9.75e-05")</f>
        <v>9.75e-05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HYPERLINK("http://141.218.60.56/~jnz1568/getInfo.php?workbook=20_05.xlsx&amp;sheet=U0&amp;row=8932&amp;col=6&amp;number=3.8&amp;sourceID=14","3.8")</f>
        <v>3.8</v>
      </c>
      <c r="G8932" s="4" t="str">
        <f>HYPERLINK("http://141.218.60.56/~jnz1568/getInfo.php?workbook=20_05.xlsx&amp;sheet=U0&amp;row=8932&amp;col=7&amp;number=9.75e-05&amp;sourceID=14","9.75e-05")</f>
        <v>9.75e-05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HYPERLINK("http://141.218.60.56/~jnz1568/getInfo.php?workbook=20_05.xlsx&amp;sheet=U0&amp;row=8933&amp;col=6&amp;number=3.9&amp;sourceID=14","3.9")</f>
        <v>3.9</v>
      </c>
      <c r="G8933" s="4" t="str">
        <f>HYPERLINK("http://141.218.60.56/~jnz1568/getInfo.php?workbook=20_05.xlsx&amp;sheet=U0&amp;row=8933&amp;col=7&amp;number=9.75e-05&amp;sourceID=14","9.75e-05")</f>
        <v>9.75e-05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HYPERLINK("http://141.218.60.56/~jnz1568/getInfo.php?workbook=20_05.xlsx&amp;sheet=U0&amp;row=8934&amp;col=6&amp;number=4&amp;sourceID=14","4")</f>
        <v>4</v>
      </c>
      <c r="G8934" s="4" t="str">
        <f>HYPERLINK("http://141.218.60.56/~jnz1568/getInfo.php?workbook=20_05.xlsx&amp;sheet=U0&amp;row=8934&amp;col=7&amp;number=9.74e-05&amp;sourceID=14","9.74e-05")</f>
        <v>9.74e-05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HYPERLINK("http://141.218.60.56/~jnz1568/getInfo.php?workbook=20_05.xlsx&amp;sheet=U0&amp;row=8935&amp;col=6&amp;number=4.1&amp;sourceID=14","4.1")</f>
        <v>4.1</v>
      </c>
      <c r="G8935" s="4" t="str">
        <f>HYPERLINK("http://141.218.60.56/~jnz1568/getInfo.php?workbook=20_05.xlsx&amp;sheet=U0&amp;row=8935&amp;col=7&amp;number=9.74e-05&amp;sourceID=14","9.74e-05")</f>
        <v>9.74e-05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HYPERLINK("http://141.218.60.56/~jnz1568/getInfo.php?workbook=20_05.xlsx&amp;sheet=U0&amp;row=8936&amp;col=6&amp;number=4.2&amp;sourceID=14","4.2")</f>
        <v>4.2</v>
      </c>
      <c r="G8936" s="4" t="str">
        <f>HYPERLINK("http://141.218.60.56/~jnz1568/getInfo.php?workbook=20_05.xlsx&amp;sheet=U0&amp;row=8936&amp;col=7&amp;number=9.73e-05&amp;sourceID=14","9.73e-05")</f>
        <v>9.73e-05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HYPERLINK("http://141.218.60.56/~jnz1568/getInfo.php?workbook=20_05.xlsx&amp;sheet=U0&amp;row=8937&amp;col=6&amp;number=4.3&amp;sourceID=14","4.3")</f>
        <v>4.3</v>
      </c>
      <c r="G8937" s="4" t="str">
        <f>HYPERLINK("http://141.218.60.56/~jnz1568/getInfo.php?workbook=20_05.xlsx&amp;sheet=U0&amp;row=8937&amp;col=7&amp;number=9.72e-05&amp;sourceID=14","9.72e-05")</f>
        <v>9.72e-05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HYPERLINK("http://141.218.60.56/~jnz1568/getInfo.php?workbook=20_05.xlsx&amp;sheet=U0&amp;row=8938&amp;col=6&amp;number=4.4&amp;sourceID=14","4.4")</f>
        <v>4.4</v>
      </c>
      <c r="G8938" s="4" t="str">
        <f>HYPERLINK("http://141.218.60.56/~jnz1568/getInfo.php?workbook=20_05.xlsx&amp;sheet=U0&amp;row=8938&amp;col=7&amp;number=9.71e-05&amp;sourceID=14","9.71e-05")</f>
        <v>9.71e-05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HYPERLINK("http://141.218.60.56/~jnz1568/getInfo.php?workbook=20_05.xlsx&amp;sheet=U0&amp;row=8939&amp;col=6&amp;number=4.5&amp;sourceID=14","4.5")</f>
        <v>4.5</v>
      </c>
      <c r="G8939" s="4" t="str">
        <f>HYPERLINK("http://141.218.60.56/~jnz1568/getInfo.php?workbook=20_05.xlsx&amp;sheet=U0&amp;row=8939&amp;col=7&amp;number=9.69e-05&amp;sourceID=14","9.69e-05")</f>
        <v>9.69e-05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HYPERLINK("http://141.218.60.56/~jnz1568/getInfo.php?workbook=20_05.xlsx&amp;sheet=U0&amp;row=8940&amp;col=6&amp;number=4.6&amp;sourceID=14","4.6")</f>
        <v>4.6</v>
      </c>
      <c r="G8940" s="4" t="str">
        <f>HYPERLINK("http://141.218.60.56/~jnz1568/getInfo.php?workbook=20_05.xlsx&amp;sheet=U0&amp;row=8940&amp;col=7&amp;number=9.68e-05&amp;sourceID=14","9.68e-05")</f>
        <v>9.68e-05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HYPERLINK("http://141.218.60.56/~jnz1568/getInfo.php?workbook=20_05.xlsx&amp;sheet=U0&amp;row=8941&amp;col=6&amp;number=4.7&amp;sourceID=14","4.7")</f>
        <v>4.7</v>
      </c>
      <c r="G8941" s="4" t="str">
        <f>HYPERLINK("http://141.218.60.56/~jnz1568/getInfo.php?workbook=20_05.xlsx&amp;sheet=U0&amp;row=8941&amp;col=7&amp;number=9.65e-05&amp;sourceID=14","9.65e-05")</f>
        <v>9.65e-05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HYPERLINK("http://141.218.60.56/~jnz1568/getInfo.php?workbook=20_05.xlsx&amp;sheet=U0&amp;row=8942&amp;col=6&amp;number=4.8&amp;sourceID=14","4.8")</f>
        <v>4.8</v>
      </c>
      <c r="G8942" s="4" t="str">
        <f>HYPERLINK("http://141.218.60.56/~jnz1568/getInfo.php?workbook=20_05.xlsx&amp;sheet=U0&amp;row=8942&amp;col=7&amp;number=9.63e-05&amp;sourceID=14","9.63e-05")</f>
        <v>9.63e-05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HYPERLINK("http://141.218.60.56/~jnz1568/getInfo.php?workbook=20_05.xlsx&amp;sheet=U0&amp;row=8943&amp;col=6&amp;number=4.9&amp;sourceID=14","4.9")</f>
        <v>4.9</v>
      </c>
      <c r="G8943" s="4" t="str">
        <f>HYPERLINK("http://141.218.60.56/~jnz1568/getInfo.php?workbook=20_05.xlsx&amp;sheet=U0&amp;row=8943&amp;col=7&amp;number=9.59e-05&amp;sourceID=14","9.59e-05")</f>
        <v>9.59e-05</v>
      </c>
    </row>
    <row r="8944" spans="1:7">
      <c r="A8944" s="3">
        <v>20</v>
      </c>
      <c r="B8944" s="3">
        <v>5</v>
      </c>
      <c r="C8944" s="3">
        <v>4</v>
      </c>
      <c r="D8944" s="3">
        <v>87</v>
      </c>
      <c r="E8944" s="3">
        <v>1</v>
      </c>
      <c r="F8944" s="4" t="str">
        <f>HYPERLINK("http://141.218.60.56/~jnz1568/getInfo.php?workbook=20_05.xlsx&amp;sheet=U0&amp;row=8944&amp;col=6&amp;number=3&amp;sourceID=14","3")</f>
        <v>3</v>
      </c>
      <c r="G8944" s="4" t="str">
        <f>HYPERLINK("http://141.218.60.56/~jnz1568/getInfo.php?workbook=20_05.xlsx&amp;sheet=U0&amp;row=8944&amp;col=7&amp;number=4.92e-05&amp;sourceID=14","4.92e-05")</f>
        <v>4.92e-05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HYPERLINK("http://141.218.60.56/~jnz1568/getInfo.php?workbook=20_05.xlsx&amp;sheet=U0&amp;row=8945&amp;col=6&amp;number=3.1&amp;sourceID=14","3.1")</f>
        <v>3.1</v>
      </c>
      <c r="G8945" s="4" t="str">
        <f>HYPERLINK("http://141.218.60.56/~jnz1568/getInfo.php?workbook=20_05.xlsx&amp;sheet=U0&amp;row=8945&amp;col=7&amp;number=4.92e-05&amp;sourceID=14","4.92e-05")</f>
        <v>4.92e-05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HYPERLINK("http://141.218.60.56/~jnz1568/getInfo.php?workbook=20_05.xlsx&amp;sheet=U0&amp;row=8946&amp;col=6&amp;number=3.2&amp;sourceID=14","3.2")</f>
        <v>3.2</v>
      </c>
      <c r="G8946" s="4" t="str">
        <f>HYPERLINK("http://141.218.60.56/~jnz1568/getInfo.php?workbook=20_05.xlsx&amp;sheet=U0&amp;row=8946&amp;col=7&amp;number=4.92e-05&amp;sourceID=14","4.92e-05")</f>
        <v>4.92e-05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HYPERLINK("http://141.218.60.56/~jnz1568/getInfo.php?workbook=20_05.xlsx&amp;sheet=U0&amp;row=8947&amp;col=6&amp;number=3.3&amp;sourceID=14","3.3")</f>
        <v>3.3</v>
      </c>
      <c r="G8947" s="4" t="str">
        <f>HYPERLINK("http://141.218.60.56/~jnz1568/getInfo.php?workbook=20_05.xlsx&amp;sheet=U0&amp;row=8947&amp;col=7&amp;number=4.92e-05&amp;sourceID=14","4.92e-05")</f>
        <v>4.92e-05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HYPERLINK("http://141.218.60.56/~jnz1568/getInfo.php?workbook=20_05.xlsx&amp;sheet=U0&amp;row=8948&amp;col=6&amp;number=3.4&amp;sourceID=14","3.4")</f>
        <v>3.4</v>
      </c>
      <c r="G8948" s="4" t="str">
        <f>HYPERLINK("http://141.218.60.56/~jnz1568/getInfo.php?workbook=20_05.xlsx&amp;sheet=U0&amp;row=8948&amp;col=7&amp;number=4.92e-05&amp;sourceID=14","4.92e-05")</f>
        <v>4.92e-05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HYPERLINK("http://141.218.60.56/~jnz1568/getInfo.php?workbook=20_05.xlsx&amp;sheet=U0&amp;row=8949&amp;col=6&amp;number=3.5&amp;sourceID=14","3.5")</f>
        <v>3.5</v>
      </c>
      <c r="G8949" s="4" t="str">
        <f>HYPERLINK("http://141.218.60.56/~jnz1568/getInfo.php?workbook=20_05.xlsx&amp;sheet=U0&amp;row=8949&amp;col=7&amp;number=4.92e-05&amp;sourceID=14","4.92e-05")</f>
        <v>4.92e-05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HYPERLINK("http://141.218.60.56/~jnz1568/getInfo.php?workbook=20_05.xlsx&amp;sheet=U0&amp;row=8950&amp;col=6&amp;number=3.6&amp;sourceID=14","3.6")</f>
        <v>3.6</v>
      </c>
      <c r="G8950" s="4" t="str">
        <f>HYPERLINK("http://141.218.60.56/~jnz1568/getInfo.php?workbook=20_05.xlsx&amp;sheet=U0&amp;row=8950&amp;col=7&amp;number=4.92e-05&amp;sourceID=14","4.92e-05")</f>
        <v>4.92e-05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HYPERLINK("http://141.218.60.56/~jnz1568/getInfo.php?workbook=20_05.xlsx&amp;sheet=U0&amp;row=8951&amp;col=6&amp;number=3.7&amp;sourceID=14","3.7")</f>
        <v>3.7</v>
      </c>
      <c r="G8951" s="4" t="str">
        <f>HYPERLINK("http://141.218.60.56/~jnz1568/getInfo.php?workbook=20_05.xlsx&amp;sheet=U0&amp;row=8951&amp;col=7&amp;number=4.92e-05&amp;sourceID=14","4.92e-05")</f>
        <v>4.92e-05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HYPERLINK("http://141.218.60.56/~jnz1568/getInfo.php?workbook=20_05.xlsx&amp;sheet=U0&amp;row=8952&amp;col=6&amp;number=3.8&amp;sourceID=14","3.8")</f>
        <v>3.8</v>
      </c>
      <c r="G8952" s="4" t="str">
        <f>HYPERLINK("http://141.218.60.56/~jnz1568/getInfo.php?workbook=20_05.xlsx&amp;sheet=U0&amp;row=8952&amp;col=7&amp;number=4.92e-05&amp;sourceID=14","4.92e-05")</f>
        <v>4.92e-05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HYPERLINK("http://141.218.60.56/~jnz1568/getInfo.php?workbook=20_05.xlsx&amp;sheet=U0&amp;row=8953&amp;col=6&amp;number=3.9&amp;sourceID=14","3.9")</f>
        <v>3.9</v>
      </c>
      <c r="G8953" s="4" t="str">
        <f>HYPERLINK("http://141.218.60.56/~jnz1568/getInfo.php?workbook=20_05.xlsx&amp;sheet=U0&amp;row=8953&amp;col=7&amp;number=4.92e-05&amp;sourceID=14","4.92e-05")</f>
        <v>4.92e-05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HYPERLINK("http://141.218.60.56/~jnz1568/getInfo.php?workbook=20_05.xlsx&amp;sheet=U0&amp;row=8954&amp;col=6&amp;number=4&amp;sourceID=14","4")</f>
        <v>4</v>
      </c>
      <c r="G8954" s="4" t="str">
        <f>HYPERLINK("http://141.218.60.56/~jnz1568/getInfo.php?workbook=20_05.xlsx&amp;sheet=U0&amp;row=8954&amp;col=7&amp;number=4.92e-05&amp;sourceID=14","4.92e-05")</f>
        <v>4.92e-05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HYPERLINK("http://141.218.60.56/~jnz1568/getInfo.php?workbook=20_05.xlsx&amp;sheet=U0&amp;row=8955&amp;col=6&amp;number=4.1&amp;sourceID=14","4.1")</f>
        <v>4.1</v>
      </c>
      <c r="G8955" s="4" t="str">
        <f>HYPERLINK("http://141.218.60.56/~jnz1568/getInfo.php?workbook=20_05.xlsx&amp;sheet=U0&amp;row=8955&amp;col=7&amp;number=4.91e-05&amp;sourceID=14","4.91e-05")</f>
        <v>4.91e-05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HYPERLINK("http://141.218.60.56/~jnz1568/getInfo.php?workbook=20_05.xlsx&amp;sheet=U0&amp;row=8956&amp;col=6&amp;number=4.2&amp;sourceID=14","4.2")</f>
        <v>4.2</v>
      </c>
      <c r="G8956" s="4" t="str">
        <f>HYPERLINK("http://141.218.60.56/~jnz1568/getInfo.php?workbook=20_05.xlsx&amp;sheet=U0&amp;row=8956&amp;col=7&amp;number=4.91e-05&amp;sourceID=14","4.91e-05")</f>
        <v>4.91e-05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HYPERLINK("http://141.218.60.56/~jnz1568/getInfo.php?workbook=20_05.xlsx&amp;sheet=U0&amp;row=8957&amp;col=6&amp;number=4.3&amp;sourceID=14","4.3")</f>
        <v>4.3</v>
      </c>
      <c r="G8957" s="4" t="str">
        <f>HYPERLINK("http://141.218.60.56/~jnz1568/getInfo.php?workbook=20_05.xlsx&amp;sheet=U0&amp;row=8957&amp;col=7&amp;number=4.91e-05&amp;sourceID=14","4.91e-05")</f>
        <v>4.91e-05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HYPERLINK("http://141.218.60.56/~jnz1568/getInfo.php?workbook=20_05.xlsx&amp;sheet=U0&amp;row=8958&amp;col=6&amp;number=4.4&amp;sourceID=14","4.4")</f>
        <v>4.4</v>
      </c>
      <c r="G8958" s="4" t="str">
        <f>HYPERLINK("http://141.218.60.56/~jnz1568/getInfo.php?workbook=20_05.xlsx&amp;sheet=U0&amp;row=8958&amp;col=7&amp;number=4.9e-05&amp;sourceID=14","4.9e-05")</f>
        <v>4.9e-05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HYPERLINK("http://141.218.60.56/~jnz1568/getInfo.php?workbook=20_05.xlsx&amp;sheet=U0&amp;row=8959&amp;col=6&amp;number=4.5&amp;sourceID=14","4.5")</f>
        <v>4.5</v>
      </c>
      <c r="G8959" s="4" t="str">
        <f>HYPERLINK("http://141.218.60.56/~jnz1568/getInfo.php?workbook=20_05.xlsx&amp;sheet=U0&amp;row=8959&amp;col=7&amp;number=4.89e-05&amp;sourceID=14","4.89e-05")</f>
        <v>4.89e-05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HYPERLINK("http://141.218.60.56/~jnz1568/getInfo.php?workbook=20_05.xlsx&amp;sheet=U0&amp;row=8960&amp;col=6&amp;number=4.6&amp;sourceID=14","4.6")</f>
        <v>4.6</v>
      </c>
      <c r="G8960" s="4" t="str">
        <f>HYPERLINK("http://141.218.60.56/~jnz1568/getInfo.php?workbook=20_05.xlsx&amp;sheet=U0&amp;row=8960&amp;col=7&amp;number=4.89e-05&amp;sourceID=14","4.89e-05")</f>
        <v>4.89e-05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HYPERLINK("http://141.218.60.56/~jnz1568/getInfo.php?workbook=20_05.xlsx&amp;sheet=U0&amp;row=8961&amp;col=6&amp;number=4.7&amp;sourceID=14","4.7")</f>
        <v>4.7</v>
      </c>
      <c r="G8961" s="4" t="str">
        <f>HYPERLINK("http://141.218.60.56/~jnz1568/getInfo.php?workbook=20_05.xlsx&amp;sheet=U0&amp;row=8961&amp;col=7&amp;number=4.88e-05&amp;sourceID=14","4.88e-05")</f>
        <v>4.88e-05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HYPERLINK("http://141.218.60.56/~jnz1568/getInfo.php?workbook=20_05.xlsx&amp;sheet=U0&amp;row=8962&amp;col=6&amp;number=4.8&amp;sourceID=14","4.8")</f>
        <v>4.8</v>
      </c>
      <c r="G8962" s="4" t="str">
        <f>HYPERLINK("http://141.218.60.56/~jnz1568/getInfo.php?workbook=20_05.xlsx&amp;sheet=U0&amp;row=8962&amp;col=7&amp;number=4.86e-05&amp;sourceID=14","4.86e-05")</f>
        <v>4.86e-05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HYPERLINK("http://141.218.60.56/~jnz1568/getInfo.php?workbook=20_05.xlsx&amp;sheet=U0&amp;row=8963&amp;col=6&amp;number=4.9&amp;sourceID=14","4.9")</f>
        <v>4.9</v>
      </c>
      <c r="G8963" s="4" t="str">
        <f>HYPERLINK("http://141.218.60.56/~jnz1568/getInfo.php?workbook=20_05.xlsx&amp;sheet=U0&amp;row=8963&amp;col=7&amp;number=4.85e-05&amp;sourceID=14","4.85e-05")</f>
        <v>4.85e-05</v>
      </c>
    </row>
    <row r="8964" spans="1:7">
      <c r="A8964" s="3">
        <v>20</v>
      </c>
      <c r="B8964" s="3">
        <v>5</v>
      </c>
      <c r="C8964" s="3">
        <v>4</v>
      </c>
      <c r="D8964" s="3">
        <v>88</v>
      </c>
      <c r="E8964" s="3">
        <v>1</v>
      </c>
      <c r="F8964" s="4" t="str">
        <f>HYPERLINK("http://141.218.60.56/~jnz1568/getInfo.php?workbook=20_05.xlsx&amp;sheet=U0&amp;row=8964&amp;col=6&amp;number=3&amp;sourceID=14","3")</f>
        <v>3</v>
      </c>
      <c r="G8964" s="4" t="str">
        <f>HYPERLINK("http://141.218.60.56/~jnz1568/getInfo.php?workbook=20_05.xlsx&amp;sheet=U0&amp;row=8964&amp;col=7&amp;number=0.00142&amp;sourceID=14","0.00142")</f>
        <v>0.00142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HYPERLINK("http://141.218.60.56/~jnz1568/getInfo.php?workbook=20_05.xlsx&amp;sheet=U0&amp;row=8965&amp;col=6&amp;number=3.1&amp;sourceID=14","3.1")</f>
        <v>3.1</v>
      </c>
      <c r="G8965" s="4" t="str">
        <f>HYPERLINK("http://141.218.60.56/~jnz1568/getInfo.php?workbook=20_05.xlsx&amp;sheet=U0&amp;row=8965&amp;col=7&amp;number=0.00142&amp;sourceID=14","0.00142")</f>
        <v>0.00142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HYPERLINK("http://141.218.60.56/~jnz1568/getInfo.php?workbook=20_05.xlsx&amp;sheet=U0&amp;row=8966&amp;col=6&amp;number=3.2&amp;sourceID=14","3.2")</f>
        <v>3.2</v>
      </c>
      <c r="G8966" s="4" t="str">
        <f>HYPERLINK("http://141.218.60.56/~jnz1568/getInfo.php?workbook=20_05.xlsx&amp;sheet=U0&amp;row=8966&amp;col=7&amp;number=0.00142&amp;sourceID=14","0.00142")</f>
        <v>0.00142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HYPERLINK("http://141.218.60.56/~jnz1568/getInfo.php?workbook=20_05.xlsx&amp;sheet=U0&amp;row=8967&amp;col=6&amp;number=3.3&amp;sourceID=14","3.3")</f>
        <v>3.3</v>
      </c>
      <c r="G8967" s="4" t="str">
        <f>HYPERLINK("http://141.218.60.56/~jnz1568/getInfo.php?workbook=20_05.xlsx&amp;sheet=U0&amp;row=8967&amp;col=7&amp;number=0.00142&amp;sourceID=14","0.00142")</f>
        <v>0.00142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HYPERLINK("http://141.218.60.56/~jnz1568/getInfo.php?workbook=20_05.xlsx&amp;sheet=U0&amp;row=8968&amp;col=6&amp;number=3.4&amp;sourceID=14","3.4")</f>
        <v>3.4</v>
      </c>
      <c r="G8968" s="4" t="str">
        <f>HYPERLINK("http://141.218.60.56/~jnz1568/getInfo.php?workbook=20_05.xlsx&amp;sheet=U0&amp;row=8968&amp;col=7&amp;number=0.00142&amp;sourceID=14","0.00142")</f>
        <v>0.00142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HYPERLINK("http://141.218.60.56/~jnz1568/getInfo.php?workbook=20_05.xlsx&amp;sheet=U0&amp;row=8969&amp;col=6&amp;number=3.5&amp;sourceID=14","3.5")</f>
        <v>3.5</v>
      </c>
      <c r="G8969" s="4" t="str">
        <f>HYPERLINK("http://141.218.60.56/~jnz1568/getInfo.php?workbook=20_05.xlsx&amp;sheet=U0&amp;row=8969&amp;col=7&amp;number=0.00142&amp;sourceID=14","0.00142")</f>
        <v>0.00142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HYPERLINK("http://141.218.60.56/~jnz1568/getInfo.php?workbook=20_05.xlsx&amp;sheet=U0&amp;row=8970&amp;col=6&amp;number=3.6&amp;sourceID=14","3.6")</f>
        <v>3.6</v>
      </c>
      <c r="G8970" s="4" t="str">
        <f>HYPERLINK("http://141.218.60.56/~jnz1568/getInfo.php?workbook=20_05.xlsx&amp;sheet=U0&amp;row=8970&amp;col=7&amp;number=0.00142&amp;sourceID=14","0.00142")</f>
        <v>0.00142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HYPERLINK("http://141.218.60.56/~jnz1568/getInfo.php?workbook=20_05.xlsx&amp;sheet=U0&amp;row=8971&amp;col=6&amp;number=3.7&amp;sourceID=14","3.7")</f>
        <v>3.7</v>
      </c>
      <c r="G8971" s="4" t="str">
        <f>HYPERLINK("http://141.218.60.56/~jnz1568/getInfo.php?workbook=20_05.xlsx&amp;sheet=U0&amp;row=8971&amp;col=7&amp;number=0.00142&amp;sourceID=14","0.00142")</f>
        <v>0.00142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HYPERLINK("http://141.218.60.56/~jnz1568/getInfo.php?workbook=20_05.xlsx&amp;sheet=U0&amp;row=8972&amp;col=6&amp;number=3.8&amp;sourceID=14","3.8")</f>
        <v>3.8</v>
      </c>
      <c r="G8972" s="4" t="str">
        <f>HYPERLINK("http://141.218.60.56/~jnz1568/getInfo.php?workbook=20_05.xlsx&amp;sheet=U0&amp;row=8972&amp;col=7&amp;number=0.00142&amp;sourceID=14","0.00142")</f>
        <v>0.00142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HYPERLINK("http://141.218.60.56/~jnz1568/getInfo.php?workbook=20_05.xlsx&amp;sheet=U0&amp;row=8973&amp;col=6&amp;number=3.9&amp;sourceID=14","3.9")</f>
        <v>3.9</v>
      </c>
      <c r="G8973" s="4" t="str">
        <f>HYPERLINK("http://141.218.60.56/~jnz1568/getInfo.php?workbook=20_05.xlsx&amp;sheet=U0&amp;row=8973&amp;col=7&amp;number=0.00142&amp;sourceID=14","0.00142")</f>
        <v>0.00142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HYPERLINK("http://141.218.60.56/~jnz1568/getInfo.php?workbook=20_05.xlsx&amp;sheet=U0&amp;row=8974&amp;col=6&amp;number=4&amp;sourceID=14","4")</f>
        <v>4</v>
      </c>
      <c r="G8974" s="4" t="str">
        <f>HYPERLINK("http://141.218.60.56/~jnz1568/getInfo.php?workbook=20_05.xlsx&amp;sheet=U0&amp;row=8974&amp;col=7&amp;number=0.00142&amp;sourceID=14","0.00142")</f>
        <v>0.00142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HYPERLINK("http://141.218.60.56/~jnz1568/getInfo.php?workbook=20_05.xlsx&amp;sheet=U0&amp;row=8975&amp;col=6&amp;number=4.1&amp;sourceID=14","4.1")</f>
        <v>4.1</v>
      </c>
      <c r="G8975" s="4" t="str">
        <f>HYPERLINK("http://141.218.60.56/~jnz1568/getInfo.php?workbook=20_05.xlsx&amp;sheet=U0&amp;row=8975&amp;col=7&amp;number=0.00143&amp;sourceID=14","0.00143")</f>
        <v>0.00143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HYPERLINK("http://141.218.60.56/~jnz1568/getInfo.php?workbook=20_05.xlsx&amp;sheet=U0&amp;row=8976&amp;col=6&amp;number=4.2&amp;sourceID=14","4.2")</f>
        <v>4.2</v>
      </c>
      <c r="G8976" s="4" t="str">
        <f>HYPERLINK("http://141.218.60.56/~jnz1568/getInfo.php?workbook=20_05.xlsx&amp;sheet=U0&amp;row=8976&amp;col=7&amp;number=0.00143&amp;sourceID=14","0.00143")</f>
        <v>0.00143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HYPERLINK("http://141.218.60.56/~jnz1568/getInfo.php?workbook=20_05.xlsx&amp;sheet=U0&amp;row=8977&amp;col=6&amp;number=4.3&amp;sourceID=14","4.3")</f>
        <v>4.3</v>
      </c>
      <c r="G8977" s="4" t="str">
        <f>HYPERLINK("http://141.218.60.56/~jnz1568/getInfo.php?workbook=20_05.xlsx&amp;sheet=U0&amp;row=8977&amp;col=7&amp;number=0.00143&amp;sourceID=14","0.00143")</f>
        <v>0.00143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HYPERLINK("http://141.218.60.56/~jnz1568/getInfo.php?workbook=20_05.xlsx&amp;sheet=U0&amp;row=8978&amp;col=6&amp;number=4.4&amp;sourceID=14","4.4")</f>
        <v>4.4</v>
      </c>
      <c r="G8978" s="4" t="str">
        <f>HYPERLINK("http://141.218.60.56/~jnz1568/getInfo.php?workbook=20_05.xlsx&amp;sheet=U0&amp;row=8978&amp;col=7&amp;number=0.00143&amp;sourceID=14","0.00143")</f>
        <v>0.00143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HYPERLINK("http://141.218.60.56/~jnz1568/getInfo.php?workbook=20_05.xlsx&amp;sheet=U0&amp;row=8979&amp;col=6&amp;number=4.5&amp;sourceID=14","4.5")</f>
        <v>4.5</v>
      </c>
      <c r="G8979" s="4" t="str">
        <f>HYPERLINK("http://141.218.60.56/~jnz1568/getInfo.php?workbook=20_05.xlsx&amp;sheet=U0&amp;row=8979&amp;col=7&amp;number=0.00143&amp;sourceID=14","0.00143")</f>
        <v>0.00143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HYPERLINK("http://141.218.60.56/~jnz1568/getInfo.php?workbook=20_05.xlsx&amp;sheet=U0&amp;row=8980&amp;col=6&amp;number=4.6&amp;sourceID=14","4.6")</f>
        <v>4.6</v>
      </c>
      <c r="G8980" s="4" t="str">
        <f>HYPERLINK("http://141.218.60.56/~jnz1568/getInfo.php?workbook=20_05.xlsx&amp;sheet=U0&amp;row=8980&amp;col=7&amp;number=0.00143&amp;sourceID=14","0.00143")</f>
        <v>0.00143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HYPERLINK("http://141.218.60.56/~jnz1568/getInfo.php?workbook=20_05.xlsx&amp;sheet=U0&amp;row=8981&amp;col=6&amp;number=4.7&amp;sourceID=14","4.7")</f>
        <v>4.7</v>
      </c>
      <c r="G8981" s="4" t="str">
        <f>HYPERLINK("http://141.218.60.56/~jnz1568/getInfo.php?workbook=20_05.xlsx&amp;sheet=U0&amp;row=8981&amp;col=7&amp;number=0.00143&amp;sourceID=14","0.00143")</f>
        <v>0.00143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HYPERLINK("http://141.218.60.56/~jnz1568/getInfo.php?workbook=20_05.xlsx&amp;sheet=U0&amp;row=8982&amp;col=6&amp;number=4.8&amp;sourceID=14","4.8")</f>
        <v>4.8</v>
      </c>
      <c r="G8982" s="4" t="str">
        <f>HYPERLINK("http://141.218.60.56/~jnz1568/getInfo.php?workbook=20_05.xlsx&amp;sheet=U0&amp;row=8982&amp;col=7&amp;number=0.00143&amp;sourceID=14","0.00143")</f>
        <v>0.00143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HYPERLINK("http://141.218.60.56/~jnz1568/getInfo.php?workbook=20_05.xlsx&amp;sheet=U0&amp;row=8983&amp;col=6&amp;number=4.9&amp;sourceID=14","4.9")</f>
        <v>4.9</v>
      </c>
      <c r="G8983" s="4" t="str">
        <f>HYPERLINK("http://141.218.60.56/~jnz1568/getInfo.php?workbook=20_05.xlsx&amp;sheet=U0&amp;row=8983&amp;col=7&amp;number=0.00143&amp;sourceID=14","0.00143")</f>
        <v>0.00143</v>
      </c>
    </row>
    <row r="8984" spans="1:7">
      <c r="A8984" s="3">
        <v>20</v>
      </c>
      <c r="B8984" s="3">
        <v>5</v>
      </c>
      <c r="C8984" s="3">
        <v>4</v>
      </c>
      <c r="D8984" s="3">
        <v>89</v>
      </c>
      <c r="E8984" s="3">
        <v>1</v>
      </c>
      <c r="F8984" s="4" t="str">
        <f>HYPERLINK("http://141.218.60.56/~jnz1568/getInfo.php?workbook=20_05.xlsx&amp;sheet=U0&amp;row=8984&amp;col=6&amp;number=3&amp;sourceID=14","3")</f>
        <v>3</v>
      </c>
      <c r="G8984" s="4" t="str">
        <f>HYPERLINK("http://141.218.60.56/~jnz1568/getInfo.php?workbook=20_05.xlsx&amp;sheet=U0&amp;row=8984&amp;col=7&amp;number=0.0014&amp;sourceID=14","0.0014")</f>
        <v>0.0014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HYPERLINK("http://141.218.60.56/~jnz1568/getInfo.php?workbook=20_05.xlsx&amp;sheet=U0&amp;row=8985&amp;col=6&amp;number=3.1&amp;sourceID=14","3.1")</f>
        <v>3.1</v>
      </c>
      <c r="G8985" s="4" t="str">
        <f>HYPERLINK("http://141.218.60.56/~jnz1568/getInfo.php?workbook=20_05.xlsx&amp;sheet=U0&amp;row=8985&amp;col=7&amp;number=0.0014&amp;sourceID=14","0.0014")</f>
        <v>0.0014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HYPERLINK("http://141.218.60.56/~jnz1568/getInfo.php?workbook=20_05.xlsx&amp;sheet=U0&amp;row=8986&amp;col=6&amp;number=3.2&amp;sourceID=14","3.2")</f>
        <v>3.2</v>
      </c>
      <c r="G8986" s="4" t="str">
        <f>HYPERLINK("http://141.218.60.56/~jnz1568/getInfo.php?workbook=20_05.xlsx&amp;sheet=U0&amp;row=8986&amp;col=7&amp;number=0.0014&amp;sourceID=14","0.0014")</f>
        <v>0.0014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HYPERLINK("http://141.218.60.56/~jnz1568/getInfo.php?workbook=20_05.xlsx&amp;sheet=U0&amp;row=8987&amp;col=6&amp;number=3.3&amp;sourceID=14","3.3")</f>
        <v>3.3</v>
      </c>
      <c r="G8987" s="4" t="str">
        <f>HYPERLINK("http://141.218.60.56/~jnz1568/getInfo.php?workbook=20_05.xlsx&amp;sheet=U0&amp;row=8987&amp;col=7&amp;number=0.0014&amp;sourceID=14","0.0014")</f>
        <v>0.0014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HYPERLINK("http://141.218.60.56/~jnz1568/getInfo.php?workbook=20_05.xlsx&amp;sheet=U0&amp;row=8988&amp;col=6&amp;number=3.4&amp;sourceID=14","3.4")</f>
        <v>3.4</v>
      </c>
      <c r="G8988" s="4" t="str">
        <f>HYPERLINK("http://141.218.60.56/~jnz1568/getInfo.php?workbook=20_05.xlsx&amp;sheet=U0&amp;row=8988&amp;col=7&amp;number=0.0014&amp;sourceID=14","0.0014")</f>
        <v>0.0014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HYPERLINK("http://141.218.60.56/~jnz1568/getInfo.php?workbook=20_05.xlsx&amp;sheet=U0&amp;row=8989&amp;col=6&amp;number=3.5&amp;sourceID=14","3.5")</f>
        <v>3.5</v>
      </c>
      <c r="G8989" s="4" t="str">
        <f>HYPERLINK("http://141.218.60.56/~jnz1568/getInfo.php?workbook=20_05.xlsx&amp;sheet=U0&amp;row=8989&amp;col=7&amp;number=0.0014&amp;sourceID=14","0.0014")</f>
        <v>0.0014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HYPERLINK("http://141.218.60.56/~jnz1568/getInfo.php?workbook=20_05.xlsx&amp;sheet=U0&amp;row=8990&amp;col=6&amp;number=3.6&amp;sourceID=14","3.6")</f>
        <v>3.6</v>
      </c>
      <c r="G8990" s="4" t="str">
        <f>HYPERLINK("http://141.218.60.56/~jnz1568/getInfo.php?workbook=20_05.xlsx&amp;sheet=U0&amp;row=8990&amp;col=7&amp;number=0.0014&amp;sourceID=14","0.0014")</f>
        <v>0.0014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HYPERLINK("http://141.218.60.56/~jnz1568/getInfo.php?workbook=20_05.xlsx&amp;sheet=U0&amp;row=8991&amp;col=6&amp;number=3.7&amp;sourceID=14","3.7")</f>
        <v>3.7</v>
      </c>
      <c r="G8991" s="4" t="str">
        <f>HYPERLINK("http://141.218.60.56/~jnz1568/getInfo.php?workbook=20_05.xlsx&amp;sheet=U0&amp;row=8991&amp;col=7&amp;number=0.0014&amp;sourceID=14","0.0014")</f>
        <v>0.0014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HYPERLINK("http://141.218.60.56/~jnz1568/getInfo.php?workbook=20_05.xlsx&amp;sheet=U0&amp;row=8992&amp;col=6&amp;number=3.8&amp;sourceID=14","3.8")</f>
        <v>3.8</v>
      </c>
      <c r="G8992" s="4" t="str">
        <f>HYPERLINK("http://141.218.60.56/~jnz1568/getInfo.php?workbook=20_05.xlsx&amp;sheet=U0&amp;row=8992&amp;col=7&amp;number=0.0014&amp;sourceID=14","0.0014")</f>
        <v>0.0014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HYPERLINK("http://141.218.60.56/~jnz1568/getInfo.php?workbook=20_05.xlsx&amp;sheet=U0&amp;row=8993&amp;col=6&amp;number=3.9&amp;sourceID=14","3.9")</f>
        <v>3.9</v>
      </c>
      <c r="G8993" s="4" t="str">
        <f>HYPERLINK("http://141.218.60.56/~jnz1568/getInfo.php?workbook=20_05.xlsx&amp;sheet=U0&amp;row=8993&amp;col=7&amp;number=0.0014&amp;sourceID=14","0.0014")</f>
        <v>0.0014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HYPERLINK("http://141.218.60.56/~jnz1568/getInfo.php?workbook=20_05.xlsx&amp;sheet=U0&amp;row=8994&amp;col=6&amp;number=4&amp;sourceID=14","4")</f>
        <v>4</v>
      </c>
      <c r="G8994" s="4" t="str">
        <f>HYPERLINK("http://141.218.60.56/~jnz1568/getInfo.php?workbook=20_05.xlsx&amp;sheet=U0&amp;row=8994&amp;col=7&amp;number=0.0014&amp;sourceID=14","0.0014")</f>
        <v>0.0014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HYPERLINK("http://141.218.60.56/~jnz1568/getInfo.php?workbook=20_05.xlsx&amp;sheet=U0&amp;row=8995&amp;col=6&amp;number=4.1&amp;sourceID=14","4.1")</f>
        <v>4.1</v>
      </c>
      <c r="G8995" s="4" t="str">
        <f>HYPERLINK("http://141.218.60.56/~jnz1568/getInfo.php?workbook=20_05.xlsx&amp;sheet=U0&amp;row=8995&amp;col=7&amp;number=0.0014&amp;sourceID=14","0.0014")</f>
        <v>0.0014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HYPERLINK("http://141.218.60.56/~jnz1568/getInfo.php?workbook=20_05.xlsx&amp;sheet=U0&amp;row=8996&amp;col=6&amp;number=4.2&amp;sourceID=14","4.2")</f>
        <v>4.2</v>
      </c>
      <c r="G8996" s="4" t="str">
        <f>HYPERLINK("http://141.218.60.56/~jnz1568/getInfo.php?workbook=20_05.xlsx&amp;sheet=U0&amp;row=8996&amp;col=7&amp;number=0.0014&amp;sourceID=14","0.0014")</f>
        <v>0.0014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HYPERLINK("http://141.218.60.56/~jnz1568/getInfo.php?workbook=20_05.xlsx&amp;sheet=U0&amp;row=8997&amp;col=6&amp;number=4.3&amp;sourceID=14","4.3")</f>
        <v>4.3</v>
      </c>
      <c r="G8997" s="4" t="str">
        <f>HYPERLINK("http://141.218.60.56/~jnz1568/getInfo.php?workbook=20_05.xlsx&amp;sheet=U0&amp;row=8997&amp;col=7&amp;number=0.00139&amp;sourceID=14","0.00139")</f>
        <v>0.00139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HYPERLINK("http://141.218.60.56/~jnz1568/getInfo.php?workbook=20_05.xlsx&amp;sheet=U0&amp;row=8998&amp;col=6&amp;number=4.4&amp;sourceID=14","4.4")</f>
        <v>4.4</v>
      </c>
      <c r="G8998" s="4" t="str">
        <f>HYPERLINK("http://141.218.60.56/~jnz1568/getInfo.php?workbook=20_05.xlsx&amp;sheet=U0&amp;row=8998&amp;col=7&amp;number=0.00139&amp;sourceID=14","0.00139")</f>
        <v>0.00139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HYPERLINK("http://141.218.60.56/~jnz1568/getInfo.php?workbook=20_05.xlsx&amp;sheet=U0&amp;row=8999&amp;col=6&amp;number=4.5&amp;sourceID=14","4.5")</f>
        <v>4.5</v>
      </c>
      <c r="G8999" s="4" t="str">
        <f>HYPERLINK("http://141.218.60.56/~jnz1568/getInfo.php?workbook=20_05.xlsx&amp;sheet=U0&amp;row=8999&amp;col=7&amp;number=0.00139&amp;sourceID=14","0.00139")</f>
        <v>0.00139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HYPERLINK("http://141.218.60.56/~jnz1568/getInfo.php?workbook=20_05.xlsx&amp;sheet=U0&amp;row=9000&amp;col=6&amp;number=4.6&amp;sourceID=14","4.6")</f>
        <v>4.6</v>
      </c>
      <c r="G9000" s="4" t="str">
        <f>HYPERLINK("http://141.218.60.56/~jnz1568/getInfo.php?workbook=20_05.xlsx&amp;sheet=U0&amp;row=9000&amp;col=7&amp;number=0.00139&amp;sourceID=14","0.00139")</f>
        <v>0.00139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HYPERLINK("http://141.218.60.56/~jnz1568/getInfo.php?workbook=20_05.xlsx&amp;sheet=U0&amp;row=9001&amp;col=6&amp;number=4.7&amp;sourceID=14","4.7")</f>
        <v>4.7</v>
      </c>
      <c r="G9001" s="4" t="str">
        <f>HYPERLINK("http://141.218.60.56/~jnz1568/getInfo.php?workbook=20_05.xlsx&amp;sheet=U0&amp;row=9001&amp;col=7&amp;number=0.00139&amp;sourceID=14","0.00139")</f>
        <v>0.00139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HYPERLINK("http://141.218.60.56/~jnz1568/getInfo.php?workbook=20_05.xlsx&amp;sheet=U0&amp;row=9002&amp;col=6&amp;number=4.8&amp;sourceID=14","4.8")</f>
        <v>4.8</v>
      </c>
      <c r="G9002" s="4" t="str">
        <f>HYPERLINK("http://141.218.60.56/~jnz1568/getInfo.php?workbook=20_05.xlsx&amp;sheet=U0&amp;row=9002&amp;col=7&amp;number=0.00138&amp;sourceID=14","0.00138")</f>
        <v>0.00138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HYPERLINK("http://141.218.60.56/~jnz1568/getInfo.php?workbook=20_05.xlsx&amp;sheet=U0&amp;row=9003&amp;col=6&amp;number=4.9&amp;sourceID=14","4.9")</f>
        <v>4.9</v>
      </c>
      <c r="G9003" s="4" t="str">
        <f>HYPERLINK("http://141.218.60.56/~jnz1568/getInfo.php?workbook=20_05.xlsx&amp;sheet=U0&amp;row=9003&amp;col=7&amp;number=0.00138&amp;sourceID=14","0.00138")</f>
        <v>0.00138</v>
      </c>
    </row>
    <row r="9004" spans="1:7">
      <c r="A9004" s="3">
        <v>20</v>
      </c>
      <c r="B9004" s="3">
        <v>5</v>
      </c>
      <c r="C9004" s="3">
        <v>4</v>
      </c>
      <c r="D9004" s="3">
        <v>90</v>
      </c>
      <c r="E9004" s="3">
        <v>1</v>
      </c>
      <c r="F9004" s="4" t="str">
        <f>HYPERLINK("http://141.218.60.56/~jnz1568/getInfo.php?workbook=20_05.xlsx&amp;sheet=U0&amp;row=9004&amp;col=6&amp;number=3&amp;sourceID=14","3")</f>
        <v>3</v>
      </c>
      <c r="G9004" s="4" t="str">
        <f>HYPERLINK("http://141.218.60.56/~jnz1568/getInfo.php?workbook=20_05.xlsx&amp;sheet=U0&amp;row=9004&amp;col=7&amp;number=0.00904&amp;sourceID=14","0.00904")</f>
        <v>0.00904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HYPERLINK("http://141.218.60.56/~jnz1568/getInfo.php?workbook=20_05.xlsx&amp;sheet=U0&amp;row=9005&amp;col=6&amp;number=3.1&amp;sourceID=14","3.1")</f>
        <v>3.1</v>
      </c>
      <c r="G9005" s="4" t="str">
        <f>HYPERLINK("http://141.218.60.56/~jnz1568/getInfo.php?workbook=20_05.xlsx&amp;sheet=U0&amp;row=9005&amp;col=7&amp;number=0.00904&amp;sourceID=14","0.00904")</f>
        <v>0.00904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HYPERLINK("http://141.218.60.56/~jnz1568/getInfo.php?workbook=20_05.xlsx&amp;sheet=U0&amp;row=9006&amp;col=6&amp;number=3.2&amp;sourceID=14","3.2")</f>
        <v>3.2</v>
      </c>
      <c r="G9006" s="4" t="str">
        <f>HYPERLINK("http://141.218.60.56/~jnz1568/getInfo.php?workbook=20_05.xlsx&amp;sheet=U0&amp;row=9006&amp;col=7&amp;number=0.00904&amp;sourceID=14","0.00904")</f>
        <v>0.00904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HYPERLINK("http://141.218.60.56/~jnz1568/getInfo.php?workbook=20_05.xlsx&amp;sheet=U0&amp;row=9007&amp;col=6&amp;number=3.3&amp;sourceID=14","3.3")</f>
        <v>3.3</v>
      </c>
      <c r="G9007" s="4" t="str">
        <f>HYPERLINK("http://141.218.60.56/~jnz1568/getInfo.php?workbook=20_05.xlsx&amp;sheet=U0&amp;row=9007&amp;col=7&amp;number=0.00904&amp;sourceID=14","0.00904")</f>
        <v>0.00904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HYPERLINK("http://141.218.60.56/~jnz1568/getInfo.php?workbook=20_05.xlsx&amp;sheet=U0&amp;row=9008&amp;col=6&amp;number=3.4&amp;sourceID=14","3.4")</f>
        <v>3.4</v>
      </c>
      <c r="G9008" s="4" t="str">
        <f>HYPERLINK("http://141.218.60.56/~jnz1568/getInfo.php?workbook=20_05.xlsx&amp;sheet=U0&amp;row=9008&amp;col=7&amp;number=0.00904&amp;sourceID=14","0.00904")</f>
        <v>0.00904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HYPERLINK("http://141.218.60.56/~jnz1568/getInfo.php?workbook=20_05.xlsx&amp;sheet=U0&amp;row=9009&amp;col=6&amp;number=3.5&amp;sourceID=14","3.5")</f>
        <v>3.5</v>
      </c>
      <c r="G9009" s="4" t="str">
        <f>HYPERLINK("http://141.218.60.56/~jnz1568/getInfo.php?workbook=20_05.xlsx&amp;sheet=U0&amp;row=9009&amp;col=7&amp;number=0.00904&amp;sourceID=14","0.00904")</f>
        <v>0.00904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HYPERLINK("http://141.218.60.56/~jnz1568/getInfo.php?workbook=20_05.xlsx&amp;sheet=U0&amp;row=9010&amp;col=6&amp;number=3.6&amp;sourceID=14","3.6")</f>
        <v>3.6</v>
      </c>
      <c r="G9010" s="4" t="str">
        <f>HYPERLINK("http://141.218.60.56/~jnz1568/getInfo.php?workbook=20_05.xlsx&amp;sheet=U0&amp;row=9010&amp;col=7&amp;number=0.00903&amp;sourceID=14","0.00903")</f>
        <v>0.00903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HYPERLINK("http://141.218.60.56/~jnz1568/getInfo.php?workbook=20_05.xlsx&amp;sheet=U0&amp;row=9011&amp;col=6&amp;number=3.7&amp;sourceID=14","3.7")</f>
        <v>3.7</v>
      </c>
      <c r="G9011" s="4" t="str">
        <f>HYPERLINK("http://141.218.60.56/~jnz1568/getInfo.php?workbook=20_05.xlsx&amp;sheet=U0&amp;row=9011&amp;col=7&amp;number=0.00903&amp;sourceID=14","0.00903")</f>
        <v>0.00903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HYPERLINK("http://141.218.60.56/~jnz1568/getInfo.php?workbook=20_05.xlsx&amp;sheet=U0&amp;row=9012&amp;col=6&amp;number=3.8&amp;sourceID=14","3.8")</f>
        <v>3.8</v>
      </c>
      <c r="G9012" s="4" t="str">
        <f>HYPERLINK("http://141.218.60.56/~jnz1568/getInfo.php?workbook=20_05.xlsx&amp;sheet=U0&amp;row=9012&amp;col=7&amp;number=0.00903&amp;sourceID=14","0.00903")</f>
        <v>0.00903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HYPERLINK("http://141.218.60.56/~jnz1568/getInfo.php?workbook=20_05.xlsx&amp;sheet=U0&amp;row=9013&amp;col=6&amp;number=3.9&amp;sourceID=14","3.9")</f>
        <v>3.9</v>
      </c>
      <c r="G9013" s="4" t="str">
        <f>HYPERLINK("http://141.218.60.56/~jnz1568/getInfo.php?workbook=20_05.xlsx&amp;sheet=U0&amp;row=9013&amp;col=7&amp;number=0.00903&amp;sourceID=14","0.00903")</f>
        <v>0.00903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HYPERLINK("http://141.218.60.56/~jnz1568/getInfo.php?workbook=20_05.xlsx&amp;sheet=U0&amp;row=9014&amp;col=6&amp;number=4&amp;sourceID=14","4")</f>
        <v>4</v>
      </c>
      <c r="G9014" s="4" t="str">
        <f>HYPERLINK("http://141.218.60.56/~jnz1568/getInfo.php?workbook=20_05.xlsx&amp;sheet=U0&amp;row=9014&amp;col=7&amp;number=0.00903&amp;sourceID=14","0.00903")</f>
        <v>0.00903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HYPERLINK("http://141.218.60.56/~jnz1568/getInfo.php?workbook=20_05.xlsx&amp;sheet=U0&amp;row=9015&amp;col=6&amp;number=4.1&amp;sourceID=14","4.1")</f>
        <v>4.1</v>
      </c>
      <c r="G9015" s="4" t="str">
        <f>HYPERLINK("http://141.218.60.56/~jnz1568/getInfo.php?workbook=20_05.xlsx&amp;sheet=U0&amp;row=9015&amp;col=7&amp;number=0.00903&amp;sourceID=14","0.00903")</f>
        <v>0.00903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HYPERLINK("http://141.218.60.56/~jnz1568/getInfo.php?workbook=20_05.xlsx&amp;sheet=U0&amp;row=9016&amp;col=6&amp;number=4.2&amp;sourceID=14","4.2")</f>
        <v>4.2</v>
      </c>
      <c r="G9016" s="4" t="str">
        <f>HYPERLINK("http://141.218.60.56/~jnz1568/getInfo.php?workbook=20_05.xlsx&amp;sheet=U0&amp;row=9016&amp;col=7&amp;number=0.00902&amp;sourceID=14","0.00902")</f>
        <v>0.00902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HYPERLINK("http://141.218.60.56/~jnz1568/getInfo.php?workbook=20_05.xlsx&amp;sheet=U0&amp;row=9017&amp;col=6&amp;number=4.3&amp;sourceID=14","4.3")</f>
        <v>4.3</v>
      </c>
      <c r="G9017" s="4" t="str">
        <f>HYPERLINK("http://141.218.60.56/~jnz1568/getInfo.php?workbook=20_05.xlsx&amp;sheet=U0&amp;row=9017&amp;col=7&amp;number=0.00902&amp;sourceID=14","0.00902")</f>
        <v>0.00902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HYPERLINK("http://141.218.60.56/~jnz1568/getInfo.php?workbook=20_05.xlsx&amp;sheet=U0&amp;row=9018&amp;col=6&amp;number=4.4&amp;sourceID=14","4.4")</f>
        <v>4.4</v>
      </c>
      <c r="G9018" s="4" t="str">
        <f>HYPERLINK("http://141.218.60.56/~jnz1568/getInfo.php?workbook=20_05.xlsx&amp;sheet=U0&amp;row=9018&amp;col=7&amp;number=0.00902&amp;sourceID=14","0.00902")</f>
        <v>0.00902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HYPERLINK("http://141.218.60.56/~jnz1568/getInfo.php?workbook=20_05.xlsx&amp;sheet=U0&amp;row=9019&amp;col=6&amp;number=4.5&amp;sourceID=14","4.5")</f>
        <v>4.5</v>
      </c>
      <c r="G9019" s="4" t="str">
        <f>HYPERLINK("http://141.218.60.56/~jnz1568/getInfo.php?workbook=20_05.xlsx&amp;sheet=U0&amp;row=9019&amp;col=7&amp;number=0.00901&amp;sourceID=14","0.00901")</f>
        <v>0.00901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HYPERLINK("http://141.218.60.56/~jnz1568/getInfo.php?workbook=20_05.xlsx&amp;sheet=U0&amp;row=9020&amp;col=6&amp;number=4.6&amp;sourceID=14","4.6")</f>
        <v>4.6</v>
      </c>
      <c r="G9020" s="4" t="str">
        <f>HYPERLINK("http://141.218.60.56/~jnz1568/getInfo.php?workbook=20_05.xlsx&amp;sheet=U0&amp;row=9020&amp;col=7&amp;number=0.009&amp;sourceID=14","0.009")</f>
        <v>0.009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HYPERLINK("http://141.218.60.56/~jnz1568/getInfo.php?workbook=20_05.xlsx&amp;sheet=U0&amp;row=9021&amp;col=6&amp;number=4.7&amp;sourceID=14","4.7")</f>
        <v>4.7</v>
      </c>
      <c r="G9021" s="4" t="str">
        <f>HYPERLINK("http://141.218.60.56/~jnz1568/getInfo.php?workbook=20_05.xlsx&amp;sheet=U0&amp;row=9021&amp;col=7&amp;number=0.009&amp;sourceID=14","0.009")</f>
        <v>0.009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HYPERLINK("http://141.218.60.56/~jnz1568/getInfo.php?workbook=20_05.xlsx&amp;sheet=U0&amp;row=9022&amp;col=6&amp;number=4.8&amp;sourceID=14","4.8")</f>
        <v>4.8</v>
      </c>
      <c r="G9022" s="4" t="str">
        <f>HYPERLINK("http://141.218.60.56/~jnz1568/getInfo.php?workbook=20_05.xlsx&amp;sheet=U0&amp;row=9022&amp;col=7&amp;number=0.00898&amp;sourceID=14","0.00898")</f>
        <v>0.00898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HYPERLINK("http://141.218.60.56/~jnz1568/getInfo.php?workbook=20_05.xlsx&amp;sheet=U0&amp;row=9023&amp;col=6&amp;number=4.9&amp;sourceID=14","4.9")</f>
        <v>4.9</v>
      </c>
      <c r="G9023" s="4" t="str">
        <f>HYPERLINK("http://141.218.60.56/~jnz1568/getInfo.php?workbook=20_05.xlsx&amp;sheet=U0&amp;row=9023&amp;col=7&amp;number=0.00897&amp;sourceID=14","0.00897")</f>
        <v>0.00897</v>
      </c>
    </row>
    <row r="9024" spans="1:7">
      <c r="A9024" s="3">
        <v>20</v>
      </c>
      <c r="B9024" s="3">
        <v>5</v>
      </c>
      <c r="C9024" s="3">
        <v>4</v>
      </c>
      <c r="D9024" s="3">
        <v>91</v>
      </c>
      <c r="E9024" s="3">
        <v>1</v>
      </c>
      <c r="F9024" s="4" t="str">
        <f>HYPERLINK("http://141.218.60.56/~jnz1568/getInfo.php?workbook=20_05.xlsx&amp;sheet=U0&amp;row=9024&amp;col=6&amp;number=3&amp;sourceID=14","3")</f>
        <v>3</v>
      </c>
      <c r="G9024" s="4" t="str">
        <f>HYPERLINK("http://141.218.60.56/~jnz1568/getInfo.php?workbook=20_05.xlsx&amp;sheet=U0&amp;row=9024&amp;col=7&amp;number=0.0349&amp;sourceID=14","0.0349")</f>
        <v>0.0349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HYPERLINK("http://141.218.60.56/~jnz1568/getInfo.php?workbook=20_05.xlsx&amp;sheet=U0&amp;row=9025&amp;col=6&amp;number=3.1&amp;sourceID=14","3.1")</f>
        <v>3.1</v>
      </c>
      <c r="G9025" s="4" t="str">
        <f>HYPERLINK("http://141.218.60.56/~jnz1568/getInfo.php?workbook=20_05.xlsx&amp;sheet=U0&amp;row=9025&amp;col=7&amp;number=0.0349&amp;sourceID=14","0.0349")</f>
        <v>0.0349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HYPERLINK("http://141.218.60.56/~jnz1568/getInfo.php?workbook=20_05.xlsx&amp;sheet=U0&amp;row=9026&amp;col=6&amp;number=3.2&amp;sourceID=14","3.2")</f>
        <v>3.2</v>
      </c>
      <c r="G9026" s="4" t="str">
        <f>HYPERLINK("http://141.218.60.56/~jnz1568/getInfo.php?workbook=20_05.xlsx&amp;sheet=U0&amp;row=9026&amp;col=7&amp;number=0.0349&amp;sourceID=14","0.0349")</f>
        <v>0.0349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HYPERLINK("http://141.218.60.56/~jnz1568/getInfo.php?workbook=20_05.xlsx&amp;sheet=U0&amp;row=9027&amp;col=6&amp;number=3.3&amp;sourceID=14","3.3")</f>
        <v>3.3</v>
      </c>
      <c r="G9027" s="4" t="str">
        <f>HYPERLINK("http://141.218.60.56/~jnz1568/getInfo.php?workbook=20_05.xlsx&amp;sheet=U0&amp;row=9027&amp;col=7&amp;number=0.0349&amp;sourceID=14","0.0349")</f>
        <v>0.0349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HYPERLINK("http://141.218.60.56/~jnz1568/getInfo.php?workbook=20_05.xlsx&amp;sheet=U0&amp;row=9028&amp;col=6&amp;number=3.4&amp;sourceID=14","3.4")</f>
        <v>3.4</v>
      </c>
      <c r="G9028" s="4" t="str">
        <f>HYPERLINK("http://141.218.60.56/~jnz1568/getInfo.php?workbook=20_05.xlsx&amp;sheet=U0&amp;row=9028&amp;col=7&amp;number=0.0349&amp;sourceID=14","0.0349")</f>
        <v>0.0349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HYPERLINK("http://141.218.60.56/~jnz1568/getInfo.php?workbook=20_05.xlsx&amp;sheet=U0&amp;row=9029&amp;col=6&amp;number=3.5&amp;sourceID=14","3.5")</f>
        <v>3.5</v>
      </c>
      <c r="G9029" s="4" t="str">
        <f>HYPERLINK("http://141.218.60.56/~jnz1568/getInfo.php?workbook=20_05.xlsx&amp;sheet=U0&amp;row=9029&amp;col=7&amp;number=0.0349&amp;sourceID=14","0.0349")</f>
        <v>0.0349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HYPERLINK("http://141.218.60.56/~jnz1568/getInfo.php?workbook=20_05.xlsx&amp;sheet=U0&amp;row=9030&amp;col=6&amp;number=3.6&amp;sourceID=14","3.6")</f>
        <v>3.6</v>
      </c>
      <c r="G9030" s="4" t="str">
        <f>HYPERLINK("http://141.218.60.56/~jnz1568/getInfo.php?workbook=20_05.xlsx&amp;sheet=U0&amp;row=9030&amp;col=7&amp;number=0.0349&amp;sourceID=14","0.0349")</f>
        <v>0.0349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HYPERLINK("http://141.218.60.56/~jnz1568/getInfo.php?workbook=20_05.xlsx&amp;sheet=U0&amp;row=9031&amp;col=6&amp;number=3.7&amp;sourceID=14","3.7")</f>
        <v>3.7</v>
      </c>
      <c r="G9031" s="4" t="str">
        <f>HYPERLINK("http://141.218.60.56/~jnz1568/getInfo.php?workbook=20_05.xlsx&amp;sheet=U0&amp;row=9031&amp;col=7&amp;number=0.0349&amp;sourceID=14","0.0349")</f>
        <v>0.0349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HYPERLINK("http://141.218.60.56/~jnz1568/getInfo.php?workbook=20_05.xlsx&amp;sheet=U0&amp;row=9032&amp;col=6&amp;number=3.8&amp;sourceID=14","3.8")</f>
        <v>3.8</v>
      </c>
      <c r="G9032" s="4" t="str">
        <f>HYPERLINK("http://141.218.60.56/~jnz1568/getInfo.php?workbook=20_05.xlsx&amp;sheet=U0&amp;row=9032&amp;col=7&amp;number=0.0349&amp;sourceID=14","0.0349")</f>
        <v>0.0349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HYPERLINK("http://141.218.60.56/~jnz1568/getInfo.php?workbook=20_05.xlsx&amp;sheet=U0&amp;row=9033&amp;col=6&amp;number=3.9&amp;sourceID=14","3.9")</f>
        <v>3.9</v>
      </c>
      <c r="G9033" s="4" t="str">
        <f>HYPERLINK("http://141.218.60.56/~jnz1568/getInfo.php?workbook=20_05.xlsx&amp;sheet=U0&amp;row=9033&amp;col=7&amp;number=0.0349&amp;sourceID=14","0.0349")</f>
        <v>0.0349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HYPERLINK("http://141.218.60.56/~jnz1568/getInfo.php?workbook=20_05.xlsx&amp;sheet=U0&amp;row=9034&amp;col=6&amp;number=4&amp;sourceID=14","4")</f>
        <v>4</v>
      </c>
      <c r="G9034" s="4" t="str">
        <f>HYPERLINK("http://141.218.60.56/~jnz1568/getInfo.php?workbook=20_05.xlsx&amp;sheet=U0&amp;row=9034&amp;col=7&amp;number=0.0349&amp;sourceID=14","0.0349")</f>
        <v>0.0349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HYPERLINK("http://141.218.60.56/~jnz1568/getInfo.php?workbook=20_05.xlsx&amp;sheet=U0&amp;row=9035&amp;col=6&amp;number=4.1&amp;sourceID=14","4.1")</f>
        <v>4.1</v>
      </c>
      <c r="G9035" s="4" t="str">
        <f>HYPERLINK("http://141.218.60.56/~jnz1568/getInfo.php?workbook=20_05.xlsx&amp;sheet=U0&amp;row=9035&amp;col=7&amp;number=0.0349&amp;sourceID=14","0.0349")</f>
        <v>0.0349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HYPERLINK("http://141.218.60.56/~jnz1568/getInfo.php?workbook=20_05.xlsx&amp;sheet=U0&amp;row=9036&amp;col=6&amp;number=4.2&amp;sourceID=14","4.2")</f>
        <v>4.2</v>
      </c>
      <c r="G9036" s="4" t="str">
        <f>HYPERLINK("http://141.218.60.56/~jnz1568/getInfo.php?workbook=20_05.xlsx&amp;sheet=U0&amp;row=9036&amp;col=7&amp;number=0.0349&amp;sourceID=14","0.0349")</f>
        <v>0.0349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HYPERLINK("http://141.218.60.56/~jnz1568/getInfo.php?workbook=20_05.xlsx&amp;sheet=U0&amp;row=9037&amp;col=6&amp;number=4.3&amp;sourceID=14","4.3")</f>
        <v>4.3</v>
      </c>
      <c r="G9037" s="4" t="str">
        <f>HYPERLINK("http://141.218.60.56/~jnz1568/getInfo.php?workbook=20_05.xlsx&amp;sheet=U0&amp;row=9037&amp;col=7&amp;number=0.035&amp;sourceID=14","0.035")</f>
        <v>0.035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HYPERLINK("http://141.218.60.56/~jnz1568/getInfo.php?workbook=20_05.xlsx&amp;sheet=U0&amp;row=9038&amp;col=6&amp;number=4.4&amp;sourceID=14","4.4")</f>
        <v>4.4</v>
      </c>
      <c r="G9038" s="4" t="str">
        <f>HYPERLINK("http://141.218.60.56/~jnz1568/getInfo.php?workbook=20_05.xlsx&amp;sheet=U0&amp;row=9038&amp;col=7&amp;number=0.035&amp;sourceID=14","0.035")</f>
        <v>0.035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HYPERLINK("http://141.218.60.56/~jnz1568/getInfo.php?workbook=20_05.xlsx&amp;sheet=U0&amp;row=9039&amp;col=6&amp;number=4.5&amp;sourceID=14","4.5")</f>
        <v>4.5</v>
      </c>
      <c r="G9039" s="4" t="str">
        <f>HYPERLINK("http://141.218.60.56/~jnz1568/getInfo.php?workbook=20_05.xlsx&amp;sheet=U0&amp;row=9039&amp;col=7&amp;number=0.035&amp;sourceID=14","0.035")</f>
        <v>0.035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HYPERLINK("http://141.218.60.56/~jnz1568/getInfo.php?workbook=20_05.xlsx&amp;sheet=U0&amp;row=9040&amp;col=6&amp;number=4.6&amp;sourceID=14","4.6")</f>
        <v>4.6</v>
      </c>
      <c r="G9040" s="4" t="str">
        <f>HYPERLINK("http://141.218.60.56/~jnz1568/getInfo.php?workbook=20_05.xlsx&amp;sheet=U0&amp;row=9040&amp;col=7&amp;number=0.0351&amp;sourceID=14","0.0351")</f>
        <v>0.0351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HYPERLINK("http://141.218.60.56/~jnz1568/getInfo.php?workbook=20_05.xlsx&amp;sheet=U0&amp;row=9041&amp;col=6&amp;number=4.7&amp;sourceID=14","4.7")</f>
        <v>4.7</v>
      </c>
      <c r="G9041" s="4" t="str">
        <f>HYPERLINK("http://141.218.60.56/~jnz1568/getInfo.php?workbook=20_05.xlsx&amp;sheet=U0&amp;row=9041&amp;col=7&amp;number=0.0352&amp;sourceID=14","0.0352")</f>
        <v>0.0352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HYPERLINK("http://141.218.60.56/~jnz1568/getInfo.php?workbook=20_05.xlsx&amp;sheet=U0&amp;row=9042&amp;col=6&amp;number=4.8&amp;sourceID=14","4.8")</f>
        <v>4.8</v>
      </c>
      <c r="G9042" s="4" t="str">
        <f>HYPERLINK("http://141.218.60.56/~jnz1568/getInfo.php?workbook=20_05.xlsx&amp;sheet=U0&amp;row=9042&amp;col=7&amp;number=0.0352&amp;sourceID=14","0.0352")</f>
        <v>0.0352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HYPERLINK("http://141.218.60.56/~jnz1568/getInfo.php?workbook=20_05.xlsx&amp;sheet=U0&amp;row=9043&amp;col=6&amp;number=4.9&amp;sourceID=14","4.9")</f>
        <v>4.9</v>
      </c>
      <c r="G9043" s="4" t="str">
        <f>HYPERLINK("http://141.218.60.56/~jnz1568/getInfo.php?workbook=20_05.xlsx&amp;sheet=U0&amp;row=9043&amp;col=7&amp;number=0.0353&amp;sourceID=14","0.0353")</f>
        <v>0.0353</v>
      </c>
    </row>
    <row r="9044" spans="1:7">
      <c r="A9044" s="3">
        <v>20</v>
      </c>
      <c r="B9044" s="3">
        <v>5</v>
      </c>
      <c r="C9044" s="3">
        <v>4</v>
      </c>
      <c r="D9044" s="3">
        <v>92</v>
      </c>
      <c r="E9044" s="3">
        <v>1</v>
      </c>
      <c r="F9044" s="4" t="str">
        <f>HYPERLINK("http://141.218.60.56/~jnz1568/getInfo.php?workbook=20_05.xlsx&amp;sheet=U0&amp;row=9044&amp;col=6&amp;number=3&amp;sourceID=14","3")</f>
        <v>3</v>
      </c>
      <c r="G9044" s="4" t="str">
        <f>HYPERLINK("http://141.218.60.56/~jnz1568/getInfo.php?workbook=20_05.xlsx&amp;sheet=U0&amp;row=9044&amp;col=7&amp;number=0.00775&amp;sourceID=14","0.00775")</f>
        <v>0.00775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HYPERLINK("http://141.218.60.56/~jnz1568/getInfo.php?workbook=20_05.xlsx&amp;sheet=U0&amp;row=9045&amp;col=6&amp;number=3.1&amp;sourceID=14","3.1")</f>
        <v>3.1</v>
      </c>
      <c r="G9045" s="4" t="str">
        <f>HYPERLINK("http://141.218.60.56/~jnz1568/getInfo.php?workbook=20_05.xlsx&amp;sheet=U0&amp;row=9045&amp;col=7&amp;number=0.00775&amp;sourceID=14","0.00775")</f>
        <v>0.00775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HYPERLINK("http://141.218.60.56/~jnz1568/getInfo.php?workbook=20_05.xlsx&amp;sheet=U0&amp;row=9046&amp;col=6&amp;number=3.2&amp;sourceID=14","3.2")</f>
        <v>3.2</v>
      </c>
      <c r="G9046" s="4" t="str">
        <f>HYPERLINK("http://141.218.60.56/~jnz1568/getInfo.php?workbook=20_05.xlsx&amp;sheet=U0&amp;row=9046&amp;col=7&amp;number=0.00775&amp;sourceID=14","0.00775")</f>
        <v>0.00775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HYPERLINK("http://141.218.60.56/~jnz1568/getInfo.php?workbook=20_05.xlsx&amp;sheet=U0&amp;row=9047&amp;col=6&amp;number=3.3&amp;sourceID=14","3.3")</f>
        <v>3.3</v>
      </c>
      <c r="G9047" s="4" t="str">
        <f>HYPERLINK("http://141.218.60.56/~jnz1568/getInfo.php?workbook=20_05.xlsx&amp;sheet=U0&amp;row=9047&amp;col=7&amp;number=0.00775&amp;sourceID=14","0.00775")</f>
        <v>0.00775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HYPERLINK("http://141.218.60.56/~jnz1568/getInfo.php?workbook=20_05.xlsx&amp;sheet=U0&amp;row=9048&amp;col=6&amp;number=3.4&amp;sourceID=14","3.4")</f>
        <v>3.4</v>
      </c>
      <c r="G9048" s="4" t="str">
        <f>HYPERLINK("http://141.218.60.56/~jnz1568/getInfo.php?workbook=20_05.xlsx&amp;sheet=U0&amp;row=9048&amp;col=7&amp;number=0.00775&amp;sourceID=14","0.00775")</f>
        <v>0.00775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HYPERLINK("http://141.218.60.56/~jnz1568/getInfo.php?workbook=20_05.xlsx&amp;sheet=U0&amp;row=9049&amp;col=6&amp;number=3.5&amp;sourceID=14","3.5")</f>
        <v>3.5</v>
      </c>
      <c r="G9049" s="4" t="str">
        <f>HYPERLINK("http://141.218.60.56/~jnz1568/getInfo.php?workbook=20_05.xlsx&amp;sheet=U0&amp;row=9049&amp;col=7&amp;number=0.00775&amp;sourceID=14","0.00775")</f>
        <v>0.00775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HYPERLINK("http://141.218.60.56/~jnz1568/getInfo.php?workbook=20_05.xlsx&amp;sheet=U0&amp;row=9050&amp;col=6&amp;number=3.6&amp;sourceID=14","3.6")</f>
        <v>3.6</v>
      </c>
      <c r="G9050" s="4" t="str">
        <f>HYPERLINK("http://141.218.60.56/~jnz1568/getInfo.php?workbook=20_05.xlsx&amp;sheet=U0&amp;row=9050&amp;col=7&amp;number=0.00775&amp;sourceID=14","0.00775")</f>
        <v>0.00775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HYPERLINK("http://141.218.60.56/~jnz1568/getInfo.php?workbook=20_05.xlsx&amp;sheet=U0&amp;row=9051&amp;col=6&amp;number=3.7&amp;sourceID=14","3.7")</f>
        <v>3.7</v>
      </c>
      <c r="G9051" s="4" t="str">
        <f>HYPERLINK("http://141.218.60.56/~jnz1568/getInfo.php?workbook=20_05.xlsx&amp;sheet=U0&amp;row=9051&amp;col=7&amp;number=0.00775&amp;sourceID=14","0.00775")</f>
        <v>0.00775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HYPERLINK("http://141.218.60.56/~jnz1568/getInfo.php?workbook=20_05.xlsx&amp;sheet=U0&amp;row=9052&amp;col=6&amp;number=3.8&amp;sourceID=14","3.8")</f>
        <v>3.8</v>
      </c>
      <c r="G9052" s="4" t="str">
        <f>HYPERLINK("http://141.218.60.56/~jnz1568/getInfo.php?workbook=20_05.xlsx&amp;sheet=U0&amp;row=9052&amp;col=7&amp;number=0.00775&amp;sourceID=14","0.00775")</f>
        <v>0.00775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HYPERLINK("http://141.218.60.56/~jnz1568/getInfo.php?workbook=20_05.xlsx&amp;sheet=U0&amp;row=9053&amp;col=6&amp;number=3.9&amp;sourceID=14","3.9")</f>
        <v>3.9</v>
      </c>
      <c r="G9053" s="4" t="str">
        <f>HYPERLINK("http://141.218.60.56/~jnz1568/getInfo.php?workbook=20_05.xlsx&amp;sheet=U0&amp;row=9053&amp;col=7&amp;number=0.00775&amp;sourceID=14","0.00775")</f>
        <v>0.00775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HYPERLINK("http://141.218.60.56/~jnz1568/getInfo.php?workbook=20_05.xlsx&amp;sheet=U0&amp;row=9054&amp;col=6&amp;number=4&amp;sourceID=14","4")</f>
        <v>4</v>
      </c>
      <c r="G9054" s="4" t="str">
        <f>HYPERLINK("http://141.218.60.56/~jnz1568/getInfo.php?workbook=20_05.xlsx&amp;sheet=U0&amp;row=9054&amp;col=7&amp;number=0.00775&amp;sourceID=14","0.00775")</f>
        <v>0.00775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HYPERLINK("http://141.218.60.56/~jnz1568/getInfo.php?workbook=20_05.xlsx&amp;sheet=U0&amp;row=9055&amp;col=6&amp;number=4.1&amp;sourceID=14","4.1")</f>
        <v>4.1</v>
      </c>
      <c r="G9055" s="4" t="str">
        <f>HYPERLINK("http://141.218.60.56/~jnz1568/getInfo.php?workbook=20_05.xlsx&amp;sheet=U0&amp;row=9055&amp;col=7&amp;number=0.00774&amp;sourceID=14","0.00774")</f>
        <v>0.00774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HYPERLINK("http://141.218.60.56/~jnz1568/getInfo.php?workbook=20_05.xlsx&amp;sheet=U0&amp;row=9056&amp;col=6&amp;number=4.2&amp;sourceID=14","4.2")</f>
        <v>4.2</v>
      </c>
      <c r="G9056" s="4" t="str">
        <f>HYPERLINK("http://141.218.60.56/~jnz1568/getInfo.php?workbook=20_05.xlsx&amp;sheet=U0&amp;row=9056&amp;col=7&amp;number=0.00774&amp;sourceID=14","0.00774")</f>
        <v>0.00774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HYPERLINK("http://141.218.60.56/~jnz1568/getInfo.php?workbook=20_05.xlsx&amp;sheet=U0&amp;row=9057&amp;col=6&amp;number=4.3&amp;sourceID=14","4.3")</f>
        <v>4.3</v>
      </c>
      <c r="G9057" s="4" t="str">
        <f>HYPERLINK("http://141.218.60.56/~jnz1568/getInfo.php?workbook=20_05.xlsx&amp;sheet=U0&amp;row=9057&amp;col=7&amp;number=0.00774&amp;sourceID=14","0.00774")</f>
        <v>0.00774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HYPERLINK("http://141.218.60.56/~jnz1568/getInfo.php?workbook=20_05.xlsx&amp;sheet=U0&amp;row=9058&amp;col=6&amp;number=4.4&amp;sourceID=14","4.4")</f>
        <v>4.4</v>
      </c>
      <c r="G9058" s="4" t="str">
        <f>HYPERLINK("http://141.218.60.56/~jnz1568/getInfo.php?workbook=20_05.xlsx&amp;sheet=U0&amp;row=9058&amp;col=7&amp;number=0.00774&amp;sourceID=14","0.00774")</f>
        <v>0.00774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HYPERLINK("http://141.218.60.56/~jnz1568/getInfo.php?workbook=20_05.xlsx&amp;sheet=U0&amp;row=9059&amp;col=6&amp;number=4.5&amp;sourceID=14","4.5")</f>
        <v>4.5</v>
      </c>
      <c r="G9059" s="4" t="str">
        <f>HYPERLINK("http://141.218.60.56/~jnz1568/getInfo.php?workbook=20_05.xlsx&amp;sheet=U0&amp;row=9059&amp;col=7&amp;number=0.00774&amp;sourceID=14","0.00774")</f>
        <v>0.00774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HYPERLINK("http://141.218.60.56/~jnz1568/getInfo.php?workbook=20_05.xlsx&amp;sheet=U0&amp;row=9060&amp;col=6&amp;number=4.6&amp;sourceID=14","4.6")</f>
        <v>4.6</v>
      </c>
      <c r="G9060" s="4" t="str">
        <f>HYPERLINK("http://141.218.60.56/~jnz1568/getInfo.php?workbook=20_05.xlsx&amp;sheet=U0&amp;row=9060&amp;col=7&amp;number=0.00773&amp;sourceID=14","0.00773")</f>
        <v>0.00773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HYPERLINK("http://141.218.60.56/~jnz1568/getInfo.php?workbook=20_05.xlsx&amp;sheet=U0&amp;row=9061&amp;col=6&amp;number=4.7&amp;sourceID=14","4.7")</f>
        <v>4.7</v>
      </c>
      <c r="G9061" s="4" t="str">
        <f>HYPERLINK("http://141.218.60.56/~jnz1568/getInfo.php?workbook=20_05.xlsx&amp;sheet=U0&amp;row=9061&amp;col=7&amp;number=0.00773&amp;sourceID=14","0.00773")</f>
        <v>0.00773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HYPERLINK("http://141.218.60.56/~jnz1568/getInfo.php?workbook=20_05.xlsx&amp;sheet=U0&amp;row=9062&amp;col=6&amp;number=4.8&amp;sourceID=14","4.8")</f>
        <v>4.8</v>
      </c>
      <c r="G9062" s="4" t="str">
        <f>HYPERLINK("http://141.218.60.56/~jnz1568/getInfo.php?workbook=20_05.xlsx&amp;sheet=U0&amp;row=9062&amp;col=7&amp;number=0.00772&amp;sourceID=14","0.00772")</f>
        <v>0.00772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HYPERLINK("http://141.218.60.56/~jnz1568/getInfo.php?workbook=20_05.xlsx&amp;sheet=U0&amp;row=9063&amp;col=6&amp;number=4.9&amp;sourceID=14","4.9")</f>
        <v>4.9</v>
      </c>
      <c r="G9063" s="4" t="str">
        <f>HYPERLINK("http://141.218.60.56/~jnz1568/getInfo.php?workbook=20_05.xlsx&amp;sheet=U0&amp;row=9063&amp;col=7&amp;number=0.00771&amp;sourceID=14","0.00771")</f>
        <v>0.00771</v>
      </c>
    </row>
    <row r="9064" spans="1:7">
      <c r="A9064" s="3">
        <v>20</v>
      </c>
      <c r="B9064" s="3">
        <v>5</v>
      </c>
      <c r="C9064" s="3">
        <v>4</v>
      </c>
      <c r="D9064" s="3">
        <v>93</v>
      </c>
      <c r="E9064" s="3">
        <v>1</v>
      </c>
      <c r="F9064" s="4" t="str">
        <f>HYPERLINK("http://141.218.60.56/~jnz1568/getInfo.php?workbook=20_05.xlsx&amp;sheet=U0&amp;row=9064&amp;col=6&amp;number=3&amp;sourceID=14","3")</f>
        <v>3</v>
      </c>
      <c r="G9064" s="4" t="str">
        <f>HYPERLINK("http://141.218.60.56/~jnz1568/getInfo.php?workbook=20_05.xlsx&amp;sheet=U0&amp;row=9064&amp;col=7&amp;number=0.01&amp;sourceID=14","0.01")</f>
        <v>0.01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HYPERLINK("http://141.218.60.56/~jnz1568/getInfo.php?workbook=20_05.xlsx&amp;sheet=U0&amp;row=9065&amp;col=6&amp;number=3.1&amp;sourceID=14","3.1")</f>
        <v>3.1</v>
      </c>
      <c r="G9065" s="4" t="str">
        <f>HYPERLINK("http://141.218.60.56/~jnz1568/getInfo.php?workbook=20_05.xlsx&amp;sheet=U0&amp;row=9065&amp;col=7&amp;number=0.01&amp;sourceID=14","0.01")</f>
        <v>0.01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HYPERLINK("http://141.218.60.56/~jnz1568/getInfo.php?workbook=20_05.xlsx&amp;sheet=U0&amp;row=9066&amp;col=6&amp;number=3.2&amp;sourceID=14","3.2")</f>
        <v>3.2</v>
      </c>
      <c r="G9066" s="4" t="str">
        <f>HYPERLINK("http://141.218.60.56/~jnz1568/getInfo.php?workbook=20_05.xlsx&amp;sheet=U0&amp;row=9066&amp;col=7&amp;number=0.01&amp;sourceID=14","0.01")</f>
        <v>0.01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HYPERLINK("http://141.218.60.56/~jnz1568/getInfo.php?workbook=20_05.xlsx&amp;sheet=U0&amp;row=9067&amp;col=6&amp;number=3.3&amp;sourceID=14","3.3")</f>
        <v>3.3</v>
      </c>
      <c r="G9067" s="4" t="str">
        <f>HYPERLINK("http://141.218.60.56/~jnz1568/getInfo.php?workbook=20_05.xlsx&amp;sheet=U0&amp;row=9067&amp;col=7&amp;number=0.01&amp;sourceID=14","0.01")</f>
        <v>0.01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HYPERLINK("http://141.218.60.56/~jnz1568/getInfo.php?workbook=20_05.xlsx&amp;sheet=U0&amp;row=9068&amp;col=6&amp;number=3.4&amp;sourceID=14","3.4")</f>
        <v>3.4</v>
      </c>
      <c r="G9068" s="4" t="str">
        <f>HYPERLINK("http://141.218.60.56/~jnz1568/getInfo.php?workbook=20_05.xlsx&amp;sheet=U0&amp;row=9068&amp;col=7&amp;number=0.01&amp;sourceID=14","0.01")</f>
        <v>0.01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HYPERLINK("http://141.218.60.56/~jnz1568/getInfo.php?workbook=20_05.xlsx&amp;sheet=U0&amp;row=9069&amp;col=6&amp;number=3.5&amp;sourceID=14","3.5")</f>
        <v>3.5</v>
      </c>
      <c r="G9069" s="4" t="str">
        <f>HYPERLINK("http://141.218.60.56/~jnz1568/getInfo.php?workbook=20_05.xlsx&amp;sheet=U0&amp;row=9069&amp;col=7&amp;number=0.01&amp;sourceID=14","0.01")</f>
        <v>0.01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HYPERLINK("http://141.218.60.56/~jnz1568/getInfo.php?workbook=20_05.xlsx&amp;sheet=U0&amp;row=9070&amp;col=6&amp;number=3.6&amp;sourceID=14","3.6")</f>
        <v>3.6</v>
      </c>
      <c r="G9070" s="4" t="str">
        <f>HYPERLINK("http://141.218.60.56/~jnz1568/getInfo.php?workbook=20_05.xlsx&amp;sheet=U0&amp;row=9070&amp;col=7&amp;number=0.01&amp;sourceID=14","0.01")</f>
        <v>0.01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HYPERLINK("http://141.218.60.56/~jnz1568/getInfo.php?workbook=20_05.xlsx&amp;sheet=U0&amp;row=9071&amp;col=6&amp;number=3.7&amp;sourceID=14","3.7")</f>
        <v>3.7</v>
      </c>
      <c r="G9071" s="4" t="str">
        <f>HYPERLINK("http://141.218.60.56/~jnz1568/getInfo.php?workbook=20_05.xlsx&amp;sheet=U0&amp;row=9071&amp;col=7&amp;number=0.01&amp;sourceID=14","0.01")</f>
        <v>0.01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HYPERLINK("http://141.218.60.56/~jnz1568/getInfo.php?workbook=20_05.xlsx&amp;sheet=U0&amp;row=9072&amp;col=6&amp;number=3.8&amp;sourceID=14","3.8")</f>
        <v>3.8</v>
      </c>
      <c r="G9072" s="4" t="str">
        <f>HYPERLINK("http://141.218.60.56/~jnz1568/getInfo.php?workbook=20_05.xlsx&amp;sheet=U0&amp;row=9072&amp;col=7&amp;number=0.01&amp;sourceID=14","0.01")</f>
        <v>0.01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HYPERLINK("http://141.218.60.56/~jnz1568/getInfo.php?workbook=20_05.xlsx&amp;sheet=U0&amp;row=9073&amp;col=6&amp;number=3.9&amp;sourceID=14","3.9")</f>
        <v>3.9</v>
      </c>
      <c r="G9073" s="4" t="str">
        <f>HYPERLINK("http://141.218.60.56/~jnz1568/getInfo.php?workbook=20_05.xlsx&amp;sheet=U0&amp;row=9073&amp;col=7&amp;number=0.01&amp;sourceID=14","0.01")</f>
        <v>0.01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HYPERLINK("http://141.218.60.56/~jnz1568/getInfo.php?workbook=20_05.xlsx&amp;sheet=U0&amp;row=9074&amp;col=6&amp;number=4&amp;sourceID=14","4")</f>
        <v>4</v>
      </c>
      <c r="G9074" s="4" t="str">
        <f>HYPERLINK("http://141.218.60.56/~jnz1568/getInfo.php?workbook=20_05.xlsx&amp;sheet=U0&amp;row=9074&amp;col=7&amp;number=0.01&amp;sourceID=14","0.01")</f>
        <v>0.01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HYPERLINK("http://141.218.60.56/~jnz1568/getInfo.php?workbook=20_05.xlsx&amp;sheet=U0&amp;row=9075&amp;col=6&amp;number=4.1&amp;sourceID=14","4.1")</f>
        <v>4.1</v>
      </c>
      <c r="G9075" s="4" t="str">
        <f>HYPERLINK("http://141.218.60.56/~jnz1568/getInfo.php?workbook=20_05.xlsx&amp;sheet=U0&amp;row=9075&amp;col=7&amp;number=0.01&amp;sourceID=14","0.01")</f>
        <v>0.01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HYPERLINK("http://141.218.60.56/~jnz1568/getInfo.php?workbook=20_05.xlsx&amp;sheet=U0&amp;row=9076&amp;col=6&amp;number=4.2&amp;sourceID=14","4.2")</f>
        <v>4.2</v>
      </c>
      <c r="G9076" s="4" t="str">
        <f>HYPERLINK("http://141.218.60.56/~jnz1568/getInfo.php?workbook=20_05.xlsx&amp;sheet=U0&amp;row=9076&amp;col=7&amp;number=0.01&amp;sourceID=14","0.01")</f>
        <v>0.01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HYPERLINK("http://141.218.60.56/~jnz1568/getInfo.php?workbook=20_05.xlsx&amp;sheet=U0&amp;row=9077&amp;col=6&amp;number=4.3&amp;sourceID=14","4.3")</f>
        <v>4.3</v>
      </c>
      <c r="G9077" s="4" t="str">
        <f>HYPERLINK("http://141.218.60.56/~jnz1568/getInfo.php?workbook=20_05.xlsx&amp;sheet=U0&amp;row=9077&amp;col=7&amp;number=0.01&amp;sourceID=14","0.01")</f>
        <v>0.01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HYPERLINK("http://141.218.60.56/~jnz1568/getInfo.php?workbook=20_05.xlsx&amp;sheet=U0&amp;row=9078&amp;col=6&amp;number=4.4&amp;sourceID=14","4.4")</f>
        <v>4.4</v>
      </c>
      <c r="G9078" s="4" t="str">
        <f>HYPERLINK("http://141.218.60.56/~jnz1568/getInfo.php?workbook=20_05.xlsx&amp;sheet=U0&amp;row=9078&amp;col=7&amp;number=0.00999&amp;sourceID=14","0.00999")</f>
        <v>0.00999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HYPERLINK("http://141.218.60.56/~jnz1568/getInfo.php?workbook=20_05.xlsx&amp;sheet=U0&amp;row=9079&amp;col=6&amp;number=4.5&amp;sourceID=14","4.5")</f>
        <v>4.5</v>
      </c>
      <c r="G9079" s="4" t="str">
        <f>HYPERLINK("http://141.218.60.56/~jnz1568/getInfo.php?workbook=20_05.xlsx&amp;sheet=U0&amp;row=9079&amp;col=7&amp;number=0.00998&amp;sourceID=14","0.00998")</f>
        <v>0.00998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HYPERLINK("http://141.218.60.56/~jnz1568/getInfo.php?workbook=20_05.xlsx&amp;sheet=U0&amp;row=9080&amp;col=6&amp;number=4.6&amp;sourceID=14","4.6")</f>
        <v>4.6</v>
      </c>
      <c r="G9080" s="4" t="str">
        <f>HYPERLINK("http://141.218.60.56/~jnz1568/getInfo.php?workbook=20_05.xlsx&amp;sheet=U0&amp;row=9080&amp;col=7&amp;number=0.00998&amp;sourceID=14","0.00998")</f>
        <v>0.00998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HYPERLINK("http://141.218.60.56/~jnz1568/getInfo.php?workbook=20_05.xlsx&amp;sheet=U0&amp;row=9081&amp;col=6&amp;number=4.7&amp;sourceID=14","4.7")</f>
        <v>4.7</v>
      </c>
      <c r="G9081" s="4" t="str">
        <f>HYPERLINK("http://141.218.60.56/~jnz1568/getInfo.php?workbook=20_05.xlsx&amp;sheet=U0&amp;row=9081&amp;col=7&amp;number=0.00997&amp;sourceID=14","0.00997")</f>
        <v>0.00997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HYPERLINK("http://141.218.60.56/~jnz1568/getInfo.php?workbook=20_05.xlsx&amp;sheet=U0&amp;row=9082&amp;col=6&amp;number=4.8&amp;sourceID=14","4.8")</f>
        <v>4.8</v>
      </c>
      <c r="G9082" s="4" t="str">
        <f>HYPERLINK("http://141.218.60.56/~jnz1568/getInfo.php?workbook=20_05.xlsx&amp;sheet=U0&amp;row=9082&amp;col=7&amp;number=0.00995&amp;sourceID=14","0.00995")</f>
        <v>0.00995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HYPERLINK("http://141.218.60.56/~jnz1568/getInfo.php?workbook=20_05.xlsx&amp;sheet=U0&amp;row=9083&amp;col=6&amp;number=4.9&amp;sourceID=14","4.9")</f>
        <v>4.9</v>
      </c>
      <c r="G9083" s="4" t="str">
        <f>HYPERLINK("http://141.218.60.56/~jnz1568/getInfo.php?workbook=20_05.xlsx&amp;sheet=U0&amp;row=9083&amp;col=7&amp;number=0.00994&amp;sourceID=14","0.00994")</f>
        <v>0.00994</v>
      </c>
    </row>
    <row r="9084" spans="1:7">
      <c r="A9084" s="3">
        <v>20</v>
      </c>
      <c r="B9084" s="3">
        <v>5</v>
      </c>
      <c r="C9084" s="3">
        <v>4</v>
      </c>
      <c r="D9084" s="3">
        <v>94</v>
      </c>
      <c r="E9084" s="3">
        <v>1</v>
      </c>
      <c r="F9084" s="4" t="str">
        <f>HYPERLINK("http://141.218.60.56/~jnz1568/getInfo.php?workbook=20_05.xlsx&amp;sheet=U0&amp;row=9084&amp;col=6&amp;number=3&amp;sourceID=14","3")</f>
        <v>3</v>
      </c>
      <c r="G9084" s="4" t="str">
        <f>HYPERLINK("http://141.218.60.56/~jnz1568/getInfo.php?workbook=20_05.xlsx&amp;sheet=U0&amp;row=9084&amp;col=7&amp;number=0.0434&amp;sourceID=14","0.0434")</f>
        <v>0.0434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HYPERLINK("http://141.218.60.56/~jnz1568/getInfo.php?workbook=20_05.xlsx&amp;sheet=U0&amp;row=9085&amp;col=6&amp;number=3.1&amp;sourceID=14","3.1")</f>
        <v>3.1</v>
      </c>
      <c r="G9085" s="4" t="str">
        <f>HYPERLINK("http://141.218.60.56/~jnz1568/getInfo.php?workbook=20_05.xlsx&amp;sheet=U0&amp;row=9085&amp;col=7&amp;number=0.0434&amp;sourceID=14","0.0434")</f>
        <v>0.0434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HYPERLINK("http://141.218.60.56/~jnz1568/getInfo.php?workbook=20_05.xlsx&amp;sheet=U0&amp;row=9086&amp;col=6&amp;number=3.2&amp;sourceID=14","3.2")</f>
        <v>3.2</v>
      </c>
      <c r="G9086" s="4" t="str">
        <f>HYPERLINK("http://141.218.60.56/~jnz1568/getInfo.php?workbook=20_05.xlsx&amp;sheet=U0&amp;row=9086&amp;col=7&amp;number=0.0434&amp;sourceID=14","0.0434")</f>
        <v>0.0434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HYPERLINK("http://141.218.60.56/~jnz1568/getInfo.php?workbook=20_05.xlsx&amp;sheet=U0&amp;row=9087&amp;col=6&amp;number=3.3&amp;sourceID=14","3.3")</f>
        <v>3.3</v>
      </c>
      <c r="G9087" s="4" t="str">
        <f>HYPERLINK("http://141.218.60.56/~jnz1568/getInfo.php?workbook=20_05.xlsx&amp;sheet=U0&amp;row=9087&amp;col=7&amp;number=0.0434&amp;sourceID=14","0.0434")</f>
        <v>0.0434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HYPERLINK("http://141.218.60.56/~jnz1568/getInfo.php?workbook=20_05.xlsx&amp;sheet=U0&amp;row=9088&amp;col=6&amp;number=3.4&amp;sourceID=14","3.4")</f>
        <v>3.4</v>
      </c>
      <c r="G9088" s="4" t="str">
        <f>HYPERLINK("http://141.218.60.56/~jnz1568/getInfo.php?workbook=20_05.xlsx&amp;sheet=U0&amp;row=9088&amp;col=7&amp;number=0.0434&amp;sourceID=14","0.0434")</f>
        <v>0.0434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HYPERLINK("http://141.218.60.56/~jnz1568/getInfo.php?workbook=20_05.xlsx&amp;sheet=U0&amp;row=9089&amp;col=6&amp;number=3.5&amp;sourceID=14","3.5")</f>
        <v>3.5</v>
      </c>
      <c r="G9089" s="4" t="str">
        <f>HYPERLINK("http://141.218.60.56/~jnz1568/getInfo.php?workbook=20_05.xlsx&amp;sheet=U0&amp;row=9089&amp;col=7&amp;number=0.0434&amp;sourceID=14","0.0434")</f>
        <v>0.0434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HYPERLINK("http://141.218.60.56/~jnz1568/getInfo.php?workbook=20_05.xlsx&amp;sheet=U0&amp;row=9090&amp;col=6&amp;number=3.6&amp;sourceID=14","3.6")</f>
        <v>3.6</v>
      </c>
      <c r="G9090" s="4" t="str">
        <f>HYPERLINK("http://141.218.60.56/~jnz1568/getInfo.php?workbook=20_05.xlsx&amp;sheet=U0&amp;row=9090&amp;col=7&amp;number=0.0434&amp;sourceID=14","0.0434")</f>
        <v>0.0434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HYPERLINK("http://141.218.60.56/~jnz1568/getInfo.php?workbook=20_05.xlsx&amp;sheet=U0&amp;row=9091&amp;col=6&amp;number=3.7&amp;sourceID=14","3.7")</f>
        <v>3.7</v>
      </c>
      <c r="G9091" s="4" t="str">
        <f>HYPERLINK("http://141.218.60.56/~jnz1568/getInfo.php?workbook=20_05.xlsx&amp;sheet=U0&amp;row=9091&amp;col=7&amp;number=0.0434&amp;sourceID=14","0.0434")</f>
        <v>0.0434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HYPERLINK("http://141.218.60.56/~jnz1568/getInfo.php?workbook=20_05.xlsx&amp;sheet=U0&amp;row=9092&amp;col=6&amp;number=3.8&amp;sourceID=14","3.8")</f>
        <v>3.8</v>
      </c>
      <c r="G9092" s="4" t="str">
        <f>HYPERLINK("http://141.218.60.56/~jnz1568/getInfo.php?workbook=20_05.xlsx&amp;sheet=U0&amp;row=9092&amp;col=7&amp;number=0.0434&amp;sourceID=14","0.0434")</f>
        <v>0.0434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HYPERLINK("http://141.218.60.56/~jnz1568/getInfo.php?workbook=20_05.xlsx&amp;sheet=U0&amp;row=9093&amp;col=6&amp;number=3.9&amp;sourceID=14","3.9")</f>
        <v>3.9</v>
      </c>
      <c r="G9093" s="4" t="str">
        <f>HYPERLINK("http://141.218.60.56/~jnz1568/getInfo.php?workbook=20_05.xlsx&amp;sheet=U0&amp;row=9093&amp;col=7&amp;number=0.0434&amp;sourceID=14","0.0434")</f>
        <v>0.0434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HYPERLINK("http://141.218.60.56/~jnz1568/getInfo.php?workbook=20_05.xlsx&amp;sheet=U0&amp;row=9094&amp;col=6&amp;number=4&amp;sourceID=14","4")</f>
        <v>4</v>
      </c>
      <c r="G9094" s="4" t="str">
        <f>HYPERLINK("http://141.218.60.56/~jnz1568/getInfo.php?workbook=20_05.xlsx&amp;sheet=U0&amp;row=9094&amp;col=7&amp;number=0.0434&amp;sourceID=14","0.0434")</f>
        <v>0.0434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HYPERLINK("http://141.218.60.56/~jnz1568/getInfo.php?workbook=20_05.xlsx&amp;sheet=U0&amp;row=9095&amp;col=6&amp;number=4.1&amp;sourceID=14","4.1")</f>
        <v>4.1</v>
      </c>
      <c r="G9095" s="4" t="str">
        <f>HYPERLINK("http://141.218.60.56/~jnz1568/getInfo.php?workbook=20_05.xlsx&amp;sheet=U0&amp;row=9095&amp;col=7&amp;number=0.0435&amp;sourceID=14","0.0435")</f>
        <v>0.0435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HYPERLINK("http://141.218.60.56/~jnz1568/getInfo.php?workbook=20_05.xlsx&amp;sheet=U0&amp;row=9096&amp;col=6&amp;number=4.2&amp;sourceID=14","4.2")</f>
        <v>4.2</v>
      </c>
      <c r="G9096" s="4" t="str">
        <f>HYPERLINK("http://141.218.60.56/~jnz1568/getInfo.php?workbook=20_05.xlsx&amp;sheet=U0&amp;row=9096&amp;col=7&amp;number=0.0435&amp;sourceID=14","0.0435")</f>
        <v>0.0435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HYPERLINK("http://141.218.60.56/~jnz1568/getInfo.php?workbook=20_05.xlsx&amp;sheet=U0&amp;row=9097&amp;col=6&amp;number=4.3&amp;sourceID=14","4.3")</f>
        <v>4.3</v>
      </c>
      <c r="G9097" s="4" t="str">
        <f>HYPERLINK("http://141.218.60.56/~jnz1568/getInfo.php?workbook=20_05.xlsx&amp;sheet=U0&amp;row=9097&amp;col=7&amp;number=0.0435&amp;sourceID=14","0.0435")</f>
        <v>0.0435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HYPERLINK("http://141.218.60.56/~jnz1568/getInfo.php?workbook=20_05.xlsx&amp;sheet=U0&amp;row=9098&amp;col=6&amp;number=4.4&amp;sourceID=14","4.4")</f>
        <v>4.4</v>
      </c>
      <c r="G9098" s="4" t="str">
        <f>HYPERLINK("http://141.218.60.56/~jnz1568/getInfo.php?workbook=20_05.xlsx&amp;sheet=U0&amp;row=9098&amp;col=7&amp;number=0.0436&amp;sourceID=14","0.0436")</f>
        <v>0.0436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HYPERLINK("http://141.218.60.56/~jnz1568/getInfo.php?workbook=20_05.xlsx&amp;sheet=U0&amp;row=9099&amp;col=6&amp;number=4.5&amp;sourceID=14","4.5")</f>
        <v>4.5</v>
      </c>
      <c r="G9099" s="4" t="str">
        <f>HYPERLINK("http://141.218.60.56/~jnz1568/getInfo.php?workbook=20_05.xlsx&amp;sheet=U0&amp;row=9099&amp;col=7&amp;number=0.0436&amp;sourceID=14","0.0436")</f>
        <v>0.0436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HYPERLINK("http://141.218.60.56/~jnz1568/getInfo.php?workbook=20_05.xlsx&amp;sheet=U0&amp;row=9100&amp;col=6&amp;number=4.6&amp;sourceID=14","4.6")</f>
        <v>4.6</v>
      </c>
      <c r="G9100" s="4" t="str">
        <f>HYPERLINK("http://141.218.60.56/~jnz1568/getInfo.php?workbook=20_05.xlsx&amp;sheet=U0&amp;row=9100&amp;col=7&amp;number=0.0437&amp;sourceID=14","0.0437")</f>
        <v>0.0437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HYPERLINK("http://141.218.60.56/~jnz1568/getInfo.php?workbook=20_05.xlsx&amp;sheet=U0&amp;row=9101&amp;col=6&amp;number=4.7&amp;sourceID=14","4.7")</f>
        <v>4.7</v>
      </c>
      <c r="G9101" s="4" t="str">
        <f>HYPERLINK("http://141.218.60.56/~jnz1568/getInfo.php?workbook=20_05.xlsx&amp;sheet=U0&amp;row=9101&amp;col=7&amp;number=0.0437&amp;sourceID=14","0.0437")</f>
        <v>0.0437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HYPERLINK("http://141.218.60.56/~jnz1568/getInfo.php?workbook=20_05.xlsx&amp;sheet=U0&amp;row=9102&amp;col=6&amp;number=4.8&amp;sourceID=14","4.8")</f>
        <v>4.8</v>
      </c>
      <c r="G9102" s="4" t="str">
        <f>HYPERLINK("http://141.218.60.56/~jnz1568/getInfo.php?workbook=20_05.xlsx&amp;sheet=U0&amp;row=9102&amp;col=7&amp;number=0.0438&amp;sourceID=14","0.0438")</f>
        <v>0.0438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HYPERLINK("http://141.218.60.56/~jnz1568/getInfo.php?workbook=20_05.xlsx&amp;sheet=U0&amp;row=9103&amp;col=6&amp;number=4.9&amp;sourceID=14","4.9")</f>
        <v>4.9</v>
      </c>
      <c r="G9103" s="4" t="str">
        <f>HYPERLINK("http://141.218.60.56/~jnz1568/getInfo.php?workbook=20_05.xlsx&amp;sheet=U0&amp;row=9103&amp;col=7&amp;number=0.044&amp;sourceID=14","0.044")</f>
        <v>0.044</v>
      </c>
    </row>
    <row r="9104" spans="1:7">
      <c r="A9104" s="3">
        <v>20</v>
      </c>
      <c r="B9104" s="3">
        <v>5</v>
      </c>
      <c r="C9104" s="3">
        <v>4</v>
      </c>
      <c r="D9104" s="3">
        <v>95</v>
      </c>
      <c r="E9104" s="3">
        <v>1</v>
      </c>
      <c r="F9104" s="4" t="str">
        <f>HYPERLINK("http://141.218.60.56/~jnz1568/getInfo.php?workbook=20_05.xlsx&amp;sheet=U0&amp;row=9104&amp;col=6&amp;number=3&amp;sourceID=14","3")</f>
        <v>3</v>
      </c>
      <c r="G9104" s="4" t="str">
        <f>HYPERLINK("http://141.218.60.56/~jnz1568/getInfo.php?workbook=20_05.xlsx&amp;sheet=U0&amp;row=9104&amp;col=7&amp;number=0.0434&amp;sourceID=14","0.0434")</f>
        <v>0.0434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HYPERLINK("http://141.218.60.56/~jnz1568/getInfo.php?workbook=20_05.xlsx&amp;sheet=U0&amp;row=9105&amp;col=6&amp;number=3.1&amp;sourceID=14","3.1")</f>
        <v>3.1</v>
      </c>
      <c r="G9105" s="4" t="str">
        <f>HYPERLINK("http://141.218.60.56/~jnz1568/getInfo.php?workbook=20_05.xlsx&amp;sheet=U0&amp;row=9105&amp;col=7&amp;number=0.0434&amp;sourceID=14","0.0434")</f>
        <v>0.0434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HYPERLINK("http://141.218.60.56/~jnz1568/getInfo.php?workbook=20_05.xlsx&amp;sheet=U0&amp;row=9106&amp;col=6&amp;number=3.2&amp;sourceID=14","3.2")</f>
        <v>3.2</v>
      </c>
      <c r="G9106" s="4" t="str">
        <f>HYPERLINK("http://141.218.60.56/~jnz1568/getInfo.php?workbook=20_05.xlsx&amp;sheet=U0&amp;row=9106&amp;col=7&amp;number=0.0434&amp;sourceID=14","0.0434")</f>
        <v>0.0434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HYPERLINK("http://141.218.60.56/~jnz1568/getInfo.php?workbook=20_05.xlsx&amp;sheet=U0&amp;row=9107&amp;col=6&amp;number=3.3&amp;sourceID=14","3.3")</f>
        <v>3.3</v>
      </c>
      <c r="G9107" s="4" t="str">
        <f>HYPERLINK("http://141.218.60.56/~jnz1568/getInfo.php?workbook=20_05.xlsx&amp;sheet=U0&amp;row=9107&amp;col=7&amp;number=0.0434&amp;sourceID=14","0.0434")</f>
        <v>0.0434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HYPERLINK("http://141.218.60.56/~jnz1568/getInfo.php?workbook=20_05.xlsx&amp;sheet=U0&amp;row=9108&amp;col=6&amp;number=3.4&amp;sourceID=14","3.4")</f>
        <v>3.4</v>
      </c>
      <c r="G9108" s="4" t="str">
        <f>HYPERLINK("http://141.218.60.56/~jnz1568/getInfo.php?workbook=20_05.xlsx&amp;sheet=U0&amp;row=9108&amp;col=7&amp;number=0.0434&amp;sourceID=14","0.0434")</f>
        <v>0.0434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HYPERLINK("http://141.218.60.56/~jnz1568/getInfo.php?workbook=20_05.xlsx&amp;sheet=U0&amp;row=9109&amp;col=6&amp;number=3.5&amp;sourceID=14","3.5")</f>
        <v>3.5</v>
      </c>
      <c r="G9109" s="4" t="str">
        <f>HYPERLINK("http://141.218.60.56/~jnz1568/getInfo.php?workbook=20_05.xlsx&amp;sheet=U0&amp;row=9109&amp;col=7&amp;number=0.0434&amp;sourceID=14","0.0434")</f>
        <v>0.0434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HYPERLINK("http://141.218.60.56/~jnz1568/getInfo.php?workbook=20_05.xlsx&amp;sheet=U0&amp;row=9110&amp;col=6&amp;number=3.6&amp;sourceID=14","3.6")</f>
        <v>3.6</v>
      </c>
      <c r="G9110" s="4" t="str">
        <f>HYPERLINK("http://141.218.60.56/~jnz1568/getInfo.php?workbook=20_05.xlsx&amp;sheet=U0&amp;row=9110&amp;col=7&amp;number=0.0434&amp;sourceID=14","0.0434")</f>
        <v>0.0434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HYPERLINK("http://141.218.60.56/~jnz1568/getInfo.php?workbook=20_05.xlsx&amp;sheet=U0&amp;row=9111&amp;col=6&amp;number=3.7&amp;sourceID=14","3.7")</f>
        <v>3.7</v>
      </c>
      <c r="G9111" s="4" t="str">
        <f>HYPERLINK("http://141.218.60.56/~jnz1568/getInfo.php?workbook=20_05.xlsx&amp;sheet=U0&amp;row=9111&amp;col=7&amp;number=0.0434&amp;sourceID=14","0.0434")</f>
        <v>0.0434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HYPERLINK("http://141.218.60.56/~jnz1568/getInfo.php?workbook=20_05.xlsx&amp;sheet=U0&amp;row=9112&amp;col=6&amp;number=3.8&amp;sourceID=14","3.8")</f>
        <v>3.8</v>
      </c>
      <c r="G9112" s="4" t="str">
        <f>HYPERLINK("http://141.218.60.56/~jnz1568/getInfo.php?workbook=20_05.xlsx&amp;sheet=U0&amp;row=9112&amp;col=7&amp;number=0.0434&amp;sourceID=14","0.0434")</f>
        <v>0.0434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HYPERLINK("http://141.218.60.56/~jnz1568/getInfo.php?workbook=20_05.xlsx&amp;sheet=U0&amp;row=9113&amp;col=6&amp;number=3.9&amp;sourceID=14","3.9")</f>
        <v>3.9</v>
      </c>
      <c r="G9113" s="4" t="str">
        <f>HYPERLINK("http://141.218.60.56/~jnz1568/getInfo.php?workbook=20_05.xlsx&amp;sheet=U0&amp;row=9113&amp;col=7&amp;number=0.0434&amp;sourceID=14","0.0434")</f>
        <v>0.0434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HYPERLINK("http://141.218.60.56/~jnz1568/getInfo.php?workbook=20_05.xlsx&amp;sheet=U0&amp;row=9114&amp;col=6&amp;number=4&amp;sourceID=14","4")</f>
        <v>4</v>
      </c>
      <c r="G9114" s="4" t="str">
        <f>HYPERLINK("http://141.218.60.56/~jnz1568/getInfo.php?workbook=20_05.xlsx&amp;sheet=U0&amp;row=9114&amp;col=7&amp;number=0.0434&amp;sourceID=14","0.0434")</f>
        <v>0.0434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HYPERLINK("http://141.218.60.56/~jnz1568/getInfo.php?workbook=20_05.xlsx&amp;sheet=U0&amp;row=9115&amp;col=6&amp;number=4.1&amp;sourceID=14","4.1")</f>
        <v>4.1</v>
      </c>
      <c r="G9115" s="4" t="str">
        <f>HYPERLINK("http://141.218.60.56/~jnz1568/getInfo.php?workbook=20_05.xlsx&amp;sheet=U0&amp;row=9115&amp;col=7&amp;number=0.0435&amp;sourceID=14","0.0435")</f>
        <v>0.0435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HYPERLINK("http://141.218.60.56/~jnz1568/getInfo.php?workbook=20_05.xlsx&amp;sheet=U0&amp;row=9116&amp;col=6&amp;number=4.2&amp;sourceID=14","4.2")</f>
        <v>4.2</v>
      </c>
      <c r="G9116" s="4" t="str">
        <f>HYPERLINK("http://141.218.60.56/~jnz1568/getInfo.php?workbook=20_05.xlsx&amp;sheet=U0&amp;row=9116&amp;col=7&amp;number=0.0435&amp;sourceID=14","0.0435")</f>
        <v>0.0435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HYPERLINK("http://141.218.60.56/~jnz1568/getInfo.php?workbook=20_05.xlsx&amp;sheet=U0&amp;row=9117&amp;col=6&amp;number=4.3&amp;sourceID=14","4.3")</f>
        <v>4.3</v>
      </c>
      <c r="G9117" s="4" t="str">
        <f>HYPERLINK("http://141.218.60.56/~jnz1568/getInfo.php?workbook=20_05.xlsx&amp;sheet=U0&amp;row=9117&amp;col=7&amp;number=0.0435&amp;sourceID=14","0.0435")</f>
        <v>0.0435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HYPERLINK("http://141.218.60.56/~jnz1568/getInfo.php?workbook=20_05.xlsx&amp;sheet=U0&amp;row=9118&amp;col=6&amp;number=4.4&amp;sourceID=14","4.4")</f>
        <v>4.4</v>
      </c>
      <c r="G9118" s="4" t="str">
        <f>HYPERLINK("http://141.218.60.56/~jnz1568/getInfo.php?workbook=20_05.xlsx&amp;sheet=U0&amp;row=9118&amp;col=7&amp;number=0.0436&amp;sourceID=14","0.0436")</f>
        <v>0.0436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HYPERLINK("http://141.218.60.56/~jnz1568/getInfo.php?workbook=20_05.xlsx&amp;sheet=U0&amp;row=9119&amp;col=6&amp;number=4.5&amp;sourceID=14","4.5")</f>
        <v>4.5</v>
      </c>
      <c r="G9119" s="4" t="str">
        <f>HYPERLINK("http://141.218.60.56/~jnz1568/getInfo.php?workbook=20_05.xlsx&amp;sheet=U0&amp;row=9119&amp;col=7&amp;number=0.0436&amp;sourceID=14","0.0436")</f>
        <v>0.0436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HYPERLINK("http://141.218.60.56/~jnz1568/getInfo.php?workbook=20_05.xlsx&amp;sheet=U0&amp;row=9120&amp;col=6&amp;number=4.6&amp;sourceID=14","4.6")</f>
        <v>4.6</v>
      </c>
      <c r="G9120" s="4" t="str">
        <f>HYPERLINK("http://141.218.60.56/~jnz1568/getInfo.php?workbook=20_05.xlsx&amp;sheet=U0&amp;row=9120&amp;col=7&amp;number=0.0437&amp;sourceID=14","0.0437")</f>
        <v>0.0437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HYPERLINK("http://141.218.60.56/~jnz1568/getInfo.php?workbook=20_05.xlsx&amp;sheet=U0&amp;row=9121&amp;col=6&amp;number=4.7&amp;sourceID=14","4.7")</f>
        <v>4.7</v>
      </c>
      <c r="G9121" s="4" t="str">
        <f>HYPERLINK("http://141.218.60.56/~jnz1568/getInfo.php?workbook=20_05.xlsx&amp;sheet=U0&amp;row=9121&amp;col=7&amp;number=0.0437&amp;sourceID=14","0.0437")</f>
        <v>0.0437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HYPERLINK("http://141.218.60.56/~jnz1568/getInfo.php?workbook=20_05.xlsx&amp;sheet=U0&amp;row=9122&amp;col=6&amp;number=4.8&amp;sourceID=14","4.8")</f>
        <v>4.8</v>
      </c>
      <c r="G9122" s="4" t="str">
        <f>HYPERLINK("http://141.218.60.56/~jnz1568/getInfo.php?workbook=20_05.xlsx&amp;sheet=U0&amp;row=9122&amp;col=7&amp;number=0.0438&amp;sourceID=14","0.0438")</f>
        <v>0.0438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HYPERLINK("http://141.218.60.56/~jnz1568/getInfo.php?workbook=20_05.xlsx&amp;sheet=U0&amp;row=9123&amp;col=6&amp;number=4.9&amp;sourceID=14","4.9")</f>
        <v>4.9</v>
      </c>
      <c r="G9123" s="4" t="str">
        <f>HYPERLINK("http://141.218.60.56/~jnz1568/getInfo.php?workbook=20_05.xlsx&amp;sheet=U0&amp;row=9123&amp;col=7&amp;number=0.044&amp;sourceID=14","0.044")</f>
        <v>0.044</v>
      </c>
    </row>
    <row r="9124" spans="1:7">
      <c r="A9124" s="3">
        <v>20</v>
      </c>
      <c r="B9124" s="3">
        <v>5</v>
      </c>
      <c r="C9124" s="3">
        <v>4</v>
      </c>
      <c r="D9124" s="3">
        <v>96</v>
      </c>
      <c r="E9124" s="3">
        <v>1</v>
      </c>
      <c r="F9124" s="4" t="str">
        <f>HYPERLINK("http://141.218.60.56/~jnz1568/getInfo.php?workbook=20_05.xlsx&amp;sheet=U0&amp;row=9124&amp;col=6&amp;number=3&amp;sourceID=14","3")</f>
        <v>3</v>
      </c>
      <c r="G9124" s="4" t="str">
        <f>HYPERLINK("http://141.218.60.56/~jnz1568/getInfo.php?workbook=20_05.xlsx&amp;sheet=U0&amp;row=9124&amp;col=7&amp;number=0.000158&amp;sourceID=14","0.000158")</f>
        <v>0.000158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HYPERLINK("http://141.218.60.56/~jnz1568/getInfo.php?workbook=20_05.xlsx&amp;sheet=U0&amp;row=9125&amp;col=6&amp;number=3.1&amp;sourceID=14","3.1")</f>
        <v>3.1</v>
      </c>
      <c r="G9125" s="4" t="str">
        <f>HYPERLINK("http://141.218.60.56/~jnz1568/getInfo.php?workbook=20_05.xlsx&amp;sheet=U0&amp;row=9125&amp;col=7&amp;number=0.000158&amp;sourceID=14","0.000158")</f>
        <v>0.000158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HYPERLINK("http://141.218.60.56/~jnz1568/getInfo.php?workbook=20_05.xlsx&amp;sheet=U0&amp;row=9126&amp;col=6&amp;number=3.2&amp;sourceID=14","3.2")</f>
        <v>3.2</v>
      </c>
      <c r="G9126" s="4" t="str">
        <f>HYPERLINK("http://141.218.60.56/~jnz1568/getInfo.php?workbook=20_05.xlsx&amp;sheet=U0&amp;row=9126&amp;col=7&amp;number=0.000158&amp;sourceID=14","0.000158")</f>
        <v>0.000158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HYPERLINK("http://141.218.60.56/~jnz1568/getInfo.php?workbook=20_05.xlsx&amp;sheet=U0&amp;row=9127&amp;col=6&amp;number=3.3&amp;sourceID=14","3.3")</f>
        <v>3.3</v>
      </c>
      <c r="G9127" s="4" t="str">
        <f>HYPERLINK("http://141.218.60.56/~jnz1568/getInfo.php?workbook=20_05.xlsx&amp;sheet=U0&amp;row=9127&amp;col=7&amp;number=0.000158&amp;sourceID=14","0.000158")</f>
        <v>0.000158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HYPERLINK("http://141.218.60.56/~jnz1568/getInfo.php?workbook=20_05.xlsx&amp;sheet=U0&amp;row=9128&amp;col=6&amp;number=3.4&amp;sourceID=14","3.4")</f>
        <v>3.4</v>
      </c>
      <c r="G9128" s="4" t="str">
        <f>HYPERLINK("http://141.218.60.56/~jnz1568/getInfo.php?workbook=20_05.xlsx&amp;sheet=U0&amp;row=9128&amp;col=7&amp;number=0.000158&amp;sourceID=14","0.000158")</f>
        <v>0.000158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HYPERLINK("http://141.218.60.56/~jnz1568/getInfo.php?workbook=20_05.xlsx&amp;sheet=U0&amp;row=9129&amp;col=6&amp;number=3.5&amp;sourceID=14","3.5")</f>
        <v>3.5</v>
      </c>
      <c r="G9129" s="4" t="str">
        <f>HYPERLINK("http://141.218.60.56/~jnz1568/getInfo.php?workbook=20_05.xlsx&amp;sheet=U0&amp;row=9129&amp;col=7&amp;number=0.000158&amp;sourceID=14","0.000158")</f>
        <v>0.000158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HYPERLINK("http://141.218.60.56/~jnz1568/getInfo.php?workbook=20_05.xlsx&amp;sheet=U0&amp;row=9130&amp;col=6&amp;number=3.6&amp;sourceID=14","3.6")</f>
        <v>3.6</v>
      </c>
      <c r="G9130" s="4" t="str">
        <f>HYPERLINK("http://141.218.60.56/~jnz1568/getInfo.php?workbook=20_05.xlsx&amp;sheet=U0&amp;row=9130&amp;col=7&amp;number=0.000158&amp;sourceID=14","0.000158")</f>
        <v>0.000158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HYPERLINK("http://141.218.60.56/~jnz1568/getInfo.php?workbook=20_05.xlsx&amp;sheet=U0&amp;row=9131&amp;col=6&amp;number=3.7&amp;sourceID=14","3.7")</f>
        <v>3.7</v>
      </c>
      <c r="G9131" s="4" t="str">
        <f>HYPERLINK("http://141.218.60.56/~jnz1568/getInfo.php?workbook=20_05.xlsx&amp;sheet=U0&amp;row=9131&amp;col=7&amp;number=0.000158&amp;sourceID=14","0.000158")</f>
        <v>0.000158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HYPERLINK("http://141.218.60.56/~jnz1568/getInfo.php?workbook=20_05.xlsx&amp;sheet=U0&amp;row=9132&amp;col=6&amp;number=3.8&amp;sourceID=14","3.8")</f>
        <v>3.8</v>
      </c>
      <c r="G9132" s="4" t="str">
        <f>HYPERLINK("http://141.218.60.56/~jnz1568/getInfo.php?workbook=20_05.xlsx&amp;sheet=U0&amp;row=9132&amp;col=7&amp;number=0.000158&amp;sourceID=14","0.000158")</f>
        <v>0.000158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HYPERLINK("http://141.218.60.56/~jnz1568/getInfo.php?workbook=20_05.xlsx&amp;sheet=U0&amp;row=9133&amp;col=6&amp;number=3.9&amp;sourceID=14","3.9")</f>
        <v>3.9</v>
      </c>
      <c r="G9133" s="4" t="str">
        <f>HYPERLINK("http://141.218.60.56/~jnz1568/getInfo.php?workbook=20_05.xlsx&amp;sheet=U0&amp;row=9133&amp;col=7&amp;number=0.000158&amp;sourceID=14","0.000158")</f>
        <v>0.000158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HYPERLINK("http://141.218.60.56/~jnz1568/getInfo.php?workbook=20_05.xlsx&amp;sheet=U0&amp;row=9134&amp;col=6&amp;number=4&amp;sourceID=14","4")</f>
        <v>4</v>
      </c>
      <c r="G9134" s="4" t="str">
        <f>HYPERLINK("http://141.218.60.56/~jnz1568/getInfo.php?workbook=20_05.xlsx&amp;sheet=U0&amp;row=9134&amp;col=7&amp;number=0.000158&amp;sourceID=14","0.000158")</f>
        <v>0.000158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HYPERLINK("http://141.218.60.56/~jnz1568/getInfo.php?workbook=20_05.xlsx&amp;sheet=U0&amp;row=9135&amp;col=6&amp;number=4.1&amp;sourceID=14","4.1")</f>
        <v>4.1</v>
      </c>
      <c r="G9135" s="4" t="str">
        <f>HYPERLINK("http://141.218.60.56/~jnz1568/getInfo.php?workbook=20_05.xlsx&amp;sheet=U0&amp;row=9135&amp;col=7&amp;number=0.000158&amp;sourceID=14","0.000158")</f>
        <v>0.000158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HYPERLINK("http://141.218.60.56/~jnz1568/getInfo.php?workbook=20_05.xlsx&amp;sheet=U0&amp;row=9136&amp;col=6&amp;number=4.2&amp;sourceID=14","4.2")</f>
        <v>4.2</v>
      </c>
      <c r="G9136" s="4" t="str">
        <f>HYPERLINK("http://141.218.60.56/~jnz1568/getInfo.php?workbook=20_05.xlsx&amp;sheet=U0&amp;row=9136&amp;col=7&amp;number=0.000158&amp;sourceID=14","0.000158")</f>
        <v>0.000158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HYPERLINK("http://141.218.60.56/~jnz1568/getInfo.php?workbook=20_05.xlsx&amp;sheet=U0&amp;row=9137&amp;col=6&amp;number=4.3&amp;sourceID=14","4.3")</f>
        <v>4.3</v>
      </c>
      <c r="G9137" s="4" t="str">
        <f>HYPERLINK("http://141.218.60.56/~jnz1568/getInfo.php?workbook=20_05.xlsx&amp;sheet=U0&amp;row=9137&amp;col=7&amp;number=0.000157&amp;sourceID=14","0.000157")</f>
        <v>0.000157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HYPERLINK("http://141.218.60.56/~jnz1568/getInfo.php?workbook=20_05.xlsx&amp;sheet=U0&amp;row=9138&amp;col=6&amp;number=4.4&amp;sourceID=14","4.4")</f>
        <v>4.4</v>
      </c>
      <c r="G9138" s="4" t="str">
        <f>HYPERLINK("http://141.218.60.56/~jnz1568/getInfo.php?workbook=20_05.xlsx&amp;sheet=U0&amp;row=9138&amp;col=7&amp;number=0.000157&amp;sourceID=14","0.000157")</f>
        <v>0.000157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HYPERLINK("http://141.218.60.56/~jnz1568/getInfo.php?workbook=20_05.xlsx&amp;sheet=U0&amp;row=9139&amp;col=6&amp;number=4.5&amp;sourceID=14","4.5")</f>
        <v>4.5</v>
      </c>
      <c r="G9139" s="4" t="str">
        <f>HYPERLINK("http://141.218.60.56/~jnz1568/getInfo.php?workbook=20_05.xlsx&amp;sheet=U0&amp;row=9139&amp;col=7&amp;number=0.000157&amp;sourceID=14","0.000157")</f>
        <v>0.000157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HYPERLINK("http://141.218.60.56/~jnz1568/getInfo.php?workbook=20_05.xlsx&amp;sheet=U0&amp;row=9140&amp;col=6&amp;number=4.6&amp;sourceID=14","4.6")</f>
        <v>4.6</v>
      </c>
      <c r="G9140" s="4" t="str">
        <f>HYPERLINK("http://141.218.60.56/~jnz1568/getInfo.php?workbook=20_05.xlsx&amp;sheet=U0&amp;row=9140&amp;col=7&amp;number=0.000157&amp;sourceID=14","0.000157")</f>
        <v>0.000157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HYPERLINK("http://141.218.60.56/~jnz1568/getInfo.php?workbook=20_05.xlsx&amp;sheet=U0&amp;row=9141&amp;col=6&amp;number=4.7&amp;sourceID=14","4.7")</f>
        <v>4.7</v>
      </c>
      <c r="G9141" s="4" t="str">
        <f>HYPERLINK("http://141.218.60.56/~jnz1568/getInfo.php?workbook=20_05.xlsx&amp;sheet=U0&amp;row=9141&amp;col=7&amp;number=0.000156&amp;sourceID=14","0.000156")</f>
        <v>0.000156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HYPERLINK("http://141.218.60.56/~jnz1568/getInfo.php?workbook=20_05.xlsx&amp;sheet=U0&amp;row=9142&amp;col=6&amp;number=4.8&amp;sourceID=14","4.8")</f>
        <v>4.8</v>
      </c>
      <c r="G9142" s="4" t="str">
        <f>HYPERLINK("http://141.218.60.56/~jnz1568/getInfo.php?workbook=20_05.xlsx&amp;sheet=U0&amp;row=9142&amp;col=7&amp;number=0.000156&amp;sourceID=14","0.000156")</f>
        <v>0.000156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HYPERLINK("http://141.218.60.56/~jnz1568/getInfo.php?workbook=20_05.xlsx&amp;sheet=U0&amp;row=9143&amp;col=6&amp;number=4.9&amp;sourceID=14","4.9")</f>
        <v>4.9</v>
      </c>
      <c r="G9143" s="4" t="str">
        <f>HYPERLINK("http://141.218.60.56/~jnz1568/getInfo.php?workbook=20_05.xlsx&amp;sheet=U0&amp;row=9143&amp;col=7&amp;number=0.000155&amp;sourceID=14","0.000155")</f>
        <v>0.000155</v>
      </c>
    </row>
    <row r="9144" spans="1:7">
      <c r="A9144" s="3">
        <v>20</v>
      </c>
      <c r="B9144" s="3">
        <v>5</v>
      </c>
      <c r="C9144" s="3">
        <v>4</v>
      </c>
      <c r="D9144" s="3">
        <v>97</v>
      </c>
      <c r="E9144" s="3">
        <v>1</v>
      </c>
      <c r="F9144" s="4" t="str">
        <f>HYPERLINK("http://141.218.60.56/~jnz1568/getInfo.php?workbook=20_05.xlsx&amp;sheet=U0&amp;row=9144&amp;col=6&amp;number=3&amp;sourceID=14","3")</f>
        <v>3</v>
      </c>
      <c r="G9144" s="4" t="str">
        <f>HYPERLINK("http://141.218.60.56/~jnz1568/getInfo.php?workbook=20_05.xlsx&amp;sheet=U0&amp;row=9144&amp;col=7&amp;number=1.71e-05&amp;sourceID=14","1.71e-05")</f>
        <v>1.71e-05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HYPERLINK("http://141.218.60.56/~jnz1568/getInfo.php?workbook=20_05.xlsx&amp;sheet=U0&amp;row=9145&amp;col=6&amp;number=3.1&amp;sourceID=14","3.1")</f>
        <v>3.1</v>
      </c>
      <c r="G9145" s="4" t="str">
        <f>HYPERLINK("http://141.218.60.56/~jnz1568/getInfo.php?workbook=20_05.xlsx&amp;sheet=U0&amp;row=9145&amp;col=7&amp;number=1.71e-05&amp;sourceID=14","1.71e-05")</f>
        <v>1.71e-05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HYPERLINK("http://141.218.60.56/~jnz1568/getInfo.php?workbook=20_05.xlsx&amp;sheet=U0&amp;row=9146&amp;col=6&amp;number=3.2&amp;sourceID=14","3.2")</f>
        <v>3.2</v>
      </c>
      <c r="G9146" s="4" t="str">
        <f>HYPERLINK("http://141.218.60.56/~jnz1568/getInfo.php?workbook=20_05.xlsx&amp;sheet=U0&amp;row=9146&amp;col=7&amp;number=1.71e-05&amp;sourceID=14","1.71e-05")</f>
        <v>1.71e-05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HYPERLINK("http://141.218.60.56/~jnz1568/getInfo.php?workbook=20_05.xlsx&amp;sheet=U0&amp;row=9147&amp;col=6&amp;number=3.3&amp;sourceID=14","3.3")</f>
        <v>3.3</v>
      </c>
      <c r="G9147" s="4" t="str">
        <f>HYPERLINK("http://141.218.60.56/~jnz1568/getInfo.php?workbook=20_05.xlsx&amp;sheet=U0&amp;row=9147&amp;col=7&amp;number=1.71e-05&amp;sourceID=14","1.71e-05")</f>
        <v>1.71e-05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HYPERLINK("http://141.218.60.56/~jnz1568/getInfo.php?workbook=20_05.xlsx&amp;sheet=U0&amp;row=9148&amp;col=6&amp;number=3.4&amp;sourceID=14","3.4")</f>
        <v>3.4</v>
      </c>
      <c r="G9148" s="4" t="str">
        <f>HYPERLINK("http://141.218.60.56/~jnz1568/getInfo.php?workbook=20_05.xlsx&amp;sheet=U0&amp;row=9148&amp;col=7&amp;number=1.71e-05&amp;sourceID=14","1.71e-05")</f>
        <v>1.71e-05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HYPERLINK("http://141.218.60.56/~jnz1568/getInfo.php?workbook=20_05.xlsx&amp;sheet=U0&amp;row=9149&amp;col=6&amp;number=3.5&amp;sourceID=14","3.5")</f>
        <v>3.5</v>
      </c>
      <c r="G9149" s="4" t="str">
        <f>HYPERLINK("http://141.218.60.56/~jnz1568/getInfo.php?workbook=20_05.xlsx&amp;sheet=U0&amp;row=9149&amp;col=7&amp;number=1.71e-05&amp;sourceID=14","1.71e-05")</f>
        <v>1.71e-05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HYPERLINK("http://141.218.60.56/~jnz1568/getInfo.php?workbook=20_05.xlsx&amp;sheet=U0&amp;row=9150&amp;col=6&amp;number=3.6&amp;sourceID=14","3.6")</f>
        <v>3.6</v>
      </c>
      <c r="G9150" s="4" t="str">
        <f>HYPERLINK("http://141.218.60.56/~jnz1568/getInfo.php?workbook=20_05.xlsx&amp;sheet=U0&amp;row=9150&amp;col=7&amp;number=1.71e-05&amp;sourceID=14","1.71e-05")</f>
        <v>1.71e-05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HYPERLINK("http://141.218.60.56/~jnz1568/getInfo.php?workbook=20_05.xlsx&amp;sheet=U0&amp;row=9151&amp;col=6&amp;number=3.7&amp;sourceID=14","3.7")</f>
        <v>3.7</v>
      </c>
      <c r="G9151" s="4" t="str">
        <f>HYPERLINK("http://141.218.60.56/~jnz1568/getInfo.php?workbook=20_05.xlsx&amp;sheet=U0&amp;row=9151&amp;col=7&amp;number=1.71e-05&amp;sourceID=14","1.71e-05")</f>
        <v>1.71e-05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HYPERLINK("http://141.218.60.56/~jnz1568/getInfo.php?workbook=20_05.xlsx&amp;sheet=U0&amp;row=9152&amp;col=6&amp;number=3.8&amp;sourceID=14","3.8")</f>
        <v>3.8</v>
      </c>
      <c r="G9152" s="4" t="str">
        <f>HYPERLINK("http://141.218.60.56/~jnz1568/getInfo.php?workbook=20_05.xlsx&amp;sheet=U0&amp;row=9152&amp;col=7&amp;number=1.71e-05&amp;sourceID=14","1.71e-05")</f>
        <v>1.71e-05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HYPERLINK("http://141.218.60.56/~jnz1568/getInfo.php?workbook=20_05.xlsx&amp;sheet=U0&amp;row=9153&amp;col=6&amp;number=3.9&amp;sourceID=14","3.9")</f>
        <v>3.9</v>
      </c>
      <c r="G9153" s="4" t="str">
        <f>HYPERLINK("http://141.218.60.56/~jnz1568/getInfo.php?workbook=20_05.xlsx&amp;sheet=U0&amp;row=9153&amp;col=7&amp;number=1.71e-05&amp;sourceID=14","1.71e-05")</f>
        <v>1.71e-05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HYPERLINK("http://141.218.60.56/~jnz1568/getInfo.php?workbook=20_05.xlsx&amp;sheet=U0&amp;row=9154&amp;col=6&amp;number=4&amp;sourceID=14","4")</f>
        <v>4</v>
      </c>
      <c r="G9154" s="4" t="str">
        <f>HYPERLINK("http://141.218.60.56/~jnz1568/getInfo.php?workbook=20_05.xlsx&amp;sheet=U0&amp;row=9154&amp;col=7&amp;number=1.71e-05&amp;sourceID=14","1.71e-05")</f>
        <v>1.71e-05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HYPERLINK("http://141.218.60.56/~jnz1568/getInfo.php?workbook=20_05.xlsx&amp;sheet=U0&amp;row=9155&amp;col=6&amp;number=4.1&amp;sourceID=14","4.1")</f>
        <v>4.1</v>
      </c>
      <c r="G9155" s="4" t="str">
        <f>HYPERLINK("http://141.218.60.56/~jnz1568/getInfo.php?workbook=20_05.xlsx&amp;sheet=U0&amp;row=9155&amp;col=7&amp;number=1.7e-05&amp;sourceID=14","1.7e-05")</f>
        <v>1.7e-05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HYPERLINK("http://141.218.60.56/~jnz1568/getInfo.php?workbook=20_05.xlsx&amp;sheet=U0&amp;row=9156&amp;col=6&amp;number=4.2&amp;sourceID=14","4.2")</f>
        <v>4.2</v>
      </c>
      <c r="G9156" s="4" t="str">
        <f>HYPERLINK("http://141.218.60.56/~jnz1568/getInfo.php?workbook=20_05.xlsx&amp;sheet=U0&amp;row=9156&amp;col=7&amp;number=1.7e-05&amp;sourceID=14","1.7e-05")</f>
        <v>1.7e-05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HYPERLINK("http://141.218.60.56/~jnz1568/getInfo.php?workbook=20_05.xlsx&amp;sheet=U0&amp;row=9157&amp;col=6&amp;number=4.3&amp;sourceID=14","4.3")</f>
        <v>4.3</v>
      </c>
      <c r="G9157" s="4" t="str">
        <f>HYPERLINK("http://141.218.60.56/~jnz1568/getInfo.php?workbook=20_05.xlsx&amp;sheet=U0&amp;row=9157&amp;col=7&amp;number=1.7e-05&amp;sourceID=14","1.7e-05")</f>
        <v>1.7e-05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HYPERLINK("http://141.218.60.56/~jnz1568/getInfo.php?workbook=20_05.xlsx&amp;sheet=U0&amp;row=9158&amp;col=6&amp;number=4.4&amp;sourceID=14","4.4")</f>
        <v>4.4</v>
      </c>
      <c r="G9158" s="4" t="str">
        <f>HYPERLINK("http://141.218.60.56/~jnz1568/getInfo.php?workbook=20_05.xlsx&amp;sheet=U0&amp;row=9158&amp;col=7&amp;number=1.7e-05&amp;sourceID=14","1.7e-05")</f>
        <v>1.7e-05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HYPERLINK("http://141.218.60.56/~jnz1568/getInfo.php?workbook=20_05.xlsx&amp;sheet=U0&amp;row=9159&amp;col=6&amp;number=4.5&amp;sourceID=14","4.5")</f>
        <v>4.5</v>
      </c>
      <c r="G9159" s="4" t="str">
        <f>HYPERLINK("http://141.218.60.56/~jnz1568/getInfo.php?workbook=20_05.xlsx&amp;sheet=U0&amp;row=9159&amp;col=7&amp;number=1.7e-05&amp;sourceID=14","1.7e-05")</f>
        <v>1.7e-05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HYPERLINK("http://141.218.60.56/~jnz1568/getInfo.php?workbook=20_05.xlsx&amp;sheet=U0&amp;row=9160&amp;col=6&amp;number=4.6&amp;sourceID=14","4.6")</f>
        <v>4.6</v>
      </c>
      <c r="G9160" s="4" t="str">
        <f>HYPERLINK("http://141.218.60.56/~jnz1568/getInfo.php?workbook=20_05.xlsx&amp;sheet=U0&amp;row=9160&amp;col=7&amp;number=1.7e-05&amp;sourceID=14","1.7e-05")</f>
        <v>1.7e-05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HYPERLINK("http://141.218.60.56/~jnz1568/getInfo.php?workbook=20_05.xlsx&amp;sheet=U0&amp;row=9161&amp;col=6&amp;number=4.7&amp;sourceID=14","4.7")</f>
        <v>4.7</v>
      </c>
      <c r="G9161" s="4" t="str">
        <f>HYPERLINK("http://141.218.60.56/~jnz1568/getInfo.php?workbook=20_05.xlsx&amp;sheet=U0&amp;row=9161&amp;col=7&amp;number=1.69e-05&amp;sourceID=14","1.69e-05")</f>
        <v>1.69e-05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HYPERLINK("http://141.218.60.56/~jnz1568/getInfo.php?workbook=20_05.xlsx&amp;sheet=U0&amp;row=9162&amp;col=6&amp;number=4.8&amp;sourceID=14","4.8")</f>
        <v>4.8</v>
      </c>
      <c r="G9162" s="4" t="str">
        <f>HYPERLINK("http://141.218.60.56/~jnz1568/getInfo.php?workbook=20_05.xlsx&amp;sheet=U0&amp;row=9162&amp;col=7&amp;number=1.69e-05&amp;sourceID=14","1.69e-05")</f>
        <v>1.69e-05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HYPERLINK("http://141.218.60.56/~jnz1568/getInfo.php?workbook=20_05.xlsx&amp;sheet=U0&amp;row=9163&amp;col=6&amp;number=4.9&amp;sourceID=14","4.9")</f>
        <v>4.9</v>
      </c>
      <c r="G9163" s="4" t="str">
        <f>HYPERLINK("http://141.218.60.56/~jnz1568/getInfo.php?workbook=20_05.xlsx&amp;sheet=U0&amp;row=9163&amp;col=7&amp;number=1.69e-05&amp;sourceID=14","1.69e-05")</f>
        <v>1.69e-05</v>
      </c>
    </row>
    <row r="9164" spans="1:7">
      <c r="A9164" s="3">
        <v>20</v>
      </c>
      <c r="B9164" s="3">
        <v>5</v>
      </c>
      <c r="C9164" s="3">
        <v>4</v>
      </c>
      <c r="D9164" s="3">
        <v>98</v>
      </c>
      <c r="E9164" s="3">
        <v>1</v>
      </c>
      <c r="F9164" s="4" t="str">
        <f>HYPERLINK("http://141.218.60.56/~jnz1568/getInfo.php?workbook=20_05.xlsx&amp;sheet=U0&amp;row=9164&amp;col=6&amp;number=3&amp;sourceID=14","3")</f>
        <v>3</v>
      </c>
      <c r="G9164" s="4" t="str">
        <f>HYPERLINK("http://141.218.60.56/~jnz1568/getInfo.php?workbook=20_05.xlsx&amp;sheet=U0&amp;row=9164&amp;col=7&amp;number=0.00136&amp;sourceID=14","0.00136")</f>
        <v>0.00136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HYPERLINK("http://141.218.60.56/~jnz1568/getInfo.php?workbook=20_05.xlsx&amp;sheet=U0&amp;row=9165&amp;col=6&amp;number=3.1&amp;sourceID=14","3.1")</f>
        <v>3.1</v>
      </c>
      <c r="G9165" s="4" t="str">
        <f>HYPERLINK("http://141.218.60.56/~jnz1568/getInfo.php?workbook=20_05.xlsx&amp;sheet=U0&amp;row=9165&amp;col=7&amp;number=0.00136&amp;sourceID=14","0.00136")</f>
        <v>0.00136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HYPERLINK("http://141.218.60.56/~jnz1568/getInfo.php?workbook=20_05.xlsx&amp;sheet=U0&amp;row=9166&amp;col=6&amp;number=3.2&amp;sourceID=14","3.2")</f>
        <v>3.2</v>
      </c>
      <c r="G9166" s="4" t="str">
        <f>HYPERLINK("http://141.218.60.56/~jnz1568/getInfo.php?workbook=20_05.xlsx&amp;sheet=U0&amp;row=9166&amp;col=7&amp;number=0.00136&amp;sourceID=14","0.00136")</f>
        <v>0.00136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HYPERLINK("http://141.218.60.56/~jnz1568/getInfo.php?workbook=20_05.xlsx&amp;sheet=U0&amp;row=9167&amp;col=6&amp;number=3.3&amp;sourceID=14","3.3")</f>
        <v>3.3</v>
      </c>
      <c r="G9167" s="4" t="str">
        <f>HYPERLINK("http://141.218.60.56/~jnz1568/getInfo.php?workbook=20_05.xlsx&amp;sheet=U0&amp;row=9167&amp;col=7&amp;number=0.00136&amp;sourceID=14","0.00136")</f>
        <v>0.00136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HYPERLINK("http://141.218.60.56/~jnz1568/getInfo.php?workbook=20_05.xlsx&amp;sheet=U0&amp;row=9168&amp;col=6&amp;number=3.4&amp;sourceID=14","3.4")</f>
        <v>3.4</v>
      </c>
      <c r="G9168" s="4" t="str">
        <f>HYPERLINK("http://141.218.60.56/~jnz1568/getInfo.php?workbook=20_05.xlsx&amp;sheet=U0&amp;row=9168&amp;col=7&amp;number=0.00136&amp;sourceID=14","0.00136")</f>
        <v>0.00136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HYPERLINK("http://141.218.60.56/~jnz1568/getInfo.php?workbook=20_05.xlsx&amp;sheet=U0&amp;row=9169&amp;col=6&amp;number=3.5&amp;sourceID=14","3.5")</f>
        <v>3.5</v>
      </c>
      <c r="G9169" s="4" t="str">
        <f>HYPERLINK("http://141.218.60.56/~jnz1568/getInfo.php?workbook=20_05.xlsx&amp;sheet=U0&amp;row=9169&amp;col=7&amp;number=0.00136&amp;sourceID=14","0.00136")</f>
        <v>0.00136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HYPERLINK("http://141.218.60.56/~jnz1568/getInfo.php?workbook=20_05.xlsx&amp;sheet=U0&amp;row=9170&amp;col=6&amp;number=3.6&amp;sourceID=14","3.6")</f>
        <v>3.6</v>
      </c>
      <c r="G9170" s="4" t="str">
        <f>HYPERLINK("http://141.218.60.56/~jnz1568/getInfo.php?workbook=20_05.xlsx&amp;sheet=U0&amp;row=9170&amp;col=7&amp;number=0.00136&amp;sourceID=14","0.00136")</f>
        <v>0.00136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HYPERLINK("http://141.218.60.56/~jnz1568/getInfo.php?workbook=20_05.xlsx&amp;sheet=U0&amp;row=9171&amp;col=6&amp;number=3.7&amp;sourceID=14","3.7")</f>
        <v>3.7</v>
      </c>
      <c r="G9171" s="4" t="str">
        <f>HYPERLINK("http://141.218.60.56/~jnz1568/getInfo.php?workbook=20_05.xlsx&amp;sheet=U0&amp;row=9171&amp;col=7&amp;number=0.00136&amp;sourceID=14","0.00136")</f>
        <v>0.00136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HYPERLINK("http://141.218.60.56/~jnz1568/getInfo.php?workbook=20_05.xlsx&amp;sheet=U0&amp;row=9172&amp;col=6&amp;number=3.8&amp;sourceID=14","3.8")</f>
        <v>3.8</v>
      </c>
      <c r="G9172" s="4" t="str">
        <f>HYPERLINK("http://141.218.60.56/~jnz1568/getInfo.php?workbook=20_05.xlsx&amp;sheet=U0&amp;row=9172&amp;col=7&amp;number=0.00136&amp;sourceID=14","0.00136")</f>
        <v>0.00136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HYPERLINK("http://141.218.60.56/~jnz1568/getInfo.php?workbook=20_05.xlsx&amp;sheet=U0&amp;row=9173&amp;col=6&amp;number=3.9&amp;sourceID=14","3.9")</f>
        <v>3.9</v>
      </c>
      <c r="G9173" s="4" t="str">
        <f>HYPERLINK("http://141.218.60.56/~jnz1568/getInfo.php?workbook=20_05.xlsx&amp;sheet=U0&amp;row=9173&amp;col=7&amp;number=0.00136&amp;sourceID=14","0.00136")</f>
        <v>0.00136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HYPERLINK("http://141.218.60.56/~jnz1568/getInfo.php?workbook=20_05.xlsx&amp;sheet=U0&amp;row=9174&amp;col=6&amp;number=4&amp;sourceID=14","4")</f>
        <v>4</v>
      </c>
      <c r="G9174" s="4" t="str">
        <f>HYPERLINK("http://141.218.60.56/~jnz1568/getInfo.php?workbook=20_05.xlsx&amp;sheet=U0&amp;row=9174&amp;col=7&amp;number=0.00136&amp;sourceID=14","0.00136")</f>
        <v>0.00136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HYPERLINK("http://141.218.60.56/~jnz1568/getInfo.php?workbook=20_05.xlsx&amp;sheet=U0&amp;row=9175&amp;col=6&amp;number=4.1&amp;sourceID=14","4.1")</f>
        <v>4.1</v>
      </c>
      <c r="G9175" s="4" t="str">
        <f>HYPERLINK("http://141.218.60.56/~jnz1568/getInfo.php?workbook=20_05.xlsx&amp;sheet=U0&amp;row=9175&amp;col=7&amp;number=0.00136&amp;sourceID=14","0.00136")</f>
        <v>0.00136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HYPERLINK("http://141.218.60.56/~jnz1568/getInfo.php?workbook=20_05.xlsx&amp;sheet=U0&amp;row=9176&amp;col=6&amp;number=4.2&amp;sourceID=14","4.2")</f>
        <v>4.2</v>
      </c>
      <c r="G9176" s="4" t="str">
        <f>HYPERLINK("http://141.218.60.56/~jnz1568/getInfo.php?workbook=20_05.xlsx&amp;sheet=U0&amp;row=9176&amp;col=7&amp;number=0.00136&amp;sourceID=14","0.00136")</f>
        <v>0.00136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HYPERLINK("http://141.218.60.56/~jnz1568/getInfo.php?workbook=20_05.xlsx&amp;sheet=U0&amp;row=9177&amp;col=6&amp;number=4.3&amp;sourceID=14","4.3")</f>
        <v>4.3</v>
      </c>
      <c r="G9177" s="4" t="str">
        <f>HYPERLINK("http://141.218.60.56/~jnz1568/getInfo.php?workbook=20_05.xlsx&amp;sheet=U0&amp;row=9177&amp;col=7&amp;number=0.00136&amp;sourceID=14","0.00136")</f>
        <v>0.00136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HYPERLINK("http://141.218.60.56/~jnz1568/getInfo.php?workbook=20_05.xlsx&amp;sheet=U0&amp;row=9178&amp;col=6&amp;number=4.4&amp;sourceID=14","4.4")</f>
        <v>4.4</v>
      </c>
      <c r="G9178" s="4" t="str">
        <f>HYPERLINK("http://141.218.60.56/~jnz1568/getInfo.php?workbook=20_05.xlsx&amp;sheet=U0&amp;row=9178&amp;col=7&amp;number=0.00137&amp;sourceID=14","0.00137")</f>
        <v>0.00137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HYPERLINK("http://141.218.60.56/~jnz1568/getInfo.php?workbook=20_05.xlsx&amp;sheet=U0&amp;row=9179&amp;col=6&amp;number=4.5&amp;sourceID=14","4.5")</f>
        <v>4.5</v>
      </c>
      <c r="G9179" s="4" t="str">
        <f>HYPERLINK("http://141.218.60.56/~jnz1568/getInfo.php?workbook=20_05.xlsx&amp;sheet=U0&amp;row=9179&amp;col=7&amp;number=0.00137&amp;sourceID=14","0.00137")</f>
        <v>0.00137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HYPERLINK("http://141.218.60.56/~jnz1568/getInfo.php?workbook=20_05.xlsx&amp;sheet=U0&amp;row=9180&amp;col=6&amp;number=4.6&amp;sourceID=14","4.6")</f>
        <v>4.6</v>
      </c>
      <c r="G9180" s="4" t="str">
        <f>HYPERLINK("http://141.218.60.56/~jnz1568/getInfo.php?workbook=20_05.xlsx&amp;sheet=U0&amp;row=9180&amp;col=7&amp;number=0.00137&amp;sourceID=14","0.00137")</f>
        <v>0.00137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HYPERLINK("http://141.218.60.56/~jnz1568/getInfo.php?workbook=20_05.xlsx&amp;sheet=U0&amp;row=9181&amp;col=6&amp;number=4.7&amp;sourceID=14","4.7")</f>
        <v>4.7</v>
      </c>
      <c r="G9181" s="4" t="str">
        <f>HYPERLINK("http://141.218.60.56/~jnz1568/getInfo.php?workbook=20_05.xlsx&amp;sheet=U0&amp;row=9181&amp;col=7&amp;number=0.00137&amp;sourceID=14","0.00137")</f>
        <v>0.00137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HYPERLINK("http://141.218.60.56/~jnz1568/getInfo.php?workbook=20_05.xlsx&amp;sheet=U0&amp;row=9182&amp;col=6&amp;number=4.8&amp;sourceID=14","4.8")</f>
        <v>4.8</v>
      </c>
      <c r="G9182" s="4" t="str">
        <f>HYPERLINK("http://141.218.60.56/~jnz1568/getInfo.php?workbook=20_05.xlsx&amp;sheet=U0&amp;row=9182&amp;col=7&amp;number=0.00138&amp;sourceID=14","0.00138")</f>
        <v>0.00138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HYPERLINK("http://141.218.60.56/~jnz1568/getInfo.php?workbook=20_05.xlsx&amp;sheet=U0&amp;row=9183&amp;col=6&amp;number=4.9&amp;sourceID=14","4.9")</f>
        <v>4.9</v>
      </c>
      <c r="G9183" s="4" t="str">
        <f>HYPERLINK("http://141.218.60.56/~jnz1568/getInfo.php?workbook=20_05.xlsx&amp;sheet=U0&amp;row=9183&amp;col=7&amp;number=0.00138&amp;sourceID=14","0.00138")</f>
        <v>0.00138</v>
      </c>
    </row>
    <row r="9184" spans="1:7">
      <c r="A9184" s="3">
        <v>20</v>
      </c>
      <c r="B9184" s="3">
        <v>5</v>
      </c>
      <c r="C9184" s="3">
        <v>4</v>
      </c>
      <c r="D9184" s="3">
        <v>99</v>
      </c>
      <c r="E9184" s="3">
        <v>1</v>
      </c>
      <c r="F9184" s="4" t="str">
        <f>HYPERLINK("http://141.218.60.56/~jnz1568/getInfo.php?workbook=20_05.xlsx&amp;sheet=U0&amp;row=9184&amp;col=6&amp;number=3&amp;sourceID=14","3")</f>
        <v>3</v>
      </c>
      <c r="G9184" s="4" t="str">
        <f>HYPERLINK("http://141.218.60.56/~jnz1568/getInfo.php?workbook=20_05.xlsx&amp;sheet=U0&amp;row=9184&amp;col=7&amp;number=0.00143&amp;sourceID=14","0.00143")</f>
        <v>0.00143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HYPERLINK("http://141.218.60.56/~jnz1568/getInfo.php?workbook=20_05.xlsx&amp;sheet=U0&amp;row=9185&amp;col=6&amp;number=3.1&amp;sourceID=14","3.1")</f>
        <v>3.1</v>
      </c>
      <c r="G9185" s="4" t="str">
        <f>HYPERLINK("http://141.218.60.56/~jnz1568/getInfo.php?workbook=20_05.xlsx&amp;sheet=U0&amp;row=9185&amp;col=7&amp;number=0.00143&amp;sourceID=14","0.00143")</f>
        <v>0.00143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HYPERLINK("http://141.218.60.56/~jnz1568/getInfo.php?workbook=20_05.xlsx&amp;sheet=U0&amp;row=9186&amp;col=6&amp;number=3.2&amp;sourceID=14","3.2")</f>
        <v>3.2</v>
      </c>
      <c r="G9186" s="4" t="str">
        <f>HYPERLINK("http://141.218.60.56/~jnz1568/getInfo.php?workbook=20_05.xlsx&amp;sheet=U0&amp;row=9186&amp;col=7&amp;number=0.00143&amp;sourceID=14","0.00143")</f>
        <v>0.00143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HYPERLINK("http://141.218.60.56/~jnz1568/getInfo.php?workbook=20_05.xlsx&amp;sheet=U0&amp;row=9187&amp;col=6&amp;number=3.3&amp;sourceID=14","3.3")</f>
        <v>3.3</v>
      </c>
      <c r="G9187" s="4" t="str">
        <f>HYPERLINK("http://141.218.60.56/~jnz1568/getInfo.php?workbook=20_05.xlsx&amp;sheet=U0&amp;row=9187&amp;col=7&amp;number=0.00143&amp;sourceID=14","0.00143")</f>
        <v>0.00143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HYPERLINK("http://141.218.60.56/~jnz1568/getInfo.php?workbook=20_05.xlsx&amp;sheet=U0&amp;row=9188&amp;col=6&amp;number=3.4&amp;sourceID=14","3.4")</f>
        <v>3.4</v>
      </c>
      <c r="G9188" s="4" t="str">
        <f>HYPERLINK("http://141.218.60.56/~jnz1568/getInfo.php?workbook=20_05.xlsx&amp;sheet=U0&amp;row=9188&amp;col=7&amp;number=0.00143&amp;sourceID=14","0.00143")</f>
        <v>0.00143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HYPERLINK("http://141.218.60.56/~jnz1568/getInfo.php?workbook=20_05.xlsx&amp;sheet=U0&amp;row=9189&amp;col=6&amp;number=3.5&amp;sourceID=14","3.5")</f>
        <v>3.5</v>
      </c>
      <c r="G9189" s="4" t="str">
        <f>HYPERLINK("http://141.218.60.56/~jnz1568/getInfo.php?workbook=20_05.xlsx&amp;sheet=U0&amp;row=9189&amp;col=7&amp;number=0.00143&amp;sourceID=14","0.00143")</f>
        <v>0.00143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HYPERLINK("http://141.218.60.56/~jnz1568/getInfo.php?workbook=20_05.xlsx&amp;sheet=U0&amp;row=9190&amp;col=6&amp;number=3.6&amp;sourceID=14","3.6")</f>
        <v>3.6</v>
      </c>
      <c r="G9190" s="4" t="str">
        <f>HYPERLINK("http://141.218.60.56/~jnz1568/getInfo.php?workbook=20_05.xlsx&amp;sheet=U0&amp;row=9190&amp;col=7&amp;number=0.00143&amp;sourceID=14","0.00143")</f>
        <v>0.00143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HYPERLINK("http://141.218.60.56/~jnz1568/getInfo.php?workbook=20_05.xlsx&amp;sheet=U0&amp;row=9191&amp;col=6&amp;number=3.7&amp;sourceID=14","3.7")</f>
        <v>3.7</v>
      </c>
      <c r="G9191" s="4" t="str">
        <f>HYPERLINK("http://141.218.60.56/~jnz1568/getInfo.php?workbook=20_05.xlsx&amp;sheet=U0&amp;row=9191&amp;col=7&amp;number=0.00143&amp;sourceID=14","0.00143")</f>
        <v>0.00143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HYPERLINK("http://141.218.60.56/~jnz1568/getInfo.php?workbook=20_05.xlsx&amp;sheet=U0&amp;row=9192&amp;col=6&amp;number=3.8&amp;sourceID=14","3.8")</f>
        <v>3.8</v>
      </c>
      <c r="G9192" s="4" t="str">
        <f>HYPERLINK("http://141.218.60.56/~jnz1568/getInfo.php?workbook=20_05.xlsx&amp;sheet=U0&amp;row=9192&amp;col=7&amp;number=0.00143&amp;sourceID=14","0.00143")</f>
        <v>0.00143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HYPERLINK("http://141.218.60.56/~jnz1568/getInfo.php?workbook=20_05.xlsx&amp;sheet=U0&amp;row=9193&amp;col=6&amp;number=3.9&amp;sourceID=14","3.9")</f>
        <v>3.9</v>
      </c>
      <c r="G9193" s="4" t="str">
        <f>HYPERLINK("http://141.218.60.56/~jnz1568/getInfo.php?workbook=20_05.xlsx&amp;sheet=U0&amp;row=9193&amp;col=7&amp;number=0.00143&amp;sourceID=14","0.00143")</f>
        <v>0.00143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HYPERLINK("http://141.218.60.56/~jnz1568/getInfo.php?workbook=20_05.xlsx&amp;sheet=U0&amp;row=9194&amp;col=6&amp;number=4&amp;sourceID=14","4")</f>
        <v>4</v>
      </c>
      <c r="G9194" s="4" t="str">
        <f>HYPERLINK("http://141.218.60.56/~jnz1568/getInfo.php?workbook=20_05.xlsx&amp;sheet=U0&amp;row=9194&amp;col=7&amp;number=0.00144&amp;sourceID=14","0.00144")</f>
        <v>0.00144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HYPERLINK("http://141.218.60.56/~jnz1568/getInfo.php?workbook=20_05.xlsx&amp;sheet=U0&amp;row=9195&amp;col=6&amp;number=4.1&amp;sourceID=14","4.1")</f>
        <v>4.1</v>
      </c>
      <c r="G9195" s="4" t="str">
        <f>HYPERLINK("http://141.218.60.56/~jnz1568/getInfo.php?workbook=20_05.xlsx&amp;sheet=U0&amp;row=9195&amp;col=7&amp;number=0.00144&amp;sourceID=14","0.00144")</f>
        <v>0.00144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HYPERLINK("http://141.218.60.56/~jnz1568/getInfo.php?workbook=20_05.xlsx&amp;sheet=U0&amp;row=9196&amp;col=6&amp;number=4.2&amp;sourceID=14","4.2")</f>
        <v>4.2</v>
      </c>
      <c r="G9196" s="4" t="str">
        <f>HYPERLINK("http://141.218.60.56/~jnz1568/getInfo.php?workbook=20_05.xlsx&amp;sheet=U0&amp;row=9196&amp;col=7&amp;number=0.00144&amp;sourceID=14","0.00144")</f>
        <v>0.00144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HYPERLINK("http://141.218.60.56/~jnz1568/getInfo.php?workbook=20_05.xlsx&amp;sheet=U0&amp;row=9197&amp;col=6&amp;number=4.3&amp;sourceID=14","4.3")</f>
        <v>4.3</v>
      </c>
      <c r="G9197" s="4" t="str">
        <f>HYPERLINK("http://141.218.60.56/~jnz1568/getInfo.php?workbook=20_05.xlsx&amp;sheet=U0&amp;row=9197&amp;col=7&amp;number=0.00144&amp;sourceID=14","0.00144")</f>
        <v>0.00144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HYPERLINK("http://141.218.60.56/~jnz1568/getInfo.php?workbook=20_05.xlsx&amp;sheet=U0&amp;row=9198&amp;col=6&amp;number=4.4&amp;sourceID=14","4.4")</f>
        <v>4.4</v>
      </c>
      <c r="G9198" s="4" t="str">
        <f>HYPERLINK("http://141.218.60.56/~jnz1568/getInfo.php?workbook=20_05.xlsx&amp;sheet=U0&amp;row=9198&amp;col=7&amp;number=0.00144&amp;sourceID=14","0.00144")</f>
        <v>0.00144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HYPERLINK("http://141.218.60.56/~jnz1568/getInfo.php?workbook=20_05.xlsx&amp;sheet=U0&amp;row=9199&amp;col=6&amp;number=4.5&amp;sourceID=14","4.5")</f>
        <v>4.5</v>
      </c>
      <c r="G9199" s="4" t="str">
        <f>HYPERLINK("http://141.218.60.56/~jnz1568/getInfo.php?workbook=20_05.xlsx&amp;sheet=U0&amp;row=9199&amp;col=7&amp;number=0.00145&amp;sourceID=14","0.00145")</f>
        <v>0.00145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HYPERLINK("http://141.218.60.56/~jnz1568/getInfo.php?workbook=20_05.xlsx&amp;sheet=U0&amp;row=9200&amp;col=6&amp;number=4.6&amp;sourceID=14","4.6")</f>
        <v>4.6</v>
      </c>
      <c r="G9200" s="4" t="str">
        <f>HYPERLINK("http://141.218.60.56/~jnz1568/getInfo.php?workbook=20_05.xlsx&amp;sheet=U0&amp;row=9200&amp;col=7&amp;number=0.00145&amp;sourceID=14","0.00145")</f>
        <v>0.00145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HYPERLINK("http://141.218.60.56/~jnz1568/getInfo.php?workbook=20_05.xlsx&amp;sheet=U0&amp;row=9201&amp;col=6&amp;number=4.7&amp;sourceID=14","4.7")</f>
        <v>4.7</v>
      </c>
      <c r="G9201" s="4" t="str">
        <f>HYPERLINK("http://141.218.60.56/~jnz1568/getInfo.php?workbook=20_05.xlsx&amp;sheet=U0&amp;row=9201&amp;col=7&amp;number=0.00146&amp;sourceID=14","0.00146")</f>
        <v>0.00146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HYPERLINK("http://141.218.60.56/~jnz1568/getInfo.php?workbook=20_05.xlsx&amp;sheet=U0&amp;row=9202&amp;col=6&amp;number=4.8&amp;sourceID=14","4.8")</f>
        <v>4.8</v>
      </c>
      <c r="G9202" s="4" t="str">
        <f>HYPERLINK("http://141.218.60.56/~jnz1568/getInfo.php?workbook=20_05.xlsx&amp;sheet=U0&amp;row=9202&amp;col=7&amp;number=0.00147&amp;sourceID=14","0.00147")</f>
        <v>0.00147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HYPERLINK("http://141.218.60.56/~jnz1568/getInfo.php?workbook=20_05.xlsx&amp;sheet=U0&amp;row=9203&amp;col=6&amp;number=4.9&amp;sourceID=14","4.9")</f>
        <v>4.9</v>
      </c>
      <c r="G9203" s="4" t="str">
        <f>HYPERLINK("http://141.218.60.56/~jnz1568/getInfo.php?workbook=20_05.xlsx&amp;sheet=U0&amp;row=9203&amp;col=7&amp;number=0.00148&amp;sourceID=14","0.00148")</f>
        <v>0.00148</v>
      </c>
    </row>
    <row r="9204" spans="1:7">
      <c r="A9204" s="3">
        <v>20</v>
      </c>
      <c r="B9204" s="3">
        <v>5</v>
      </c>
      <c r="C9204" s="3">
        <v>4</v>
      </c>
      <c r="D9204" s="3">
        <v>100</v>
      </c>
      <c r="E9204" s="3">
        <v>1</v>
      </c>
      <c r="F9204" s="4" t="str">
        <f>HYPERLINK("http://141.218.60.56/~jnz1568/getInfo.php?workbook=20_05.xlsx&amp;sheet=U0&amp;row=9204&amp;col=6&amp;number=3&amp;sourceID=14","3")</f>
        <v>3</v>
      </c>
      <c r="G9204" s="4" t="str">
        <f>HYPERLINK("http://141.218.60.56/~jnz1568/getInfo.php?workbook=20_05.xlsx&amp;sheet=U0&amp;row=9204&amp;col=7&amp;number=0.00142&amp;sourceID=14","0.00142")</f>
        <v>0.00142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HYPERLINK("http://141.218.60.56/~jnz1568/getInfo.php?workbook=20_05.xlsx&amp;sheet=U0&amp;row=9205&amp;col=6&amp;number=3.1&amp;sourceID=14","3.1")</f>
        <v>3.1</v>
      </c>
      <c r="G9205" s="4" t="str">
        <f>HYPERLINK("http://141.218.60.56/~jnz1568/getInfo.php?workbook=20_05.xlsx&amp;sheet=U0&amp;row=9205&amp;col=7&amp;number=0.00142&amp;sourceID=14","0.00142")</f>
        <v>0.00142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HYPERLINK("http://141.218.60.56/~jnz1568/getInfo.php?workbook=20_05.xlsx&amp;sheet=U0&amp;row=9206&amp;col=6&amp;number=3.2&amp;sourceID=14","3.2")</f>
        <v>3.2</v>
      </c>
      <c r="G9206" s="4" t="str">
        <f>HYPERLINK("http://141.218.60.56/~jnz1568/getInfo.php?workbook=20_05.xlsx&amp;sheet=U0&amp;row=9206&amp;col=7&amp;number=0.00142&amp;sourceID=14","0.00142")</f>
        <v>0.00142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HYPERLINK("http://141.218.60.56/~jnz1568/getInfo.php?workbook=20_05.xlsx&amp;sheet=U0&amp;row=9207&amp;col=6&amp;number=3.3&amp;sourceID=14","3.3")</f>
        <v>3.3</v>
      </c>
      <c r="G9207" s="4" t="str">
        <f>HYPERLINK("http://141.218.60.56/~jnz1568/getInfo.php?workbook=20_05.xlsx&amp;sheet=U0&amp;row=9207&amp;col=7&amp;number=0.00142&amp;sourceID=14","0.00142")</f>
        <v>0.00142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HYPERLINK("http://141.218.60.56/~jnz1568/getInfo.php?workbook=20_05.xlsx&amp;sheet=U0&amp;row=9208&amp;col=6&amp;number=3.4&amp;sourceID=14","3.4")</f>
        <v>3.4</v>
      </c>
      <c r="G9208" s="4" t="str">
        <f>HYPERLINK("http://141.218.60.56/~jnz1568/getInfo.php?workbook=20_05.xlsx&amp;sheet=U0&amp;row=9208&amp;col=7&amp;number=0.00142&amp;sourceID=14","0.00142")</f>
        <v>0.00142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HYPERLINK("http://141.218.60.56/~jnz1568/getInfo.php?workbook=20_05.xlsx&amp;sheet=U0&amp;row=9209&amp;col=6&amp;number=3.5&amp;sourceID=14","3.5")</f>
        <v>3.5</v>
      </c>
      <c r="G9209" s="4" t="str">
        <f>HYPERLINK("http://141.218.60.56/~jnz1568/getInfo.php?workbook=20_05.xlsx&amp;sheet=U0&amp;row=9209&amp;col=7&amp;number=0.00142&amp;sourceID=14","0.00142")</f>
        <v>0.00142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HYPERLINK("http://141.218.60.56/~jnz1568/getInfo.php?workbook=20_05.xlsx&amp;sheet=U0&amp;row=9210&amp;col=6&amp;number=3.6&amp;sourceID=14","3.6")</f>
        <v>3.6</v>
      </c>
      <c r="G9210" s="4" t="str">
        <f>HYPERLINK("http://141.218.60.56/~jnz1568/getInfo.php?workbook=20_05.xlsx&amp;sheet=U0&amp;row=9210&amp;col=7&amp;number=0.00142&amp;sourceID=14","0.00142")</f>
        <v>0.00142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HYPERLINK("http://141.218.60.56/~jnz1568/getInfo.php?workbook=20_05.xlsx&amp;sheet=U0&amp;row=9211&amp;col=6&amp;number=3.7&amp;sourceID=14","3.7")</f>
        <v>3.7</v>
      </c>
      <c r="G9211" s="4" t="str">
        <f>HYPERLINK("http://141.218.60.56/~jnz1568/getInfo.php?workbook=20_05.xlsx&amp;sheet=U0&amp;row=9211&amp;col=7&amp;number=0.00142&amp;sourceID=14","0.00142")</f>
        <v>0.00142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HYPERLINK("http://141.218.60.56/~jnz1568/getInfo.php?workbook=20_05.xlsx&amp;sheet=U0&amp;row=9212&amp;col=6&amp;number=3.8&amp;sourceID=14","3.8")</f>
        <v>3.8</v>
      </c>
      <c r="G9212" s="4" t="str">
        <f>HYPERLINK("http://141.218.60.56/~jnz1568/getInfo.php?workbook=20_05.xlsx&amp;sheet=U0&amp;row=9212&amp;col=7&amp;number=0.00142&amp;sourceID=14","0.00142")</f>
        <v>0.00142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HYPERLINK("http://141.218.60.56/~jnz1568/getInfo.php?workbook=20_05.xlsx&amp;sheet=U0&amp;row=9213&amp;col=6&amp;number=3.9&amp;sourceID=14","3.9")</f>
        <v>3.9</v>
      </c>
      <c r="G9213" s="4" t="str">
        <f>HYPERLINK("http://141.218.60.56/~jnz1568/getInfo.php?workbook=20_05.xlsx&amp;sheet=U0&amp;row=9213&amp;col=7&amp;number=0.00142&amp;sourceID=14","0.00142")</f>
        <v>0.00142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HYPERLINK("http://141.218.60.56/~jnz1568/getInfo.php?workbook=20_05.xlsx&amp;sheet=U0&amp;row=9214&amp;col=6&amp;number=4&amp;sourceID=14","4")</f>
        <v>4</v>
      </c>
      <c r="G9214" s="4" t="str">
        <f>HYPERLINK("http://141.218.60.56/~jnz1568/getInfo.php?workbook=20_05.xlsx&amp;sheet=U0&amp;row=9214&amp;col=7&amp;number=0.00142&amp;sourceID=14","0.00142")</f>
        <v>0.00142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HYPERLINK("http://141.218.60.56/~jnz1568/getInfo.php?workbook=20_05.xlsx&amp;sheet=U0&amp;row=9215&amp;col=6&amp;number=4.1&amp;sourceID=14","4.1")</f>
        <v>4.1</v>
      </c>
      <c r="G9215" s="4" t="str">
        <f>HYPERLINK("http://141.218.60.56/~jnz1568/getInfo.php?workbook=20_05.xlsx&amp;sheet=U0&amp;row=9215&amp;col=7&amp;number=0.00142&amp;sourceID=14","0.00142")</f>
        <v>0.00142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HYPERLINK("http://141.218.60.56/~jnz1568/getInfo.php?workbook=20_05.xlsx&amp;sheet=U0&amp;row=9216&amp;col=6&amp;number=4.2&amp;sourceID=14","4.2")</f>
        <v>4.2</v>
      </c>
      <c r="G9216" s="4" t="str">
        <f>HYPERLINK("http://141.218.60.56/~jnz1568/getInfo.php?workbook=20_05.xlsx&amp;sheet=U0&amp;row=9216&amp;col=7&amp;number=0.00142&amp;sourceID=14","0.00142")</f>
        <v>0.00142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HYPERLINK("http://141.218.60.56/~jnz1568/getInfo.php?workbook=20_05.xlsx&amp;sheet=U0&amp;row=9217&amp;col=6&amp;number=4.3&amp;sourceID=14","4.3")</f>
        <v>4.3</v>
      </c>
      <c r="G9217" s="4" t="str">
        <f>HYPERLINK("http://141.218.60.56/~jnz1568/getInfo.php?workbook=20_05.xlsx&amp;sheet=U0&amp;row=9217&amp;col=7&amp;number=0.00142&amp;sourceID=14","0.00142")</f>
        <v>0.00142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HYPERLINK("http://141.218.60.56/~jnz1568/getInfo.php?workbook=20_05.xlsx&amp;sheet=U0&amp;row=9218&amp;col=6&amp;number=4.4&amp;sourceID=14","4.4")</f>
        <v>4.4</v>
      </c>
      <c r="G9218" s="4" t="str">
        <f>HYPERLINK("http://141.218.60.56/~jnz1568/getInfo.php?workbook=20_05.xlsx&amp;sheet=U0&amp;row=9218&amp;col=7&amp;number=0.00142&amp;sourceID=14","0.00142")</f>
        <v>0.00142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HYPERLINK("http://141.218.60.56/~jnz1568/getInfo.php?workbook=20_05.xlsx&amp;sheet=U0&amp;row=9219&amp;col=6&amp;number=4.5&amp;sourceID=14","4.5")</f>
        <v>4.5</v>
      </c>
      <c r="G9219" s="4" t="str">
        <f>HYPERLINK("http://141.218.60.56/~jnz1568/getInfo.php?workbook=20_05.xlsx&amp;sheet=U0&amp;row=9219&amp;col=7&amp;number=0.00142&amp;sourceID=14","0.00142")</f>
        <v>0.00142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HYPERLINK("http://141.218.60.56/~jnz1568/getInfo.php?workbook=20_05.xlsx&amp;sheet=U0&amp;row=9220&amp;col=6&amp;number=4.6&amp;sourceID=14","4.6")</f>
        <v>4.6</v>
      </c>
      <c r="G9220" s="4" t="str">
        <f>HYPERLINK("http://141.218.60.56/~jnz1568/getInfo.php?workbook=20_05.xlsx&amp;sheet=U0&amp;row=9220&amp;col=7&amp;number=0.00142&amp;sourceID=14","0.00142")</f>
        <v>0.00142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HYPERLINK("http://141.218.60.56/~jnz1568/getInfo.php?workbook=20_05.xlsx&amp;sheet=U0&amp;row=9221&amp;col=6&amp;number=4.7&amp;sourceID=14","4.7")</f>
        <v>4.7</v>
      </c>
      <c r="G9221" s="4" t="str">
        <f>HYPERLINK("http://141.218.60.56/~jnz1568/getInfo.php?workbook=20_05.xlsx&amp;sheet=U0&amp;row=9221&amp;col=7&amp;number=0.00142&amp;sourceID=14","0.00142")</f>
        <v>0.00142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HYPERLINK("http://141.218.60.56/~jnz1568/getInfo.php?workbook=20_05.xlsx&amp;sheet=U0&amp;row=9222&amp;col=6&amp;number=4.8&amp;sourceID=14","4.8")</f>
        <v>4.8</v>
      </c>
      <c r="G9222" s="4" t="str">
        <f>HYPERLINK("http://141.218.60.56/~jnz1568/getInfo.php?workbook=20_05.xlsx&amp;sheet=U0&amp;row=9222&amp;col=7&amp;number=0.00142&amp;sourceID=14","0.00142")</f>
        <v>0.00142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HYPERLINK("http://141.218.60.56/~jnz1568/getInfo.php?workbook=20_05.xlsx&amp;sheet=U0&amp;row=9223&amp;col=6&amp;number=4.9&amp;sourceID=14","4.9")</f>
        <v>4.9</v>
      </c>
      <c r="G9223" s="4" t="str">
        <f>HYPERLINK("http://141.218.60.56/~jnz1568/getInfo.php?workbook=20_05.xlsx&amp;sheet=U0&amp;row=9223&amp;col=7&amp;number=0.00142&amp;sourceID=14","0.00142")</f>
        <v>0.00142</v>
      </c>
    </row>
    <row r="9224" spans="1:7">
      <c r="A9224" s="3">
        <v>20</v>
      </c>
      <c r="B9224" s="3">
        <v>5</v>
      </c>
      <c r="C9224" s="3">
        <v>4</v>
      </c>
      <c r="D9224" s="3">
        <v>101</v>
      </c>
      <c r="E9224" s="3">
        <v>1</v>
      </c>
      <c r="F9224" s="4" t="str">
        <f>HYPERLINK("http://141.218.60.56/~jnz1568/getInfo.php?workbook=20_05.xlsx&amp;sheet=U0&amp;row=9224&amp;col=6&amp;number=3&amp;sourceID=14","3")</f>
        <v>3</v>
      </c>
      <c r="G9224" s="4" t="str">
        <f>HYPERLINK("http://141.218.60.56/~jnz1568/getInfo.php?workbook=20_05.xlsx&amp;sheet=U0&amp;row=9224&amp;col=7&amp;number=0.0019&amp;sourceID=14","0.0019")</f>
        <v>0.0019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HYPERLINK("http://141.218.60.56/~jnz1568/getInfo.php?workbook=20_05.xlsx&amp;sheet=U0&amp;row=9225&amp;col=6&amp;number=3.1&amp;sourceID=14","3.1")</f>
        <v>3.1</v>
      </c>
      <c r="G9225" s="4" t="str">
        <f>HYPERLINK("http://141.218.60.56/~jnz1568/getInfo.php?workbook=20_05.xlsx&amp;sheet=U0&amp;row=9225&amp;col=7&amp;number=0.0019&amp;sourceID=14","0.0019")</f>
        <v>0.0019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HYPERLINK("http://141.218.60.56/~jnz1568/getInfo.php?workbook=20_05.xlsx&amp;sheet=U0&amp;row=9226&amp;col=6&amp;number=3.2&amp;sourceID=14","3.2")</f>
        <v>3.2</v>
      </c>
      <c r="G9226" s="4" t="str">
        <f>HYPERLINK("http://141.218.60.56/~jnz1568/getInfo.php?workbook=20_05.xlsx&amp;sheet=U0&amp;row=9226&amp;col=7&amp;number=0.0019&amp;sourceID=14","0.0019")</f>
        <v>0.0019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HYPERLINK("http://141.218.60.56/~jnz1568/getInfo.php?workbook=20_05.xlsx&amp;sheet=U0&amp;row=9227&amp;col=6&amp;number=3.3&amp;sourceID=14","3.3")</f>
        <v>3.3</v>
      </c>
      <c r="G9227" s="4" t="str">
        <f>HYPERLINK("http://141.218.60.56/~jnz1568/getInfo.php?workbook=20_05.xlsx&amp;sheet=U0&amp;row=9227&amp;col=7&amp;number=0.0019&amp;sourceID=14","0.0019")</f>
        <v>0.0019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HYPERLINK("http://141.218.60.56/~jnz1568/getInfo.php?workbook=20_05.xlsx&amp;sheet=U0&amp;row=9228&amp;col=6&amp;number=3.4&amp;sourceID=14","3.4")</f>
        <v>3.4</v>
      </c>
      <c r="G9228" s="4" t="str">
        <f>HYPERLINK("http://141.218.60.56/~jnz1568/getInfo.php?workbook=20_05.xlsx&amp;sheet=U0&amp;row=9228&amp;col=7&amp;number=0.0019&amp;sourceID=14","0.0019")</f>
        <v>0.0019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HYPERLINK("http://141.218.60.56/~jnz1568/getInfo.php?workbook=20_05.xlsx&amp;sheet=U0&amp;row=9229&amp;col=6&amp;number=3.5&amp;sourceID=14","3.5")</f>
        <v>3.5</v>
      </c>
      <c r="G9229" s="4" t="str">
        <f>HYPERLINK("http://141.218.60.56/~jnz1568/getInfo.php?workbook=20_05.xlsx&amp;sheet=U0&amp;row=9229&amp;col=7&amp;number=0.0019&amp;sourceID=14","0.0019")</f>
        <v>0.0019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HYPERLINK("http://141.218.60.56/~jnz1568/getInfo.php?workbook=20_05.xlsx&amp;sheet=U0&amp;row=9230&amp;col=6&amp;number=3.6&amp;sourceID=14","3.6")</f>
        <v>3.6</v>
      </c>
      <c r="G9230" s="4" t="str">
        <f>HYPERLINK("http://141.218.60.56/~jnz1568/getInfo.php?workbook=20_05.xlsx&amp;sheet=U0&amp;row=9230&amp;col=7&amp;number=0.0019&amp;sourceID=14","0.0019")</f>
        <v>0.0019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HYPERLINK("http://141.218.60.56/~jnz1568/getInfo.php?workbook=20_05.xlsx&amp;sheet=U0&amp;row=9231&amp;col=6&amp;number=3.7&amp;sourceID=14","3.7")</f>
        <v>3.7</v>
      </c>
      <c r="G9231" s="4" t="str">
        <f>HYPERLINK("http://141.218.60.56/~jnz1568/getInfo.php?workbook=20_05.xlsx&amp;sheet=U0&amp;row=9231&amp;col=7&amp;number=0.0019&amp;sourceID=14","0.0019")</f>
        <v>0.0019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HYPERLINK("http://141.218.60.56/~jnz1568/getInfo.php?workbook=20_05.xlsx&amp;sheet=U0&amp;row=9232&amp;col=6&amp;number=3.8&amp;sourceID=14","3.8")</f>
        <v>3.8</v>
      </c>
      <c r="G9232" s="4" t="str">
        <f>HYPERLINK("http://141.218.60.56/~jnz1568/getInfo.php?workbook=20_05.xlsx&amp;sheet=U0&amp;row=9232&amp;col=7&amp;number=0.0019&amp;sourceID=14","0.0019")</f>
        <v>0.0019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HYPERLINK("http://141.218.60.56/~jnz1568/getInfo.php?workbook=20_05.xlsx&amp;sheet=U0&amp;row=9233&amp;col=6&amp;number=3.9&amp;sourceID=14","3.9")</f>
        <v>3.9</v>
      </c>
      <c r="G9233" s="4" t="str">
        <f>HYPERLINK("http://141.218.60.56/~jnz1568/getInfo.php?workbook=20_05.xlsx&amp;sheet=U0&amp;row=9233&amp;col=7&amp;number=0.0019&amp;sourceID=14","0.0019")</f>
        <v>0.0019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HYPERLINK("http://141.218.60.56/~jnz1568/getInfo.php?workbook=20_05.xlsx&amp;sheet=U0&amp;row=9234&amp;col=6&amp;number=4&amp;sourceID=14","4")</f>
        <v>4</v>
      </c>
      <c r="G9234" s="4" t="str">
        <f>HYPERLINK("http://141.218.60.56/~jnz1568/getInfo.php?workbook=20_05.xlsx&amp;sheet=U0&amp;row=9234&amp;col=7&amp;number=0.0019&amp;sourceID=14","0.0019")</f>
        <v>0.0019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HYPERLINK("http://141.218.60.56/~jnz1568/getInfo.php?workbook=20_05.xlsx&amp;sheet=U0&amp;row=9235&amp;col=6&amp;number=4.1&amp;sourceID=14","4.1")</f>
        <v>4.1</v>
      </c>
      <c r="G9235" s="4" t="str">
        <f>HYPERLINK("http://141.218.60.56/~jnz1568/getInfo.php?workbook=20_05.xlsx&amp;sheet=U0&amp;row=9235&amp;col=7&amp;number=0.00191&amp;sourceID=14","0.00191")</f>
        <v>0.00191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HYPERLINK("http://141.218.60.56/~jnz1568/getInfo.php?workbook=20_05.xlsx&amp;sheet=U0&amp;row=9236&amp;col=6&amp;number=4.2&amp;sourceID=14","4.2")</f>
        <v>4.2</v>
      </c>
      <c r="G9236" s="4" t="str">
        <f>HYPERLINK("http://141.218.60.56/~jnz1568/getInfo.php?workbook=20_05.xlsx&amp;sheet=U0&amp;row=9236&amp;col=7&amp;number=0.00191&amp;sourceID=14","0.00191")</f>
        <v>0.00191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HYPERLINK("http://141.218.60.56/~jnz1568/getInfo.php?workbook=20_05.xlsx&amp;sheet=U0&amp;row=9237&amp;col=6&amp;number=4.3&amp;sourceID=14","4.3")</f>
        <v>4.3</v>
      </c>
      <c r="G9237" s="4" t="str">
        <f>HYPERLINK("http://141.218.60.56/~jnz1568/getInfo.php?workbook=20_05.xlsx&amp;sheet=U0&amp;row=9237&amp;col=7&amp;number=0.00191&amp;sourceID=14","0.00191")</f>
        <v>0.00191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HYPERLINK("http://141.218.60.56/~jnz1568/getInfo.php?workbook=20_05.xlsx&amp;sheet=U0&amp;row=9238&amp;col=6&amp;number=4.4&amp;sourceID=14","4.4")</f>
        <v>4.4</v>
      </c>
      <c r="G9238" s="4" t="str">
        <f>HYPERLINK("http://141.218.60.56/~jnz1568/getInfo.php?workbook=20_05.xlsx&amp;sheet=U0&amp;row=9238&amp;col=7&amp;number=0.00192&amp;sourceID=14","0.00192")</f>
        <v>0.00192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HYPERLINK("http://141.218.60.56/~jnz1568/getInfo.php?workbook=20_05.xlsx&amp;sheet=U0&amp;row=9239&amp;col=6&amp;number=4.5&amp;sourceID=14","4.5")</f>
        <v>4.5</v>
      </c>
      <c r="G9239" s="4" t="str">
        <f>HYPERLINK("http://141.218.60.56/~jnz1568/getInfo.php?workbook=20_05.xlsx&amp;sheet=U0&amp;row=9239&amp;col=7&amp;number=0.00192&amp;sourceID=14","0.00192")</f>
        <v>0.00192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HYPERLINK("http://141.218.60.56/~jnz1568/getInfo.php?workbook=20_05.xlsx&amp;sheet=U0&amp;row=9240&amp;col=6&amp;number=4.6&amp;sourceID=14","4.6")</f>
        <v>4.6</v>
      </c>
      <c r="G9240" s="4" t="str">
        <f>HYPERLINK("http://141.218.60.56/~jnz1568/getInfo.php?workbook=20_05.xlsx&amp;sheet=U0&amp;row=9240&amp;col=7&amp;number=0.00193&amp;sourceID=14","0.00193")</f>
        <v>0.00193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HYPERLINK("http://141.218.60.56/~jnz1568/getInfo.php?workbook=20_05.xlsx&amp;sheet=U0&amp;row=9241&amp;col=6&amp;number=4.7&amp;sourceID=14","4.7")</f>
        <v>4.7</v>
      </c>
      <c r="G9241" s="4" t="str">
        <f>HYPERLINK("http://141.218.60.56/~jnz1568/getInfo.php?workbook=20_05.xlsx&amp;sheet=U0&amp;row=9241&amp;col=7&amp;number=0.00193&amp;sourceID=14","0.00193")</f>
        <v>0.00193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HYPERLINK("http://141.218.60.56/~jnz1568/getInfo.php?workbook=20_05.xlsx&amp;sheet=U0&amp;row=9242&amp;col=6&amp;number=4.8&amp;sourceID=14","4.8")</f>
        <v>4.8</v>
      </c>
      <c r="G9242" s="4" t="str">
        <f>HYPERLINK("http://141.218.60.56/~jnz1568/getInfo.php?workbook=20_05.xlsx&amp;sheet=U0&amp;row=9242&amp;col=7&amp;number=0.00194&amp;sourceID=14","0.00194")</f>
        <v>0.00194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HYPERLINK("http://141.218.60.56/~jnz1568/getInfo.php?workbook=20_05.xlsx&amp;sheet=U0&amp;row=9243&amp;col=6&amp;number=4.9&amp;sourceID=14","4.9")</f>
        <v>4.9</v>
      </c>
      <c r="G9243" s="4" t="str">
        <f>HYPERLINK("http://141.218.60.56/~jnz1568/getInfo.php?workbook=20_05.xlsx&amp;sheet=U0&amp;row=9243&amp;col=7&amp;number=0.00195&amp;sourceID=14","0.00195")</f>
        <v>0.00195</v>
      </c>
    </row>
    <row r="9244" spans="1:7">
      <c r="A9244" s="3">
        <v>20</v>
      </c>
      <c r="B9244" s="3">
        <v>5</v>
      </c>
      <c r="C9244" s="3">
        <v>4</v>
      </c>
      <c r="D9244" s="3">
        <v>102</v>
      </c>
      <c r="E9244" s="3">
        <v>1</v>
      </c>
      <c r="F9244" s="4" t="str">
        <f>HYPERLINK("http://141.218.60.56/~jnz1568/getInfo.php?workbook=20_05.xlsx&amp;sheet=U0&amp;row=9244&amp;col=6&amp;number=3&amp;sourceID=14","3")</f>
        <v>3</v>
      </c>
      <c r="G9244" s="4" t="str">
        <f>HYPERLINK("http://141.218.60.56/~jnz1568/getInfo.php?workbook=20_05.xlsx&amp;sheet=U0&amp;row=9244&amp;col=7&amp;number=0.000574&amp;sourceID=14","0.000574")</f>
        <v>0.000574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HYPERLINK("http://141.218.60.56/~jnz1568/getInfo.php?workbook=20_05.xlsx&amp;sheet=U0&amp;row=9245&amp;col=6&amp;number=3.1&amp;sourceID=14","3.1")</f>
        <v>3.1</v>
      </c>
      <c r="G9245" s="4" t="str">
        <f>HYPERLINK("http://141.218.60.56/~jnz1568/getInfo.php?workbook=20_05.xlsx&amp;sheet=U0&amp;row=9245&amp;col=7&amp;number=0.000574&amp;sourceID=14","0.000574")</f>
        <v>0.000574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HYPERLINK("http://141.218.60.56/~jnz1568/getInfo.php?workbook=20_05.xlsx&amp;sheet=U0&amp;row=9246&amp;col=6&amp;number=3.2&amp;sourceID=14","3.2")</f>
        <v>3.2</v>
      </c>
      <c r="G9246" s="4" t="str">
        <f>HYPERLINK("http://141.218.60.56/~jnz1568/getInfo.php?workbook=20_05.xlsx&amp;sheet=U0&amp;row=9246&amp;col=7&amp;number=0.000574&amp;sourceID=14","0.000574")</f>
        <v>0.000574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HYPERLINK("http://141.218.60.56/~jnz1568/getInfo.php?workbook=20_05.xlsx&amp;sheet=U0&amp;row=9247&amp;col=6&amp;number=3.3&amp;sourceID=14","3.3")</f>
        <v>3.3</v>
      </c>
      <c r="G9247" s="4" t="str">
        <f>HYPERLINK("http://141.218.60.56/~jnz1568/getInfo.php?workbook=20_05.xlsx&amp;sheet=U0&amp;row=9247&amp;col=7&amp;number=0.000574&amp;sourceID=14","0.000574")</f>
        <v>0.000574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HYPERLINK("http://141.218.60.56/~jnz1568/getInfo.php?workbook=20_05.xlsx&amp;sheet=U0&amp;row=9248&amp;col=6&amp;number=3.4&amp;sourceID=14","3.4")</f>
        <v>3.4</v>
      </c>
      <c r="G9248" s="4" t="str">
        <f>HYPERLINK("http://141.218.60.56/~jnz1568/getInfo.php?workbook=20_05.xlsx&amp;sheet=U0&amp;row=9248&amp;col=7&amp;number=0.000574&amp;sourceID=14","0.000574")</f>
        <v>0.000574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HYPERLINK("http://141.218.60.56/~jnz1568/getInfo.php?workbook=20_05.xlsx&amp;sheet=U0&amp;row=9249&amp;col=6&amp;number=3.5&amp;sourceID=14","3.5")</f>
        <v>3.5</v>
      </c>
      <c r="G9249" s="4" t="str">
        <f>HYPERLINK("http://141.218.60.56/~jnz1568/getInfo.php?workbook=20_05.xlsx&amp;sheet=U0&amp;row=9249&amp;col=7&amp;number=0.000573&amp;sourceID=14","0.000573")</f>
        <v>0.000573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HYPERLINK("http://141.218.60.56/~jnz1568/getInfo.php?workbook=20_05.xlsx&amp;sheet=U0&amp;row=9250&amp;col=6&amp;number=3.6&amp;sourceID=14","3.6")</f>
        <v>3.6</v>
      </c>
      <c r="G9250" s="4" t="str">
        <f>HYPERLINK("http://141.218.60.56/~jnz1568/getInfo.php?workbook=20_05.xlsx&amp;sheet=U0&amp;row=9250&amp;col=7&amp;number=0.000573&amp;sourceID=14","0.000573")</f>
        <v>0.000573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HYPERLINK("http://141.218.60.56/~jnz1568/getInfo.php?workbook=20_05.xlsx&amp;sheet=U0&amp;row=9251&amp;col=6&amp;number=3.7&amp;sourceID=14","3.7")</f>
        <v>3.7</v>
      </c>
      <c r="G9251" s="4" t="str">
        <f>HYPERLINK("http://141.218.60.56/~jnz1568/getInfo.php?workbook=20_05.xlsx&amp;sheet=U0&amp;row=9251&amp;col=7&amp;number=0.000573&amp;sourceID=14","0.000573")</f>
        <v>0.000573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HYPERLINK("http://141.218.60.56/~jnz1568/getInfo.php?workbook=20_05.xlsx&amp;sheet=U0&amp;row=9252&amp;col=6&amp;number=3.8&amp;sourceID=14","3.8")</f>
        <v>3.8</v>
      </c>
      <c r="G9252" s="4" t="str">
        <f>HYPERLINK("http://141.218.60.56/~jnz1568/getInfo.php?workbook=20_05.xlsx&amp;sheet=U0&amp;row=9252&amp;col=7&amp;number=0.000573&amp;sourceID=14","0.000573")</f>
        <v>0.000573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HYPERLINK("http://141.218.60.56/~jnz1568/getInfo.php?workbook=20_05.xlsx&amp;sheet=U0&amp;row=9253&amp;col=6&amp;number=3.9&amp;sourceID=14","3.9")</f>
        <v>3.9</v>
      </c>
      <c r="G9253" s="4" t="str">
        <f>HYPERLINK("http://141.218.60.56/~jnz1568/getInfo.php?workbook=20_05.xlsx&amp;sheet=U0&amp;row=9253&amp;col=7&amp;number=0.000573&amp;sourceID=14","0.000573")</f>
        <v>0.000573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HYPERLINK("http://141.218.60.56/~jnz1568/getInfo.php?workbook=20_05.xlsx&amp;sheet=U0&amp;row=9254&amp;col=6&amp;number=4&amp;sourceID=14","4")</f>
        <v>4</v>
      </c>
      <c r="G9254" s="4" t="str">
        <f>HYPERLINK("http://141.218.60.56/~jnz1568/getInfo.php?workbook=20_05.xlsx&amp;sheet=U0&amp;row=9254&amp;col=7&amp;number=0.000573&amp;sourceID=14","0.000573")</f>
        <v>0.000573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HYPERLINK("http://141.218.60.56/~jnz1568/getInfo.php?workbook=20_05.xlsx&amp;sheet=U0&amp;row=9255&amp;col=6&amp;number=4.1&amp;sourceID=14","4.1")</f>
        <v>4.1</v>
      </c>
      <c r="G9255" s="4" t="str">
        <f>HYPERLINK("http://141.218.60.56/~jnz1568/getInfo.php?workbook=20_05.xlsx&amp;sheet=U0&amp;row=9255&amp;col=7&amp;number=0.000573&amp;sourceID=14","0.000573")</f>
        <v>0.000573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HYPERLINK("http://141.218.60.56/~jnz1568/getInfo.php?workbook=20_05.xlsx&amp;sheet=U0&amp;row=9256&amp;col=6&amp;number=4.2&amp;sourceID=14","4.2")</f>
        <v>4.2</v>
      </c>
      <c r="G9256" s="4" t="str">
        <f>HYPERLINK("http://141.218.60.56/~jnz1568/getInfo.php?workbook=20_05.xlsx&amp;sheet=U0&amp;row=9256&amp;col=7&amp;number=0.000573&amp;sourceID=14","0.000573")</f>
        <v>0.000573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HYPERLINK("http://141.218.60.56/~jnz1568/getInfo.php?workbook=20_05.xlsx&amp;sheet=U0&amp;row=9257&amp;col=6&amp;number=4.3&amp;sourceID=14","4.3")</f>
        <v>4.3</v>
      </c>
      <c r="G9257" s="4" t="str">
        <f>HYPERLINK("http://141.218.60.56/~jnz1568/getInfo.php?workbook=20_05.xlsx&amp;sheet=U0&amp;row=9257&amp;col=7&amp;number=0.000573&amp;sourceID=14","0.000573")</f>
        <v>0.000573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HYPERLINK("http://141.218.60.56/~jnz1568/getInfo.php?workbook=20_05.xlsx&amp;sheet=U0&amp;row=9258&amp;col=6&amp;number=4.4&amp;sourceID=14","4.4")</f>
        <v>4.4</v>
      </c>
      <c r="G9258" s="4" t="str">
        <f>HYPERLINK("http://141.218.60.56/~jnz1568/getInfo.php?workbook=20_05.xlsx&amp;sheet=U0&amp;row=9258&amp;col=7&amp;number=0.000573&amp;sourceID=14","0.000573")</f>
        <v>0.000573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HYPERLINK("http://141.218.60.56/~jnz1568/getInfo.php?workbook=20_05.xlsx&amp;sheet=U0&amp;row=9259&amp;col=6&amp;number=4.5&amp;sourceID=14","4.5")</f>
        <v>4.5</v>
      </c>
      <c r="G9259" s="4" t="str">
        <f>HYPERLINK("http://141.218.60.56/~jnz1568/getInfo.php?workbook=20_05.xlsx&amp;sheet=U0&amp;row=9259&amp;col=7&amp;number=0.000572&amp;sourceID=14","0.000572")</f>
        <v>0.000572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HYPERLINK("http://141.218.60.56/~jnz1568/getInfo.php?workbook=20_05.xlsx&amp;sheet=U0&amp;row=9260&amp;col=6&amp;number=4.6&amp;sourceID=14","4.6")</f>
        <v>4.6</v>
      </c>
      <c r="G9260" s="4" t="str">
        <f>HYPERLINK("http://141.218.60.56/~jnz1568/getInfo.php?workbook=20_05.xlsx&amp;sheet=U0&amp;row=9260&amp;col=7&amp;number=0.000572&amp;sourceID=14","0.000572")</f>
        <v>0.000572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HYPERLINK("http://141.218.60.56/~jnz1568/getInfo.php?workbook=20_05.xlsx&amp;sheet=U0&amp;row=9261&amp;col=6&amp;number=4.7&amp;sourceID=14","4.7")</f>
        <v>4.7</v>
      </c>
      <c r="G9261" s="4" t="str">
        <f>HYPERLINK("http://141.218.60.56/~jnz1568/getInfo.php?workbook=20_05.xlsx&amp;sheet=U0&amp;row=9261&amp;col=7&amp;number=0.000572&amp;sourceID=14","0.000572")</f>
        <v>0.000572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HYPERLINK("http://141.218.60.56/~jnz1568/getInfo.php?workbook=20_05.xlsx&amp;sheet=U0&amp;row=9262&amp;col=6&amp;number=4.8&amp;sourceID=14","4.8")</f>
        <v>4.8</v>
      </c>
      <c r="G9262" s="4" t="str">
        <f>HYPERLINK("http://141.218.60.56/~jnz1568/getInfo.php?workbook=20_05.xlsx&amp;sheet=U0&amp;row=9262&amp;col=7&amp;number=0.000571&amp;sourceID=14","0.000571")</f>
        <v>0.000571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HYPERLINK("http://141.218.60.56/~jnz1568/getInfo.php?workbook=20_05.xlsx&amp;sheet=U0&amp;row=9263&amp;col=6&amp;number=4.9&amp;sourceID=14","4.9")</f>
        <v>4.9</v>
      </c>
      <c r="G9263" s="4" t="str">
        <f>HYPERLINK("http://141.218.60.56/~jnz1568/getInfo.php?workbook=20_05.xlsx&amp;sheet=U0&amp;row=9263&amp;col=7&amp;number=0.000571&amp;sourceID=14","0.000571")</f>
        <v>0.000571</v>
      </c>
    </row>
    <row r="9264" spans="1:7">
      <c r="A9264" s="3">
        <v>20</v>
      </c>
      <c r="B9264" s="3">
        <v>5</v>
      </c>
      <c r="C9264" s="3">
        <v>4</v>
      </c>
      <c r="D9264" s="3">
        <v>103</v>
      </c>
      <c r="E9264" s="3">
        <v>1</v>
      </c>
      <c r="F9264" s="4" t="str">
        <f>HYPERLINK("http://141.218.60.56/~jnz1568/getInfo.php?workbook=20_05.xlsx&amp;sheet=U0&amp;row=9264&amp;col=6&amp;number=3&amp;sourceID=14","3")</f>
        <v>3</v>
      </c>
      <c r="G9264" s="4" t="str">
        <f>HYPERLINK("http://141.218.60.56/~jnz1568/getInfo.php?workbook=20_05.xlsx&amp;sheet=U0&amp;row=9264&amp;col=7&amp;number=0.00029&amp;sourceID=14","0.00029")</f>
        <v>0.00029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HYPERLINK("http://141.218.60.56/~jnz1568/getInfo.php?workbook=20_05.xlsx&amp;sheet=U0&amp;row=9265&amp;col=6&amp;number=3.1&amp;sourceID=14","3.1")</f>
        <v>3.1</v>
      </c>
      <c r="G9265" s="4" t="str">
        <f>HYPERLINK("http://141.218.60.56/~jnz1568/getInfo.php?workbook=20_05.xlsx&amp;sheet=U0&amp;row=9265&amp;col=7&amp;number=0.000289&amp;sourceID=14","0.000289")</f>
        <v>0.000289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HYPERLINK("http://141.218.60.56/~jnz1568/getInfo.php?workbook=20_05.xlsx&amp;sheet=U0&amp;row=9266&amp;col=6&amp;number=3.2&amp;sourceID=14","3.2")</f>
        <v>3.2</v>
      </c>
      <c r="G9266" s="4" t="str">
        <f>HYPERLINK("http://141.218.60.56/~jnz1568/getInfo.php?workbook=20_05.xlsx&amp;sheet=U0&amp;row=9266&amp;col=7&amp;number=0.000289&amp;sourceID=14","0.000289")</f>
        <v>0.000289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HYPERLINK("http://141.218.60.56/~jnz1568/getInfo.php?workbook=20_05.xlsx&amp;sheet=U0&amp;row=9267&amp;col=6&amp;number=3.3&amp;sourceID=14","3.3")</f>
        <v>3.3</v>
      </c>
      <c r="G9267" s="4" t="str">
        <f>HYPERLINK("http://141.218.60.56/~jnz1568/getInfo.php?workbook=20_05.xlsx&amp;sheet=U0&amp;row=9267&amp;col=7&amp;number=0.000289&amp;sourceID=14","0.000289")</f>
        <v>0.000289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HYPERLINK("http://141.218.60.56/~jnz1568/getInfo.php?workbook=20_05.xlsx&amp;sheet=U0&amp;row=9268&amp;col=6&amp;number=3.4&amp;sourceID=14","3.4")</f>
        <v>3.4</v>
      </c>
      <c r="G9268" s="4" t="str">
        <f>HYPERLINK("http://141.218.60.56/~jnz1568/getInfo.php?workbook=20_05.xlsx&amp;sheet=U0&amp;row=9268&amp;col=7&amp;number=0.000289&amp;sourceID=14","0.000289")</f>
        <v>0.000289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HYPERLINK("http://141.218.60.56/~jnz1568/getInfo.php?workbook=20_05.xlsx&amp;sheet=U0&amp;row=9269&amp;col=6&amp;number=3.5&amp;sourceID=14","3.5")</f>
        <v>3.5</v>
      </c>
      <c r="G9269" s="4" t="str">
        <f>HYPERLINK("http://141.218.60.56/~jnz1568/getInfo.php?workbook=20_05.xlsx&amp;sheet=U0&amp;row=9269&amp;col=7&amp;number=0.000289&amp;sourceID=14","0.000289")</f>
        <v>0.000289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HYPERLINK("http://141.218.60.56/~jnz1568/getInfo.php?workbook=20_05.xlsx&amp;sheet=U0&amp;row=9270&amp;col=6&amp;number=3.6&amp;sourceID=14","3.6")</f>
        <v>3.6</v>
      </c>
      <c r="G9270" s="4" t="str">
        <f>HYPERLINK("http://141.218.60.56/~jnz1568/getInfo.php?workbook=20_05.xlsx&amp;sheet=U0&amp;row=9270&amp;col=7&amp;number=0.000289&amp;sourceID=14","0.000289")</f>
        <v>0.000289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HYPERLINK("http://141.218.60.56/~jnz1568/getInfo.php?workbook=20_05.xlsx&amp;sheet=U0&amp;row=9271&amp;col=6&amp;number=3.7&amp;sourceID=14","3.7")</f>
        <v>3.7</v>
      </c>
      <c r="G9271" s="4" t="str">
        <f>HYPERLINK("http://141.218.60.56/~jnz1568/getInfo.php?workbook=20_05.xlsx&amp;sheet=U0&amp;row=9271&amp;col=7&amp;number=0.000289&amp;sourceID=14","0.000289")</f>
        <v>0.000289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HYPERLINK("http://141.218.60.56/~jnz1568/getInfo.php?workbook=20_05.xlsx&amp;sheet=U0&amp;row=9272&amp;col=6&amp;number=3.8&amp;sourceID=14","3.8")</f>
        <v>3.8</v>
      </c>
      <c r="G9272" s="4" t="str">
        <f>HYPERLINK("http://141.218.60.56/~jnz1568/getInfo.php?workbook=20_05.xlsx&amp;sheet=U0&amp;row=9272&amp;col=7&amp;number=0.000289&amp;sourceID=14","0.000289")</f>
        <v>0.000289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HYPERLINK("http://141.218.60.56/~jnz1568/getInfo.php?workbook=20_05.xlsx&amp;sheet=U0&amp;row=9273&amp;col=6&amp;number=3.9&amp;sourceID=14","3.9")</f>
        <v>3.9</v>
      </c>
      <c r="G9273" s="4" t="str">
        <f>HYPERLINK("http://141.218.60.56/~jnz1568/getInfo.php?workbook=20_05.xlsx&amp;sheet=U0&amp;row=9273&amp;col=7&amp;number=0.000289&amp;sourceID=14","0.000289")</f>
        <v>0.000289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HYPERLINK("http://141.218.60.56/~jnz1568/getInfo.php?workbook=20_05.xlsx&amp;sheet=U0&amp;row=9274&amp;col=6&amp;number=4&amp;sourceID=14","4")</f>
        <v>4</v>
      </c>
      <c r="G9274" s="4" t="str">
        <f>HYPERLINK("http://141.218.60.56/~jnz1568/getInfo.php?workbook=20_05.xlsx&amp;sheet=U0&amp;row=9274&amp;col=7&amp;number=0.000289&amp;sourceID=14","0.000289")</f>
        <v>0.000289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HYPERLINK("http://141.218.60.56/~jnz1568/getInfo.php?workbook=20_05.xlsx&amp;sheet=U0&amp;row=9275&amp;col=6&amp;number=4.1&amp;sourceID=14","4.1")</f>
        <v>4.1</v>
      </c>
      <c r="G9275" s="4" t="str">
        <f>HYPERLINK("http://141.218.60.56/~jnz1568/getInfo.php?workbook=20_05.xlsx&amp;sheet=U0&amp;row=9275&amp;col=7&amp;number=0.000289&amp;sourceID=14","0.000289")</f>
        <v>0.000289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HYPERLINK("http://141.218.60.56/~jnz1568/getInfo.php?workbook=20_05.xlsx&amp;sheet=U0&amp;row=9276&amp;col=6&amp;number=4.2&amp;sourceID=14","4.2")</f>
        <v>4.2</v>
      </c>
      <c r="G9276" s="4" t="str">
        <f>HYPERLINK("http://141.218.60.56/~jnz1568/getInfo.php?workbook=20_05.xlsx&amp;sheet=U0&amp;row=9276&amp;col=7&amp;number=0.000289&amp;sourceID=14","0.000289")</f>
        <v>0.000289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HYPERLINK("http://141.218.60.56/~jnz1568/getInfo.php?workbook=20_05.xlsx&amp;sheet=U0&amp;row=9277&amp;col=6&amp;number=4.3&amp;sourceID=14","4.3")</f>
        <v>4.3</v>
      </c>
      <c r="G9277" s="4" t="str">
        <f>HYPERLINK("http://141.218.60.56/~jnz1568/getInfo.php?workbook=20_05.xlsx&amp;sheet=U0&amp;row=9277&amp;col=7&amp;number=0.000288&amp;sourceID=14","0.000288")</f>
        <v>0.000288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HYPERLINK("http://141.218.60.56/~jnz1568/getInfo.php?workbook=20_05.xlsx&amp;sheet=U0&amp;row=9278&amp;col=6&amp;number=4.4&amp;sourceID=14","4.4")</f>
        <v>4.4</v>
      </c>
      <c r="G9278" s="4" t="str">
        <f>HYPERLINK("http://141.218.60.56/~jnz1568/getInfo.php?workbook=20_05.xlsx&amp;sheet=U0&amp;row=9278&amp;col=7&amp;number=0.000288&amp;sourceID=14","0.000288")</f>
        <v>0.000288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HYPERLINK("http://141.218.60.56/~jnz1568/getInfo.php?workbook=20_05.xlsx&amp;sheet=U0&amp;row=9279&amp;col=6&amp;number=4.5&amp;sourceID=14","4.5")</f>
        <v>4.5</v>
      </c>
      <c r="G9279" s="4" t="str">
        <f>HYPERLINK("http://141.218.60.56/~jnz1568/getInfo.php?workbook=20_05.xlsx&amp;sheet=U0&amp;row=9279&amp;col=7&amp;number=0.000288&amp;sourceID=14","0.000288")</f>
        <v>0.000288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HYPERLINK("http://141.218.60.56/~jnz1568/getInfo.php?workbook=20_05.xlsx&amp;sheet=U0&amp;row=9280&amp;col=6&amp;number=4.6&amp;sourceID=14","4.6")</f>
        <v>4.6</v>
      </c>
      <c r="G9280" s="4" t="str">
        <f>HYPERLINK("http://141.218.60.56/~jnz1568/getInfo.php?workbook=20_05.xlsx&amp;sheet=U0&amp;row=9280&amp;col=7&amp;number=0.000287&amp;sourceID=14","0.000287")</f>
        <v>0.000287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HYPERLINK("http://141.218.60.56/~jnz1568/getInfo.php?workbook=20_05.xlsx&amp;sheet=U0&amp;row=9281&amp;col=6&amp;number=4.7&amp;sourceID=14","4.7")</f>
        <v>4.7</v>
      </c>
      <c r="G9281" s="4" t="str">
        <f>HYPERLINK("http://141.218.60.56/~jnz1568/getInfo.php?workbook=20_05.xlsx&amp;sheet=U0&amp;row=9281&amp;col=7&amp;number=0.000287&amp;sourceID=14","0.000287")</f>
        <v>0.000287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HYPERLINK("http://141.218.60.56/~jnz1568/getInfo.php?workbook=20_05.xlsx&amp;sheet=U0&amp;row=9282&amp;col=6&amp;number=4.8&amp;sourceID=14","4.8")</f>
        <v>4.8</v>
      </c>
      <c r="G9282" s="4" t="str">
        <f>HYPERLINK("http://141.218.60.56/~jnz1568/getInfo.php?workbook=20_05.xlsx&amp;sheet=U0&amp;row=9282&amp;col=7&amp;number=0.000286&amp;sourceID=14","0.000286")</f>
        <v>0.000286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HYPERLINK("http://141.218.60.56/~jnz1568/getInfo.php?workbook=20_05.xlsx&amp;sheet=U0&amp;row=9283&amp;col=6&amp;number=4.9&amp;sourceID=14","4.9")</f>
        <v>4.9</v>
      </c>
      <c r="G9283" s="4" t="str">
        <f>HYPERLINK("http://141.218.60.56/~jnz1568/getInfo.php?workbook=20_05.xlsx&amp;sheet=U0&amp;row=9283&amp;col=7&amp;number=0.000285&amp;sourceID=14","0.000285")</f>
        <v>0.000285</v>
      </c>
    </row>
    <row r="9284" spans="1:7">
      <c r="A9284" s="3">
        <v>20</v>
      </c>
      <c r="B9284" s="3">
        <v>5</v>
      </c>
      <c r="C9284" s="3">
        <v>4</v>
      </c>
      <c r="D9284" s="3">
        <v>104</v>
      </c>
      <c r="E9284" s="3">
        <v>1</v>
      </c>
      <c r="F9284" s="4" t="str">
        <f>HYPERLINK("http://141.218.60.56/~jnz1568/getInfo.php?workbook=20_05.xlsx&amp;sheet=U0&amp;row=9284&amp;col=6&amp;number=3&amp;sourceID=14","3")</f>
        <v>3</v>
      </c>
      <c r="G9284" s="4" t="str">
        <f>HYPERLINK("http://141.218.60.56/~jnz1568/getInfo.php?workbook=20_05.xlsx&amp;sheet=U0&amp;row=9284&amp;col=7&amp;number=0.000106&amp;sourceID=14","0.000106")</f>
        <v>0.000106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HYPERLINK("http://141.218.60.56/~jnz1568/getInfo.php?workbook=20_05.xlsx&amp;sheet=U0&amp;row=9285&amp;col=6&amp;number=3.1&amp;sourceID=14","3.1")</f>
        <v>3.1</v>
      </c>
      <c r="G9285" s="4" t="str">
        <f>HYPERLINK("http://141.218.60.56/~jnz1568/getInfo.php?workbook=20_05.xlsx&amp;sheet=U0&amp;row=9285&amp;col=7&amp;number=0.000106&amp;sourceID=14","0.000106")</f>
        <v>0.000106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HYPERLINK("http://141.218.60.56/~jnz1568/getInfo.php?workbook=20_05.xlsx&amp;sheet=U0&amp;row=9286&amp;col=6&amp;number=3.2&amp;sourceID=14","3.2")</f>
        <v>3.2</v>
      </c>
      <c r="G9286" s="4" t="str">
        <f>HYPERLINK("http://141.218.60.56/~jnz1568/getInfo.php?workbook=20_05.xlsx&amp;sheet=U0&amp;row=9286&amp;col=7&amp;number=0.000106&amp;sourceID=14","0.000106")</f>
        <v>0.000106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HYPERLINK("http://141.218.60.56/~jnz1568/getInfo.php?workbook=20_05.xlsx&amp;sheet=U0&amp;row=9287&amp;col=6&amp;number=3.3&amp;sourceID=14","3.3")</f>
        <v>3.3</v>
      </c>
      <c r="G9287" s="4" t="str">
        <f>HYPERLINK("http://141.218.60.56/~jnz1568/getInfo.php?workbook=20_05.xlsx&amp;sheet=U0&amp;row=9287&amp;col=7&amp;number=0.000106&amp;sourceID=14","0.000106")</f>
        <v>0.000106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HYPERLINK("http://141.218.60.56/~jnz1568/getInfo.php?workbook=20_05.xlsx&amp;sheet=U0&amp;row=9288&amp;col=6&amp;number=3.4&amp;sourceID=14","3.4")</f>
        <v>3.4</v>
      </c>
      <c r="G9288" s="4" t="str">
        <f>HYPERLINK("http://141.218.60.56/~jnz1568/getInfo.php?workbook=20_05.xlsx&amp;sheet=U0&amp;row=9288&amp;col=7&amp;number=0.000106&amp;sourceID=14","0.000106")</f>
        <v>0.000106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HYPERLINK("http://141.218.60.56/~jnz1568/getInfo.php?workbook=20_05.xlsx&amp;sheet=U0&amp;row=9289&amp;col=6&amp;number=3.5&amp;sourceID=14","3.5")</f>
        <v>3.5</v>
      </c>
      <c r="G9289" s="4" t="str">
        <f>HYPERLINK("http://141.218.60.56/~jnz1568/getInfo.php?workbook=20_05.xlsx&amp;sheet=U0&amp;row=9289&amp;col=7&amp;number=0.000106&amp;sourceID=14","0.000106")</f>
        <v>0.000106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HYPERLINK("http://141.218.60.56/~jnz1568/getInfo.php?workbook=20_05.xlsx&amp;sheet=U0&amp;row=9290&amp;col=6&amp;number=3.6&amp;sourceID=14","3.6")</f>
        <v>3.6</v>
      </c>
      <c r="G9290" s="4" t="str">
        <f>HYPERLINK("http://141.218.60.56/~jnz1568/getInfo.php?workbook=20_05.xlsx&amp;sheet=U0&amp;row=9290&amp;col=7&amp;number=0.000106&amp;sourceID=14","0.000106")</f>
        <v>0.000106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HYPERLINK("http://141.218.60.56/~jnz1568/getInfo.php?workbook=20_05.xlsx&amp;sheet=U0&amp;row=9291&amp;col=6&amp;number=3.7&amp;sourceID=14","3.7")</f>
        <v>3.7</v>
      </c>
      <c r="G9291" s="4" t="str">
        <f>HYPERLINK("http://141.218.60.56/~jnz1568/getInfo.php?workbook=20_05.xlsx&amp;sheet=U0&amp;row=9291&amp;col=7&amp;number=0.000106&amp;sourceID=14","0.000106")</f>
        <v>0.000106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HYPERLINK("http://141.218.60.56/~jnz1568/getInfo.php?workbook=20_05.xlsx&amp;sheet=U0&amp;row=9292&amp;col=6&amp;number=3.8&amp;sourceID=14","3.8")</f>
        <v>3.8</v>
      </c>
      <c r="G9292" s="4" t="str">
        <f>HYPERLINK("http://141.218.60.56/~jnz1568/getInfo.php?workbook=20_05.xlsx&amp;sheet=U0&amp;row=9292&amp;col=7&amp;number=0.000106&amp;sourceID=14","0.000106")</f>
        <v>0.000106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HYPERLINK("http://141.218.60.56/~jnz1568/getInfo.php?workbook=20_05.xlsx&amp;sheet=U0&amp;row=9293&amp;col=6&amp;number=3.9&amp;sourceID=14","3.9")</f>
        <v>3.9</v>
      </c>
      <c r="G9293" s="4" t="str">
        <f>HYPERLINK("http://141.218.60.56/~jnz1568/getInfo.php?workbook=20_05.xlsx&amp;sheet=U0&amp;row=9293&amp;col=7&amp;number=0.000106&amp;sourceID=14","0.000106")</f>
        <v>0.000106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HYPERLINK("http://141.218.60.56/~jnz1568/getInfo.php?workbook=20_05.xlsx&amp;sheet=U0&amp;row=9294&amp;col=6&amp;number=4&amp;sourceID=14","4")</f>
        <v>4</v>
      </c>
      <c r="G9294" s="4" t="str">
        <f>HYPERLINK("http://141.218.60.56/~jnz1568/getInfo.php?workbook=20_05.xlsx&amp;sheet=U0&amp;row=9294&amp;col=7&amp;number=0.000106&amp;sourceID=14","0.000106")</f>
        <v>0.000106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HYPERLINK("http://141.218.60.56/~jnz1568/getInfo.php?workbook=20_05.xlsx&amp;sheet=U0&amp;row=9295&amp;col=6&amp;number=4.1&amp;sourceID=14","4.1")</f>
        <v>4.1</v>
      </c>
      <c r="G9295" s="4" t="str">
        <f>HYPERLINK("http://141.218.60.56/~jnz1568/getInfo.php?workbook=20_05.xlsx&amp;sheet=U0&amp;row=9295&amp;col=7&amp;number=0.000106&amp;sourceID=14","0.000106")</f>
        <v>0.000106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HYPERLINK("http://141.218.60.56/~jnz1568/getInfo.php?workbook=20_05.xlsx&amp;sheet=U0&amp;row=9296&amp;col=6&amp;number=4.2&amp;sourceID=14","4.2")</f>
        <v>4.2</v>
      </c>
      <c r="G9296" s="4" t="str">
        <f>HYPERLINK("http://141.218.60.56/~jnz1568/getInfo.php?workbook=20_05.xlsx&amp;sheet=U0&amp;row=9296&amp;col=7&amp;number=0.000106&amp;sourceID=14","0.000106")</f>
        <v>0.000106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HYPERLINK("http://141.218.60.56/~jnz1568/getInfo.php?workbook=20_05.xlsx&amp;sheet=U0&amp;row=9297&amp;col=6&amp;number=4.3&amp;sourceID=14","4.3")</f>
        <v>4.3</v>
      </c>
      <c r="G9297" s="4" t="str">
        <f>HYPERLINK("http://141.218.60.56/~jnz1568/getInfo.php?workbook=20_05.xlsx&amp;sheet=U0&amp;row=9297&amp;col=7&amp;number=0.000106&amp;sourceID=14","0.000106")</f>
        <v>0.000106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HYPERLINK("http://141.218.60.56/~jnz1568/getInfo.php?workbook=20_05.xlsx&amp;sheet=U0&amp;row=9298&amp;col=6&amp;number=4.4&amp;sourceID=14","4.4")</f>
        <v>4.4</v>
      </c>
      <c r="G9298" s="4" t="str">
        <f>HYPERLINK("http://141.218.60.56/~jnz1568/getInfo.php?workbook=20_05.xlsx&amp;sheet=U0&amp;row=9298&amp;col=7&amp;number=0.000106&amp;sourceID=14","0.000106")</f>
        <v>0.000106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HYPERLINK("http://141.218.60.56/~jnz1568/getInfo.php?workbook=20_05.xlsx&amp;sheet=U0&amp;row=9299&amp;col=6&amp;number=4.5&amp;sourceID=14","4.5")</f>
        <v>4.5</v>
      </c>
      <c r="G9299" s="4" t="str">
        <f>HYPERLINK("http://141.218.60.56/~jnz1568/getInfo.php?workbook=20_05.xlsx&amp;sheet=U0&amp;row=9299&amp;col=7&amp;number=0.000105&amp;sourceID=14","0.000105")</f>
        <v>0.000105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HYPERLINK("http://141.218.60.56/~jnz1568/getInfo.php?workbook=20_05.xlsx&amp;sheet=U0&amp;row=9300&amp;col=6&amp;number=4.6&amp;sourceID=14","4.6")</f>
        <v>4.6</v>
      </c>
      <c r="G9300" s="4" t="str">
        <f>HYPERLINK("http://141.218.60.56/~jnz1568/getInfo.php?workbook=20_05.xlsx&amp;sheet=U0&amp;row=9300&amp;col=7&amp;number=0.000105&amp;sourceID=14","0.000105")</f>
        <v>0.000105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HYPERLINK("http://141.218.60.56/~jnz1568/getInfo.php?workbook=20_05.xlsx&amp;sheet=U0&amp;row=9301&amp;col=6&amp;number=4.7&amp;sourceID=14","4.7")</f>
        <v>4.7</v>
      </c>
      <c r="G9301" s="4" t="str">
        <f>HYPERLINK("http://141.218.60.56/~jnz1568/getInfo.php?workbook=20_05.xlsx&amp;sheet=U0&amp;row=9301&amp;col=7&amp;number=0.000105&amp;sourceID=14","0.000105")</f>
        <v>0.000105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HYPERLINK("http://141.218.60.56/~jnz1568/getInfo.php?workbook=20_05.xlsx&amp;sheet=U0&amp;row=9302&amp;col=6&amp;number=4.8&amp;sourceID=14","4.8")</f>
        <v>4.8</v>
      </c>
      <c r="G9302" s="4" t="str">
        <f>HYPERLINK("http://141.218.60.56/~jnz1568/getInfo.php?workbook=20_05.xlsx&amp;sheet=U0&amp;row=9302&amp;col=7&amp;number=0.000105&amp;sourceID=14","0.000105")</f>
        <v>0.000105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HYPERLINK("http://141.218.60.56/~jnz1568/getInfo.php?workbook=20_05.xlsx&amp;sheet=U0&amp;row=9303&amp;col=6&amp;number=4.9&amp;sourceID=14","4.9")</f>
        <v>4.9</v>
      </c>
      <c r="G9303" s="4" t="str">
        <f>HYPERLINK("http://141.218.60.56/~jnz1568/getInfo.php?workbook=20_05.xlsx&amp;sheet=U0&amp;row=9303&amp;col=7&amp;number=0.000105&amp;sourceID=14","0.000105")</f>
        <v>0.000105</v>
      </c>
    </row>
    <row r="9304" spans="1:7">
      <c r="A9304" s="3">
        <v>20</v>
      </c>
      <c r="B9304" s="3">
        <v>5</v>
      </c>
      <c r="C9304" s="3">
        <v>4</v>
      </c>
      <c r="D9304" s="3">
        <v>106</v>
      </c>
      <c r="E9304" s="3">
        <v>1</v>
      </c>
      <c r="F9304" s="4" t="str">
        <f>HYPERLINK("http://141.218.60.56/~jnz1568/getInfo.php?workbook=20_05.xlsx&amp;sheet=U0&amp;row=9304&amp;col=6&amp;number=3&amp;sourceID=14","3")</f>
        <v>3</v>
      </c>
      <c r="G9304" s="4" t="str">
        <f>HYPERLINK("http://141.218.60.56/~jnz1568/getInfo.php?workbook=20_05.xlsx&amp;sheet=U0&amp;row=9304&amp;col=7&amp;number=0.00303&amp;sourceID=14","0.00303")</f>
        <v>0.00303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HYPERLINK("http://141.218.60.56/~jnz1568/getInfo.php?workbook=20_05.xlsx&amp;sheet=U0&amp;row=9305&amp;col=6&amp;number=3.1&amp;sourceID=14","3.1")</f>
        <v>3.1</v>
      </c>
      <c r="G9305" s="4" t="str">
        <f>HYPERLINK("http://141.218.60.56/~jnz1568/getInfo.php?workbook=20_05.xlsx&amp;sheet=U0&amp;row=9305&amp;col=7&amp;number=0.00303&amp;sourceID=14","0.00303")</f>
        <v>0.00303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HYPERLINK("http://141.218.60.56/~jnz1568/getInfo.php?workbook=20_05.xlsx&amp;sheet=U0&amp;row=9306&amp;col=6&amp;number=3.2&amp;sourceID=14","3.2")</f>
        <v>3.2</v>
      </c>
      <c r="G9306" s="4" t="str">
        <f>HYPERLINK("http://141.218.60.56/~jnz1568/getInfo.php?workbook=20_05.xlsx&amp;sheet=U0&amp;row=9306&amp;col=7&amp;number=0.00303&amp;sourceID=14","0.00303")</f>
        <v>0.00303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HYPERLINK("http://141.218.60.56/~jnz1568/getInfo.php?workbook=20_05.xlsx&amp;sheet=U0&amp;row=9307&amp;col=6&amp;number=3.3&amp;sourceID=14","3.3")</f>
        <v>3.3</v>
      </c>
      <c r="G9307" s="4" t="str">
        <f>HYPERLINK("http://141.218.60.56/~jnz1568/getInfo.php?workbook=20_05.xlsx&amp;sheet=U0&amp;row=9307&amp;col=7&amp;number=0.00303&amp;sourceID=14","0.00303")</f>
        <v>0.00303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HYPERLINK("http://141.218.60.56/~jnz1568/getInfo.php?workbook=20_05.xlsx&amp;sheet=U0&amp;row=9308&amp;col=6&amp;number=3.4&amp;sourceID=14","3.4")</f>
        <v>3.4</v>
      </c>
      <c r="G9308" s="4" t="str">
        <f>HYPERLINK("http://141.218.60.56/~jnz1568/getInfo.php?workbook=20_05.xlsx&amp;sheet=U0&amp;row=9308&amp;col=7&amp;number=0.00303&amp;sourceID=14","0.00303")</f>
        <v>0.00303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HYPERLINK("http://141.218.60.56/~jnz1568/getInfo.php?workbook=20_05.xlsx&amp;sheet=U0&amp;row=9309&amp;col=6&amp;number=3.5&amp;sourceID=14","3.5")</f>
        <v>3.5</v>
      </c>
      <c r="G9309" s="4" t="str">
        <f>HYPERLINK("http://141.218.60.56/~jnz1568/getInfo.php?workbook=20_05.xlsx&amp;sheet=U0&amp;row=9309&amp;col=7&amp;number=0.00303&amp;sourceID=14","0.00303")</f>
        <v>0.00303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HYPERLINK("http://141.218.60.56/~jnz1568/getInfo.php?workbook=20_05.xlsx&amp;sheet=U0&amp;row=9310&amp;col=6&amp;number=3.6&amp;sourceID=14","3.6")</f>
        <v>3.6</v>
      </c>
      <c r="G9310" s="4" t="str">
        <f>HYPERLINK("http://141.218.60.56/~jnz1568/getInfo.php?workbook=20_05.xlsx&amp;sheet=U0&amp;row=9310&amp;col=7&amp;number=0.00303&amp;sourceID=14","0.00303")</f>
        <v>0.00303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HYPERLINK("http://141.218.60.56/~jnz1568/getInfo.php?workbook=20_05.xlsx&amp;sheet=U0&amp;row=9311&amp;col=6&amp;number=3.7&amp;sourceID=14","3.7")</f>
        <v>3.7</v>
      </c>
      <c r="G9311" s="4" t="str">
        <f>HYPERLINK("http://141.218.60.56/~jnz1568/getInfo.php?workbook=20_05.xlsx&amp;sheet=U0&amp;row=9311&amp;col=7&amp;number=0.00303&amp;sourceID=14","0.00303")</f>
        <v>0.00303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HYPERLINK("http://141.218.60.56/~jnz1568/getInfo.php?workbook=20_05.xlsx&amp;sheet=U0&amp;row=9312&amp;col=6&amp;number=3.8&amp;sourceID=14","3.8")</f>
        <v>3.8</v>
      </c>
      <c r="G9312" s="4" t="str">
        <f>HYPERLINK("http://141.218.60.56/~jnz1568/getInfo.php?workbook=20_05.xlsx&amp;sheet=U0&amp;row=9312&amp;col=7&amp;number=0.00303&amp;sourceID=14","0.00303")</f>
        <v>0.00303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HYPERLINK("http://141.218.60.56/~jnz1568/getInfo.php?workbook=20_05.xlsx&amp;sheet=U0&amp;row=9313&amp;col=6&amp;number=3.9&amp;sourceID=14","3.9")</f>
        <v>3.9</v>
      </c>
      <c r="G9313" s="4" t="str">
        <f>HYPERLINK("http://141.218.60.56/~jnz1568/getInfo.php?workbook=20_05.xlsx&amp;sheet=U0&amp;row=9313&amp;col=7&amp;number=0.00303&amp;sourceID=14","0.00303")</f>
        <v>0.00303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HYPERLINK("http://141.218.60.56/~jnz1568/getInfo.php?workbook=20_05.xlsx&amp;sheet=U0&amp;row=9314&amp;col=6&amp;number=4&amp;sourceID=14","4")</f>
        <v>4</v>
      </c>
      <c r="G9314" s="4" t="str">
        <f>HYPERLINK("http://141.218.60.56/~jnz1568/getInfo.php?workbook=20_05.xlsx&amp;sheet=U0&amp;row=9314&amp;col=7&amp;number=0.00304&amp;sourceID=14","0.00304")</f>
        <v>0.00304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HYPERLINK("http://141.218.60.56/~jnz1568/getInfo.php?workbook=20_05.xlsx&amp;sheet=U0&amp;row=9315&amp;col=6&amp;number=4.1&amp;sourceID=14","4.1")</f>
        <v>4.1</v>
      </c>
      <c r="G9315" s="4" t="str">
        <f>HYPERLINK("http://141.218.60.56/~jnz1568/getInfo.php?workbook=20_05.xlsx&amp;sheet=U0&amp;row=9315&amp;col=7&amp;number=0.00304&amp;sourceID=14","0.00304")</f>
        <v>0.00304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HYPERLINK("http://141.218.60.56/~jnz1568/getInfo.php?workbook=20_05.xlsx&amp;sheet=U0&amp;row=9316&amp;col=6&amp;number=4.2&amp;sourceID=14","4.2")</f>
        <v>4.2</v>
      </c>
      <c r="G9316" s="4" t="str">
        <f>HYPERLINK("http://141.218.60.56/~jnz1568/getInfo.php?workbook=20_05.xlsx&amp;sheet=U0&amp;row=9316&amp;col=7&amp;number=0.00304&amp;sourceID=14","0.00304")</f>
        <v>0.00304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HYPERLINK("http://141.218.60.56/~jnz1568/getInfo.php?workbook=20_05.xlsx&amp;sheet=U0&amp;row=9317&amp;col=6&amp;number=4.3&amp;sourceID=14","4.3")</f>
        <v>4.3</v>
      </c>
      <c r="G9317" s="4" t="str">
        <f>HYPERLINK("http://141.218.60.56/~jnz1568/getInfo.php?workbook=20_05.xlsx&amp;sheet=U0&amp;row=9317&amp;col=7&amp;number=0.00304&amp;sourceID=14","0.00304")</f>
        <v>0.00304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HYPERLINK("http://141.218.60.56/~jnz1568/getInfo.php?workbook=20_05.xlsx&amp;sheet=U0&amp;row=9318&amp;col=6&amp;number=4.4&amp;sourceID=14","4.4")</f>
        <v>4.4</v>
      </c>
      <c r="G9318" s="4" t="str">
        <f>HYPERLINK("http://141.218.60.56/~jnz1568/getInfo.php?workbook=20_05.xlsx&amp;sheet=U0&amp;row=9318&amp;col=7&amp;number=0.00305&amp;sourceID=14","0.00305")</f>
        <v>0.00305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HYPERLINK("http://141.218.60.56/~jnz1568/getInfo.php?workbook=20_05.xlsx&amp;sheet=U0&amp;row=9319&amp;col=6&amp;number=4.5&amp;sourceID=14","4.5")</f>
        <v>4.5</v>
      </c>
      <c r="G9319" s="4" t="str">
        <f>HYPERLINK("http://141.218.60.56/~jnz1568/getInfo.php?workbook=20_05.xlsx&amp;sheet=U0&amp;row=9319&amp;col=7&amp;number=0.00306&amp;sourceID=14","0.00306")</f>
        <v>0.00306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HYPERLINK("http://141.218.60.56/~jnz1568/getInfo.php?workbook=20_05.xlsx&amp;sheet=U0&amp;row=9320&amp;col=6&amp;number=4.6&amp;sourceID=14","4.6")</f>
        <v>4.6</v>
      </c>
      <c r="G9320" s="4" t="str">
        <f>HYPERLINK("http://141.218.60.56/~jnz1568/getInfo.php?workbook=20_05.xlsx&amp;sheet=U0&amp;row=9320&amp;col=7&amp;number=0.00306&amp;sourceID=14","0.00306")</f>
        <v>0.00306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HYPERLINK("http://141.218.60.56/~jnz1568/getInfo.php?workbook=20_05.xlsx&amp;sheet=U0&amp;row=9321&amp;col=6&amp;number=4.7&amp;sourceID=14","4.7")</f>
        <v>4.7</v>
      </c>
      <c r="G9321" s="4" t="str">
        <f>HYPERLINK("http://141.218.60.56/~jnz1568/getInfo.php?workbook=20_05.xlsx&amp;sheet=U0&amp;row=9321&amp;col=7&amp;number=0.00307&amp;sourceID=14","0.00307")</f>
        <v>0.00307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HYPERLINK("http://141.218.60.56/~jnz1568/getInfo.php?workbook=20_05.xlsx&amp;sheet=U0&amp;row=9322&amp;col=6&amp;number=4.8&amp;sourceID=14","4.8")</f>
        <v>4.8</v>
      </c>
      <c r="G9322" s="4" t="str">
        <f>HYPERLINK("http://141.218.60.56/~jnz1568/getInfo.php?workbook=20_05.xlsx&amp;sheet=U0&amp;row=9322&amp;col=7&amp;number=0.00308&amp;sourceID=14","0.00308")</f>
        <v>0.00308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HYPERLINK("http://141.218.60.56/~jnz1568/getInfo.php?workbook=20_05.xlsx&amp;sheet=U0&amp;row=9323&amp;col=6&amp;number=4.9&amp;sourceID=14","4.9")</f>
        <v>4.9</v>
      </c>
      <c r="G9323" s="4" t="str">
        <f>HYPERLINK("http://141.218.60.56/~jnz1568/getInfo.php?workbook=20_05.xlsx&amp;sheet=U0&amp;row=9323&amp;col=7&amp;number=0.0031&amp;sourceID=14","0.0031")</f>
        <v>0.0031</v>
      </c>
    </row>
    <row r="9324" spans="1:7">
      <c r="A9324" s="3">
        <v>20</v>
      </c>
      <c r="B9324" s="3">
        <v>5</v>
      </c>
      <c r="C9324" s="3">
        <v>4</v>
      </c>
      <c r="D9324" s="3">
        <v>107</v>
      </c>
      <c r="E9324" s="3">
        <v>1</v>
      </c>
      <c r="F9324" s="4" t="str">
        <f>HYPERLINK("http://141.218.60.56/~jnz1568/getInfo.php?workbook=20_05.xlsx&amp;sheet=U0&amp;row=9324&amp;col=6&amp;number=3&amp;sourceID=14","3")</f>
        <v>3</v>
      </c>
      <c r="G9324" s="4" t="str">
        <f>HYPERLINK("http://141.218.60.56/~jnz1568/getInfo.php?workbook=20_05.xlsx&amp;sheet=U0&amp;row=9324&amp;col=7&amp;number=0.0149&amp;sourceID=14","0.0149")</f>
        <v>0.0149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HYPERLINK("http://141.218.60.56/~jnz1568/getInfo.php?workbook=20_05.xlsx&amp;sheet=U0&amp;row=9325&amp;col=6&amp;number=3.1&amp;sourceID=14","3.1")</f>
        <v>3.1</v>
      </c>
      <c r="G9325" s="4" t="str">
        <f>HYPERLINK("http://141.218.60.56/~jnz1568/getInfo.php?workbook=20_05.xlsx&amp;sheet=U0&amp;row=9325&amp;col=7&amp;number=0.0149&amp;sourceID=14","0.0149")</f>
        <v>0.0149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HYPERLINK("http://141.218.60.56/~jnz1568/getInfo.php?workbook=20_05.xlsx&amp;sheet=U0&amp;row=9326&amp;col=6&amp;number=3.2&amp;sourceID=14","3.2")</f>
        <v>3.2</v>
      </c>
      <c r="G9326" s="4" t="str">
        <f>HYPERLINK("http://141.218.60.56/~jnz1568/getInfo.php?workbook=20_05.xlsx&amp;sheet=U0&amp;row=9326&amp;col=7&amp;number=0.0149&amp;sourceID=14","0.0149")</f>
        <v>0.0149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HYPERLINK("http://141.218.60.56/~jnz1568/getInfo.php?workbook=20_05.xlsx&amp;sheet=U0&amp;row=9327&amp;col=6&amp;number=3.3&amp;sourceID=14","3.3")</f>
        <v>3.3</v>
      </c>
      <c r="G9327" s="4" t="str">
        <f>HYPERLINK("http://141.218.60.56/~jnz1568/getInfo.php?workbook=20_05.xlsx&amp;sheet=U0&amp;row=9327&amp;col=7&amp;number=0.0149&amp;sourceID=14","0.0149")</f>
        <v>0.0149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HYPERLINK("http://141.218.60.56/~jnz1568/getInfo.php?workbook=20_05.xlsx&amp;sheet=U0&amp;row=9328&amp;col=6&amp;number=3.4&amp;sourceID=14","3.4")</f>
        <v>3.4</v>
      </c>
      <c r="G9328" s="4" t="str">
        <f>HYPERLINK("http://141.218.60.56/~jnz1568/getInfo.php?workbook=20_05.xlsx&amp;sheet=U0&amp;row=9328&amp;col=7&amp;number=0.0149&amp;sourceID=14","0.0149")</f>
        <v>0.0149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HYPERLINK("http://141.218.60.56/~jnz1568/getInfo.php?workbook=20_05.xlsx&amp;sheet=U0&amp;row=9329&amp;col=6&amp;number=3.5&amp;sourceID=14","3.5")</f>
        <v>3.5</v>
      </c>
      <c r="G9329" s="4" t="str">
        <f>HYPERLINK("http://141.218.60.56/~jnz1568/getInfo.php?workbook=20_05.xlsx&amp;sheet=U0&amp;row=9329&amp;col=7&amp;number=0.0149&amp;sourceID=14","0.0149")</f>
        <v>0.0149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HYPERLINK("http://141.218.60.56/~jnz1568/getInfo.php?workbook=20_05.xlsx&amp;sheet=U0&amp;row=9330&amp;col=6&amp;number=3.6&amp;sourceID=14","3.6")</f>
        <v>3.6</v>
      </c>
      <c r="G9330" s="4" t="str">
        <f>HYPERLINK("http://141.218.60.56/~jnz1568/getInfo.php?workbook=20_05.xlsx&amp;sheet=U0&amp;row=9330&amp;col=7&amp;number=0.0149&amp;sourceID=14","0.0149")</f>
        <v>0.0149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HYPERLINK("http://141.218.60.56/~jnz1568/getInfo.php?workbook=20_05.xlsx&amp;sheet=U0&amp;row=9331&amp;col=6&amp;number=3.7&amp;sourceID=14","3.7")</f>
        <v>3.7</v>
      </c>
      <c r="G9331" s="4" t="str">
        <f>HYPERLINK("http://141.218.60.56/~jnz1568/getInfo.php?workbook=20_05.xlsx&amp;sheet=U0&amp;row=9331&amp;col=7&amp;number=0.0149&amp;sourceID=14","0.0149")</f>
        <v>0.0149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HYPERLINK("http://141.218.60.56/~jnz1568/getInfo.php?workbook=20_05.xlsx&amp;sheet=U0&amp;row=9332&amp;col=6&amp;number=3.8&amp;sourceID=14","3.8")</f>
        <v>3.8</v>
      </c>
      <c r="G9332" s="4" t="str">
        <f>HYPERLINK("http://141.218.60.56/~jnz1568/getInfo.php?workbook=20_05.xlsx&amp;sheet=U0&amp;row=9332&amp;col=7&amp;number=0.0149&amp;sourceID=14","0.0149")</f>
        <v>0.0149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HYPERLINK("http://141.218.60.56/~jnz1568/getInfo.php?workbook=20_05.xlsx&amp;sheet=U0&amp;row=9333&amp;col=6&amp;number=3.9&amp;sourceID=14","3.9")</f>
        <v>3.9</v>
      </c>
      <c r="G9333" s="4" t="str">
        <f>HYPERLINK("http://141.218.60.56/~jnz1568/getInfo.php?workbook=20_05.xlsx&amp;sheet=U0&amp;row=9333&amp;col=7&amp;number=0.0149&amp;sourceID=14","0.0149")</f>
        <v>0.0149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HYPERLINK("http://141.218.60.56/~jnz1568/getInfo.php?workbook=20_05.xlsx&amp;sheet=U0&amp;row=9334&amp;col=6&amp;number=4&amp;sourceID=14","4")</f>
        <v>4</v>
      </c>
      <c r="G9334" s="4" t="str">
        <f>HYPERLINK("http://141.218.60.56/~jnz1568/getInfo.php?workbook=20_05.xlsx&amp;sheet=U0&amp;row=9334&amp;col=7&amp;number=0.0149&amp;sourceID=14","0.0149")</f>
        <v>0.0149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HYPERLINK("http://141.218.60.56/~jnz1568/getInfo.php?workbook=20_05.xlsx&amp;sheet=U0&amp;row=9335&amp;col=6&amp;number=4.1&amp;sourceID=14","4.1")</f>
        <v>4.1</v>
      </c>
      <c r="G9335" s="4" t="str">
        <f>HYPERLINK("http://141.218.60.56/~jnz1568/getInfo.php?workbook=20_05.xlsx&amp;sheet=U0&amp;row=9335&amp;col=7&amp;number=0.0149&amp;sourceID=14","0.0149")</f>
        <v>0.0149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HYPERLINK("http://141.218.60.56/~jnz1568/getInfo.php?workbook=20_05.xlsx&amp;sheet=U0&amp;row=9336&amp;col=6&amp;number=4.2&amp;sourceID=14","4.2")</f>
        <v>4.2</v>
      </c>
      <c r="G9336" s="4" t="str">
        <f>HYPERLINK("http://141.218.60.56/~jnz1568/getInfo.php?workbook=20_05.xlsx&amp;sheet=U0&amp;row=9336&amp;col=7&amp;number=0.0149&amp;sourceID=14","0.0149")</f>
        <v>0.0149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HYPERLINK("http://141.218.60.56/~jnz1568/getInfo.php?workbook=20_05.xlsx&amp;sheet=U0&amp;row=9337&amp;col=6&amp;number=4.3&amp;sourceID=14","4.3")</f>
        <v>4.3</v>
      </c>
      <c r="G9337" s="4" t="str">
        <f>HYPERLINK("http://141.218.60.56/~jnz1568/getInfo.php?workbook=20_05.xlsx&amp;sheet=U0&amp;row=9337&amp;col=7&amp;number=0.0149&amp;sourceID=14","0.0149")</f>
        <v>0.0149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HYPERLINK("http://141.218.60.56/~jnz1568/getInfo.php?workbook=20_05.xlsx&amp;sheet=U0&amp;row=9338&amp;col=6&amp;number=4.4&amp;sourceID=14","4.4")</f>
        <v>4.4</v>
      </c>
      <c r="G9338" s="4" t="str">
        <f>HYPERLINK("http://141.218.60.56/~jnz1568/getInfo.php?workbook=20_05.xlsx&amp;sheet=U0&amp;row=9338&amp;col=7&amp;number=0.0149&amp;sourceID=14","0.0149")</f>
        <v>0.0149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HYPERLINK("http://141.218.60.56/~jnz1568/getInfo.php?workbook=20_05.xlsx&amp;sheet=U0&amp;row=9339&amp;col=6&amp;number=4.5&amp;sourceID=14","4.5")</f>
        <v>4.5</v>
      </c>
      <c r="G9339" s="4" t="str">
        <f>HYPERLINK("http://141.218.60.56/~jnz1568/getInfo.php?workbook=20_05.xlsx&amp;sheet=U0&amp;row=9339&amp;col=7&amp;number=0.0149&amp;sourceID=14","0.0149")</f>
        <v>0.0149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HYPERLINK("http://141.218.60.56/~jnz1568/getInfo.php?workbook=20_05.xlsx&amp;sheet=U0&amp;row=9340&amp;col=6&amp;number=4.6&amp;sourceID=14","4.6")</f>
        <v>4.6</v>
      </c>
      <c r="G9340" s="4" t="str">
        <f>HYPERLINK("http://141.218.60.56/~jnz1568/getInfo.php?workbook=20_05.xlsx&amp;sheet=U0&amp;row=9340&amp;col=7&amp;number=0.0149&amp;sourceID=14","0.0149")</f>
        <v>0.0149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HYPERLINK("http://141.218.60.56/~jnz1568/getInfo.php?workbook=20_05.xlsx&amp;sheet=U0&amp;row=9341&amp;col=6&amp;number=4.7&amp;sourceID=14","4.7")</f>
        <v>4.7</v>
      </c>
      <c r="G9341" s="4" t="str">
        <f>HYPERLINK("http://141.218.60.56/~jnz1568/getInfo.php?workbook=20_05.xlsx&amp;sheet=U0&amp;row=9341&amp;col=7&amp;number=0.0149&amp;sourceID=14","0.0149")</f>
        <v>0.0149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HYPERLINK("http://141.218.60.56/~jnz1568/getInfo.php?workbook=20_05.xlsx&amp;sheet=U0&amp;row=9342&amp;col=6&amp;number=4.8&amp;sourceID=14","4.8")</f>
        <v>4.8</v>
      </c>
      <c r="G9342" s="4" t="str">
        <f>HYPERLINK("http://141.218.60.56/~jnz1568/getInfo.php?workbook=20_05.xlsx&amp;sheet=U0&amp;row=9342&amp;col=7&amp;number=0.0149&amp;sourceID=14","0.0149")</f>
        <v>0.0149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HYPERLINK("http://141.218.60.56/~jnz1568/getInfo.php?workbook=20_05.xlsx&amp;sheet=U0&amp;row=9343&amp;col=6&amp;number=4.9&amp;sourceID=14","4.9")</f>
        <v>4.9</v>
      </c>
      <c r="G9343" s="4" t="str">
        <f>HYPERLINK("http://141.218.60.56/~jnz1568/getInfo.php?workbook=20_05.xlsx&amp;sheet=U0&amp;row=9343&amp;col=7&amp;number=0.0149&amp;sourceID=14","0.0149")</f>
        <v>0.0149</v>
      </c>
    </row>
    <row r="9344" spans="1:7">
      <c r="A9344" s="3">
        <v>20</v>
      </c>
      <c r="B9344" s="3">
        <v>5</v>
      </c>
      <c r="C9344" s="3">
        <v>4</v>
      </c>
      <c r="D9344" s="3">
        <v>108</v>
      </c>
      <c r="E9344" s="3">
        <v>1</v>
      </c>
      <c r="F9344" s="4" t="str">
        <f>HYPERLINK("http://141.218.60.56/~jnz1568/getInfo.php?workbook=20_05.xlsx&amp;sheet=U0&amp;row=9344&amp;col=6&amp;number=3&amp;sourceID=14","3")</f>
        <v>3</v>
      </c>
      <c r="G9344" s="4" t="str">
        <f>HYPERLINK("http://141.218.60.56/~jnz1568/getInfo.php?workbook=20_05.xlsx&amp;sheet=U0&amp;row=9344&amp;col=7&amp;number=0.125&amp;sourceID=14","0.125")</f>
        <v>0.125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HYPERLINK("http://141.218.60.56/~jnz1568/getInfo.php?workbook=20_05.xlsx&amp;sheet=U0&amp;row=9345&amp;col=6&amp;number=3.1&amp;sourceID=14","3.1")</f>
        <v>3.1</v>
      </c>
      <c r="G9345" s="4" t="str">
        <f>HYPERLINK("http://141.218.60.56/~jnz1568/getInfo.php?workbook=20_05.xlsx&amp;sheet=U0&amp;row=9345&amp;col=7&amp;number=0.125&amp;sourceID=14","0.125")</f>
        <v>0.125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HYPERLINK("http://141.218.60.56/~jnz1568/getInfo.php?workbook=20_05.xlsx&amp;sheet=U0&amp;row=9346&amp;col=6&amp;number=3.2&amp;sourceID=14","3.2")</f>
        <v>3.2</v>
      </c>
      <c r="G9346" s="4" t="str">
        <f>HYPERLINK("http://141.218.60.56/~jnz1568/getInfo.php?workbook=20_05.xlsx&amp;sheet=U0&amp;row=9346&amp;col=7&amp;number=0.125&amp;sourceID=14","0.125")</f>
        <v>0.125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HYPERLINK("http://141.218.60.56/~jnz1568/getInfo.php?workbook=20_05.xlsx&amp;sheet=U0&amp;row=9347&amp;col=6&amp;number=3.3&amp;sourceID=14","3.3")</f>
        <v>3.3</v>
      </c>
      <c r="G9347" s="4" t="str">
        <f>HYPERLINK("http://141.218.60.56/~jnz1568/getInfo.php?workbook=20_05.xlsx&amp;sheet=U0&amp;row=9347&amp;col=7&amp;number=0.125&amp;sourceID=14","0.125")</f>
        <v>0.125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HYPERLINK("http://141.218.60.56/~jnz1568/getInfo.php?workbook=20_05.xlsx&amp;sheet=U0&amp;row=9348&amp;col=6&amp;number=3.4&amp;sourceID=14","3.4")</f>
        <v>3.4</v>
      </c>
      <c r="G9348" s="4" t="str">
        <f>HYPERLINK("http://141.218.60.56/~jnz1568/getInfo.php?workbook=20_05.xlsx&amp;sheet=U0&amp;row=9348&amp;col=7&amp;number=0.125&amp;sourceID=14","0.125")</f>
        <v>0.125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HYPERLINK("http://141.218.60.56/~jnz1568/getInfo.php?workbook=20_05.xlsx&amp;sheet=U0&amp;row=9349&amp;col=6&amp;number=3.5&amp;sourceID=14","3.5")</f>
        <v>3.5</v>
      </c>
      <c r="G9349" s="4" t="str">
        <f>HYPERLINK("http://141.218.60.56/~jnz1568/getInfo.php?workbook=20_05.xlsx&amp;sheet=U0&amp;row=9349&amp;col=7&amp;number=0.125&amp;sourceID=14","0.125")</f>
        <v>0.125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HYPERLINK("http://141.218.60.56/~jnz1568/getInfo.php?workbook=20_05.xlsx&amp;sheet=U0&amp;row=9350&amp;col=6&amp;number=3.6&amp;sourceID=14","3.6")</f>
        <v>3.6</v>
      </c>
      <c r="G9350" s="4" t="str">
        <f>HYPERLINK("http://141.218.60.56/~jnz1568/getInfo.php?workbook=20_05.xlsx&amp;sheet=U0&amp;row=9350&amp;col=7&amp;number=0.125&amp;sourceID=14","0.125")</f>
        <v>0.125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HYPERLINK("http://141.218.60.56/~jnz1568/getInfo.php?workbook=20_05.xlsx&amp;sheet=U0&amp;row=9351&amp;col=6&amp;number=3.7&amp;sourceID=14","3.7")</f>
        <v>3.7</v>
      </c>
      <c r="G9351" s="4" t="str">
        <f>HYPERLINK("http://141.218.60.56/~jnz1568/getInfo.php?workbook=20_05.xlsx&amp;sheet=U0&amp;row=9351&amp;col=7&amp;number=0.125&amp;sourceID=14","0.125")</f>
        <v>0.125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HYPERLINK("http://141.218.60.56/~jnz1568/getInfo.php?workbook=20_05.xlsx&amp;sheet=U0&amp;row=9352&amp;col=6&amp;number=3.8&amp;sourceID=14","3.8")</f>
        <v>3.8</v>
      </c>
      <c r="G9352" s="4" t="str">
        <f>HYPERLINK("http://141.218.60.56/~jnz1568/getInfo.php?workbook=20_05.xlsx&amp;sheet=U0&amp;row=9352&amp;col=7&amp;number=0.126&amp;sourceID=14","0.126")</f>
        <v>0.126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HYPERLINK("http://141.218.60.56/~jnz1568/getInfo.php?workbook=20_05.xlsx&amp;sheet=U0&amp;row=9353&amp;col=6&amp;number=3.9&amp;sourceID=14","3.9")</f>
        <v>3.9</v>
      </c>
      <c r="G9353" s="4" t="str">
        <f>HYPERLINK("http://141.218.60.56/~jnz1568/getInfo.php?workbook=20_05.xlsx&amp;sheet=U0&amp;row=9353&amp;col=7&amp;number=0.126&amp;sourceID=14","0.126")</f>
        <v>0.126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HYPERLINK("http://141.218.60.56/~jnz1568/getInfo.php?workbook=20_05.xlsx&amp;sheet=U0&amp;row=9354&amp;col=6&amp;number=4&amp;sourceID=14","4")</f>
        <v>4</v>
      </c>
      <c r="G9354" s="4" t="str">
        <f>HYPERLINK("http://141.218.60.56/~jnz1568/getInfo.php?workbook=20_05.xlsx&amp;sheet=U0&amp;row=9354&amp;col=7&amp;number=0.126&amp;sourceID=14","0.126")</f>
        <v>0.126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HYPERLINK("http://141.218.60.56/~jnz1568/getInfo.php?workbook=20_05.xlsx&amp;sheet=U0&amp;row=9355&amp;col=6&amp;number=4.1&amp;sourceID=14","4.1")</f>
        <v>4.1</v>
      </c>
      <c r="G9355" s="4" t="str">
        <f>HYPERLINK("http://141.218.60.56/~jnz1568/getInfo.php?workbook=20_05.xlsx&amp;sheet=U0&amp;row=9355&amp;col=7&amp;number=0.126&amp;sourceID=14","0.126")</f>
        <v>0.126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HYPERLINK("http://141.218.60.56/~jnz1568/getInfo.php?workbook=20_05.xlsx&amp;sheet=U0&amp;row=9356&amp;col=6&amp;number=4.2&amp;sourceID=14","4.2")</f>
        <v>4.2</v>
      </c>
      <c r="G9356" s="4" t="str">
        <f>HYPERLINK("http://141.218.60.56/~jnz1568/getInfo.php?workbook=20_05.xlsx&amp;sheet=U0&amp;row=9356&amp;col=7&amp;number=0.126&amp;sourceID=14","0.126")</f>
        <v>0.126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HYPERLINK("http://141.218.60.56/~jnz1568/getInfo.php?workbook=20_05.xlsx&amp;sheet=U0&amp;row=9357&amp;col=6&amp;number=4.3&amp;sourceID=14","4.3")</f>
        <v>4.3</v>
      </c>
      <c r="G9357" s="4" t="str">
        <f>HYPERLINK("http://141.218.60.56/~jnz1568/getInfo.php?workbook=20_05.xlsx&amp;sheet=U0&amp;row=9357&amp;col=7&amp;number=0.126&amp;sourceID=14","0.126")</f>
        <v>0.126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HYPERLINK("http://141.218.60.56/~jnz1568/getInfo.php?workbook=20_05.xlsx&amp;sheet=U0&amp;row=9358&amp;col=6&amp;number=4.4&amp;sourceID=14","4.4")</f>
        <v>4.4</v>
      </c>
      <c r="G9358" s="4" t="str">
        <f>HYPERLINK("http://141.218.60.56/~jnz1568/getInfo.php?workbook=20_05.xlsx&amp;sheet=U0&amp;row=9358&amp;col=7&amp;number=0.126&amp;sourceID=14","0.126")</f>
        <v>0.126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HYPERLINK("http://141.218.60.56/~jnz1568/getInfo.php?workbook=20_05.xlsx&amp;sheet=U0&amp;row=9359&amp;col=6&amp;number=4.5&amp;sourceID=14","4.5")</f>
        <v>4.5</v>
      </c>
      <c r="G9359" s="4" t="str">
        <f>HYPERLINK("http://141.218.60.56/~jnz1568/getInfo.php?workbook=20_05.xlsx&amp;sheet=U0&amp;row=9359&amp;col=7&amp;number=0.126&amp;sourceID=14","0.126")</f>
        <v>0.126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HYPERLINK("http://141.218.60.56/~jnz1568/getInfo.php?workbook=20_05.xlsx&amp;sheet=U0&amp;row=9360&amp;col=6&amp;number=4.6&amp;sourceID=14","4.6")</f>
        <v>4.6</v>
      </c>
      <c r="G9360" s="4" t="str">
        <f>HYPERLINK("http://141.218.60.56/~jnz1568/getInfo.php?workbook=20_05.xlsx&amp;sheet=U0&amp;row=9360&amp;col=7&amp;number=0.126&amp;sourceID=14","0.126")</f>
        <v>0.126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HYPERLINK("http://141.218.60.56/~jnz1568/getInfo.php?workbook=20_05.xlsx&amp;sheet=U0&amp;row=9361&amp;col=6&amp;number=4.7&amp;sourceID=14","4.7")</f>
        <v>4.7</v>
      </c>
      <c r="G9361" s="4" t="str">
        <f>HYPERLINK("http://141.218.60.56/~jnz1568/getInfo.php?workbook=20_05.xlsx&amp;sheet=U0&amp;row=9361&amp;col=7&amp;number=0.126&amp;sourceID=14","0.126")</f>
        <v>0.126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HYPERLINK("http://141.218.60.56/~jnz1568/getInfo.php?workbook=20_05.xlsx&amp;sheet=U0&amp;row=9362&amp;col=6&amp;number=4.8&amp;sourceID=14","4.8")</f>
        <v>4.8</v>
      </c>
      <c r="G9362" s="4" t="str">
        <f>HYPERLINK("http://141.218.60.56/~jnz1568/getInfo.php?workbook=20_05.xlsx&amp;sheet=U0&amp;row=9362&amp;col=7&amp;number=0.127&amp;sourceID=14","0.127")</f>
        <v>0.127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HYPERLINK("http://141.218.60.56/~jnz1568/getInfo.php?workbook=20_05.xlsx&amp;sheet=U0&amp;row=9363&amp;col=6&amp;number=4.9&amp;sourceID=14","4.9")</f>
        <v>4.9</v>
      </c>
      <c r="G9363" s="4" t="str">
        <f>HYPERLINK("http://141.218.60.56/~jnz1568/getInfo.php?workbook=20_05.xlsx&amp;sheet=U0&amp;row=9363&amp;col=7&amp;number=0.127&amp;sourceID=14","0.127")</f>
        <v>0.127</v>
      </c>
    </row>
    <row r="9364" spans="1:7">
      <c r="A9364" s="3">
        <v>20</v>
      </c>
      <c r="B9364" s="3">
        <v>5</v>
      </c>
      <c r="C9364" s="3">
        <v>4</v>
      </c>
      <c r="D9364" s="3">
        <v>109</v>
      </c>
      <c r="E9364" s="3">
        <v>1</v>
      </c>
      <c r="F9364" s="4" t="str">
        <f>HYPERLINK("http://141.218.60.56/~jnz1568/getInfo.php?workbook=20_05.xlsx&amp;sheet=U0&amp;row=9364&amp;col=6&amp;number=3&amp;sourceID=14","3")</f>
        <v>3</v>
      </c>
      <c r="G9364" s="4" t="str">
        <f>HYPERLINK("http://141.218.60.56/~jnz1568/getInfo.php?workbook=20_05.xlsx&amp;sheet=U0&amp;row=9364&amp;col=7&amp;number=0.0506&amp;sourceID=14","0.0506")</f>
        <v>0.0506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HYPERLINK("http://141.218.60.56/~jnz1568/getInfo.php?workbook=20_05.xlsx&amp;sheet=U0&amp;row=9365&amp;col=6&amp;number=3.1&amp;sourceID=14","3.1")</f>
        <v>3.1</v>
      </c>
      <c r="G9365" s="4" t="str">
        <f>HYPERLINK("http://141.218.60.56/~jnz1568/getInfo.php?workbook=20_05.xlsx&amp;sheet=U0&amp;row=9365&amp;col=7&amp;number=0.0506&amp;sourceID=14","0.0506")</f>
        <v>0.0506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HYPERLINK("http://141.218.60.56/~jnz1568/getInfo.php?workbook=20_05.xlsx&amp;sheet=U0&amp;row=9366&amp;col=6&amp;number=3.2&amp;sourceID=14","3.2")</f>
        <v>3.2</v>
      </c>
      <c r="G9366" s="4" t="str">
        <f>HYPERLINK("http://141.218.60.56/~jnz1568/getInfo.php?workbook=20_05.xlsx&amp;sheet=U0&amp;row=9366&amp;col=7&amp;number=0.0506&amp;sourceID=14","0.0506")</f>
        <v>0.0506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HYPERLINK("http://141.218.60.56/~jnz1568/getInfo.php?workbook=20_05.xlsx&amp;sheet=U0&amp;row=9367&amp;col=6&amp;number=3.3&amp;sourceID=14","3.3")</f>
        <v>3.3</v>
      </c>
      <c r="G9367" s="4" t="str">
        <f>HYPERLINK("http://141.218.60.56/~jnz1568/getInfo.php?workbook=20_05.xlsx&amp;sheet=U0&amp;row=9367&amp;col=7&amp;number=0.0506&amp;sourceID=14","0.0506")</f>
        <v>0.0506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HYPERLINK("http://141.218.60.56/~jnz1568/getInfo.php?workbook=20_05.xlsx&amp;sheet=U0&amp;row=9368&amp;col=6&amp;number=3.4&amp;sourceID=14","3.4")</f>
        <v>3.4</v>
      </c>
      <c r="G9368" s="4" t="str">
        <f>HYPERLINK("http://141.218.60.56/~jnz1568/getInfo.php?workbook=20_05.xlsx&amp;sheet=U0&amp;row=9368&amp;col=7&amp;number=0.0506&amp;sourceID=14","0.0506")</f>
        <v>0.0506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HYPERLINK("http://141.218.60.56/~jnz1568/getInfo.php?workbook=20_05.xlsx&amp;sheet=U0&amp;row=9369&amp;col=6&amp;number=3.5&amp;sourceID=14","3.5")</f>
        <v>3.5</v>
      </c>
      <c r="G9369" s="4" t="str">
        <f>HYPERLINK("http://141.218.60.56/~jnz1568/getInfo.php?workbook=20_05.xlsx&amp;sheet=U0&amp;row=9369&amp;col=7&amp;number=0.0506&amp;sourceID=14","0.0506")</f>
        <v>0.0506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HYPERLINK("http://141.218.60.56/~jnz1568/getInfo.php?workbook=20_05.xlsx&amp;sheet=U0&amp;row=9370&amp;col=6&amp;number=3.6&amp;sourceID=14","3.6")</f>
        <v>3.6</v>
      </c>
      <c r="G9370" s="4" t="str">
        <f>HYPERLINK("http://141.218.60.56/~jnz1568/getInfo.php?workbook=20_05.xlsx&amp;sheet=U0&amp;row=9370&amp;col=7&amp;number=0.0506&amp;sourceID=14","0.0506")</f>
        <v>0.0506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HYPERLINK("http://141.218.60.56/~jnz1568/getInfo.php?workbook=20_05.xlsx&amp;sheet=U0&amp;row=9371&amp;col=6&amp;number=3.7&amp;sourceID=14","3.7")</f>
        <v>3.7</v>
      </c>
      <c r="G9371" s="4" t="str">
        <f>HYPERLINK("http://141.218.60.56/~jnz1568/getInfo.php?workbook=20_05.xlsx&amp;sheet=U0&amp;row=9371&amp;col=7&amp;number=0.0506&amp;sourceID=14","0.0506")</f>
        <v>0.0506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HYPERLINK("http://141.218.60.56/~jnz1568/getInfo.php?workbook=20_05.xlsx&amp;sheet=U0&amp;row=9372&amp;col=6&amp;number=3.8&amp;sourceID=14","3.8")</f>
        <v>3.8</v>
      </c>
      <c r="G9372" s="4" t="str">
        <f>HYPERLINK("http://141.218.60.56/~jnz1568/getInfo.php?workbook=20_05.xlsx&amp;sheet=U0&amp;row=9372&amp;col=7&amp;number=0.0506&amp;sourceID=14","0.0506")</f>
        <v>0.0506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HYPERLINK("http://141.218.60.56/~jnz1568/getInfo.php?workbook=20_05.xlsx&amp;sheet=U0&amp;row=9373&amp;col=6&amp;number=3.9&amp;sourceID=14","3.9")</f>
        <v>3.9</v>
      </c>
      <c r="G9373" s="4" t="str">
        <f>HYPERLINK("http://141.218.60.56/~jnz1568/getInfo.php?workbook=20_05.xlsx&amp;sheet=U0&amp;row=9373&amp;col=7&amp;number=0.0506&amp;sourceID=14","0.0506")</f>
        <v>0.0506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HYPERLINK("http://141.218.60.56/~jnz1568/getInfo.php?workbook=20_05.xlsx&amp;sheet=U0&amp;row=9374&amp;col=6&amp;number=4&amp;sourceID=14","4")</f>
        <v>4</v>
      </c>
      <c r="G9374" s="4" t="str">
        <f>HYPERLINK("http://141.218.60.56/~jnz1568/getInfo.php?workbook=20_05.xlsx&amp;sheet=U0&amp;row=9374&amp;col=7&amp;number=0.0507&amp;sourceID=14","0.0507")</f>
        <v>0.0507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HYPERLINK("http://141.218.60.56/~jnz1568/getInfo.php?workbook=20_05.xlsx&amp;sheet=U0&amp;row=9375&amp;col=6&amp;number=4.1&amp;sourceID=14","4.1")</f>
        <v>4.1</v>
      </c>
      <c r="G9375" s="4" t="str">
        <f>HYPERLINK("http://141.218.60.56/~jnz1568/getInfo.php?workbook=20_05.xlsx&amp;sheet=U0&amp;row=9375&amp;col=7&amp;number=0.0507&amp;sourceID=14","0.0507")</f>
        <v>0.0507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HYPERLINK("http://141.218.60.56/~jnz1568/getInfo.php?workbook=20_05.xlsx&amp;sheet=U0&amp;row=9376&amp;col=6&amp;number=4.2&amp;sourceID=14","4.2")</f>
        <v>4.2</v>
      </c>
      <c r="G9376" s="4" t="str">
        <f>HYPERLINK("http://141.218.60.56/~jnz1568/getInfo.php?workbook=20_05.xlsx&amp;sheet=U0&amp;row=9376&amp;col=7&amp;number=0.0507&amp;sourceID=14","0.0507")</f>
        <v>0.0507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HYPERLINK("http://141.218.60.56/~jnz1568/getInfo.php?workbook=20_05.xlsx&amp;sheet=U0&amp;row=9377&amp;col=6&amp;number=4.3&amp;sourceID=14","4.3")</f>
        <v>4.3</v>
      </c>
      <c r="G9377" s="4" t="str">
        <f>HYPERLINK("http://141.218.60.56/~jnz1568/getInfo.php?workbook=20_05.xlsx&amp;sheet=U0&amp;row=9377&amp;col=7&amp;number=0.0507&amp;sourceID=14","0.0507")</f>
        <v>0.0507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HYPERLINK("http://141.218.60.56/~jnz1568/getInfo.php?workbook=20_05.xlsx&amp;sheet=U0&amp;row=9378&amp;col=6&amp;number=4.4&amp;sourceID=14","4.4")</f>
        <v>4.4</v>
      </c>
      <c r="G9378" s="4" t="str">
        <f>HYPERLINK("http://141.218.60.56/~jnz1568/getInfo.php?workbook=20_05.xlsx&amp;sheet=U0&amp;row=9378&amp;col=7&amp;number=0.0508&amp;sourceID=14","0.0508")</f>
        <v>0.0508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HYPERLINK("http://141.218.60.56/~jnz1568/getInfo.php?workbook=20_05.xlsx&amp;sheet=U0&amp;row=9379&amp;col=6&amp;number=4.5&amp;sourceID=14","4.5")</f>
        <v>4.5</v>
      </c>
      <c r="G9379" s="4" t="str">
        <f>HYPERLINK("http://141.218.60.56/~jnz1568/getInfo.php?workbook=20_05.xlsx&amp;sheet=U0&amp;row=9379&amp;col=7&amp;number=0.0509&amp;sourceID=14","0.0509")</f>
        <v>0.0509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HYPERLINK("http://141.218.60.56/~jnz1568/getInfo.php?workbook=20_05.xlsx&amp;sheet=U0&amp;row=9380&amp;col=6&amp;number=4.6&amp;sourceID=14","4.6")</f>
        <v>4.6</v>
      </c>
      <c r="G9380" s="4" t="str">
        <f>HYPERLINK("http://141.218.60.56/~jnz1568/getInfo.php?workbook=20_05.xlsx&amp;sheet=U0&amp;row=9380&amp;col=7&amp;number=0.0509&amp;sourceID=14","0.0509")</f>
        <v>0.0509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HYPERLINK("http://141.218.60.56/~jnz1568/getInfo.php?workbook=20_05.xlsx&amp;sheet=U0&amp;row=9381&amp;col=6&amp;number=4.7&amp;sourceID=14","4.7")</f>
        <v>4.7</v>
      </c>
      <c r="G9381" s="4" t="str">
        <f>HYPERLINK("http://141.218.60.56/~jnz1568/getInfo.php?workbook=20_05.xlsx&amp;sheet=U0&amp;row=9381&amp;col=7&amp;number=0.051&amp;sourceID=14","0.051")</f>
        <v>0.051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HYPERLINK("http://141.218.60.56/~jnz1568/getInfo.php?workbook=20_05.xlsx&amp;sheet=U0&amp;row=9382&amp;col=6&amp;number=4.8&amp;sourceID=14","4.8")</f>
        <v>4.8</v>
      </c>
      <c r="G9382" s="4" t="str">
        <f>HYPERLINK("http://141.218.60.56/~jnz1568/getInfo.php?workbook=20_05.xlsx&amp;sheet=U0&amp;row=9382&amp;col=7&amp;number=0.0511&amp;sourceID=14","0.0511")</f>
        <v>0.0511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HYPERLINK("http://141.218.60.56/~jnz1568/getInfo.php?workbook=20_05.xlsx&amp;sheet=U0&amp;row=9383&amp;col=6&amp;number=4.9&amp;sourceID=14","4.9")</f>
        <v>4.9</v>
      </c>
      <c r="G9383" s="4" t="str">
        <f>HYPERLINK("http://141.218.60.56/~jnz1568/getInfo.php?workbook=20_05.xlsx&amp;sheet=U0&amp;row=9383&amp;col=7&amp;number=0.0513&amp;sourceID=14","0.0513")</f>
        <v>0.0513</v>
      </c>
    </row>
    <row r="9384" spans="1:7">
      <c r="A9384" s="3">
        <v>20</v>
      </c>
      <c r="B9384" s="3">
        <v>5</v>
      </c>
      <c r="C9384" s="3">
        <v>4</v>
      </c>
      <c r="D9384" s="3">
        <v>110</v>
      </c>
      <c r="E9384" s="3">
        <v>1</v>
      </c>
      <c r="F9384" s="4" t="str">
        <f>HYPERLINK("http://141.218.60.56/~jnz1568/getInfo.php?workbook=20_05.xlsx&amp;sheet=U0&amp;row=9384&amp;col=6&amp;number=3&amp;sourceID=14","3")</f>
        <v>3</v>
      </c>
      <c r="G9384" s="4" t="str">
        <f>HYPERLINK("http://141.218.60.56/~jnz1568/getInfo.php?workbook=20_05.xlsx&amp;sheet=U0&amp;row=9384&amp;col=7&amp;number=0.00939&amp;sourceID=14","0.00939")</f>
        <v>0.00939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HYPERLINK("http://141.218.60.56/~jnz1568/getInfo.php?workbook=20_05.xlsx&amp;sheet=U0&amp;row=9385&amp;col=6&amp;number=3.1&amp;sourceID=14","3.1")</f>
        <v>3.1</v>
      </c>
      <c r="G9385" s="4" t="str">
        <f>HYPERLINK("http://141.218.60.56/~jnz1568/getInfo.php?workbook=20_05.xlsx&amp;sheet=U0&amp;row=9385&amp;col=7&amp;number=0.00939&amp;sourceID=14","0.00939")</f>
        <v>0.00939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HYPERLINK("http://141.218.60.56/~jnz1568/getInfo.php?workbook=20_05.xlsx&amp;sheet=U0&amp;row=9386&amp;col=6&amp;number=3.2&amp;sourceID=14","3.2")</f>
        <v>3.2</v>
      </c>
      <c r="G9386" s="4" t="str">
        <f>HYPERLINK("http://141.218.60.56/~jnz1568/getInfo.php?workbook=20_05.xlsx&amp;sheet=U0&amp;row=9386&amp;col=7&amp;number=0.00939&amp;sourceID=14","0.00939")</f>
        <v>0.00939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HYPERLINK("http://141.218.60.56/~jnz1568/getInfo.php?workbook=20_05.xlsx&amp;sheet=U0&amp;row=9387&amp;col=6&amp;number=3.3&amp;sourceID=14","3.3")</f>
        <v>3.3</v>
      </c>
      <c r="G9387" s="4" t="str">
        <f>HYPERLINK("http://141.218.60.56/~jnz1568/getInfo.php?workbook=20_05.xlsx&amp;sheet=U0&amp;row=9387&amp;col=7&amp;number=0.00939&amp;sourceID=14","0.00939")</f>
        <v>0.00939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HYPERLINK("http://141.218.60.56/~jnz1568/getInfo.php?workbook=20_05.xlsx&amp;sheet=U0&amp;row=9388&amp;col=6&amp;number=3.4&amp;sourceID=14","3.4")</f>
        <v>3.4</v>
      </c>
      <c r="G9388" s="4" t="str">
        <f>HYPERLINK("http://141.218.60.56/~jnz1568/getInfo.php?workbook=20_05.xlsx&amp;sheet=U0&amp;row=9388&amp;col=7&amp;number=0.00939&amp;sourceID=14","0.00939")</f>
        <v>0.00939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HYPERLINK("http://141.218.60.56/~jnz1568/getInfo.php?workbook=20_05.xlsx&amp;sheet=U0&amp;row=9389&amp;col=6&amp;number=3.5&amp;sourceID=14","3.5")</f>
        <v>3.5</v>
      </c>
      <c r="G9389" s="4" t="str">
        <f>HYPERLINK("http://141.218.60.56/~jnz1568/getInfo.php?workbook=20_05.xlsx&amp;sheet=U0&amp;row=9389&amp;col=7&amp;number=0.00939&amp;sourceID=14","0.00939")</f>
        <v>0.00939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HYPERLINK("http://141.218.60.56/~jnz1568/getInfo.php?workbook=20_05.xlsx&amp;sheet=U0&amp;row=9390&amp;col=6&amp;number=3.6&amp;sourceID=14","3.6")</f>
        <v>3.6</v>
      </c>
      <c r="G9390" s="4" t="str">
        <f>HYPERLINK("http://141.218.60.56/~jnz1568/getInfo.php?workbook=20_05.xlsx&amp;sheet=U0&amp;row=9390&amp;col=7&amp;number=0.00939&amp;sourceID=14","0.00939")</f>
        <v>0.00939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HYPERLINK("http://141.218.60.56/~jnz1568/getInfo.php?workbook=20_05.xlsx&amp;sheet=U0&amp;row=9391&amp;col=6&amp;number=3.7&amp;sourceID=14","3.7")</f>
        <v>3.7</v>
      </c>
      <c r="G9391" s="4" t="str">
        <f>HYPERLINK("http://141.218.60.56/~jnz1568/getInfo.php?workbook=20_05.xlsx&amp;sheet=U0&amp;row=9391&amp;col=7&amp;number=0.00939&amp;sourceID=14","0.00939")</f>
        <v>0.00939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HYPERLINK("http://141.218.60.56/~jnz1568/getInfo.php?workbook=20_05.xlsx&amp;sheet=U0&amp;row=9392&amp;col=6&amp;number=3.8&amp;sourceID=14","3.8")</f>
        <v>3.8</v>
      </c>
      <c r="G9392" s="4" t="str">
        <f>HYPERLINK("http://141.218.60.56/~jnz1568/getInfo.php?workbook=20_05.xlsx&amp;sheet=U0&amp;row=9392&amp;col=7&amp;number=0.00939&amp;sourceID=14","0.00939")</f>
        <v>0.00939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HYPERLINK("http://141.218.60.56/~jnz1568/getInfo.php?workbook=20_05.xlsx&amp;sheet=U0&amp;row=9393&amp;col=6&amp;number=3.9&amp;sourceID=14","3.9")</f>
        <v>3.9</v>
      </c>
      <c r="G9393" s="4" t="str">
        <f>HYPERLINK("http://141.218.60.56/~jnz1568/getInfo.php?workbook=20_05.xlsx&amp;sheet=U0&amp;row=9393&amp;col=7&amp;number=0.00939&amp;sourceID=14","0.00939")</f>
        <v>0.00939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HYPERLINK("http://141.218.60.56/~jnz1568/getInfo.php?workbook=20_05.xlsx&amp;sheet=U0&amp;row=9394&amp;col=6&amp;number=4&amp;sourceID=14","4")</f>
        <v>4</v>
      </c>
      <c r="G9394" s="4" t="str">
        <f>HYPERLINK("http://141.218.60.56/~jnz1568/getInfo.php?workbook=20_05.xlsx&amp;sheet=U0&amp;row=9394&amp;col=7&amp;number=0.00939&amp;sourceID=14","0.00939")</f>
        <v>0.00939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HYPERLINK("http://141.218.60.56/~jnz1568/getInfo.php?workbook=20_05.xlsx&amp;sheet=U0&amp;row=9395&amp;col=6&amp;number=4.1&amp;sourceID=14","4.1")</f>
        <v>4.1</v>
      </c>
      <c r="G9395" s="4" t="str">
        <f>HYPERLINK("http://141.218.60.56/~jnz1568/getInfo.php?workbook=20_05.xlsx&amp;sheet=U0&amp;row=9395&amp;col=7&amp;number=0.00939&amp;sourceID=14","0.00939")</f>
        <v>0.00939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HYPERLINK("http://141.218.60.56/~jnz1568/getInfo.php?workbook=20_05.xlsx&amp;sheet=U0&amp;row=9396&amp;col=6&amp;number=4.2&amp;sourceID=14","4.2")</f>
        <v>4.2</v>
      </c>
      <c r="G9396" s="4" t="str">
        <f>HYPERLINK("http://141.218.60.56/~jnz1568/getInfo.php?workbook=20_05.xlsx&amp;sheet=U0&amp;row=9396&amp;col=7&amp;number=0.00938&amp;sourceID=14","0.00938")</f>
        <v>0.00938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HYPERLINK("http://141.218.60.56/~jnz1568/getInfo.php?workbook=20_05.xlsx&amp;sheet=U0&amp;row=9397&amp;col=6&amp;number=4.3&amp;sourceID=14","4.3")</f>
        <v>4.3</v>
      </c>
      <c r="G9397" s="4" t="str">
        <f>HYPERLINK("http://141.218.60.56/~jnz1568/getInfo.php?workbook=20_05.xlsx&amp;sheet=U0&amp;row=9397&amp;col=7&amp;number=0.00938&amp;sourceID=14","0.00938")</f>
        <v>0.00938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HYPERLINK("http://141.218.60.56/~jnz1568/getInfo.php?workbook=20_05.xlsx&amp;sheet=U0&amp;row=9398&amp;col=6&amp;number=4.4&amp;sourceID=14","4.4")</f>
        <v>4.4</v>
      </c>
      <c r="G9398" s="4" t="str">
        <f>HYPERLINK("http://141.218.60.56/~jnz1568/getInfo.php?workbook=20_05.xlsx&amp;sheet=U0&amp;row=9398&amp;col=7&amp;number=0.00938&amp;sourceID=14","0.00938")</f>
        <v>0.00938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HYPERLINK("http://141.218.60.56/~jnz1568/getInfo.php?workbook=20_05.xlsx&amp;sheet=U0&amp;row=9399&amp;col=6&amp;number=4.5&amp;sourceID=14","4.5")</f>
        <v>4.5</v>
      </c>
      <c r="G9399" s="4" t="str">
        <f>HYPERLINK("http://141.218.60.56/~jnz1568/getInfo.php?workbook=20_05.xlsx&amp;sheet=U0&amp;row=9399&amp;col=7&amp;number=0.00937&amp;sourceID=14","0.00937")</f>
        <v>0.00937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HYPERLINK("http://141.218.60.56/~jnz1568/getInfo.php?workbook=20_05.xlsx&amp;sheet=U0&amp;row=9400&amp;col=6&amp;number=4.6&amp;sourceID=14","4.6")</f>
        <v>4.6</v>
      </c>
      <c r="G9400" s="4" t="str">
        <f>HYPERLINK("http://141.218.60.56/~jnz1568/getInfo.php?workbook=20_05.xlsx&amp;sheet=U0&amp;row=9400&amp;col=7&amp;number=0.00937&amp;sourceID=14","0.00937")</f>
        <v>0.00937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HYPERLINK("http://141.218.60.56/~jnz1568/getInfo.php?workbook=20_05.xlsx&amp;sheet=U0&amp;row=9401&amp;col=6&amp;number=4.7&amp;sourceID=14","4.7")</f>
        <v>4.7</v>
      </c>
      <c r="G9401" s="4" t="str">
        <f>HYPERLINK("http://141.218.60.56/~jnz1568/getInfo.php?workbook=20_05.xlsx&amp;sheet=U0&amp;row=9401&amp;col=7&amp;number=0.00936&amp;sourceID=14","0.00936")</f>
        <v>0.00936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HYPERLINK("http://141.218.60.56/~jnz1568/getInfo.php?workbook=20_05.xlsx&amp;sheet=U0&amp;row=9402&amp;col=6&amp;number=4.8&amp;sourceID=14","4.8")</f>
        <v>4.8</v>
      </c>
      <c r="G9402" s="4" t="str">
        <f>HYPERLINK("http://141.218.60.56/~jnz1568/getInfo.php?workbook=20_05.xlsx&amp;sheet=U0&amp;row=9402&amp;col=7&amp;number=0.00935&amp;sourceID=14","0.00935")</f>
        <v>0.00935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HYPERLINK("http://141.218.60.56/~jnz1568/getInfo.php?workbook=20_05.xlsx&amp;sheet=U0&amp;row=9403&amp;col=6&amp;number=4.9&amp;sourceID=14","4.9")</f>
        <v>4.9</v>
      </c>
      <c r="G9403" s="4" t="str">
        <f>HYPERLINK("http://141.218.60.56/~jnz1568/getInfo.php?workbook=20_05.xlsx&amp;sheet=U0&amp;row=9403&amp;col=7&amp;number=0.00934&amp;sourceID=14","0.00934")</f>
        <v>0.00934</v>
      </c>
    </row>
    <row r="9404" spans="1:7">
      <c r="A9404" s="3">
        <v>20</v>
      </c>
      <c r="B9404" s="3">
        <v>5</v>
      </c>
      <c r="C9404" s="3">
        <v>4</v>
      </c>
      <c r="D9404" s="3">
        <v>111</v>
      </c>
      <c r="E9404" s="3">
        <v>1</v>
      </c>
      <c r="F9404" s="4" t="str">
        <f>HYPERLINK("http://141.218.60.56/~jnz1568/getInfo.php?workbook=20_05.xlsx&amp;sheet=U0&amp;row=9404&amp;col=6&amp;number=3&amp;sourceID=14","3")</f>
        <v>3</v>
      </c>
      <c r="G9404" s="4" t="str">
        <f>HYPERLINK("http://141.218.60.56/~jnz1568/getInfo.php?workbook=20_05.xlsx&amp;sheet=U0&amp;row=9404&amp;col=7&amp;number=0.0062&amp;sourceID=14","0.0062")</f>
        <v>0.0062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HYPERLINK("http://141.218.60.56/~jnz1568/getInfo.php?workbook=20_05.xlsx&amp;sheet=U0&amp;row=9405&amp;col=6&amp;number=3.1&amp;sourceID=14","3.1")</f>
        <v>3.1</v>
      </c>
      <c r="G9405" s="4" t="str">
        <f>HYPERLINK("http://141.218.60.56/~jnz1568/getInfo.php?workbook=20_05.xlsx&amp;sheet=U0&amp;row=9405&amp;col=7&amp;number=0.0062&amp;sourceID=14","0.0062")</f>
        <v>0.0062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HYPERLINK("http://141.218.60.56/~jnz1568/getInfo.php?workbook=20_05.xlsx&amp;sheet=U0&amp;row=9406&amp;col=6&amp;number=3.2&amp;sourceID=14","3.2")</f>
        <v>3.2</v>
      </c>
      <c r="G9406" s="4" t="str">
        <f>HYPERLINK("http://141.218.60.56/~jnz1568/getInfo.php?workbook=20_05.xlsx&amp;sheet=U0&amp;row=9406&amp;col=7&amp;number=0.0062&amp;sourceID=14","0.0062")</f>
        <v>0.0062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HYPERLINK("http://141.218.60.56/~jnz1568/getInfo.php?workbook=20_05.xlsx&amp;sheet=U0&amp;row=9407&amp;col=6&amp;number=3.3&amp;sourceID=14","3.3")</f>
        <v>3.3</v>
      </c>
      <c r="G9407" s="4" t="str">
        <f>HYPERLINK("http://141.218.60.56/~jnz1568/getInfo.php?workbook=20_05.xlsx&amp;sheet=U0&amp;row=9407&amp;col=7&amp;number=0.0062&amp;sourceID=14","0.0062")</f>
        <v>0.0062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HYPERLINK("http://141.218.60.56/~jnz1568/getInfo.php?workbook=20_05.xlsx&amp;sheet=U0&amp;row=9408&amp;col=6&amp;number=3.4&amp;sourceID=14","3.4")</f>
        <v>3.4</v>
      </c>
      <c r="G9408" s="4" t="str">
        <f>HYPERLINK("http://141.218.60.56/~jnz1568/getInfo.php?workbook=20_05.xlsx&amp;sheet=U0&amp;row=9408&amp;col=7&amp;number=0.0062&amp;sourceID=14","0.0062")</f>
        <v>0.0062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HYPERLINK("http://141.218.60.56/~jnz1568/getInfo.php?workbook=20_05.xlsx&amp;sheet=U0&amp;row=9409&amp;col=6&amp;number=3.5&amp;sourceID=14","3.5")</f>
        <v>3.5</v>
      </c>
      <c r="G9409" s="4" t="str">
        <f>HYPERLINK("http://141.218.60.56/~jnz1568/getInfo.php?workbook=20_05.xlsx&amp;sheet=U0&amp;row=9409&amp;col=7&amp;number=0.0062&amp;sourceID=14","0.0062")</f>
        <v>0.0062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HYPERLINK("http://141.218.60.56/~jnz1568/getInfo.php?workbook=20_05.xlsx&amp;sheet=U0&amp;row=9410&amp;col=6&amp;number=3.6&amp;sourceID=14","3.6")</f>
        <v>3.6</v>
      </c>
      <c r="G9410" s="4" t="str">
        <f>HYPERLINK("http://141.218.60.56/~jnz1568/getInfo.php?workbook=20_05.xlsx&amp;sheet=U0&amp;row=9410&amp;col=7&amp;number=0.0062&amp;sourceID=14","0.0062")</f>
        <v>0.0062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HYPERLINK("http://141.218.60.56/~jnz1568/getInfo.php?workbook=20_05.xlsx&amp;sheet=U0&amp;row=9411&amp;col=6&amp;number=3.7&amp;sourceID=14","3.7")</f>
        <v>3.7</v>
      </c>
      <c r="G9411" s="4" t="str">
        <f>HYPERLINK("http://141.218.60.56/~jnz1568/getInfo.php?workbook=20_05.xlsx&amp;sheet=U0&amp;row=9411&amp;col=7&amp;number=0.00619&amp;sourceID=14","0.00619")</f>
        <v>0.00619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HYPERLINK("http://141.218.60.56/~jnz1568/getInfo.php?workbook=20_05.xlsx&amp;sheet=U0&amp;row=9412&amp;col=6&amp;number=3.8&amp;sourceID=14","3.8")</f>
        <v>3.8</v>
      </c>
      <c r="G9412" s="4" t="str">
        <f>HYPERLINK("http://141.218.60.56/~jnz1568/getInfo.php?workbook=20_05.xlsx&amp;sheet=U0&amp;row=9412&amp;col=7&amp;number=0.00619&amp;sourceID=14","0.00619")</f>
        <v>0.00619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HYPERLINK("http://141.218.60.56/~jnz1568/getInfo.php?workbook=20_05.xlsx&amp;sheet=U0&amp;row=9413&amp;col=6&amp;number=3.9&amp;sourceID=14","3.9")</f>
        <v>3.9</v>
      </c>
      <c r="G9413" s="4" t="str">
        <f>HYPERLINK("http://141.218.60.56/~jnz1568/getInfo.php?workbook=20_05.xlsx&amp;sheet=U0&amp;row=9413&amp;col=7&amp;number=0.00619&amp;sourceID=14","0.00619")</f>
        <v>0.00619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HYPERLINK("http://141.218.60.56/~jnz1568/getInfo.php?workbook=20_05.xlsx&amp;sheet=U0&amp;row=9414&amp;col=6&amp;number=4&amp;sourceID=14","4")</f>
        <v>4</v>
      </c>
      <c r="G9414" s="4" t="str">
        <f>HYPERLINK("http://141.218.60.56/~jnz1568/getInfo.php?workbook=20_05.xlsx&amp;sheet=U0&amp;row=9414&amp;col=7&amp;number=0.00619&amp;sourceID=14","0.00619")</f>
        <v>0.00619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HYPERLINK("http://141.218.60.56/~jnz1568/getInfo.php?workbook=20_05.xlsx&amp;sheet=U0&amp;row=9415&amp;col=6&amp;number=4.1&amp;sourceID=14","4.1")</f>
        <v>4.1</v>
      </c>
      <c r="G9415" s="4" t="str">
        <f>HYPERLINK("http://141.218.60.56/~jnz1568/getInfo.php?workbook=20_05.xlsx&amp;sheet=U0&amp;row=9415&amp;col=7&amp;number=0.00618&amp;sourceID=14","0.00618")</f>
        <v>0.00618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HYPERLINK("http://141.218.60.56/~jnz1568/getInfo.php?workbook=20_05.xlsx&amp;sheet=U0&amp;row=9416&amp;col=6&amp;number=4.2&amp;sourceID=14","4.2")</f>
        <v>4.2</v>
      </c>
      <c r="G9416" s="4" t="str">
        <f>HYPERLINK("http://141.218.60.56/~jnz1568/getInfo.php?workbook=20_05.xlsx&amp;sheet=U0&amp;row=9416&amp;col=7&amp;number=0.00617&amp;sourceID=14","0.00617")</f>
        <v>0.00617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HYPERLINK("http://141.218.60.56/~jnz1568/getInfo.php?workbook=20_05.xlsx&amp;sheet=U0&amp;row=9417&amp;col=6&amp;number=4.3&amp;sourceID=14","4.3")</f>
        <v>4.3</v>
      </c>
      <c r="G9417" s="4" t="str">
        <f>HYPERLINK("http://141.218.60.56/~jnz1568/getInfo.php?workbook=20_05.xlsx&amp;sheet=U0&amp;row=9417&amp;col=7&amp;number=0.00617&amp;sourceID=14","0.00617")</f>
        <v>0.00617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HYPERLINK("http://141.218.60.56/~jnz1568/getInfo.php?workbook=20_05.xlsx&amp;sheet=U0&amp;row=9418&amp;col=6&amp;number=4.4&amp;sourceID=14","4.4")</f>
        <v>4.4</v>
      </c>
      <c r="G9418" s="4" t="str">
        <f>HYPERLINK("http://141.218.60.56/~jnz1568/getInfo.php?workbook=20_05.xlsx&amp;sheet=U0&amp;row=9418&amp;col=7&amp;number=0.00616&amp;sourceID=14","0.00616")</f>
        <v>0.00616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HYPERLINK("http://141.218.60.56/~jnz1568/getInfo.php?workbook=20_05.xlsx&amp;sheet=U0&amp;row=9419&amp;col=6&amp;number=4.5&amp;sourceID=14","4.5")</f>
        <v>4.5</v>
      </c>
      <c r="G9419" s="4" t="str">
        <f>HYPERLINK("http://141.218.60.56/~jnz1568/getInfo.php?workbook=20_05.xlsx&amp;sheet=U0&amp;row=9419&amp;col=7&amp;number=0.00615&amp;sourceID=14","0.00615")</f>
        <v>0.00615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HYPERLINK("http://141.218.60.56/~jnz1568/getInfo.php?workbook=20_05.xlsx&amp;sheet=U0&amp;row=9420&amp;col=6&amp;number=4.6&amp;sourceID=14","4.6")</f>
        <v>4.6</v>
      </c>
      <c r="G9420" s="4" t="str">
        <f>HYPERLINK("http://141.218.60.56/~jnz1568/getInfo.php?workbook=20_05.xlsx&amp;sheet=U0&amp;row=9420&amp;col=7&amp;number=0.00613&amp;sourceID=14","0.00613")</f>
        <v>0.00613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HYPERLINK("http://141.218.60.56/~jnz1568/getInfo.php?workbook=20_05.xlsx&amp;sheet=U0&amp;row=9421&amp;col=6&amp;number=4.7&amp;sourceID=14","4.7")</f>
        <v>4.7</v>
      </c>
      <c r="G9421" s="4" t="str">
        <f>HYPERLINK("http://141.218.60.56/~jnz1568/getInfo.php?workbook=20_05.xlsx&amp;sheet=U0&amp;row=9421&amp;col=7&amp;number=0.00611&amp;sourceID=14","0.00611")</f>
        <v>0.00611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HYPERLINK("http://141.218.60.56/~jnz1568/getInfo.php?workbook=20_05.xlsx&amp;sheet=U0&amp;row=9422&amp;col=6&amp;number=4.8&amp;sourceID=14","4.8")</f>
        <v>4.8</v>
      </c>
      <c r="G9422" s="4" t="str">
        <f>HYPERLINK("http://141.218.60.56/~jnz1568/getInfo.php?workbook=20_05.xlsx&amp;sheet=U0&amp;row=9422&amp;col=7&amp;number=0.00609&amp;sourceID=14","0.00609")</f>
        <v>0.00609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HYPERLINK("http://141.218.60.56/~jnz1568/getInfo.php?workbook=20_05.xlsx&amp;sheet=U0&amp;row=9423&amp;col=6&amp;number=4.9&amp;sourceID=14","4.9")</f>
        <v>4.9</v>
      </c>
      <c r="G9423" s="4" t="str">
        <f>HYPERLINK("http://141.218.60.56/~jnz1568/getInfo.php?workbook=20_05.xlsx&amp;sheet=U0&amp;row=9423&amp;col=7&amp;number=0.00606&amp;sourceID=14","0.00606")</f>
        <v>0.00606</v>
      </c>
    </row>
    <row r="9424" spans="1:7">
      <c r="A9424" s="3">
        <v>20</v>
      </c>
      <c r="B9424" s="3">
        <v>5</v>
      </c>
      <c r="C9424" s="3">
        <v>4</v>
      </c>
      <c r="D9424" s="3">
        <v>112</v>
      </c>
      <c r="E9424" s="3">
        <v>1</v>
      </c>
      <c r="F9424" s="4" t="str">
        <f>HYPERLINK("http://141.218.60.56/~jnz1568/getInfo.php?workbook=20_05.xlsx&amp;sheet=U0&amp;row=9424&amp;col=6&amp;number=3&amp;sourceID=14","3")</f>
        <v>3</v>
      </c>
      <c r="G9424" s="4" t="str">
        <f>HYPERLINK("http://141.218.60.56/~jnz1568/getInfo.php?workbook=20_05.xlsx&amp;sheet=U0&amp;row=9424&amp;col=7&amp;number=0.000156&amp;sourceID=14","0.000156")</f>
        <v>0.000156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HYPERLINK("http://141.218.60.56/~jnz1568/getInfo.php?workbook=20_05.xlsx&amp;sheet=U0&amp;row=9425&amp;col=6&amp;number=3.1&amp;sourceID=14","3.1")</f>
        <v>3.1</v>
      </c>
      <c r="G9425" s="4" t="str">
        <f>HYPERLINK("http://141.218.60.56/~jnz1568/getInfo.php?workbook=20_05.xlsx&amp;sheet=U0&amp;row=9425&amp;col=7&amp;number=0.000156&amp;sourceID=14","0.000156")</f>
        <v>0.000156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HYPERLINK("http://141.218.60.56/~jnz1568/getInfo.php?workbook=20_05.xlsx&amp;sheet=U0&amp;row=9426&amp;col=6&amp;number=3.2&amp;sourceID=14","3.2")</f>
        <v>3.2</v>
      </c>
      <c r="G9426" s="4" t="str">
        <f>HYPERLINK("http://141.218.60.56/~jnz1568/getInfo.php?workbook=20_05.xlsx&amp;sheet=U0&amp;row=9426&amp;col=7&amp;number=0.000156&amp;sourceID=14","0.000156")</f>
        <v>0.000156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HYPERLINK("http://141.218.60.56/~jnz1568/getInfo.php?workbook=20_05.xlsx&amp;sheet=U0&amp;row=9427&amp;col=6&amp;number=3.3&amp;sourceID=14","3.3")</f>
        <v>3.3</v>
      </c>
      <c r="G9427" s="4" t="str">
        <f>HYPERLINK("http://141.218.60.56/~jnz1568/getInfo.php?workbook=20_05.xlsx&amp;sheet=U0&amp;row=9427&amp;col=7&amp;number=0.000156&amp;sourceID=14","0.000156")</f>
        <v>0.000156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HYPERLINK("http://141.218.60.56/~jnz1568/getInfo.php?workbook=20_05.xlsx&amp;sheet=U0&amp;row=9428&amp;col=6&amp;number=3.4&amp;sourceID=14","3.4")</f>
        <v>3.4</v>
      </c>
      <c r="G9428" s="4" t="str">
        <f>HYPERLINK("http://141.218.60.56/~jnz1568/getInfo.php?workbook=20_05.xlsx&amp;sheet=U0&amp;row=9428&amp;col=7&amp;number=0.000156&amp;sourceID=14","0.000156")</f>
        <v>0.000156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HYPERLINK("http://141.218.60.56/~jnz1568/getInfo.php?workbook=20_05.xlsx&amp;sheet=U0&amp;row=9429&amp;col=6&amp;number=3.5&amp;sourceID=14","3.5")</f>
        <v>3.5</v>
      </c>
      <c r="G9429" s="4" t="str">
        <f>HYPERLINK("http://141.218.60.56/~jnz1568/getInfo.php?workbook=20_05.xlsx&amp;sheet=U0&amp;row=9429&amp;col=7&amp;number=0.000156&amp;sourceID=14","0.000156")</f>
        <v>0.000156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HYPERLINK("http://141.218.60.56/~jnz1568/getInfo.php?workbook=20_05.xlsx&amp;sheet=U0&amp;row=9430&amp;col=6&amp;number=3.6&amp;sourceID=14","3.6")</f>
        <v>3.6</v>
      </c>
      <c r="G9430" s="4" t="str">
        <f>HYPERLINK("http://141.218.60.56/~jnz1568/getInfo.php?workbook=20_05.xlsx&amp;sheet=U0&amp;row=9430&amp;col=7&amp;number=0.000156&amp;sourceID=14","0.000156")</f>
        <v>0.000156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HYPERLINK("http://141.218.60.56/~jnz1568/getInfo.php?workbook=20_05.xlsx&amp;sheet=U0&amp;row=9431&amp;col=6&amp;number=3.7&amp;sourceID=14","3.7")</f>
        <v>3.7</v>
      </c>
      <c r="G9431" s="4" t="str">
        <f>HYPERLINK("http://141.218.60.56/~jnz1568/getInfo.php?workbook=20_05.xlsx&amp;sheet=U0&amp;row=9431&amp;col=7&amp;number=0.000156&amp;sourceID=14","0.000156")</f>
        <v>0.000156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HYPERLINK("http://141.218.60.56/~jnz1568/getInfo.php?workbook=20_05.xlsx&amp;sheet=U0&amp;row=9432&amp;col=6&amp;number=3.8&amp;sourceID=14","3.8")</f>
        <v>3.8</v>
      </c>
      <c r="G9432" s="4" t="str">
        <f>HYPERLINK("http://141.218.60.56/~jnz1568/getInfo.php?workbook=20_05.xlsx&amp;sheet=U0&amp;row=9432&amp;col=7&amp;number=0.000156&amp;sourceID=14","0.000156")</f>
        <v>0.000156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HYPERLINK("http://141.218.60.56/~jnz1568/getInfo.php?workbook=20_05.xlsx&amp;sheet=U0&amp;row=9433&amp;col=6&amp;number=3.9&amp;sourceID=14","3.9")</f>
        <v>3.9</v>
      </c>
      <c r="G9433" s="4" t="str">
        <f>HYPERLINK("http://141.218.60.56/~jnz1568/getInfo.php?workbook=20_05.xlsx&amp;sheet=U0&amp;row=9433&amp;col=7&amp;number=0.000156&amp;sourceID=14","0.000156")</f>
        <v>0.000156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HYPERLINK("http://141.218.60.56/~jnz1568/getInfo.php?workbook=20_05.xlsx&amp;sheet=U0&amp;row=9434&amp;col=6&amp;number=4&amp;sourceID=14","4")</f>
        <v>4</v>
      </c>
      <c r="G9434" s="4" t="str">
        <f>HYPERLINK("http://141.218.60.56/~jnz1568/getInfo.php?workbook=20_05.xlsx&amp;sheet=U0&amp;row=9434&amp;col=7&amp;number=0.000156&amp;sourceID=14","0.000156")</f>
        <v>0.000156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HYPERLINK("http://141.218.60.56/~jnz1568/getInfo.php?workbook=20_05.xlsx&amp;sheet=U0&amp;row=9435&amp;col=6&amp;number=4.1&amp;sourceID=14","4.1")</f>
        <v>4.1</v>
      </c>
      <c r="G9435" s="4" t="str">
        <f>HYPERLINK("http://141.218.60.56/~jnz1568/getInfo.php?workbook=20_05.xlsx&amp;sheet=U0&amp;row=9435&amp;col=7&amp;number=0.000156&amp;sourceID=14","0.000156")</f>
        <v>0.000156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HYPERLINK("http://141.218.60.56/~jnz1568/getInfo.php?workbook=20_05.xlsx&amp;sheet=U0&amp;row=9436&amp;col=6&amp;number=4.2&amp;sourceID=14","4.2")</f>
        <v>4.2</v>
      </c>
      <c r="G9436" s="4" t="str">
        <f>HYPERLINK("http://141.218.60.56/~jnz1568/getInfo.php?workbook=20_05.xlsx&amp;sheet=U0&amp;row=9436&amp;col=7&amp;number=0.000156&amp;sourceID=14","0.000156")</f>
        <v>0.000156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HYPERLINK("http://141.218.60.56/~jnz1568/getInfo.php?workbook=20_05.xlsx&amp;sheet=U0&amp;row=9437&amp;col=6&amp;number=4.3&amp;sourceID=14","4.3")</f>
        <v>4.3</v>
      </c>
      <c r="G9437" s="4" t="str">
        <f>HYPERLINK("http://141.218.60.56/~jnz1568/getInfo.php?workbook=20_05.xlsx&amp;sheet=U0&amp;row=9437&amp;col=7&amp;number=0.000155&amp;sourceID=14","0.000155")</f>
        <v>0.000155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HYPERLINK("http://141.218.60.56/~jnz1568/getInfo.php?workbook=20_05.xlsx&amp;sheet=U0&amp;row=9438&amp;col=6&amp;number=4.4&amp;sourceID=14","4.4")</f>
        <v>4.4</v>
      </c>
      <c r="G9438" s="4" t="str">
        <f>HYPERLINK("http://141.218.60.56/~jnz1568/getInfo.php?workbook=20_05.xlsx&amp;sheet=U0&amp;row=9438&amp;col=7&amp;number=0.000155&amp;sourceID=14","0.000155")</f>
        <v>0.000155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HYPERLINK("http://141.218.60.56/~jnz1568/getInfo.php?workbook=20_05.xlsx&amp;sheet=U0&amp;row=9439&amp;col=6&amp;number=4.5&amp;sourceID=14","4.5")</f>
        <v>4.5</v>
      </c>
      <c r="G9439" s="4" t="str">
        <f>HYPERLINK("http://141.218.60.56/~jnz1568/getInfo.php?workbook=20_05.xlsx&amp;sheet=U0&amp;row=9439&amp;col=7&amp;number=0.000155&amp;sourceID=14","0.000155")</f>
        <v>0.000155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HYPERLINK("http://141.218.60.56/~jnz1568/getInfo.php?workbook=20_05.xlsx&amp;sheet=U0&amp;row=9440&amp;col=6&amp;number=4.6&amp;sourceID=14","4.6")</f>
        <v>4.6</v>
      </c>
      <c r="G9440" s="4" t="str">
        <f>HYPERLINK("http://141.218.60.56/~jnz1568/getInfo.php?workbook=20_05.xlsx&amp;sheet=U0&amp;row=9440&amp;col=7&amp;number=0.000155&amp;sourceID=14","0.000155")</f>
        <v>0.000155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HYPERLINK("http://141.218.60.56/~jnz1568/getInfo.php?workbook=20_05.xlsx&amp;sheet=U0&amp;row=9441&amp;col=6&amp;number=4.7&amp;sourceID=14","4.7")</f>
        <v>4.7</v>
      </c>
      <c r="G9441" s="4" t="str">
        <f>HYPERLINK("http://141.218.60.56/~jnz1568/getInfo.php?workbook=20_05.xlsx&amp;sheet=U0&amp;row=9441&amp;col=7&amp;number=0.000154&amp;sourceID=14","0.000154")</f>
        <v>0.000154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HYPERLINK("http://141.218.60.56/~jnz1568/getInfo.php?workbook=20_05.xlsx&amp;sheet=U0&amp;row=9442&amp;col=6&amp;number=4.8&amp;sourceID=14","4.8")</f>
        <v>4.8</v>
      </c>
      <c r="G9442" s="4" t="str">
        <f>HYPERLINK("http://141.218.60.56/~jnz1568/getInfo.php?workbook=20_05.xlsx&amp;sheet=U0&amp;row=9442&amp;col=7&amp;number=0.000154&amp;sourceID=14","0.000154")</f>
        <v>0.000154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HYPERLINK("http://141.218.60.56/~jnz1568/getInfo.php?workbook=20_05.xlsx&amp;sheet=U0&amp;row=9443&amp;col=6&amp;number=4.9&amp;sourceID=14","4.9")</f>
        <v>4.9</v>
      </c>
      <c r="G9443" s="4" t="str">
        <f>HYPERLINK("http://141.218.60.56/~jnz1568/getInfo.php?workbook=20_05.xlsx&amp;sheet=U0&amp;row=9443&amp;col=7&amp;number=0.000153&amp;sourceID=14","0.000153")</f>
        <v>0.000153</v>
      </c>
    </row>
    <row r="9444" spans="1:7">
      <c r="A9444" s="3">
        <v>20</v>
      </c>
      <c r="B9444" s="3">
        <v>5</v>
      </c>
      <c r="C9444" s="3">
        <v>4</v>
      </c>
      <c r="D9444" s="3">
        <v>113</v>
      </c>
      <c r="E9444" s="3">
        <v>1</v>
      </c>
      <c r="F9444" s="4" t="str">
        <f>HYPERLINK("http://141.218.60.56/~jnz1568/getInfo.php?workbook=20_05.xlsx&amp;sheet=U0&amp;row=9444&amp;col=6&amp;number=3&amp;sourceID=14","3")</f>
        <v>3</v>
      </c>
      <c r="G9444" s="4" t="str">
        <f>HYPERLINK("http://141.218.60.56/~jnz1568/getInfo.php?workbook=20_05.xlsx&amp;sheet=U0&amp;row=9444&amp;col=7&amp;number=0.000215&amp;sourceID=14","0.000215")</f>
        <v>0.000215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HYPERLINK("http://141.218.60.56/~jnz1568/getInfo.php?workbook=20_05.xlsx&amp;sheet=U0&amp;row=9445&amp;col=6&amp;number=3.1&amp;sourceID=14","3.1")</f>
        <v>3.1</v>
      </c>
      <c r="G9445" s="4" t="str">
        <f>HYPERLINK("http://141.218.60.56/~jnz1568/getInfo.php?workbook=20_05.xlsx&amp;sheet=U0&amp;row=9445&amp;col=7&amp;number=0.000215&amp;sourceID=14","0.000215")</f>
        <v>0.000215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HYPERLINK("http://141.218.60.56/~jnz1568/getInfo.php?workbook=20_05.xlsx&amp;sheet=U0&amp;row=9446&amp;col=6&amp;number=3.2&amp;sourceID=14","3.2")</f>
        <v>3.2</v>
      </c>
      <c r="G9446" s="4" t="str">
        <f>HYPERLINK("http://141.218.60.56/~jnz1568/getInfo.php?workbook=20_05.xlsx&amp;sheet=U0&amp;row=9446&amp;col=7&amp;number=0.000215&amp;sourceID=14","0.000215")</f>
        <v>0.000215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HYPERLINK("http://141.218.60.56/~jnz1568/getInfo.php?workbook=20_05.xlsx&amp;sheet=U0&amp;row=9447&amp;col=6&amp;number=3.3&amp;sourceID=14","3.3")</f>
        <v>3.3</v>
      </c>
      <c r="G9447" s="4" t="str">
        <f>HYPERLINK("http://141.218.60.56/~jnz1568/getInfo.php?workbook=20_05.xlsx&amp;sheet=U0&amp;row=9447&amp;col=7&amp;number=0.000215&amp;sourceID=14","0.000215")</f>
        <v>0.000215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HYPERLINK("http://141.218.60.56/~jnz1568/getInfo.php?workbook=20_05.xlsx&amp;sheet=U0&amp;row=9448&amp;col=6&amp;number=3.4&amp;sourceID=14","3.4")</f>
        <v>3.4</v>
      </c>
      <c r="G9448" s="4" t="str">
        <f>HYPERLINK("http://141.218.60.56/~jnz1568/getInfo.php?workbook=20_05.xlsx&amp;sheet=U0&amp;row=9448&amp;col=7&amp;number=0.000215&amp;sourceID=14","0.000215")</f>
        <v>0.000215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HYPERLINK("http://141.218.60.56/~jnz1568/getInfo.php?workbook=20_05.xlsx&amp;sheet=U0&amp;row=9449&amp;col=6&amp;number=3.5&amp;sourceID=14","3.5")</f>
        <v>3.5</v>
      </c>
      <c r="G9449" s="4" t="str">
        <f>HYPERLINK("http://141.218.60.56/~jnz1568/getInfo.php?workbook=20_05.xlsx&amp;sheet=U0&amp;row=9449&amp;col=7&amp;number=0.000215&amp;sourceID=14","0.000215")</f>
        <v>0.000215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HYPERLINK("http://141.218.60.56/~jnz1568/getInfo.php?workbook=20_05.xlsx&amp;sheet=U0&amp;row=9450&amp;col=6&amp;number=3.6&amp;sourceID=14","3.6")</f>
        <v>3.6</v>
      </c>
      <c r="G9450" s="4" t="str">
        <f>HYPERLINK("http://141.218.60.56/~jnz1568/getInfo.php?workbook=20_05.xlsx&amp;sheet=U0&amp;row=9450&amp;col=7&amp;number=0.000215&amp;sourceID=14","0.000215")</f>
        <v>0.000215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HYPERLINK("http://141.218.60.56/~jnz1568/getInfo.php?workbook=20_05.xlsx&amp;sheet=U0&amp;row=9451&amp;col=6&amp;number=3.7&amp;sourceID=14","3.7")</f>
        <v>3.7</v>
      </c>
      <c r="G9451" s="4" t="str">
        <f>HYPERLINK("http://141.218.60.56/~jnz1568/getInfo.php?workbook=20_05.xlsx&amp;sheet=U0&amp;row=9451&amp;col=7&amp;number=0.000214&amp;sourceID=14","0.000214")</f>
        <v>0.000214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HYPERLINK("http://141.218.60.56/~jnz1568/getInfo.php?workbook=20_05.xlsx&amp;sheet=U0&amp;row=9452&amp;col=6&amp;number=3.8&amp;sourceID=14","3.8")</f>
        <v>3.8</v>
      </c>
      <c r="G9452" s="4" t="str">
        <f>HYPERLINK("http://141.218.60.56/~jnz1568/getInfo.php?workbook=20_05.xlsx&amp;sheet=U0&amp;row=9452&amp;col=7&amp;number=0.000214&amp;sourceID=14","0.000214")</f>
        <v>0.000214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HYPERLINK("http://141.218.60.56/~jnz1568/getInfo.php?workbook=20_05.xlsx&amp;sheet=U0&amp;row=9453&amp;col=6&amp;number=3.9&amp;sourceID=14","3.9")</f>
        <v>3.9</v>
      </c>
      <c r="G9453" s="4" t="str">
        <f>HYPERLINK("http://141.218.60.56/~jnz1568/getInfo.php?workbook=20_05.xlsx&amp;sheet=U0&amp;row=9453&amp;col=7&amp;number=0.000214&amp;sourceID=14","0.000214")</f>
        <v>0.000214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HYPERLINK("http://141.218.60.56/~jnz1568/getInfo.php?workbook=20_05.xlsx&amp;sheet=U0&amp;row=9454&amp;col=6&amp;number=4&amp;sourceID=14","4")</f>
        <v>4</v>
      </c>
      <c r="G9454" s="4" t="str">
        <f>HYPERLINK("http://141.218.60.56/~jnz1568/getInfo.php?workbook=20_05.xlsx&amp;sheet=U0&amp;row=9454&amp;col=7&amp;number=0.000214&amp;sourceID=14","0.000214")</f>
        <v>0.000214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HYPERLINK("http://141.218.60.56/~jnz1568/getInfo.php?workbook=20_05.xlsx&amp;sheet=U0&amp;row=9455&amp;col=6&amp;number=4.1&amp;sourceID=14","4.1")</f>
        <v>4.1</v>
      </c>
      <c r="G9455" s="4" t="str">
        <f>HYPERLINK("http://141.218.60.56/~jnz1568/getInfo.php?workbook=20_05.xlsx&amp;sheet=U0&amp;row=9455&amp;col=7&amp;number=0.000214&amp;sourceID=14","0.000214")</f>
        <v>0.000214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HYPERLINK("http://141.218.60.56/~jnz1568/getInfo.php?workbook=20_05.xlsx&amp;sheet=U0&amp;row=9456&amp;col=6&amp;number=4.2&amp;sourceID=14","4.2")</f>
        <v>4.2</v>
      </c>
      <c r="G9456" s="4" t="str">
        <f>HYPERLINK("http://141.218.60.56/~jnz1568/getInfo.php?workbook=20_05.xlsx&amp;sheet=U0&amp;row=9456&amp;col=7&amp;number=0.000214&amp;sourceID=14","0.000214")</f>
        <v>0.000214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HYPERLINK("http://141.218.60.56/~jnz1568/getInfo.php?workbook=20_05.xlsx&amp;sheet=U0&amp;row=9457&amp;col=6&amp;number=4.3&amp;sourceID=14","4.3")</f>
        <v>4.3</v>
      </c>
      <c r="G9457" s="4" t="str">
        <f>HYPERLINK("http://141.218.60.56/~jnz1568/getInfo.php?workbook=20_05.xlsx&amp;sheet=U0&amp;row=9457&amp;col=7&amp;number=0.000214&amp;sourceID=14","0.000214")</f>
        <v>0.000214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HYPERLINK("http://141.218.60.56/~jnz1568/getInfo.php?workbook=20_05.xlsx&amp;sheet=U0&amp;row=9458&amp;col=6&amp;number=4.4&amp;sourceID=14","4.4")</f>
        <v>4.4</v>
      </c>
      <c r="G9458" s="4" t="str">
        <f>HYPERLINK("http://141.218.60.56/~jnz1568/getInfo.php?workbook=20_05.xlsx&amp;sheet=U0&amp;row=9458&amp;col=7&amp;number=0.000213&amp;sourceID=14","0.000213")</f>
        <v>0.000213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HYPERLINK("http://141.218.60.56/~jnz1568/getInfo.php?workbook=20_05.xlsx&amp;sheet=U0&amp;row=9459&amp;col=6&amp;number=4.5&amp;sourceID=14","4.5")</f>
        <v>4.5</v>
      </c>
      <c r="G9459" s="4" t="str">
        <f>HYPERLINK("http://141.218.60.56/~jnz1568/getInfo.php?workbook=20_05.xlsx&amp;sheet=U0&amp;row=9459&amp;col=7&amp;number=0.000213&amp;sourceID=14","0.000213")</f>
        <v>0.000213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HYPERLINK("http://141.218.60.56/~jnz1568/getInfo.php?workbook=20_05.xlsx&amp;sheet=U0&amp;row=9460&amp;col=6&amp;number=4.6&amp;sourceID=14","4.6")</f>
        <v>4.6</v>
      </c>
      <c r="G9460" s="4" t="str">
        <f>HYPERLINK("http://141.218.60.56/~jnz1568/getInfo.php?workbook=20_05.xlsx&amp;sheet=U0&amp;row=9460&amp;col=7&amp;number=0.000213&amp;sourceID=14","0.000213")</f>
        <v>0.000213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HYPERLINK("http://141.218.60.56/~jnz1568/getInfo.php?workbook=20_05.xlsx&amp;sheet=U0&amp;row=9461&amp;col=6&amp;number=4.7&amp;sourceID=14","4.7")</f>
        <v>4.7</v>
      </c>
      <c r="G9461" s="4" t="str">
        <f>HYPERLINK("http://141.218.60.56/~jnz1568/getInfo.php?workbook=20_05.xlsx&amp;sheet=U0&amp;row=9461&amp;col=7&amp;number=0.000212&amp;sourceID=14","0.000212")</f>
        <v>0.000212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HYPERLINK("http://141.218.60.56/~jnz1568/getInfo.php?workbook=20_05.xlsx&amp;sheet=U0&amp;row=9462&amp;col=6&amp;number=4.8&amp;sourceID=14","4.8")</f>
        <v>4.8</v>
      </c>
      <c r="G9462" s="4" t="str">
        <f>HYPERLINK("http://141.218.60.56/~jnz1568/getInfo.php?workbook=20_05.xlsx&amp;sheet=U0&amp;row=9462&amp;col=7&amp;number=0.000212&amp;sourceID=14","0.000212")</f>
        <v>0.000212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HYPERLINK("http://141.218.60.56/~jnz1568/getInfo.php?workbook=20_05.xlsx&amp;sheet=U0&amp;row=9463&amp;col=6&amp;number=4.9&amp;sourceID=14","4.9")</f>
        <v>4.9</v>
      </c>
      <c r="G9463" s="4" t="str">
        <f>HYPERLINK("http://141.218.60.56/~jnz1568/getInfo.php?workbook=20_05.xlsx&amp;sheet=U0&amp;row=9463&amp;col=7&amp;number=0.000211&amp;sourceID=14","0.000211")</f>
        <v>0.000211</v>
      </c>
    </row>
    <row r="9464" spans="1:7">
      <c r="A9464" s="3">
        <v>20</v>
      </c>
      <c r="B9464" s="3">
        <v>5</v>
      </c>
      <c r="C9464" s="3">
        <v>4</v>
      </c>
      <c r="D9464" s="3">
        <v>114</v>
      </c>
      <c r="E9464" s="3">
        <v>1</v>
      </c>
      <c r="F9464" s="4" t="str">
        <f>HYPERLINK("http://141.218.60.56/~jnz1568/getInfo.php?workbook=20_05.xlsx&amp;sheet=U0&amp;row=9464&amp;col=6&amp;number=3&amp;sourceID=14","3")</f>
        <v>3</v>
      </c>
      <c r="G9464" s="4" t="str">
        <f>HYPERLINK("http://141.218.60.56/~jnz1568/getInfo.php?workbook=20_05.xlsx&amp;sheet=U0&amp;row=9464&amp;col=7&amp;number=0.00423&amp;sourceID=14","0.00423")</f>
        <v>0.00423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HYPERLINK("http://141.218.60.56/~jnz1568/getInfo.php?workbook=20_05.xlsx&amp;sheet=U0&amp;row=9465&amp;col=6&amp;number=3.1&amp;sourceID=14","3.1")</f>
        <v>3.1</v>
      </c>
      <c r="G9465" s="4" t="str">
        <f>HYPERLINK("http://141.218.60.56/~jnz1568/getInfo.php?workbook=20_05.xlsx&amp;sheet=U0&amp;row=9465&amp;col=7&amp;number=0.00423&amp;sourceID=14","0.00423")</f>
        <v>0.00423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HYPERLINK("http://141.218.60.56/~jnz1568/getInfo.php?workbook=20_05.xlsx&amp;sheet=U0&amp;row=9466&amp;col=6&amp;number=3.2&amp;sourceID=14","3.2")</f>
        <v>3.2</v>
      </c>
      <c r="G9466" s="4" t="str">
        <f>HYPERLINK("http://141.218.60.56/~jnz1568/getInfo.php?workbook=20_05.xlsx&amp;sheet=U0&amp;row=9466&amp;col=7&amp;number=0.00423&amp;sourceID=14","0.00423")</f>
        <v>0.00423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HYPERLINK("http://141.218.60.56/~jnz1568/getInfo.php?workbook=20_05.xlsx&amp;sheet=U0&amp;row=9467&amp;col=6&amp;number=3.3&amp;sourceID=14","3.3")</f>
        <v>3.3</v>
      </c>
      <c r="G9467" s="4" t="str">
        <f>HYPERLINK("http://141.218.60.56/~jnz1568/getInfo.php?workbook=20_05.xlsx&amp;sheet=U0&amp;row=9467&amp;col=7&amp;number=0.00424&amp;sourceID=14","0.00424")</f>
        <v>0.00424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HYPERLINK("http://141.218.60.56/~jnz1568/getInfo.php?workbook=20_05.xlsx&amp;sheet=U0&amp;row=9468&amp;col=6&amp;number=3.4&amp;sourceID=14","3.4")</f>
        <v>3.4</v>
      </c>
      <c r="G9468" s="4" t="str">
        <f>HYPERLINK("http://141.218.60.56/~jnz1568/getInfo.php?workbook=20_05.xlsx&amp;sheet=U0&amp;row=9468&amp;col=7&amp;number=0.00424&amp;sourceID=14","0.00424")</f>
        <v>0.00424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HYPERLINK("http://141.218.60.56/~jnz1568/getInfo.php?workbook=20_05.xlsx&amp;sheet=U0&amp;row=9469&amp;col=6&amp;number=3.5&amp;sourceID=14","3.5")</f>
        <v>3.5</v>
      </c>
      <c r="G9469" s="4" t="str">
        <f>HYPERLINK("http://141.218.60.56/~jnz1568/getInfo.php?workbook=20_05.xlsx&amp;sheet=U0&amp;row=9469&amp;col=7&amp;number=0.00424&amp;sourceID=14","0.00424")</f>
        <v>0.00424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HYPERLINK("http://141.218.60.56/~jnz1568/getInfo.php?workbook=20_05.xlsx&amp;sheet=U0&amp;row=9470&amp;col=6&amp;number=3.6&amp;sourceID=14","3.6")</f>
        <v>3.6</v>
      </c>
      <c r="G9470" s="4" t="str">
        <f>HYPERLINK("http://141.218.60.56/~jnz1568/getInfo.php?workbook=20_05.xlsx&amp;sheet=U0&amp;row=9470&amp;col=7&amp;number=0.00424&amp;sourceID=14","0.00424")</f>
        <v>0.00424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HYPERLINK("http://141.218.60.56/~jnz1568/getInfo.php?workbook=20_05.xlsx&amp;sheet=U0&amp;row=9471&amp;col=6&amp;number=3.7&amp;sourceID=14","3.7")</f>
        <v>3.7</v>
      </c>
      <c r="G9471" s="4" t="str">
        <f>HYPERLINK("http://141.218.60.56/~jnz1568/getInfo.php?workbook=20_05.xlsx&amp;sheet=U0&amp;row=9471&amp;col=7&amp;number=0.00424&amp;sourceID=14","0.00424")</f>
        <v>0.00424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HYPERLINK("http://141.218.60.56/~jnz1568/getInfo.php?workbook=20_05.xlsx&amp;sheet=U0&amp;row=9472&amp;col=6&amp;number=3.8&amp;sourceID=14","3.8")</f>
        <v>3.8</v>
      </c>
      <c r="G9472" s="4" t="str">
        <f>HYPERLINK("http://141.218.60.56/~jnz1568/getInfo.php?workbook=20_05.xlsx&amp;sheet=U0&amp;row=9472&amp;col=7&amp;number=0.00424&amp;sourceID=14","0.00424")</f>
        <v>0.00424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HYPERLINK("http://141.218.60.56/~jnz1568/getInfo.php?workbook=20_05.xlsx&amp;sheet=U0&amp;row=9473&amp;col=6&amp;number=3.9&amp;sourceID=14","3.9")</f>
        <v>3.9</v>
      </c>
      <c r="G9473" s="4" t="str">
        <f>HYPERLINK("http://141.218.60.56/~jnz1568/getInfo.php?workbook=20_05.xlsx&amp;sheet=U0&amp;row=9473&amp;col=7&amp;number=0.00425&amp;sourceID=14","0.00425")</f>
        <v>0.00425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HYPERLINK("http://141.218.60.56/~jnz1568/getInfo.php?workbook=20_05.xlsx&amp;sheet=U0&amp;row=9474&amp;col=6&amp;number=4&amp;sourceID=14","4")</f>
        <v>4</v>
      </c>
      <c r="G9474" s="4" t="str">
        <f>HYPERLINK("http://141.218.60.56/~jnz1568/getInfo.php?workbook=20_05.xlsx&amp;sheet=U0&amp;row=9474&amp;col=7&amp;number=0.00425&amp;sourceID=14","0.00425")</f>
        <v>0.00425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HYPERLINK("http://141.218.60.56/~jnz1568/getInfo.php?workbook=20_05.xlsx&amp;sheet=U0&amp;row=9475&amp;col=6&amp;number=4.1&amp;sourceID=14","4.1")</f>
        <v>4.1</v>
      </c>
      <c r="G9475" s="4" t="str">
        <f>HYPERLINK("http://141.218.60.56/~jnz1568/getInfo.php?workbook=20_05.xlsx&amp;sheet=U0&amp;row=9475&amp;col=7&amp;number=0.00426&amp;sourceID=14","0.00426")</f>
        <v>0.00426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HYPERLINK("http://141.218.60.56/~jnz1568/getInfo.php?workbook=20_05.xlsx&amp;sheet=U0&amp;row=9476&amp;col=6&amp;number=4.2&amp;sourceID=14","4.2")</f>
        <v>4.2</v>
      </c>
      <c r="G9476" s="4" t="str">
        <f>HYPERLINK("http://141.218.60.56/~jnz1568/getInfo.php?workbook=20_05.xlsx&amp;sheet=U0&amp;row=9476&amp;col=7&amp;number=0.00426&amp;sourceID=14","0.00426")</f>
        <v>0.00426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HYPERLINK("http://141.218.60.56/~jnz1568/getInfo.php?workbook=20_05.xlsx&amp;sheet=U0&amp;row=9477&amp;col=6&amp;number=4.3&amp;sourceID=14","4.3")</f>
        <v>4.3</v>
      </c>
      <c r="G9477" s="4" t="str">
        <f>HYPERLINK("http://141.218.60.56/~jnz1568/getInfo.php?workbook=20_05.xlsx&amp;sheet=U0&amp;row=9477&amp;col=7&amp;number=0.00427&amp;sourceID=14","0.00427")</f>
        <v>0.00427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HYPERLINK("http://141.218.60.56/~jnz1568/getInfo.php?workbook=20_05.xlsx&amp;sheet=U0&amp;row=9478&amp;col=6&amp;number=4.4&amp;sourceID=14","4.4")</f>
        <v>4.4</v>
      </c>
      <c r="G9478" s="4" t="str">
        <f>HYPERLINK("http://141.218.60.56/~jnz1568/getInfo.php?workbook=20_05.xlsx&amp;sheet=U0&amp;row=9478&amp;col=7&amp;number=0.00428&amp;sourceID=14","0.00428")</f>
        <v>0.00428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HYPERLINK("http://141.218.60.56/~jnz1568/getInfo.php?workbook=20_05.xlsx&amp;sheet=U0&amp;row=9479&amp;col=6&amp;number=4.5&amp;sourceID=14","4.5")</f>
        <v>4.5</v>
      </c>
      <c r="G9479" s="4" t="str">
        <f>HYPERLINK("http://141.218.60.56/~jnz1568/getInfo.php?workbook=20_05.xlsx&amp;sheet=U0&amp;row=9479&amp;col=7&amp;number=0.00429&amp;sourceID=14","0.00429")</f>
        <v>0.00429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HYPERLINK("http://141.218.60.56/~jnz1568/getInfo.php?workbook=20_05.xlsx&amp;sheet=U0&amp;row=9480&amp;col=6&amp;number=4.6&amp;sourceID=14","4.6")</f>
        <v>4.6</v>
      </c>
      <c r="G9480" s="4" t="str">
        <f>HYPERLINK("http://141.218.60.56/~jnz1568/getInfo.php?workbook=20_05.xlsx&amp;sheet=U0&amp;row=9480&amp;col=7&amp;number=0.00431&amp;sourceID=14","0.00431")</f>
        <v>0.00431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HYPERLINK("http://141.218.60.56/~jnz1568/getInfo.php?workbook=20_05.xlsx&amp;sheet=U0&amp;row=9481&amp;col=6&amp;number=4.7&amp;sourceID=14","4.7")</f>
        <v>4.7</v>
      </c>
      <c r="G9481" s="4" t="str">
        <f>HYPERLINK("http://141.218.60.56/~jnz1568/getInfo.php?workbook=20_05.xlsx&amp;sheet=U0&amp;row=9481&amp;col=7&amp;number=0.00432&amp;sourceID=14","0.00432")</f>
        <v>0.00432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HYPERLINK("http://141.218.60.56/~jnz1568/getInfo.php?workbook=20_05.xlsx&amp;sheet=U0&amp;row=9482&amp;col=6&amp;number=4.8&amp;sourceID=14","4.8")</f>
        <v>4.8</v>
      </c>
      <c r="G9482" s="4" t="str">
        <f>HYPERLINK("http://141.218.60.56/~jnz1568/getInfo.php?workbook=20_05.xlsx&amp;sheet=U0&amp;row=9482&amp;col=7&amp;number=0.00435&amp;sourceID=14","0.00435")</f>
        <v>0.00435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HYPERLINK("http://141.218.60.56/~jnz1568/getInfo.php?workbook=20_05.xlsx&amp;sheet=U0&amp;row=9483&amp;col=6&amp;number=4.9&amp;sourceID=14","4.9")</f>
        <v>4.9</v>
      </c>
      <c r="G9483" s="4" t="str">
        <f>HYPERLINK("http://141.218.60.56/~jnz1568/getInfo.php?workbook=20_05.xlsx&amp;sheet=U0&amp;row=9483&amp;col=7&amp;number=0.00438&amp;sourceID=14","0.00438")</f>
        <v>0.00438</v>
      </c>
    </row>
    <row r="9484" spans="1:7">
      <c r="A9484" s="3">
        <v>20</v>
      </c>
      <c r="B9484" s="3">
        <v>5</v>
      </c>
      <c r="C9484" s="3">
        <v>4</v>
      </c>
      <c r="D9484" s="3">
        <v>115</v>
      </c>
      <c r="E9484" s="3">
        <v>1</v>
      </c>
      <c r="F9484" s="4" t="str">
        <f>HYPERLINK("http://141.218.60.56/~jnz1568/getInfo.php?workbook=20_05.xlsx&amp;sheet=U0&amp;row=9484&amp;col=6&amp;number=3&amp;sourceID=14","3")</f>
        <v>3</v>
      </c>
      <c r="G9484" s="4" t="str">
        <f>HYPERLINK("http://141.218.60.56/~jnz1568/getInfo.php?workbook=20_05.xlsx&amp;sheet=U0&amp;row=9484&amp;col=7&amp;number=0.00128&amp;sourceID=14","0.00128")</f>
        <v>0.00128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HYPERLINK("http://141.218.60.56/~jnz1568/getInfo.php?workbook=20_05.xlsx&amp;sheet=U0&amp;row=9485&amp;col=6&amp;number=3.1&amp;sourceID=14","3.1")</f>
        <v>3.1</v>
      </c>
      <c r="G9485" s="4" t="str">
        <f>HYPERLINK("http://141.218.60.56/~jnz1568/getInfo.php?workbook=20_05.xlsx&amp;sheet=U0&amp;row=9485&amp;col=7&amp;number=0.00128&amp;sourceID=14","0.00128")</f>
        <v>0.00128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HYPERLINK("http://141.218.60.56/~jnz1568/getInfo.php?workbook=20_05.xlsx&amp;sheet=U0&amp;row=9486&amp;col=6&amp;number=3.2&amp;sourceID=14","3.2")</f>
        <v>3.2</v>
      </c>
      <c r="G9486" s="4" t="str">
        <f>HYPERLINK("http://141.218.60.56/~jnz1568/getInfo.php?workbook=20_05.xlsx&amp;sheet=U0&amp;row=9486&amp;col=7&amp;number=0.00128&amp;sourceID=14","0.00128")</f>
        <v>0.00128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HYPERLINK("http://141.218.60.56/~jnz1568/getInfo.php?workbook=20_05.xlsx&amp;sheet=U0&amp;row=9487&amp;col=6&amp;number=3.3&amp;sourceID=14","3.3")</f>
        <v>3.3</v>
      </c>
      <c r="G9487" s="4" t="str">
        <f>HYPERLINK("http://141.218.60.56/~jnz1568/getInfo.php?workbook=20_05.xlsx&amp;sheet=U0&amp;row=9487&amp;col=7&amp;number=0.00128&amp;sourceID=14","0.00128")</f>
        <v>0.00128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HYPERLINK("http://141.218.60.56/~jnz1568/getInfo.php?workbook=20_05.xlsx&amp;sheet=U0&amp;row=9488&amp;col=6&amp;number=3.4&amp;sourceID=14","3.4")</f>
        <v>3.4</v>
      </c>
      <c r="G9488" s="4" t="str">
        <f>HYPERLINK("http://141.218.60.56/~jnz1568/getInfo.php?workbook=20_05.xlsx&amp;sheet=U0&amp;row=9488&amp;col=7&amp;number=0.00128&amp;sourceID=14","0.00128")</f>
        <v>0.00128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HYPERLINK("http://141.218.60.56/~jnz1568/getInfo.php?workbook=20_05.xlsx&amp;sheet=U0&amp;row=9489&amp;col=6&amp;number=3.5&amp;sourceID=14","3.5")</f>
        <v>3.5</v>
      </c>
      <c r="G9489" s="4" t="str">
        <f>HYPERLINK("http://141.218.60.56/~jnz1568/getInfo.php?workbook=20_05.xlsx&amp;sheet=U0&amp;row=9489&amp;col=7&amp;number=0.00128&amp;sourceID=14","0.00128")</f>
        <v>0.00128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HYPERLINK("http://141.218.60.56/~jnz1568/getInfo.php?workbook=20_05.xlsx&amp;sheet=U0&amp;row=9490&amp;col=6&amp;number=3.6&amp;sourceID=14","3.6")</f>
        <v>3.6</v>
      </c>
      <c r="G9490" s="4" t="str">
        <f>HYPERLINK("http://141.218.60.56/~jnz1568/getInfo.php?workbook=20_05.xlsx&amp;sheet=U0&amp;row=9490&amp;col=7&amp;number=0.00128&amp;sourceID=14","0.00128")</f>
        <v>0.00128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HYPERLINK("http://141.218.60.56/~jnz1568/getInfo.php?workbook=20_05.xlsx&amp;sheet=U0&amp;row=9491&amp;col=6&amp;number=3.7&amp;sourceID=14","3.7")</f>
        <v>3.7</v>
      </c>
      <c r="G9491" s="4" t="str">
        <f>HYPERLINK("http://141.218.60.56/~jnz1568/getInfo.php?workbook=20_05.xlsx&amp;sheet=U0&amp;row=9491&amp;col=7&amp;number=0.00128&amp;sourceID=14","0.00128")</f>
        <v>0.00128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HYPERLINK("http://141.218.60.56/~jnz1568/getInfo.php?workbook=20_05.xlsx&amp;sheet=U0&amp;row=9492&amp;col=6&amp;number=3.8&amp;sourceID=14","3.8")</f>
        <v>3.8</v>
      </c>
      <c r="G9492" s="4" t="str">
        <f>HYPERLINK("http://141.218.60.56/~jnz1568/getInfo.php?workbook=20_05.xlsx&amp;sheet=U0&amp;row=9492&amp;col=7&amp;number=0.00128&amp;sourceID=14","0.00128")</f>
        <v>0.00128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HYPERLINK("http://141.218.60.56/~jnz1568/getInfo.php?workbook=20_05.xlsx&amp;sheet=U0&amp;row=9493&amp;col=6&amp;number=3.9&amp;sourceID=14","3.9")</f>
        <v>3.9</v>
      </c>
      <c r="G9493" s="4" t="str">
        <f>HYPERLINK("http://141.218.60.56/~jnz1568/getInfo.php?workbook=20_05.xlsx&amp;sheet=U0&amp;row=9493&amp;col=7&amp;number=0.00128&amp;sourceID=14","0.00128")</f>
        <v>0.00128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HYPERLINK("http://141.218.60.56/~jnz1568/getInfo.php?workbook=20_05.xlsx&amp;sheet=U0&amp;row=9494&amp;col=6&amp;number=4&amp;sourceID=14","4")</f>
        <v>4</v>
      </c>
      <c r="G9494" s="4" t="str">
        <f>HYPERLINK("http://141.218.60.56/~jnz1568/getInfo.php?workbook=20_05.xlsx&amp;sheet=U0&amp;row=9494&amp;col=7&amp;number=0.00128&amp;sourceID=14","0.00128")</f>
        <v>0.00128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HYPERLINK("http://141.218.60.56/~jnz1568/getInfo.php?workbook=20_05.xlsx&amp;sheet=U0&amp;row=9495&amp;col=6&amp;number=4.1&amp;sourceID=14","4.1")</f>
        <v>4.1</v>
      </c>
      <c r="G9495" s="4" t="str">
        <f>HYPERLINK("http://141.218.60.56/~jnz1568/getInfo.php?workbook=20_05.xlsx&amp;sheet=U0&amp;row=9495&amp;col=7&amp;number=0.00129&amp;sourceID=14","0.00129")</f>
        <v>0.00129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HYPERLINK("http://141.218.60.56/~jnz1568/getInfo.php?workbook=20_05.xlsx&amp;sheet=U0&amp;row=9496&amp;col=6&amp;number=4.2&amp;sourceID=14","4.2")</f>
        <v>4.2</v>
      </c>
      <c r="G9496" s="4" t="str">
        <f>HYPERLINK("http://141.218.60.56/~jnz1568/getInfo.php?workbook=20_05.xlsx&amp;sheet=U0&amp;row=9496&amp;col=7&amp;number=0.00129&amp;sourceID=14","0.00129")</f>
        <v>0.00129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HYPERLINK("http://141.218.60.56/~jnz1568/getInfo.php?workbook=20_05.xlsx&amp;sheet=U0&amp;row=9497&amp;col=6&amp;number=4.3&amp;sourceID=14","4.3")</f>
        <v>4.3</v>
      </c>
      <c r="G9497" s="4" t="str">
        <f>HYPERLINK("http://141.218.60.56/~jnz1568/getInfo.php?workbook=20_05.xlsx&amp;sheet=U0&amp;row=9497&amp;col=7&amp;number=0.00129&amp;sourceID=14","0.00129")</f>
        <v>0.00129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HYPERLINK("http://141.218.60.56/~jnz1568/getInfo.php?workbook=20_05.xlsx&amp;sheet=U0&amp;row=9498&amp;col=6&amp;number=4.4&amp;sourceID=14","4.4")</f>
        <v>4.4</v>
      </c>
      <c r="G9498" s="4" t="str">
        <f>HYPERLINK("http://141.218.60.56/~jnz1568/getInfo.php?workbook=20_05.xlsx&amp;sheet=U0&amp;row=9498&amp;col=7&amp;number=0.00129&amp;sourceID=14","0.00129")</f>
        <v>0.00129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HYPERLINK("http://141.218.60.56/~jnz1568/getInfo.php?workbook=20_05.xlsx&amp;sheet=U0&amp;row=9499&amp;col=6&amp;number=4.5&amp;sourceID=14","4.5")</f>
        <v>4.5</v>
      </c>
      <c r="G9499" s="4" t="str">
        <f>HYPERLINK("http://141.218.60.56/~jnz1568/getInfo.php?workbook=20_05.xlsx&amp;sheet=U0&amp;row=9499&amp;col=7&amp;number=0.00129&amp;sourceID=14","0.00129")</f>
        <v>0.00129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HYPERLINK("http://141.218.60.56/~jnz1568/getInfo.php?workbook=20_05.xlsx&amp;sheet=U0&amp;row=9500&amp;col=6&amp;number=4.6&amp;sourceID=14","4.6")</f>
        <v>4.6</v>
      </c>
      <c r="G9500" s="4" t="str">
        <f>HYPERLINK("http://141.218.60.56/~jnz1568/getInfo.php?workbook=20_05.xlsx&amp;sheet=U0&amp;row=9500&amp;col=7&amp;number=0.00129&amp;sourceID=14","0.00129")</f>
        <v>0.00129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HYPERLINK("http://141.218.60.56/~jnz1568/getInfo.php?workbook=20_05.xlsx&amp;sheet=U0&amp;row=9501&amp;col=6&amp;number=4.7&amp;sourceID=14","4.7")</f>
        <v>4.7</v>
      </c>
      <c r="G9501" s="4" t="str">
        <f>HYPERLINK("http://141.218.60.56/~jnz1568/getInfo.php?workbook=20_05.xlsx&amp;sheet=U0&amp;row=9501&amp;col=7&amp;number=0.00129&amp;sourceID=14","0.00129")</f>
        <v>0.00129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HYPERLINK("http://141.218.60.56/~jnz1568/getInfo.php?workbook=20_05.xlsx&amp;sheet=U0&amp;row=9502&amp;col=6&amp;number=4.8&amp;sourceID=14","4.8")</f>
        <v>4.8</v>
      </c>
      <c r="G9502" s="4" t="str">
        <f>HYPERLINK("http://141.218.60.56/~jnz1568/getInfo.php?workbook=20_05.xlsx&amp;sheet=U0&amp;row=9502&amp;col=7&amp;number=0.00129&amp;sourceID=14","0.00129")</f>
        <v>0.00129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HYPERLINK("http://141.218.60.56/~jnz1568/getInfo.php?workbook=20_05.xlsx&amp;sheet=U0&amp;row=9503&amp;col=6&amp;number=4.9&amp;sourceID=14","4.9")</f>
        <v>4.9</v>
      </c>
      <c r="G9503" s="4" t="str">
        <f>HYPERLINK("http://141.218.60.56/~jnz1568/getInfo.php?workbook=20_05.xlsx&amp;sheet=U0&amp;row=9503&amp;col=7&amp;number=0.0013&amp;sourceID=14","0.0013")</f>
        <v>0.0013</v>
      </c>
    </row>
    <row r="9504" spans="1:7">
      <c r="A9504" s="3">
        <v>20</v>
      </c>
      <c r="B9504" s="3">
        <v>5</v>
      </c>
      <c r="C9504" s="3">
        <v>4</v>
      </c>
      <c r="D9504" s="3">
        <v>116</v>
      </c>
      <c r="E9504" s="3">
        <v>1</v>
      </c>
      <c r="F9504" s="4" t="str">
        <f>HYPERLINK("http://141.218.60.56/~jnz1568/getInfo.php?workbook=20_05.xlsx&amp;sheet=U0&amp;row=9504&amp;col=6&amp;number=3&amp;sourceID=14","3")</f>
        <v>3</v>
      </c>
      <c r="G9504" s="4" t="str">
        <f>HYPERLINK("http://141.218.60.56/~jnz1568/getInfo.php?workbook=20_05.xlsx&amp;sheet=U0&amp;row=9504&amp;col=7&amp;number=0.000473&amp;sourceID=14","0.000473")</f>
        <v>0.000473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HYPERLINK("http://141.218.60.56/~jnz1568/getInfo.php?workbook=20_05.xlsx&amp;sheet=U0&amp;row=9505&amp;col=6&amp;number=3.1&amp;sourceID=14","3.1")</f>
        <v>3.1</v>
      </c>
      <c r="G9505" s="4" t="str">
        <f>HYPERLINK("http://141.218.60.56/~jnz1568/getInfo.php?workbook=20_05.xlsx&amp;sheet=U0&amp;row=9505&amp;col=7&amp;number=0.000473&amp;sourceID=14","0.000473")</f>
        <v>0.000473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HYPERLINK("http://141.218.60.56/~jnz1568/getInfo.php?workbook=20_05.xlsx&amp;sheet=U0&amp;row=9506&amp;col=6&amp;number=3.2&amp;sourceID=14","3.2")</f>
        <v>3.2</v>
      </c>
      <c r="G9506" s="4" t="str">
        <f>HYPERLINK("http://141.218.60.56/~jnz1568/getInfo.php?workbook=20_05.xlsx&amp;sheet=U0&amp;row=9506&amp;col=7&amp;number=0.000473&amp;sourceID=14","0.000473")</f>
        <v>0.000473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HYPERLINK("http://141.218.60.56/~jnz1568/getInfo.php?workbook=20_05.xlsx&amp;sheet=U0&amp;row=9507&amp;col=6&amp;number=3.3&amp;sourceID=14","3.3")</f>
        <v>3.3</v>
      </c>
      <c r="G9507" s="4" t="str">
        <f>HYPERLINK("http://141.218.60.56/~jnz1568/getInfo.php?workbook=20_05.xlsx&amp;sheet=U0&amp;row=9507&amp;col=7&amp;number=0.000473&amp;sourceID=14","0.000473")</f>
        <v>0.000473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HYPERLINK("http://141.218.60.56/~jnz1568/getInfo.php?workbook=20_05.xlsx&amp;sheet=U0&amp;row=9508&amp;col=6&amp;number=3.4&amp;sourceID=14","3.4")</f>
        <v>3.4</v>
      </c>
      <c r="G9508" s="4" t="str">
        <f>HYPERLINK("http://141.218.60.56/~jnz1568/getInfo.php?workbook=20_05.xlsx&amp;sheet=U0&amp;row=9508&amp;col=7&amp;number=0.000473&amp;sourceID=14","0.000473")</f>
        <v>0.000473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HYPERLINK("http://141.218.60.56/~jnz1568/getInfo.php?workbook=20_05.xlsx&amp;sheet=U0&amp;row=9509&amp;col=6&amp;number=3.5&amp;sourceID=14","3.5")</f>
        <v>3.5</v>
      </c>
      <c r="G9509" s="4" t="str">
        <f>HYPERLINK("http://141.218.60.56/~jnz1568/getInfo.php?workbook=20_05.xlsx&amp;sheet=U0&amp;row=9509&amp;col=7&amp;number=0.000473&amp;sourceID=14","0.000473")</f>
        <v>0.000473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HYPERLINK("http://141.218.60.56/~jnz1568/getInfo.php?workbook=20_05.xlsx&amp;sheet=U0&amp;row=9510&amp;col=6&amp;number=3.6&amp;sourceID=14","3.6")</f>
        <v>3.6</v>
      </c>
      <c r="G9510" s="4" t="str">
        <f>HYPERLINK("http://141.218.60.56/~jnz1568/getInfo.php?workbook=20_05.xlsx&amp;sheet=U0&amp;row=9510&amp;col=7&amp;number=0.000474&amp;sourceID=14","0.000474")</f>
        <v>0.000474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HYPERLINK("http://141.218.60.56/~jnz1568/getInfo.php?workbook=20_05.xlsx&amp;sheet=U0&amp;row=9511&amp;col=6&amp;number=3.7&amp;sourceID=14","3.7")</f>
        <v>3.7</v>
      </c>
      <c r="G9511" s="4" t="str">
        <f>HYPERLINK("http://141.218.60.56/~jnz1568/getInfo.php?workbook=20_05.xlsx&amp;sheet=U0&amp;row=9511&amp;col=7&amp;number=0.000474&amp;sourceID=14","0.000474")</f>
        <v>0.000474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HYPERLINK("http://141.218.60.56/~jnz1568/getInfo.php?workbook=20_05.xlsx&amp;sheet=U0&amp;row=9512&amp;col=6&amp;number=3.8&amp;sourceID=14","3.8")</f>
        <v>3.8</v>
      </c>
      <c r="G9512" s="4" t="str">
        <f>HYPERLINK("http://141.218.60.56/~jnz1568/getInfo.php?workbook=20_05.xlsx&amp;sheet=U0&amp;row=9512&amp;col=7&amp;number=0.000474&amp;sourceID=14","0.000474")</f>
        <v>0.000474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HYPERLINK("http://141.218.60.56/~jnz1568/getInfo.php?workbook=20_05.xlsx&amp;sheet=U0&amp;row=9513&amp;col=6&amp;number=3.9&amp;sourceID=14","3.9")</f>
        <v>3.9</v>
      </c>
      <c r="G9513" s="4" t="str">
        <f>HYPERLINK("http://141.218.60.56/~jnz1568/getInfo.php?workbook=20_05.xlsx&amp;sheet=U0&amp;row=9513&amp;col=7&amp;number=0.000474&amp;sourceID=14","0.000474")</f>
        <v>0.000474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HYPERLINK("http://141.218.60.56/~jnz1568/getInfo.php?workbook=20_05.xlsx&amp;sheet=U0&amp;row=9514&amp;col=6&amp;number=4&amp;sourceID=14","4")</f>
        <v>4</v>
      </c>
      <c r="G9514" s="4" t="str">
        <f>HYPERLINK("http://141.218.60.56/~jnz1568/getInfo.php?workbook=20_05.xlsx&amp;sheet=U0&amp;row=9514&amp;col=7&amp;number=0.000474&amp;sourceID=14","0.000474")</f>
        <v>0.000474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HYPERLINK("http://141.218.60.56/~jnz1568/getInfo.php?workbook=20_05.xlsx&amp;sheet=U0&amp;row=9515&amp;col=6&amp;number=4.1&amp;sourceID=14","4.1")</f>
        <v>4.1</v>
      </c>
      <c r="G9515" s="4" t="str">
        <f>HYPERLINK("http://141.218.60.56/~jnz1568/getInfo.php?workbook=20_05.xlsx&amp;sheet=U0&amp;row=9515&amp;col=7&amp;number=0.000474&amp;sourceID=14","0.000474")</f>
        <v>0.000474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HYPERLINK("http://141.218.60.56/~jnz1568/getInfo.php?workbook=20_05.xlsx&amp;sheet=U0&amp;row=9516&amp;col=6&amp;number=4.2&amp;sourceID=14","4.2")</f>
        <v>4.2</v>
      </c>
      <c r="G9516" s="4" t="str">
        <f>HYPERLINK("http://141.218.60.56/~jnz1568/getInfo.php?workbook=20_05.xlsx&amp;sheet=U0&amp;row=9516&amp;col=7&amp;number=0.000474&amp;sourceID=14","0.000474")</f>
        <v>0.000474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HYPERLINK("http://141.218.60.56/~jnz1568/getInfo.php?workbook=20_05.xlsx&amp;sheet=U0&amp;row=9517&amp;col=6&amp;number=4.3&amp;sourceID=14","4.3")</f>
        <v>4.3</v>
      </c>
      <c r="G9517" s="4" t="str">
        <f>HYPERLINK("http://141.218.60.56/~jnz1568/getInfo.php?workbook=20_05.xlsx&amp;sheet=U0&amp;row=9517&amp;col=7&amp;number=0.000474&amp;sourceID=14","0.000474")</f>
        <v>0.000474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HYPERLINK("http://141.218.60.56/~jnz1568/getInfo.php?workbook=20_05.xlsx&amp;sheet=U0&amp;row=9518&amp;col=6&amp;number=4.4&amp;sourceID=14","4.4")</f>
        <v>4.4</v>
      </c>
      <c r="G9518" s="4" t="str">
        <f>HYPERLINK("http://141.218.60.56/~jnz1568/getInfo.php?workbook=20_05.xlsx&amp;sheet=U0&amp;row=9518&amp;col=7&amp;number=0.000474&amp;sourceID=14","0.000474")</f>
        <v>0.000474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HYPERLINK("http://141.218.60.56/~jnz1568/getInfo.php?workbook=20_05.xlsx&amp;sheet=U0&amp;row=9519&amp;col=6&amp;number=4.5&amp;sourceID=14","4.5")</f>
        <v>4.5</v>
      </c>
      <c r="G9519" s="4" t="str">
        <f>HYPERLINK("http://141.218.60.56/~jnz1568/getInfo.php?workbook=20_05.xlsx&amp;sheet=U0&amp;row=9519&amp;col=7&amp;number=0.000474&amp;sourceID=14","0.000474")</f>
        <v>0.000474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HYPERLINK("http://141.218.60.56/~jnz1568/getInfo.php?workbook=20_05.xlsx&amp;sheet=U0&amp;row=9520&amp;col=6&amp;number=4.6&amp;sourceID=14","4.6")</f>
        <v>4.6</v>
      </c>
      <c r="G9520" s="4" t="str">
        <f>HYPERLINK("http://141.218.60.56/~jnz1568/getInfo.php?workbook=20_05.xlsx&amp;sheet=U0&amp;row=9520&amp;col=7&amp;number=0.000475&amp;sourceID=14","0.000475")</f>
        <v>0.000475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HYPERLINK("http://141.218.60.56/~jnz1568/getInfo.php?workbook=20_05.xlsx&amp;sheet=U0&amp;row=9521&amp;col=6&amp;number=4.7&amp;sourceID=14","4.7")</f>
        <v>4.7</v>
      </c>
      <c r="G9521" s="4" t="str">
        <f>HYPERLINK("http://141.218.60.56/~jnz1568/getInfo.php?workbook=20_05.xlsx&amp;sheet=U0&amp;row=9521&amp;col=7&amp;number=0.000475&amp;sourceID=14","0.000475")</f>
        <v>0.000475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HYPERLINK("http://141.218.60.56/~jnz1568/getInfo.php?workbook=20_05.xlsx&amp;sheet=U0&amp;row=9522&amp;col=6&amp;number=4.8&amp;sourceID=14","4.8")</f>
        <v>4.8</v>
      </c>
      <c r="G9522" s="4" t="str">
        <f>HYPERLINK("http://141.218.60.56/~jnz1568/getInfo.php?workbook=20_05.xlsx&amp;sheet=U0&amp;row=9522&amp;col=7&amp;number=0.000475&amp;sourceID=14","0.000475")</f>
        <v>0.000475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HYPERLINK("http://141.218.60.56/~jnz1568/getInfo.php?workbook=20_05.xlsx&amp;sheet=U0&amp;row=9523&amp;col=6&amp;number=4.9&amp;sourceID=14","4.9")</f>
        <v>4.9</v>
      </c>
      <c r="G9523" s="4" t="str">
        <f>HYPERLINK("http://141.218.60.56/~jnz1568/getInfo.php?workbook=20_05.xlsx&amp;sheet=U0&amp;row=9523&amp;col=7&amp;number=0.000476&amp;sourceID=14","0.000476")</f>
        <v>0.000476</v>
      </c>
    </row>
    <row r="9524" spans="1:7">
      <c r="A9524" s="3">
        <v>20</v>
      </c>
      <c r="B9524" s="3">
        <v>5</v>
      </c>
      <c r="C9524" s="3">
        <v>4</v>
      </c>
      <c r="D9524" s="3">
        <v>117</v>
      </c>
      <c r="E9524" s="3">
        <v>1</v>
      </c>
      <c r="F9524" s="4" t="str">
        <f>HYPERLINK("http://141.218.60.56/~jnz1568/getInfo.php?workbook=20_05.xlsx&amp;sheet=U0&amp;row=9524&amp;col=6&amp;number=3&amp;sourceID=14","3")</f>
        <v>3</v>
      </c>
      <c r="G9524" s="4" t="str">
        <f>HYPERLINK("http://141.218.60.56/~jnz1568/getInfo.php?workbook=20_05.xlsx&amp;sheet=U0&amp;row=9524&amp;col=7&amp;number=1.05e-05&amp;sourceID=14","1.05e-05")</f>
        <v>1.05e-05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HYPERLINK("http://141.218.60.56/~jnz1568/getInfo.php?workbook=20_05.xlsx&amp;sheet=U0&amp;row=9525&amp;col=6&amp;number=3.1&amp;sourceID=14","3.1")</f>
        <v>3.1</v>
      </c>
      <c r="G9525" s="4" t="str">
        <f>HYPERLINK("http://141.218.60.56/~jnz1568/getInfo.php?workbook=20_05.xlsx&amp;sheet=U0&amp;row=9525&amp;col=7&amp;number=1.05e-05&amp;sourceID=14","1.05e-05")</f>
        <v>1.05e-05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HYPERLINK("http://141.218.60.56/~jnz1568/getInfo.php?workbook=20_05.xlsx&amp;sheet=U0&amp;row=9526&amp;col=6&amp;number=3.2&amp;sourceID=14","3.2")</f>
        <v>3.2</v>
      </c>
      <c r="G9526" s="4" t="str">
        <f>HYPERLINK("http://141.218.60.56/~jnz1568/getInfo.php?workbook=20_05.xlsx&amp;sheet=U0&amp;row=9526&amp;col=7&amp;number=1.05e-05&amp;sourceID=14","1.05e-05")</f>
        <v>1.05e-05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HYPERLINK("http://141.218.60.56/~jnz1568/getInfo.php?workbook=20_05.xlsx&amp;sheet=U0&amp;row=9527&amp;col=6&amp;number=3.3&amp;sourceID=14","3.3")</f>
        <v>3.3</v>
      </c>
      <c r="G9527" s="4" t="str">
        <f>HYPERLINK("http://141.218.60.56/~jnz1568/getInfo.php?workbook=20_05.xlsx&amp;sheet=U0&amp;row=9527&amp;col=7&amp;number=1.05e-05&amp;sourceID=14","1.05e-05")</f>
        <v>1.05e-05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HYPERLINK("http://141.218.60.56/~jnz1568/getInfo.php?workbook=20_05.xlsx&amp;sheet=U0&amp;row=9528&amp;col=6&amp;number=3.4&amp;sourceID=14","3.4")</f>
        <v>3.4</v>
      </c>
      <c r="G9528" s="4" t="str">
        <f>HYPERLINK("http://141.218.60.56/~jnz1568/getInfo.php?workbook=20_05.xlsx&amp;sheet=U0&amp;row=9528&amp;col=7&amp;number=1.05e-05&amp;sourceID=14","1.05e-05")</f>
        <v>1.05e-05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HYPERLINK("http://141.218.60.56/~jnz1568/getInfo.php?workbook=20_05.xlsx&amp;sheet=U0&amp;row=9529&amp;col=6&amp;number=3.5&amp;sourceID=14","3.5")</f>
        <v>3.5</v>
      </c>
      <c r="G9529" s="4" t="str">
        <f>HYPERLINK("http://141.218.60.56/~jnz1568/getInfo.php?workbook=20_05.xlsx&amp;sheet=U0&amp;row=9529&amp;col=7&amp;number=1.05e-05&amp;sourceID=14","1.05e-05")</f>
        <v>1.05e-05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HYPERLINK("http://141.218.60.56/~jnz1568/getInfo.php?workbook=20_05.xlsx&amp;sheet=U0&amp;row=9530&amp;col=6&amp;number=3.6&amp;sourceID=14","3.6")</f>
        <v>3.6</v>
      </c>
      <c r="G9530" s="4" t="str">
        <f>HYPERLINK("http://141.218.60.56/~jnz1568/getInfo.php?workbook=20_05.xlsx&amp;sheet=U0&amp;row=9530&amp;col=7&amp;number=1.05e-05&amp;sourceID=14","1.05e-05")</f>
        <v>1.05e-05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HYPERLINK("http://141.218.60.56/~jnz1568/getInfo.php?workbook=20_05.xlsx&amp;sheet=U0&amp;row=9531&amp;col=6&amp;number=3.7&amp;sourceID=14","3.7")</f>
        <v>3.7</v>
      </c>
      <c r="G9531" s="4" t="str">
        <f>HYPERLINK("http://141.218.60.56/~jnz1568/getInfo.php?workbook=20_05.xlsx&amp;sheet=U0&amp;row=9531&amp;col=7&amp;number=1.05e-05&amp;sourceID=14","1.05e-05")</f>
        <v>1.05e-05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HYPERLINK("http://141.218.60.56/~jnz1568/getInfo.php?workbook=20_05.xlsx&amp;sheet=U0&amp;row=9532&amp;col=6&amp;number=3.8&amp;sourceID=14","3.8")</f>
        <v>3.8</v>
      </c>
      <c r="G9532" s="4" t="str">
        <f>HYPERLINK("http://141.218.60.56/~jnz1568/getInfo.php?workbook=20_05.xlsx&amp;sheet=U0&amp;row=9532&amp;col=7&amp;number=1.05e-05&amp;sourceID=14","1.05e-05")</f>
        <v>1.05e-05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HYPERLINK("http://141.218.60.56/~jnz1568/getInfo.php?workbook=20_05.xlsx&amp;sheet=U0&amp;row=9533&amp;col=6&amp;number=3.9&amp;sourceID=14","3.9")</f>
        <v>3.9</v>
      </c>
      <c r="G9533" s="4" t="str">
        <f>HYPERLINK("http://141.218.60.56/~jnz1568/getInfo.php?workbook=20_05.xlsx&amp;sheet=U0&amp;row=9533&amp;col=7&amp;number=1.06e-05&amp;sourceID=14","1.06e-05")</f>
        <v>1.06e-05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HYPERLINK("http://141.218.60.56/~jnz1568/getInfo.php?workbook=20_05.xlsx&amp;sheet=U0&amp;row=9534&amp;col=6&amp;number=4&amp;sourceID=14","4")</f>
        <v>4</v>
      </c>
      <c r="G9534" s="4" t="str">
        <f>HYPERLINK("http://141.218.60.56/~jnz1568/getInfo.php?workbook=20_05.xlsx&amp;sheet=U0&amp;row=9534&amp;col=7&amp;number=1.06e-05&amp;sourceID=14","1.06e-05")</f>
        <v>1.06e-05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HYPERLINK("http://141.218.60.56/~jnz1568/getInfo.php?workbook=20_05.xlsx&amp;sheet=U0&amp;row=9535&amp;col=6&amp;number=4.1&amp;sourceID=14","4.1")</f>
        <v>4.1</v>
      </c>
      <c r="G9535" s="4" t="str">
        <f>HYPERLINK("http://141.218.60.56/~jnz1568/getInfo.php?workbook=20_05.xlsx&amp;sheet=U0&amp;row=9535&amp;col=7&amp;number=1.06e-05&amp;sourceID=14","1.06e-05")</f>
        <v>1.06e-05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HYPERLINK("http://141.218.60.56/~jnz1568/getInfo.php?workbook=20_05.xlsx&amp;sheet=U0&amp;row=9536&amp;col=6&amp;number=4.2&amp;sourceID=14","4.2")</f>
        <v>4.2</v>
      </c>
      <c r="G9536" s="4" t="str">
        <f>HYPERLINK("http://141.218.60.56/~jnz1568/getInfo.php?workbook=20_05.xlsx&amp;sheet=U0&amp;row=9536&amp;col=7&amp;number=1.06e-05&amp;sourceID=14","1.06e-05")</f>
        <v>1.06e-05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HYPERLINK("http://141.218.60.56/~jnz1568/getInfo.php?workbook=20_05.xlsx&amp;sheet=U0&amp;row=9537&amp;col=6&amp;number=4.3&amp;sourceID=14","4.3")</f>
        <v>4.3</v>
      </c>
      <c r="G9537" s="4" t="str">
        <f>HYPERLINK("http://141.218.60.56/~jnz1568/getInfo.php?workbook=20_05.xlsx&amp;sheet=U0&amp;row=9537&amp;col=7&amp;number=1.06e-05&amp;sourceID=14","1.06e-05")</f>
        <v>1.06e-05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HYPERLINK("http://141.218.60.56/~jnz1568/getInfo.php?workbook=20_05.xlsx&amp;sheet=U0&amp;row=9538&amp;col=6&amp;number=4.4&amp;sourceID=14","4.4")</f>
        <v>4.4</v>
      </c>
      <c r="G9538" s="4" t="str">
        <f>HYPERLINK("http://141.218.60.56/~jnz1568/getInfo.php?workbook=20_05.xlsx&amp;sheet=U0&amp;row=9538&amp;col=7&amp;number=1.06e-05&amp;sourceID=14","1.06e-05")</f>
        <v>1.06e-05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HYPERLINK("http://141.218.60.56/~jnz1568/getInfo.php?workbook=20_05.xlsx&amp;sheet=U0&amp;row=9539&amp;col=6&amp;number=4.5&amp;sourceID=14","4.5")</f>
        <v>4.5</v>
      </c>
      <c r="G9539" s="4" t="str">
        <f>HYPERLINK("http://141.218.60.56/~jnz1568/getInfo.php?workbook=20_05.xlsx&amp;sheet=U0&amp;row=9539&amp;col=7&amp;number=1.07e-05&amp;sourceID=14","1.07e-05")</f>
        <v>1.07e-05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HYPERLINK("http://141.218.60.56/~jnz1568/getInfo.php?workbook=20_05.xlsx&amp;sheet=U0&amp;row=9540&amp;col=6&amp;number=4.6&amp;sourceID=14","4.6")</f>
        <v>4.6</v>
      </c>
      <c r="G9540" s="4" t="str">
        <f>HYPERLINK("http://141.218.60.56/~jnz1568/getInfo.php?workbook=20_05.xlsx&amp;sheet=U0&amp;row=9540&amp;col=7&amp;number=1.07e-05&amp;sourceID=14","1.07e-05")</f>
        <v>1.07e-05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HYPERLINK("http://141.218.60.56/~jnz1568/getInfo.php?workbook=20_05.xlsx&amp;sheet=U0&amp;row=9541&amp;col=6&amp;number=4.7&amp;sourceID=14","4.7")</f>
        <v>4.7</v>
      </c>
      <c r="G9541" s="4" t="str">
        <f>HYPERLINK("http://141.218.60.56/~jnz1568/getInfo.php?workbook=20_05.xlsx&amp;sheet=U0&amp;row=9541&amp;col=7&amp;number=1.08e-05&amp;sourceID=14","1.08e-05")</f>
        <v>1.08e-05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HYPERLINK("http://141.218.60.56/~jnz1568/getInfo.php?workbook=20_05.xlsx&amp;sheet=U0&amp;row=9542&amp;col=6&amp;number=4.8&amp;sourceID=14","4.8")</f>
        <v>4.8</v>
      </c>
      <c r="G9542" s="4" t="str">
        <f>HYPERLINK("http://141.218.60.56/~jnz1568/getInfo.php?workbook=20_05.xlsx&amp;sheet=U0&amp;row=9542&amp;col=7&amp;number=1.08e-05&amp;sourceID=14","1.08e-05")</f>
        <v>1.08e-05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HYPERLINK("http://141.218.60.56/~jnz1568/getInfo.php?workbook=20_05.xlsx&amp;sheet=U0&amp;row=9543&amp;col=6&amp;number=4.9&amp;sourceID=14","4.9")</f>
        <v>4.9</v>
      </c>
      <c r="G9543" s="4" t="str">
        <f>HYPERLINK("http://141.218.60.56/~jnz1568/getInfo.php?workbook=20_05.xlsx&amp;sheet=U0&amp;row=9543&amp;col=7&amp;number=1.09e-05&amp;sourceID=14","1.09e-05")</f>
        <v>1.09e-05</v>
      </c>
    </row>
    <row r="9544" spans="1:7">
      <c r="A9544" s="3">
        <v>20</v>
      </c>
      <c r="B9544" s="3">
        <v>5</v>
      </c>
      <c r="C9544" s="3">
        <v>4</v>
      </c>
      <c r="D9544" s="3">
        <v>118</v>
      </c>
      <c r="E9544" s="3">
        <v>1</v>
      </c>
      <c r="F9544" s="4" t="str">
        <f>HYPERLINK("http://141.218.60.56/~jnz1568/getInfo.php?workbook=20_05.xlsx&amp;sheet=U0&amp;row=9544&amp;col=6&amp;number=3&amp;sourceID=14","3")</f>
        <v>3</v>
      </c>
      <c r="G9544" s="4" t="str">
        <f>HYPERLINK("http://141.218.60.56/~jnz1568/getInfo.php?workbook=20_05.xlsx&amp;sheet=U0&amp;row=9544&amp;col=7&amp;number=0.000195&amp;sourceID=14","0.000195")</f>
        <v>0.000195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HYPERLINK("http://141.218.60.56/~jnz1568/getInfo.php?workbook=20_05.xlsx&amp;sheet=U0&amp;row=9545&amp;col=6&amp;number=3.1&amp;sourceID=14","3.1")</f>
        <v>3.1</v>
      </c>
      <c r="G9545" s="4" t="str">
        <f>HYPERLINK("http://141.218.60.56/~jnz1568/getInfo.php?workbook=20_05.xlsx&amp;sheet=U0&amp;row=9545&amp;col=7&amp;number=0.000195&amp;sourceID=14","0.000195")</f>
        <v>0.000195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HYPERLINK("http://141.218.60.56/~jnz1568/getInfo.php?workbook=20_05.xlsx&amp;sheet=U0&amp;row=9546&amp;col=6&amp;number=3.2&amp;sourceID=14","3.2")</f>
        <v>3.2</v>
      </c>
      <c r="G9546" s="4" t="str">
        <f>HYPERLINK("http://141.218.60.56/~jnz1568/getInfo.php?workbook=20_05.xlsx&amp;sheet=U0&amp;row=9546&amp;col=7&amp;number=0.000195&amp;sourceID=14","0.000195")</f>
        <v>0.000195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HYPERLINK("http://141.218.60.56/~jnz1568/getInfo.php?workbook=20_05.xlsx&amp;sheet=U0&amp;row=9547&amp;col=6&amp;number=3.3&amp;sourceID=14","3.3")</f>
        <v>3.3</v>
      </c>
      <c r="G9547" s="4" t="str">
        <f>HYPERLINK("http://141.218.60.56/~jnz1568/getInfo.php?workbook=20_05.xlsx&amp;sheet=U0&amp;row=9547&amp;col=7&amp;number=0.000195&amp;sourceID=14","0.000195")</f>
        <v>0.000195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HYPERLINK("http://141.218.60.56/~jnz1568/getInfo.php?workbook=20_05.xlsx&amp;sheet=U0&amp;row=9548&amp;col=6&amp;number=3.4&amp;sourceID=14","3.4")</f>
        <v>3.4</v>
      </c>
      <c r="G9548" s="4" t="str">
        <f>HYPERLINK("http://141.218.60.56/~jnz1568/getInfo.php?workbook=20_05.xlsx&amp;sheet=U0&amp;row=9548&amp;col=7&amp;number=0.000195&amp;sourceID=14","0.000195")</f>
        <v>0.000195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HYPERLINK("http://141.218.60.56/~jnz1568/getInfo.php?workbook=20_05.xlsx&amp;sheet=U0&amp;row=9549&amp;col=6&amp;number=3.5&amp;sourceID=14","3.5")</f>
        <v>3.5</v>
      </c>
      <c r="G9549" s="4" t="str">
        <f>HYPERLINK("http://141.218.60.56/~jnz1568/getInfo.php?workbook=20_05.xlsx&amp;sheet=U0&amp;row=9549&amp;col=7&amp;number=0.000195&amp;sourceID=14","0.000195")</f>
        <v>0.000195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HYPERLINK("http://141.218.60.56/~jnz1568/getInfo.php?workbook=20_05.xlsx&amp;sheet=U0&amp;row=9550&amp;col=6&amp;number=3.6&amp;sourceID=14","3.6")</f>
        <v>3.6</v>
      </c>
      <c r="G9550" s="4" t="str">
        <f>HYPERLINK("http://141.218.60.56/~jnz1568/getInfo.php?workbook=20_05.xlsx&amp;sheet=U0&amp;row=9550&amp;col=7&amp;number=0.000195&amp;sourceID=14","0.000195")</f>
        <v>0.000195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HYPERLINK("http://141.218.60.56/~jnz1568/getInfo.php?workbook=20_05.xlsx&amp;sheet=U0&amp;row=9551&amp;col=6&amp;number=3.7&amp;sourceID=14","3.7")</f>
        <v>3.7</v>
      </c>
      <c r="G9551" s="4" t="str">
        <f>HYPERLINK("http://141.218.60.56/~jnz1568/getInfo.php?workbook=20_05.xlsx&amp;sheet=U0&amp;row=9551&amp;col=7&amp;number=0.000195&amp;sourceID=14","0.000195")</f>
        <v>0.000195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HYPERLINK("http://141.218.60.56/~jnz1568/getInfo.php?workbook=20_05.xlsx&amp;sheet=U0&amp;row=9552&amp;col=6&amp;number=3.8&amp;sourceID=14","3.8")</f>
        <v>3.8</v>
      </c>
      <c r="G9552" s="4" t="str">
        <f>HYPERLINK("http://141.218.60.56/~jnz1568/getInfo.php?workbook=20_05.xlsx&amp;sheet=U0&amp;row=9552&amp;col=7&amp;number=0.000195&amp;sourceID=14","0.000195")</f>
        <v>0.000195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HYPERLINK("http://141.218.60.56/~jnz1568/getInfo.php?workbook=20_05.xlsx&amp;sheet=U0&amp;row=9553&amp;col=6&amp;number=3.9&amp;sourceID=14","3.9")</f>
        <v>3.9</v>
      </c>
      <c r="G9553" s="4" t="str">
        <f>HYPERLINK("http://141.218.60.56/~jnz1568/getInfo.php?workbook=20_05.xlsx&amp;sheet=U0&amp;row=9553&amp;col=7&amp;number=0.000195&amp;sourceID=14","0.000195")</f>
        <v>0.000195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HYPERLINK("http://141.218.60.56/~jnz1568/getInfo.php?workbook=20_05.xlsx&amp;sheet=U0&amp;row=9554&amp;col=6&amp;number=4&amp;sourceID=14","4")</f>
        <v>4</v>
      </c>
      <c r="G9554" s="4" t="str">
        <f>HYPERLINK("http://141.218.60.56/~jnz1568/getInfo.php?workbook=20_05.xlsx&amp;sheet=U0&amp;row=9554&amp;col=7&amp;number=0.000195&amp;sourceID=14","0.000195")</f>
        <v>0.000195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HYPERLINK("http://141.218.60.56/~jnz1568/getInfo.php?workbook=20_05.xlsx&amp;sheet=U0&amp;row=9555&amp;col=6&amp;number=4.1&amp;sourceID=14","4.1")</f>
        <v>4.1</v>
      </c>
      <c r="G9555" s="4" t="str">
        <f>HYPERLINK("http://141.218.60.56/~jnz1568/getInfo.php?workbook=20_05.xlsx&amp;sheet=U0&amp;row=9555&amp;col=7&amp;number=0.000195&amp;sourceID=14","0.000195")</f>
        <v>0.000195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HYPERLINK("http://141.218.60.56/~jnz1568/getInfo.php?workbook=20_05.xlsx&amp;sheet=U0&amp;row=9556&amp;col=6&amp;number=4.2&amp;sourceID=14","4.2")</f>
        <v>4.2</v>
      </c>
      <c r="G9556" s="4" t="str">
        <f>HYPERLINK("http://141.218.60.56/~jnz1568/getInfo.php?workbook=20_05.xlsx&amp;sheet=U0&amp;row=9556&amp;col=7&amp;number=0.000195&amp;sourceID=14","0.000195")</f>
        <v>0.000195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HYPERLINK("http://141.218.60.56/~jnz1568/getInfo.php?workbook=20_05.xlsx&amp;sheet=U0&amp;row=9557&amp;col=6&amp;number=4.3&amp;sourceID=14","4.3")</f>
        <v>4.3</v>
      </c>
      <c r="G9557" s="4" t="str">
        <f>HYPERLINK("http://141.218.60.56/~jnz1568/getInfo.php?workbook=20_05.xlsx&amp;sheet=U0&amp;row=9557&amp;col=7&amp;number=0.000195&amp;sourceID=14","0.000195")</f>
        <v>0.000195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HYPERLINK("http://141.218.60.56/~jnz1568/getInfo.php?workbook=20_05.xlsx&amp;sheet=U0&amp;row=9558&amp;col=6&amp;number=4.4&amp;sourceID=14","4.4")</f>
        <v>4.4</v>
      </c>
      <c r="G9558" s="4" t="str">
        <f>HYPERLINK("http://141.218.60.56/~jnz1568/getInfo.php?workbook=20_05.xlsx&amp;sheet=U0&amp;row=9558&amp;col=7&amp;number=0.000194&amp;sourceID=14","0.000194")</f>
        <v>0.000194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HYPERLINK("http://141.218.60.56/~jnz1568/getInfo.php?workbook=20_05.xlsx&amp;sheet=U0&amp;row=9559&amp;col=6&amp;number=4.5&amp;sourceID=14","4.5")</f>
        <v>4.5</v>
      </c>
      <c r="G9559" s="4" t="str">
        <f>HYPERLINK("http://141.218.60.56/~jnz1568/getInfo.php?workbook=20_05.xlsx&amp;sheet=U0&amp;row=9559&amp;col=7&amp;number=0.000194&amp;sourceID=14","0.000194")</f>
        <v>0.000194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HYPERLINK("http://141.218.60.56/~jnz1568/getInfo.php?workbook=20_05.xlsx&amp;sheet=U0&amp;row=9560&amp;col=6&amp;number=4.6&amp;sourceID=14","4.6")</f>
        <v>4.6</v>
      </c>
      <c r="G9560" s="4" t="str">
        <f>HYPERLINK("http://141.218.60.56/~jnz1568/getInfo.php?workbook=20_05.xlsx&amp;sheet=U0&amp;row=9560&amp;col=7&amp;number=0.000194&amp;sourceID=14","0.000194")</f>
        <v>0.000194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HYPERLINK("http://141.218.60.56/~jnz1568/getInfo.php?workbook=20_05.xlsx&amp;sheet=U0&amp;row=9561&amp;col=6&amp;number=4.7&amp;sourceID=14","4.7")</f>
        <v>4.7</v>
      </c>
      <c r="G9561" s="4" t="str">
        <f>HYPERLINK("http://141.218.60.56/~jnz1568/getInfo.php?workbook=20_05.xlsx&amp;sheet=U0&amp;row=9561&amp;col=7&amp;number=0.000193&amp;sourceID=14","0.000193")</f>
        <v>0.000193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HYPERLINK("http://141.218.60.56/~jnz1568/getInfo.php?workbook=20_05.xlsx&amp;sheet=U0&amp;row=9562&amp;col=6&amp;number=4.8&amp;sourceID=14","4.8")</f>
        <v>4.8</v>
      </c>
      <c r="G9562" s="4" t="str">
        <f>HYPERLINK("http://141.218.60.56/~jnz1568/getInfo.php?workbook=20_05.xlsx&amp;sheet=U0&amp;row=9562&amp;col=7&amp;number=0.000193&amp;sourceID=14","0.000193")</f>
        <v>0.000193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HYPERLINK("http://141.218.60.56/~jnz1568/getInfo.php?workbook=20_05.xlsx&amp;sheet=U0&amp;row=9563&amp;col=6&amp;number=4.9&amp;sourceID=14","4.9")</f>
        <v>4.9</v>
      </c>
      <c r="G9563" s="4" t="str">
        <f>HYPERLINK("http://141.218.60.56/~jnz1568/getInfo.php?workbook=20_05.xlsx&amp;sheet=U0&amp;row=9563&amp;col=7&amp;number=0.000192&amp;sourceID=14","0.000192")</f>
        <v>0.000192</v>
      </c>
    </row>
    <row r="9564" spans="1:7">
      <c r="A9564" s="3">
        <v>20</v>
      </c>
      <c r="B9564" s="3">
        <v>5</v>
      </c>
      <c r="C9564" s="3">
        <v>4</v>
      </c>
      <c r="D9564" s="3">
        <v>119</v>
      </c>
      <c r="E9564" s="3">
        <v>1</v>
      </c>
      <c r="F9564" s="4" t="str">
        <f>HYPERLINK("http://141.218.60.56/~jnz1568/getInfo.php?workbook=20_05.xlsx&amp;sheet=U0&amp;row=9564&amp;col=6&amp;number=3&amp;sourceID=14","3")</f>
        <v>3</v>
      </c>
      <c r="G9564" s="4" t="str">
        <f>HYPERLINK("http://141.218.60.56/~jnz1568/getInfo.php?workbook=20_05.xlsx&amp;sheet=U0&amp;row=9564&amp;col=7&amp;number=0.00555&amp;sourceID=14","0.00555")</f>
        <v>0.00555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HYPERLINK("http://141.218.60.56/~jnz1568/getInfo.php?workbook=20_05.xlsx&amp;sheet=U0&amp;row=9565&amp;col=6&amp;number=3.1&amp;sourceID=14","3.1")</f>
        <v>3.1</v>
      </c>
      <c r="G9565" s="4" t="str">
        <f>HYPERLINK("http://141.218.60.56/~jnz1568/getInfo.php?workbook=20_05.xlsx&amp;sheet=U0&amp;row=9565&amp;col=7&amp;number=0.00555&amp;sourceID=14","0.00555")</f>
        <v>0.00555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HYPERLINK("http://141.218.60.56/~jnz1568/getInfo.php?workbook=20_05.xlsx&amp;sheet=U0&amp;row=9566&amp;col=6&amp;number=3.2&amp;sourceID=14","3.2")</f>
        <v>3.2</v>
      </c>
      <c r="G9566" s="4" t="str">
        <f>HYPERLINK("http://141.218.60.56/~jnz1568/getInfo.php?workbook=20_05.xlsx&amp;sheet=U0&amp;row=9566&amp;col=7&amp;number=0.00555&amp;sourceID=14","0.00555")</f>
        <v>0.00555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HYPERLINK("http://141.218.60.56/~jnz1568/getInfo.php?workbook=20_05.xlsx&amp;sheet=U0&amp;row=9567&amp;col=6&amp;number=3.3&amp;sourceID=14","3.3")</f>
        <v>3.3</v>
      </c>
      <c r="G9567" s="4" t="str">
        <f>HYPERLINK("http://141.218.60.56/~jnz1568/getInfo.php?workbook=20_05.xlsx&amp;sheet=U0&amp;row=9567&amp;col=7&amp;number=0.00555&amp;sourceID=14","0.00555")</f>
        <v>0.00555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HYPERLINK("http://141.218.60.56/~jnz1568/getInfo.php?workbook=20_05.xlsx&amp;sheet=U0&amp;row=9568&amp;col=6&amp;number=3.4&amp;sourceID=14","3.4")</f>
        <v>3.4</v>
      </c>
      <c r="G9568" s="4" t="str">
        <f>HYPERLINK("http://141.218.60.56/~jnz1568/getInfo.php?workbook=20_05.xlsx&amp;sheet=U0&amp;row=9568&amp;col=7&amp;number=0.00554&amp;sourceID=14","0.00554")</f>
        <v>0.00554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HYPERLINK("http://141.218.60.56/~jnz1568/getInfo.php?workbook=20_05.xlsx&amp;sheet=U0&amp;row=9569&amp;col=6&amp;number=3.5&amp;sourceID=14","3.5")</f>
        <v>3.5</v>
      </c>
      <c r="G9569" s="4" t="str">
        <f>HYPERLINK("http://141.218.60.56/~jnz1568/getInfo.php?workbook=20_05.xlsx&amp;sheet=U0&amp;row=9569&amp;col=7&amp;number=0.00554&amp;sourceID=14","0.00554")</f>
        <v>0.00554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HYPERLINK("http://141.218.60.56/~jnz1568/getInfo.php?workbook=20_05.xlsx&amp;sheet=U0&amp;row=9570&amp;col=6&amp;number=3.6&amp;sourceID=14","3.6")</f>
        <v>3.6</v>
      </c>
      <c r="G9570" s="4" t="str">
        <f>HYPERLINK("http://141.218.60.56/~jnz1568/getInfo.php?workbook=20_05.xlsx&amp;sheet=U0&amp;row=9570&amp;col=7&amp;number=0.00554&amp;sourceID=14","0.00554")</f>
        <v>0.00554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HYPERLINK("http://141.218.60.56/~jnz1568/getInfo.php?workbook=20_05.xlsx&amp;sheet=U0&amp;row=9571&amp;col=6&amp;number=3.7&amp;sourceID=14","3.7")</f>
        <v>3.7</v>
      </c>
      <c r="G9571" s="4" t="str">
        <f>HYPERLINK("http://141.218.60.56/~jnz1568/getInfo.php?workbook=20_05.xlsx&amp;sheet=U0&amp;row=9571&amp;col=7&amp;number=0.00554&amp;sourceID=14","0.00554")</f>
        <v>0.00554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HYPERLINK("http://141.218.60.56/~jnz1568/getInfo.php?workbook=20_05.xlsx&amp;sheet=U0&amp;row=9572&amp;col=6&amp;number=3.8&amp;sourceID=14","3.8")</f>
        <v>3.8</v>
      </c>
      <c r="G9572" s="4" t="str">
        <f>HYPERLINK("http://141.218.60.56/~jnz1568/getInfo.php?workbook=20_05.xlsx&amp;sheet=U0&amp;row=9572&amp;col=7&amp;number=0.00554&amp;sourceID=14","0.00554")</f>
        <v>0.00554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HYPERLINK("http://141.218.60.56/~jnz1568/getInfo.php?workbook=20_05.xlsx&amp;sheet=U0&amp;row=9573&amp;col=6&amp;number=3.9&amp;sourceID=14","3.9")</f>
        <v>3.9</v>
      </c>
      <c r="G9573" s="4" t="str">
        <f>HYPERLINK("http://141.218.60.56/~jnz1568/getInfo.php?workbook=20_05.xlsx&amp;sheet=U0&amp;row=9573&amp;col=7&amp;number=0.00553&amp;sourceID=14","0.00553")</f>
        <v>0.00553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HYPERLINK("http://141.218.60.56/~jnz1568/getInfo.php?workbook=20_05.xlsx&amp;sheet=U0&amp;row=9574&amp;col=6&amp;number=4&amp;sourceID=14","4")</f>
        <v>4</v>
      </c>
      <c r="G9574" s="4" t="str">
        <f>HYPERLINK("http://141.218.60.56/~jnz1568/getInfo.php?workbook=20_05.xlsx&amp;sheet=U0&amp;row=9574&amp;col=7&amp;number=0.00553&amp;sourceID=14","0.00553")</f>
        <v>0.00553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HYPERLINK("http://141.218.60.56/~jnz1568/getInfo.php?workbook=20_05.xlsx&amp;sheet=U0&amp;row=9575&amp;col=6&amp;number=4.1&amp;sourceID=14","4.1")</f>
        <v>4.1</v>
      </c>
      <c r="G9575" s="4" t="str">
        <f>HYPERLINK("http://141.218.60.56/~jnz1568/getInfo.php?workbook=20_05.xlsx&amp;sheet=U0&amp;row=9575&amp;col=7&amp;number=0.00553&amp;sourceID=14","0.00553")</f>
        <v>0.00553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HYPERLINK("http://141.218.60.56/~jnz1568/getInfo.php?workbook=20_05.xlsx&amp;sheet=U0&amp;row=9576&amp;col=6&amp;number=4.2&amp;sourceID=14","4.2")</f>
        <v>4.2</v>
      </c>
      <c r="G9576" s="4" t="str">
        <f>HYPERLINK("http://141.218.60.56/~jnz1568/getInfo.php?workbook=20_05.xlsx&amp;sheet=U0&amp;row=9576&amp;col=7&amp;number=0.00552&amp;sourceID=14","0.00552")</f>
        <v>0.00552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HYPERLINK("http://141.218.60.56/~jnz1568/getInfo.php?workbook=20_05.xlsx&amp;sheet=U0&amp;row=9577&amp;col=6&amp;number=4.3&amp;sourceID=14","4.3")</f>
        <v>4.3</v>
      </c>
      <c r="G9577" s="4" t="str">
        <f>HYPERLINK("http://141.218.60.56/~jnz1568/getInfo.php?workbook=20_05.xlsx&amp;sheet=U0&amp;row=9577&amp;col=7&amp;number=0.00551&amp;sourceID=14","0.00551")</f>
        <v>0.00551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HYPERLINK("http://141.218.60.56/~jnz1568/getInfo.php?workbook=20_05.xlsx&amp;sheet=U0&amp;row=9578&amp;col=6&amp;number=4.4&amp;sourceID=14","4.4")</f>
        <v>4.4</v>
      </c>
      <c r="G9578" s="4" t="str">
        <f>HYPERLINK("http://141.218.60.56/~jnz1568/getInfo.php?workbook=20_05.xlsx&amp;sheet=U0&amp;row=9578&amp;col=7&amp;number=0.0055&amp;sourceID=14","0.0055")</f>
        <v>0.0055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HYPERLINK("http://141.218.60.56/~jnz1568/getInfo.php?workbook=20_05.xlsx&amp;sheet=U0&amp;row=9579&amp;col=6&amp;number=4.5&amp;sourceID=14","4.5")</f>
        <v>4.5</v>
      </c>
      <c r="G9579" s="4" t="str">
        <f>HYPERLINK("http://141.218.60.56/~jnz1568/getInfo.php?workbook=20_05.xlsx&amp;sheet=U0&amp;row=9579&amp;col=7&amp;number=0.00549&amp;sourceID=14","0.00549")</f>
        <v>0.00549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HYPERLINK("http://141.218.60.56/~jnz1568/getInfo.php?workbook=20_05.xlsx&amp;sheet=U0&amp;row=9580&amp;col=6&amp;number=4.6&amp;sourceID=14","4.6")</f>
        <v>4.6</v>
      </c>
      <c r="G9580" s="4" t="str">
        <f>HYPERLINK("http://141.218.60.56/~jnz1568/getInfo.php?workbook=20_05.xlsx&amp;sheet=U0&amp;row=9580&amp;col=7&amp;number=0.00548&amp;sourceID=14","0.00548")</f>
        <v>0.00548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HYPERLINK("http://141.218.60.56/~jnz1568/getInfo.php?workbook=20_05.xlsx&amp;sheet=U0&amp;row=9581&amp;col=6&amp;number=4.7&amp;sourceID=14","4.7")</f>
        <v>4.7</v>
      </c>
      <c r="G9581" s="4" t="str">
        <f>HYPERLINK("http://141.218.60.56/~jnz1568/getInfo.php?workbook=20_05.xlsx&amp;sheet=U0&amp;row=9581&amp;col=7&amp;number=0.00546&amp;sourceID=14","0.00546")</f>
        <v>0.00546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HYPERLINK("http://141.218.60.56/~jnz1568/getInfo.php?workbook=20_05.xlsx&amp;sheet=U0&amp;row=9582&amp;col=6&amp;number=4.8&amp;sourceID=14","4.8")</f>
        <v>4.8</v>
      </c>
      <c r="G9582" s="4" t="str">
        <f>HYPERLINK("http://141.218.60.56/~jnz1568/getInfo.php?workbook=20_05.xlsx&amp;sheet=U0&amp;row=9582&amp;col=7&amp;number=0.00544&amp;sourceID=14","0.00544")</f>
        <v>0.00544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HYPERLINK("http://141.218.60.56/~jnz1568/getInfo.php?workbook=20_05.xlsx&amp;sheet=U0&amp;row=9583&amp;col=6&amp;number=4.9&amp;sourceID=14","4.9")</f>
        <v>4.9</v>
      </c>
      <c r="G9583" s="4" t="str">
        <f>HYPERLINK("http://141.218.60.56/~jnz1568/getInfo.php?workbook=20_05.xlsx&amp;sheet=U0&amp;row=9583&amp;col=7&amp;number=0.00541&amp;sourceID=14","0.00541")</f>
        <v>0.00541</v>
      </c>
    </row>
    <row r="9584" spans="1:7">
      <c r="A9584" s="3">
        <v>20</v>
      </c>
      <c r="B9584" s="3">
        <v>5</v>
      </c>
      <c r="C9584" s="3">
        <v>4</v>
      </c>
      <c r="D9584" s="3">
        <v>120</v>
      </c>
      <c r="E9584" s="3">
        <v>1</v>
      </c>
      <c r="F9584" s="4" t="str">
        <f>HYPERLINK("http://141.218.60.56/~jnz1568/getInfo.php?workbook=20_05.xlsx&amp;sheet=U0&amp;row=9584&amp;col=6&amp;number=3&amp;sourceID=14","3")</f>
        <v>3</v>
      </c>
      <c r="G9584" s="4" t="str">
        <f>HYPERLINK("http://141.218.60.56/~jnz1568/getInfo.php?workbook=20_05.xlsx&amp;sheet=U0&amp;row=9584&amp;col=7&amp;number=0.00842&amp;sourceID=14","0.00842")</f>
        <v>0.00842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HYPERLINK("http://141.218.60.56/~jnz1568/getInfo.php?workbook=20_05.xlsx&amp;sheet=U0&amp;row=9585&amp;col=6&amp;number=3.1&amp;sourceID=14","3.1")</f>
        <v>3.1</v>
      </c>
      <c r="G9585" s="4" t="str">
        <f>HYPERLINK("http://141.218.60.56/~jnz1568/getInfo.php?workbook=20_05.xlsx&amp;sheet=U0&amp;row=9585&amp;col=7&amp;number=0.00842&amp;sourceID=14","0.00842")</f>
        <v>0.00842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HYPERLINK("http://141.218.60.56/~jnz1568/getInfo.php?workbook=20_05.xlsx&amp;sheet=U0&amp;row=9586&amp;col=6&amp;number=3.2&amp;sourceID=14","3.2")</f>
        <v>3.2</v>
      </c>
      <c r="G9586" s="4" t="str">
        <f>HYPERLINK("http://141.218.60.56/~jnz1568/getInfo.php?workbook=20_05.xlsx&amp;sheet=U0&amp;row=9586&amp;col=7&amp;number=0.00842&amp;sourceID=14","0.00842")</f>
        <v>0.00842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HYPERLINK("http://141.218.60.56/~jnz1568/getInfo.php?workbook=20_05.xlsx&amp;sheet=U0&amp;row=9587&amp;col=6&amp;number=3.3&amp;sourceID=14","3.3")</f>
        <v>3.3</v>
      </c>
      <c r="G9587" s="4" t="str">
        <f>HYPERLINK("http://141.218.60.56/~jnz1568/getInfo.php?workbook=20_05.xlsx&amp;sheet=U0&amp;row=9587&amp;col=7&amp;number=0.00842&amp;sourceID=14","0.00842")</f>
        <v>0.00842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HYPERLINK("http://141.218.60.56/~jnz1568/getInfo.php?workbook=20_05.xlsx&amp;sheet=U0&amp;row=9588&amp;col=6&amp;number=3.4&amp;sourceID=14","3.4")</f>
        <v>3.4</v>
      </c>
      <c r="G9588" s="4" t="str">
        <f>HYPERLINK("http://141.218.60.56/~jnz1568/getInfo.php?workbook=20_05.xlsx&amp;sheet=U0&amp;row=9588&amp;col=7&amp;number=0.00842&amp;sourceID=14","0.00842")</f>
        <v>0.00842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HYPERLINK("http://141.218.60.56/~jnz1568/getInfo.php?workbook=20_05.xlsx&amp;sheet=U0&amp;row=9589&amp;col=6&amp;number=3.5&amp;sourceID=14","3.5")</f>
        <v>3.5</v>
      </c>
      <c r="G9589" s="4" t="str">
        <f>HYPERLINK("http://141.218.60.56/~jnz1568/getInfo.php?workbook=20_05.xlsx&amp;sheet=U0&amp;row=9589&amp;col=7&amp;number=0.00842&amp;sourceID=14","0.00842")</f>
        <v>0.00842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HYPERLINK("http://141.218.60.56/~jnz1568/getInfo.php?workbook=20_05.xlsx&amp;sheet=U0&amp;row=9590&amp;col=6&amp;number=3.6&amp;sourceID=14","3.6")</f>
        <v>3.6</v>
      </c>
      <c r="G9590" s="4" t="str">
        <f>HYPERLINK("http://141.218.60.56/~jnz1568/getInfo.php?workbook=20_05.xlsx&amp;sheet=U0&amp;row=9590&amp;col=7&amp;number=0.00842&amp;sourceID=14","0.00842")</f>
        <v>0.00842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HYPERLINK("http://141.218.60.56/~jnz1568/getInfo.php?workbook=20_05.xlsx&amp;sheet=U0&amp;row=9591&amp;col=6&amp;number=3.7&amp;sourceID=14","3.7")</f>
        <v>3.7</v>
      </c>
      <c r="G9591" s="4" t="str">
        <f>HYPERLINK("http://141.218.60.56/~jnz1568/getInfo.php?workbook=20_05.xlsx&amp;sheet=U0&amp;row=9591&amp;col=7&amp;number=0.00841&amp;sourceID=14","0.00841")</f>
        <v>0.00841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HYPERLINK("http://141.218.60.56/~jnz1568/getInfo.php?workbook=20_05.xlsx&amp;sheet=U0&amp;row=9592&amp;col=6&amp;number=3.8&amp;sourceID=14","3.8")</f>
        <v>3.8</v>
      </c>
      <c r="G9592" s="4" t="str">
        <f>HYPERLINK("http://141.218.60.56/~jnz1568/getInfo.php?workbook=20_05.xlsx&amp;sheet=U0&amp;row=9592&amp;col=7&amp;number=0.00841&amp;sourceID=14","0.00841")</f>
        <v>0.00841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HYPERLINK("http://141.218.60.56/~jnz1568/getInfo.php?workbook=20_05.xlsx&amp;sheet=U0&amp;row=9593&amp;col=6&amp;number=3.9&amp;sourceID=14","3.9")</f>
        <v>3.9</v>
      </c>
      <c r="G9593" s="4" t="str">
        <f>HYPERLINK("http://141.218.60.56/~jnz1568/getInfo.php?workbook=20_05.xlsx&amp;sheet=U0&amp;row=9593&amp;col=7&amp;number=0.00841&amp;sourceID=14","0.00841")</f>
        <v>0.00841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HYPERLINK("http://141.218.60.56/~jnz1568/getInfo.php?workbook=20_05.xlsx&amp;sheet=U0&amp;row=9594&amp;col=6&amp;number=4&amp;sourceID=14","4")</f>
        <v>4</v>
      </c>
      <c r="G9594" s="4" t="str">
        <f>HYPERLINK("http://141.218.60.56/~jnz1568/getInfo.php?workbook=20_05.xlsx&amp;sheet=U0&amp;row=9594&amp;col=7&amp;number=0.0084&amp;sourceID=14","0.0084")</f>
        <v>0.0084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HYPERLINK("http://141.218.60.56/~jnz1568/getInfo.php?workbook=20_05.xlsx&amp;sheet=U0&amp;row=9595&amp;col=6&amp;number=4.1&amp;sourceID=14","4.1")</f>
        <v>4.1</v>
      </c>
      <c r="G9595" s="4" t="str">
        <f>HYPERLINK("http://141.218.60.56/~jnz1568/getInfo.php?workbook=20_05.xlsx&amp;sheet=U0&amp;row=9595&amp;col=7&amp;number=0.0084&amp;sourceID=14","0.0084")</f>
        <v>0.0084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HYPERLINK("http://141.218.60.56/~jnz1568/getInfo.php?workbook=20_05.xlsx&amp;sheet=U0&amp;row=9596&amp;col=6&amp;number=4.2&amp;sourceID=14","4.2")</f>
        <v>4.2</v>
      </c>
      <c r="G9596" s="4" t="str">
        <f>HYPERLINK("http://141.218.60.56/~jnz1568/getInfo.php?workbook=20_05.xlsx&amp;sheet=U0&amp;row=9596&amp;col=7&amp;number=0.00839&amp;sourceID=14","0.00839")</f>
        <v>0.00839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HYPERLINK("http://141.218.60.56/~jnz1568/getInfo.php?workbook=20_05.xlsx&amp;sheet=U0&amp;row=9597&amp;col=6&amp;number=4.3&amp;sourceID=14","4.3")</f>
        <v>4.3</v>
      </c>
      <c r="G9597" s="4" t="str">
        <f>HYPERLINK("http://141.218.60.56/~jnz1568/getInfo.php?workbook=20_05.xlsx&amp;sheet=U0&amp;row=9597&amp;col=7&amp;number=0.00839&amp;sourceID=14","0.00839")</f>
        <v>0.00839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HYPERLINK("http://141.218.60.56/~jnz1568/getInfo.php?workbook=20_05.xlsx&amp;sheet=U0&amp;row=9598&amp;col=6&amp;number=4.4&amp;sourceID=14","4.4")</f>
        <v>4.4</v>
      </c>
      <c r="G9598" s="4" t="str">
        <f>HYPERLINK("http://141.218.60.56/~jnz1568/getInfo.php?workbook=20_05.xlsx&amp;sheet=U0&amp;row=9598&amp;col=7&amp;number=0.00838&amp;sourceID=14","0.00838")</f>
        <v>0.00838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HYPERLINK("http://141.218.60.56/~jnz1568/getInfo.php?workbook=20_05.xlsx&amp;sheet=U0&amp;row=9599&amp;col=6&amp;number=4.5&amp;sourceID=14","4.5")</f>
        <v>4.5</v>
      </c>
      <c r="G9599" s="4" t="str">
        <f>HYPERLINK("http://141.218.60.56/~jnz1568/getInfo.php?workbook=20_05.xlsx&amp;sheet=U0&amp;row=9599&amp;col=7&amp;number=0.00836&amp;sourceID=14","0.00836")</f>
        <v>0.00836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HYPERLINK("http://141.218.60.56/~jnz1568/getInfo.php?workbook=20_05.xlsx&amp;sheet=U0&amp;row=9600&amp;col=6&amp;number=4.6&amp;sourceID=14","4.6")</f>
        <v>4.6</v>
      </c>
      <c r="G9600" s="4" t="str">
        <f>HYPERLINK("http://141.218.60.56/~jnz1568/getInfo.php?workbook=20_05.xlsx&amp;sheet=U0&amp;row=9600&amp;col=7&amp;number=0.00835&amp;sourceID=14","0.00835")</f>
        <v>0.00835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HYPERLINK("http://141.218.60.56/~jnz1568/getInfo.php?workbook=20_05.xlsx&amp;sheet=U0&amp;row=9601&amp;col=6&amp;number=4.7&amp;sourceID=14","4.7")</f>
        <v>4.7</v>
      </c>
      <c r="G9601" s="4" t="str">
        <f>HYPERLINK("http://141.218.60.56/~jnz1568/getInfo.php?workbook=20_05.xlsx&amp;sheet=U0&amp;row=9601&amp;col=7&amp;number=0.00833&amp;sourceID=14","0.00833")</f>
        <v>0.00833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HYPERLINK("http://141.218.60.56/~jnz1568/getInfo.php?workbook=20_05.xlsx&amp;sheet=U0&amp;row=9602&amp;col=6&amp;number=4.8&amp;sourceID=14","4.8")</f>
        <v>4.8</v>
      </c>
      <c r="G9602" s="4" t="str">
        <f>HYPERLINK("http://141.218.60.56/~jnz1568/getInfo.php?workbook=20_05.xlsx&amp;sheet=U0&amp;row=9602&amp;col=7&amp;number=0.0083&amp;sourceID=14","0.0083")</f>
        <v>0.0083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HYPERLINK("http://141.218.60.56/~jnz1568/getInfo.php?workbook=20_05.xlsx&amp;sheet=U0&amp;row=9603&amp;col=6&amp;number=4.9&amp;sourceID=14","4.9")</f>
        <v>4.9</v>
      </c>
      <c r="G9603" s="4" t="str">
        <f>HYPERLINK("http://141.218.60.56/~jnz1568/getInfo.php?workbook=20_05.xlsx&amp;sheet=U0&amp;row=9603&amp;col=7&amp;number=0.00827&amp;sourceID=14","0.00827")</f>
        <v>0.00827</v>
      </c>
    </row>
    <row r="9604" spans="1:7">
      <c r="A9604" s="3">
        <v>20</v>
      </c>
      <c r="B9604" s="3">
        <v>5</v>
      </c>
      <c r="C9604" s="3">
        <v>4</v>
      </c>
      <c r="D9604" s="3">
        <v>121</v>
      </c>
      <c r="E9604" s="3">
        <v>1</v>
      </c>
      <c r="F9604" s="4" t="str">
        <f>HYPERLINK("http://141.218.60.56/~jnz1568/getInfo.php?workbook=20_05.xlsx&amp;sheet=U0&amp;row=9604&amp;col=6&amp;number=3&amp;sourceID=14","3")</f>
        <v>3</v>
      </c>
      <c r="G9604" s="4" t="str">
        <f>HYPERLINK("http://141.218.60.56/~jnz1568/getInfo.php?workbook=20_05.xlsx&amp;sheet=U0&amp;row=9604&amp;col=7&amp;number=0.00685&amp;sourceID=14","0.00685")</f>
        <v>0.00685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HYPERLINK("http://141.218.60.56/~jnz1568/getInfo.php?workbook=20_05.xlsx&amp;sheet=U0&amp;row=9605&amp;col=6&amp;number=3.1&amp;sourceID=14","3.1")</f>
        <v>3.1</v>
      </c>
      <c r="G9605" s="4" t="str">
        <f>HYPERLINK("http://141.218.60.56/~jnz1568/getInfo.php?workbook=20_05.xlsx&amp;sheet=U0&amp;row=9605&amp;col=7&amp;number=0.00685&amp;sourceID=14","0.00685")</f>
        <v>0.00685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HYPERLINK("http://141.218.60.56/~jnz1568/getInfo.php?workbook=20_05.xlsx&amp;sheet=U0&amp;row=9606&amp;col=6&amp;number=3.2&amp;sourceID=14","3.2")</f>
        <v>3.2</v>
      </c>
      <c r="G9606" s="4" t="str">
        <f>HYPERLINK("http://141.218.60.56/~jnz1568/getInfo.php?workbook=20_05.xlsx&amp;sheet=U0&amp;row=9606&amp;col=7&amp;number=0.00685&amp;sourceID=14","0.00685")</f>
        <v>0.00685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HYPERLINK("http://141.218.60.56/~jnz1568/getInfo.php?workbook=20_05.xlsx&amp;sheet=U0&amp;row=9607&amp;col=6&amp;number=3.3&amp;sourceID=14","3.3")</f>
        <v>3.3</v>
      </c>
      <c r="G9607" s="4" t="str">
        <f>HYPERLINK("http://141.218.60.56/~jnz1568/getInfo.php?workbook=20_05.xlsx&amp;sheet=U0&amp;row=9607&amp;col=7&amp;number=0.00685&amp;sourceID=14","0.00685")</f>
        <v>0.00685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HYPERLINK("http://141.218.60.56/~jnz1568/getInfo.php?workbook=20_05.xlsx&amp;sheet=U0&amp;row=9608&amp;col=6&amp;number=3.4&amp;sourceID=14","3.4")</f>
        <v>3.4</v>
      </c>
      <c r="G9608" s="4" t="str">
        <f>HYPERLINK("http://141.218.60.56/~jnz1568/getInfo.php?workbook=20_05.xlsx&amp;sheet=U0&amp;row=9608&amp;col=7&amp;number=0.00685&amp;sourceID=14","0.00685")</f>
        <v>0.00685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HYPERLINK("http://141.218.60.56/~jnz1568/getInfo.php?workbook=20_05.xlsx&amp;sheet=U0&amp;row=9609&amp;col=6&amp;number=3.5&amp;sourceID=14","3.5")</f>
        <v>3.5</v>
      </c>
      <c r="G9609" s="4" t="str">
        <f>HYPERLINK("http://141.218.60.56/~jnz1568/getInfo.php?workbook=20_05.xlsx&amp;sheet=U0&amp;row=9609&amp;col=7&amp;number=0.00685&amp;sourceID=14","0.00685")</f>
        <v>0.00685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HYPERLINK("http://141.218.60.56/~jnz1568/getInfo.php?workbook=20_05.xlsx&amp;sheet=U0&amp;row=9610&amp;col=6&amp;number=3.6&amp;sourceID=14","3.6")</f>
        <v>3.6</v>
      </c>
      <c r="G9610" s="4" t="str">
        <f>HYPERLINK("http://141.218.60.56/~jnz1568/getInfo.php?workbook=20_05.xlsx&amp;sheet=U0&amp;row=9610&amp;col=7&amp;number=0.00685&amp;sourceID=14","0.00685")</f>
        <v>0.00685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HYPERLINK("http://141.218.60.56/~jnz1568/getInfo.php?workbook=20_05.xlsx&amp;sheet=U0&amp;row=9611&amp;col=6&amp;number=3.7&amp;sourceID=14","3.7")</f>
        <v>3.7</v>
      </c>
      <c r="G9611" s="4" t="str">
        <f>HYPERLINK("http://141.218.60.56/~jnz1568/getInfo.php?workbook=20_05.xlsx&amp;sheet=U0&amp;row=9611&amp;col=7&amp;number=0.00684&amp;sourceID=14","0.00684")</f>
        <v>0.00684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HYPERLINK("http://141.218.60.56/~jnz1568/getInfo.php?workbook=20_05.xlsx&amp;sheet=U0&amp;row=9612&amp;col=6&amp;number=3.8&amp;sourceID=14","3.8")</f>
        <v>3.8</v>
      </c>
      <c r="G9612" s="4" t="str">
        <f>HYPERLINK("http://141.218.60.56/~jnz1568/getInfo.php?workbook=20_05.xlsx&amp;sheet=U0&amp;row=9612&amp;col=7&amp;number=0.00684&amp;sourceID=14","0.00684")</f>
        <v>0.00684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HYPERLINK("http://141.218.60.56/~jnz1568/getInfo.php?workbook=20_05.xlsx&amp;sheet=U0&amp;row=9613&amp;col=6&amp;number=3.9&amp;sourceID=14","3.9")</f>
        <v>3.9</v>
      </c>
      <c r="G9613" s="4" t="str">
        <f>HYPERLINK("http://141.218.60.56/~jnz1568/getInfo.php?workbook=20_05.xlsx&amp;sheet=U0&amp;row=9613&amp;col=7&amp;number=0.00684&amp;sourceID=14","0.00684")</f>
        <v>0.00684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HYPERLINK("http://141.218.60.56/~jnz1568/getInfo.php?workbook=20_05.xlsx&amp;sheet=U0&amp;row=9614&amp;col=6&amp;number=4&amp;sourceID=14","4")</f>
        <v>4</v>
      </c>
      <c r="G9614" s="4" t="str">
        <f>HYPERLINK("http://141.218.60.56/~jnz1568/getInfo.php?workbook=20_05.xlsx&amp;sheet=U0&amp;row=9614&amp;col=7&amp;number=0.00683&amp;sourceID=14","0.00683")</f>
        <v>0.00683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HYPERLINK("http://141.218.60.56/~jnz1568/getInfo.php?workbook=20_05.xlsx&amp;sheet=U0&amp;row=9615&amp;col=6&amp;number=4.1&amp;sourceID=14","4.1")</f>
        <v>4.1</v>
      </c>
      <c r="G9615" s="4" t="str">
        <f>HYPERLINK("http://141.218.60.56/~jnz1568/getInfo.php?workbook=20_05.xlsx&amp;sheet=U0&amp;row=9615&amp;col=7&amp;number=0.00683&amp;sourceID=14","0.00683")</f>
        <v>0.00683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HYPERLINK("http://141.218.60.56/~jnz1568/getInfo.php?workbook=20_05.xlsx&amp;sheet=U0&amp;row=9616&amp;col=6&amp;number=4.2&amp;sourceID=14","4.2")</f>
        <v>4.2</v>
      </c>
      <c r="G9616" s="4" t="str">
        <f>HYPERLINK("http://141.218.60.56/~jnz1568/getInfo.php?workbook=20_05.xlsx&amp;sheet=U0&amp;row=9616&amp;col=7&amp;number=0.00682&amp;sourceID=14","0.00682")</f>
        <v>0.00682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HYPERLINK("http://141.218.60.56/~jnz1568/getInfo.php?workbook=20_05.xlsx&amp;sheet=U0&amp;row=9617&amp;col=6&amp;number=4.3&amp;sourceID=14","4.3")</f>
        <v>4.3</v>
      </c>
      <c r="G9617" s="4" t="str">
        <f>HYPERLINK("http://141.218.60.56/~jnz1568/getInfo.php?workbook=20_05.xlsx&amp;sheet=U0&amp;row=9617&amp;col=7&amp;number=0.00681&amp;sourceID=14","0.00681")</f>
        <v>0.00681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HYPERLINK("http://141.218.60.56/~jnz1568/getInfo.php?workbook=20_05.xlsx&amp;sheet=U0&amp;row=9618&amp;col=6&amp;number=4.4&amp;sourceID=14","4.4")</f>
        <v>4.4</v>
      </c>
      <c r="G9618" s="4" t="str">
        <f>HYPERLINK("http://141.218.60.56/~jnz1568/getInfo.php?workbook=20_05.xlsx&amp;sheet=U0&amp;row=9618&amp;col=7&amp;number=0.0068&amp;sourceID=14","0.0068")</f>
        <v>0.0068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HYPERLINK("http://141.218.60.56/~jnz1568/getInfo.php?workbook=20_05.xlsx&amp;sheet=U0&amp;row=9619&amp;col=6&amp;number=4.5&amp;sourceID=14","4.5")</f>
        <v>4.5</v>
      </c>
      <c r="G9619" s="4" t="str">
        <f>HYPERLINK("http://141.218.60.56/~jnz1568/getInfo.php?workbook=20_05.xlsx&amp;sheet=U0&amp;row=9619&amp;col=7&amp;number=0.00678&amp;sourceID=14","0.00678")</f>
        <v>0.00678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HYPERLINK("http://141.218.60.56/~jnz1568/getInfo.php?workbook=20_05.xlsx&amp;sheet=U0&amp;row=9620&amp;col=6&amp;number=4.6&amp;sourceID=14","4.6")</f>
        <v>4.6</v>
      </c>
      <c r="G9620" s="4" t="str">
        <f>HYPERLINK("http://141.218.60.56/~jnz1568/getInfo.php?workbook=20_05.xlsx&amp;sheet=U0&amp;row=9620&amp;col=7&amp;number=0.00676&amp;sourceID=14","0.00676")</f>
        <v>0.00676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HYPERLINK("http://141.218.60.56/~jnz1568/getInfo.php?workbook=20_05.xlsx&amp;sheet=U0&amp;row=9621&amp;col=6&amp;number=4.7&amp;sourceID=14","4.7")</f>
        <v>4.7</v>
      </c>
      <c r="G9621" s="4" t="str">
        <f>HYPERLINK("http://141.218.60.56/~jnz1568/getInfo.php?workbook=20_05.xlsx&amp;sheet=U0&amp;row=9621&amp;col=7&amp;number=0.00674&amp;sourceID=14","0.00674")</f>
        <v>0.00674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HYPERLINK("http://141.218.60.56/~jnz1568/getInfo.php?workbook=20_05.xlsx&amp;sheet=U0&amp;row=9622&amp;col=6&amp;number=4.8&amp;sourceID=14","4.8")</f>
        <v>4.8</v>
      </c>
      <c r="G9622" s="4" t="str">
        <f>HYPERLINK("http://141.218.60.56/~jnz1568/getInfo.php?workbook=20_05.xlsx&amp;sheet=U0&amp;row=9622&amp;col=7&amp;number=0.00671&amp;sourceID=14","0.00671")</f>
        <v>0.00671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HYPERLINK("http://141.218.60.56/~jnz1568/getInfo.php?workbook=20_05.xlsx&amp;sheet=U0&amp;row=9623&amp;col=6&amp;number=4.9&amp;sourceID=14","4.9")</f>
        <v>4.9</v>
      </c>
      <c r="G9623" s="4" t="str">
        <f>HYPERLINK("http://141.218.60.56/~jnz1568/getInfo.php?workbook=20_05.xlsx&amp;sheet=U0&amp;row=9623&amp;col=7&amp;number=0.00667&amp;sourceID=14","0.00667")</f>
        <v>0.00667</v>
      </c>
    </row>
    <row r="9624" spans="1:7">
      <c r="A9624" s="3">
        <v>20</v>
      </c>
      <c r="B9624" s="3">
        <v>5</v>
      </c>
      <c r="C9624" s="3">
        <v>4</v>
      </c>
      <c r="D9624" s="3">
        <v>122</v>
      </c>
      <c r="E9624" s="3">
        <v>1</v>
      </c>
      <c r="F9624" s="4" t="str">
        <f>HYPERLINK("http://141.218.60.56/~jnz1568/getInfo.php?workbook=20_05.xlsx&amp;sheet=U0&amp;row=9624&amp;col=6&amp;number=3&amp;sourceID=14","3")</f>
        <v>3</v>
      </c>
      <c r="G9624" s="4" t="str">
        <f>HYPERLINK("http://141.218.60.56/~jnz1568/getInfo.php?workbook=20_05.xlsx&amp;sheet=U0&amp;row=9624&amp;col=7&amp;number=0.000102&amp;sourceID=14","0.000102")</f>
        <v>0.000102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HYPERLINK("http://141.218.60.56/~jnz1568/getInfo.php?workbook=20_05.xlsx&amp;sheet=U0&amp;row=9625&amp;col=6&amp;number=3.1&amp;sourceID=14","3.1")</f>
        <v>3.1</v>
      </c>
      <c r="G9625" s="4" t="str">
        <f>HYPERLINK("http://141.218.60.56/~jnz1568/getInfo.php?workbook=20_05.xlsx&amp;sheet=U0&amp;row=9625&amp;col=7&amp;number=0.000102&amp;sourceID=14","0.000102")</f>
        <v>0.000102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HYPERLINK("http://141.218.60.56/~jnz1568/getInfo.php?workbook=20_05.xlsx&amp;sheet=U0&amp;row=9626&amp;col=6&amp;number=3.2&amp;sourceID=14","3.2")</f>
        <v>3.2</v>
      </c>
      <c r="G9626" s="4" t="str">
        <f>HYPERLINK("http://141.218.60.56/~jnz1568/getInfo.php?workbook=20_05.xlsx&amp;sheet=U0&amp;row=9626&amp;col=7&amp;number=0.000102&amp;sourceID=14","0.000102")</f>
        <v>0.000102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HYPERLINK("http://141.218.60.56/~jnz1568/getInfo.php?workbook=20_05.xlsx&amp;sheet=U0&amp;row=9627&amp;col=6&amp;number=3.3&amp;sourceID=14","3.3")</f>
        <v>3.3</v>
      </c>
      <c r="G9627" s="4" t="str">
        <f>HYPERLINK("http://141.218.60.56/~jnz1568/getInfo.php?workbook=20_05.xlsx&amp;sheet=U0&amp;row=9627&amp;col=7&amp;number=0.000102&amp;sourceID=14","0.000102")</f>
        <v>0.000102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HYPERLINK("http://141.218.60.56/~jnz1568/getInfo.php?workbook=20_05.xlsx&amp;sheet=U0&amp;row=9628&amp;col=6&amp;number=3.4&amp;sourceID=14","3.4")</f>
        <v>3.4</v>
      </c>
      <c r="G9628" s="4" t="str">
        <f>HYPERLINK("http://141.218.60.56/~jnz1568/getInfo.php?workbook=20_05.xlsx&amp;sheet=U0&amp;row=9628&amp;col=7&amp;number=0.000102&amp;sourceID=14","0.000102")</f>
        <v>0.000102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HYPERLINK("http://141.218.60.56/~jnz1568/getInfo.php?workbook=20_05.xlsx&amp;sheet=U0&amp;row=9629&amp;col=6&amp;number=3.5&amp;sourceID=14","3.5")</f>
        <v>3.5</v>
      </c>
      <c r="G9629" s="4" t="str">
        <f>HYPERLINK("http://141.218.60.56/~jnz1568/getInfo.php?workbook=20_05.xlsx&amp;sheet=U0&amp;row=9629&amp;col=7&amp;number=0.000101&amp;sourceID=14","0.000101")</f>
        <v>0.000101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HYPERLINK("http://141.218.60.56/~jnz1568/getInfo.php?workbook=20_05.xlsx&amp;sheet=U0&amp;row=9630&amp;col=6&amp;number=3.6&amp;sourceID=14","3.6")</f>
        <v>3.6</v>
      </c>
      <c r="G9630" s="4" t="str">
        <f>HYPERLINK("http://141.218.60.56/~jnz1568/getInfo.php?workbook=20_05.xlsx&amp;sheet=U0&amp;row=9630&amp;col=7&amp;number=0.000101&amp;sourceID=14","0.000101")</f>
        <v>0.000101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HYPERLINK("http://141.218.60.56/~jnz1568/getInfo.php?workbook=20_05.xlsx&amp;sheet=U0&amp;row=9631&amp;col=6&amp;number=3.7&amp;sourceID=14","3.7")</f>
        <v>3.7</v>
      </c>
      <c r="G9631" s="4" t="str">
        <f>HYPERLINK("http://141.218.60.56/~jnz1568/getInfo.php?workbook=20_05.xlsx&amp;sheet=U0&amp;row=9631&amp;col=7&amp;number=0.000101&amp;sourceID=14","0.000101")</f>
        <v>0.000101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HYPERLINK("http://141.218.60.56/~jnz1568/getInfo.php?workbook=20_05.xlsx&amp;sheet=U0&amp;row=9632&amp;col=6&amp;number=3.8&amp;sourceID=14","3.8")</f>
        <v>3.8</v>
      </c>
      <c r="G9632" s="4" t="str">
        <f>HYPERLINK("http://141.218.60.56/~jnz1568/getInfo.php?workbook=20_05.xlsx&amp;sheet=U0&amp;row=9632&amp;col=7&amp;number=0.000101&amp;sourceID=14","0.000101")</f>
        <v>0.000101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HYPERLINK("http://141.218.60.56/~jnz1568/getInfo.php?workbook=20_05.xlsx&amp;sheet=U0&amp;row=9633&amp;col=6&amp;number=3.9&amp;sourceID=14","3.9")</f>
        <v>3.9</v>
      </c>
      <c r="G9633" s="4" t="str">
        <f>HYPERLINK("http://141.218.60.56/~jnz1568/getInfo.php?workbook=20_05.xlsx&amp;sheet=U0&amp;row=9633&amp;col=7&amp;number=0.000101&amp;sourceID=14","0.000101")</f>
        <v>0.000101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HYPERLINK("http://141.218.60.56/~jnz1568/getInfo.php?workbook=20_05.xlsx&amp;sheet=U0&amp;row=9634&amp;col=6&amp;number=4&amp;sourceID=14","4")</f>
        <v>4</v>
      </c>
      <c r="G9634" s="4" t="str">
        <f>HYPERLINK("http://141.218.60.56/~jnz1568/getInfo.php?workbook=20_05.xlsx&amp;sheet=U0&amp;row=9634&amp;col=7&amp;number=0.000101&amp;sourceID=14","0.000101")</f>
        <v>0.000101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HYPERLINK("http://141.218.60.56/~jnz1568/getInfo.php?workbook=20_05.xlsx&amp;sheet=U0&amp;row=9635&amp;col=6&amp;number=4.1&amp;sourceID=14","4.1")</f>
        <v>4.1</v>
      </c>
      <c r="G9635" s="4" t="str">
        <f>HYPERLINK("http://141.218.60.56/~jnz1568/getInfo.php?workbook=20_05.xlsx&amp;sheet=U0&amp;row=9635&amp;col=7&amp;number=0.000101&amp;sourceID=14","0.000101")</f>
        <v>0.000101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HYPERLINK("http://141.218.60.56/~jnz1568/getInfo.php?workbook=20_05.xlsx&amp;sheet=U0&amp;row=9636&amp;col=6&amp;number=4.2&amp;sourceID=14","4.2")</f>
        <v>4.2</v>
      </c>
      <c r="G9636" s="4" t="str">
        <f>HYPERLINK("http://141.218.60.56/~jnz1568/getInfo.php?workbook=20_05.xlsx&amp;sheet=U0&amp;row=9636&amp;col=7&amp;number=0.000101&amp;sourceID=14","0.000101")</f>
        <v>0.000101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HYPERLINK("http://141.218.60.56/~jnz1568/getInfo.php?workbook=20_05.xlsx&amp;sheet=U0&amp;row=9637&amp;col=6&amp;number=4.3&amp;sourceID=14","4.3")</f>
        <v>4.3</v>
      </c>
      <c r="G9637" s="4" t="str">
        <f>HYPERLINK("http://141.218.60.56/~jnz1568/getInfo.php?workbook=20_05.xlsx&amp;sheet=U0&amp;row=9637&amp;col=7&amp;number=0.000101&amp;sourceID=14","0.000101")</f>
        <v>0.000101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HYPERLINK("http://141.218.60.56/~jnz1568/getInfo.php?workbook=20_05.xlsx&amp;sheet=U0&amp;row=9638&amp;col=6&amp;number=4.4&amp;sourceID=14","4.4")</f>
        <v>4.4</v>
      </c>
      <c r="G9638" s="4" t="str">
        <f>HYPERLINK("http://141.218.60.56/~jnz1568/getInfo.php?workbook=20_05.xlsx&amp;sheet=U0&amp;row=9638&amp;col=7&amp;number=0.000101&amp;sourceID=14","0.000101")</f>
        <v>0.000101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HYPERLINK("http://141.218.60.56/~jnz1568/getInfo.php?workbook=20_05.xlsx&amp;sheet=U0&amp;row=9639&amp;col=6&amp;number=4.5&amp;sourceID=14","4.5")</f>
        <v>4.5</v>
      </c>
      <c r="G9639" s="4" t="str">
        <f>HYPERLINK("http://141.218.60.56/~jnz1568/getInfo.php?workbook=20_05.xlsx&amp;sheet=U0&amp;row=9639&amp;col=7&amp;number=0.000101&amp;sourceID=14","0.000101")</f>
        <v>0.000101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HYPERLINK("http://141.218.60.56/~jnz1568/getInfo.php?workbook=20_05.xlsx&amp;sheet=U0&amp;row=9640&amp;col=6&amp;number=4.6&amp;sourceID=14","4.6")</f>
        <v>4.6</v>
      </c>
      <c r="G9640" s="4" t="str">
        <f>HYPERLINK("http://141.218.60.56/~jnz1568/getInfo.php?workbook=20_05.xlsx&amp;sheet=U0&amp;row=9640&amp;col=7&amp;number=0.0001&amp;sourceID=14","0.0001")</f>
        <v>0.0001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HYPERLINK("http://141.218.60.56/~jnz1568/getInfo.php?workbook=20_05.xlsx&amp;sheet=U0&amp;row=9641&amp;col=6&amp;number=4.7&amp;sourceID=14","4.7")</f>
        <v>4.7</v>
      </c>
      <c r="G9641" s="4" t="str">
        <f>HYPERLINK("http://141.218.60.56/~jnz1568/getInfo.php?workbook=20_05.xlsx&amp;sheet=U0&amp;row=9641&amp;col=7&amp;number=0.0001&amp;sourceID=14","0.0001")</f>
        <v>0.0001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HYPERLINK("http://141.218.60.56/~jnz1568/getInfo.php?workbook=20_05.xlsx&amp;sheet=U0&amp;row=9642&amp;col=6&amp;number=4.8&amp;sourceID=14","4.8")</f>
        <v>4.8</v>
      </c>
      <c r="G9642" s="4" t="str">
        <f>HYPERLINK("http://141.218.60.56/~jnz1568/getInfo.php?workbook=20_05.xlsx&amp;sheet=U0&amp;row=9642&amp;col=7&amp;number=9.96e-05&amp;sourceID=14","9.96e-05")</f>
        <v>9.96e-05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HYPERLINK("http://141.218.60.56/~jnz1568/getInfo.php?workbook=20_05.xlsx&amp;sheet=U0&amp;row=9643&amp;col=6&amp;number=4.9&amp;sourceID=14","4.9")</f>
        <v>4.9</v>
      </c>
      <c r="G9643" s="4" t="str">
        <f>HYPERLINK("http://141.218.60.56/~jnz1568/getInfo.php?workbook=20_05.xlsx&amp;sheet=U0&amp;row=9643&amp;col=7&amp;number=9.91e-05&amp;sourceID=14","9.91e-05")</f>
        <v>9.91e-05</v>
      </c>
    </row>
    <row r="9644" spans="1:7">
      <c r="A9644" s="3">
        <v>20</v>
      </c>
      <c r="B9644" s="3">
        <v>5</v>
      </c>
      <c r="C9644" s="3">
        <v>4</v>
      </c>
      <c r="D9644" s="3">
        <v>123</v>
      </c>
      <c r="E9644" s="3">
        <v>1</v>
      </c>
      <c r="F9644" s="4" t="str">
        <f>HYPERLINK("http://141.218.60.56/~jnz1568/getInfo.php?workbook=20_05.xlsx&amp;sheet=U0&amp;row=9644&amp;col=6&amp;number=3&amp;sourceID=14","3")</f>
        <v>3</v>
      </c>
      <c r="G9644" s="4" t="str">
        <f>HYPERLINK("http://141.218.60.56/~jnz1568/getInfo.php?workbook=20_05.xlsx&amp;sheet=U0&amp;row=9644&amp;col=7&amp;number=0.000449&amp;sourceID=14","0.000449")</f>
        <v>0.000449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HYPERLINK("http://141.218.60.56/~jnz1568/getInfo.php?workbook=20_05.xlsx&amp;sheet=U0&amp;row=9645&amp;col=6&amp;number=3.1&amp;sourceID=14","3.1")</f>
        <v>3.1</v>
      </c>
      <c r="G9645" s="4" t="str">
        <f>HYPERLINK("http://141.218.60.56/~jnz1568/getInfo.php?workbook=20_05.xlsx&amp;sheet=U0&amp;row=9645&amp;col=7&amp;number=0.000449&amp;sourceID=14","0.000449")</f>
        <v>0.000449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HYPERLINK("http://141.218.60.56/~jnz1568/getInfo.php?workbook=20_05.xlsx&amp;sheet=U0&amp;row=9646&amp;col=6&amp;number=3.2&amp;sourceID=14","3.2")</f>
        <v>3.2</v>
      </c>
      <c r="G9646" s="4" t="str">
        <f>HYPERLINK("http://141.218.60.56/~jnz1568/getInfo.php?workbook=20_05.xlsx&amp;sheet=U0&amp;row=9646&amp;col=7&amp;number=0.000449&amp;sourceID=14","0.000449")</f>
        <v>0.000449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HYPERLINK("http://141.218.60.56/~jnz1568/getInfo.php?workbook=20_05.xlsx&amp;sheet=U0&amp;row=9647&amp;col=6&amp;number=3.3&amp;sourceID=14","3.3")</f>
        <v>3.3</v>
      </c>
      <c r="G9647" s="4" t="str">
        <f>HYPERLINK("http://141.218.60.56/~jnz1568/getInfo.php?workbook=20_05.xlsx&amp;sheet=U0&amp;row=9647&amp;col=7&amp;number=0.000449&amp;sourceID=14","0.000449")</f>
        <v>0.000449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HYPERLINK("http://141.218.60.56/~jnz1568/getInfo.php?workbook=20_05.xlsx&amp;sheet=U0&amp;row=9648&amp;col=6&amp;number=3.4&amp;sourceID=14","3.4")</f>
        <v>3.4</v>
      </c>
      <c r="G9648" s="4" t="str">
        <f>HYPERLINK("http://141.218.60.56/~jnz1568/getInfo.php?workbook=20_05.xlsx&amp;sheet=U0&amp;row=9648&amp;col=7&amp;number=0.000449&amp;sourceID=14","0.000449")</f>
        <v>0.000449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HYPERLINK("http://141.218.60.56/~jnz1568/getInfo.php?workbook=20_05.xlsx&amp;sheet=U0&amp;row=9649&amp;col=6&amp;number=3.5&amp;sourceID=14","3.5")</f>
        <v>3.5</v>
      </c>
      <c r="G9649" s="4" t="str">
        <f>HYPERLINK("http://141.218.60.56/~jnz1568/getInfo.php?workbook=20_05.xlsx&amp;sheet=U0&amp;row=9649&amp;col=7&amp;number=0.000449&amp;sourceID=14","0.000449")</f>
        <v>0.000449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HYPERLINK("http://141.218.60.56/~jnz1568/getInfo.php?workbook=20_05.xlsx&amp;sheet=U0&amp;row=9650&amp;col=6&amp;number=3.6&amp;sourceID=14","3.6")</f>
        <v>3.6</v>
      </c>
      <c r="G9650" s="4" t="str">
        <f>HYPERLINK("http://141.218.60.56/~jnz1568/getInfo.php?workbook=20_05.xlsx&amp;sheet=U0&amp;row=9650&amp;col=7&amp;number=0.000448&amp;sourceID=14","0.000448")</f>
        <v>0.000448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HYPERLINK("http://141.218.60.56/~jnz1568/getInfo.php?workbook=20_05.xlsx&amp;sheet=U0&amp;row=9651&amp;col=6&amp;number=3.7&amp;sourceID=14","3.7")</f>
        <v>3.7</v>
      </c>
      <c r="G9651" s="4" t="str">
        <f>HYPERLINK("http://141.218.60.56/~jnz1568/getInfo.php?workbook=20_05.xlsx&amp;sheet=U0&amp;row=9651&amp;col=7&amp;number=0.000448&amp;sourceID=14","0.000448")</f>
        <v>0.000448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HYPERLINK("http://141.218.60.56/~jnz1568/getInfo.php?workbook=20_05.xlsx&amp;sheet=U0&amp;row=9652&amp;col=6&amp;number=3.8&amp;sourceID=14","3.8")</f>
        <v>3.8</v>
      </c>
      <c r="G9652" s="4" t="str">
        <f>HYPERLINK("http://141.218.60.56/~jnz1568/getInfo.php?workbook=20_05.xlsx&amp;sheet=U0&amp;row=9652&amp;col=7&amp;number=0.000448&amp;sourceID=14","0.000448")</f>
        <v>0.000448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HYPERLINK("http://141.218.60.56/~jnz1568/getInfo.php?workbook=20_05.xlsx&amp;sheet=U0&amp;row=9653&amp;col=6&amp;number=3.9&amp;sourceID=14","3.9")</f>
        <v>3.9</v>
      </c>
      <c r="G9653" s="4" t="str">
        <f>HYPERLINK("http://141.218.60.56/~jnz1568/getInfo.php?workbook=20_05.xlsx&amp;sheet=U0&amp;row=9653&amp;col=7&amp;number=0.000448&amp;sourceID=14","0.000448")</f>
        <v>0.000448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HYPERLINK("http://141.218.60.56/~jnz1568/getInfo.php?workbook=20_05.xlsx&amp;sheet=U0&amp;row=9654&amp;col=6&amp;number=4&amp;sourceID=14","4")</f>
        <v>4</v>
      </c>
      <c r="G9654" s="4" t="str">
        <f>HYPERLINK("http://141.218.60.56/~jnz1568/getInfo.php?workbook=20_05.xlsx&amp;sheet=U0&amp;row=9654&amp;col=7&amp;number=0.000448&amp;sourceID=14","0.000448")</f>
        <v>0.000448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HYPERLINK("http://141.218.60.56/~jnz1568/getInfo.php?workbook=20_05.xlsx&amp;sheet=U0&amp;row=9655&amp;col=6&amp;number=4.1&amp;sourceID=14","4.1")</f>
        <v>4.1</v>
      </c>
      <c r="G9655" s="4" t="str">
        <f>HYPERLINK("http://141.218.60.56/~jnz1568/getInfo.php?workbook=20_05.xlsx&amp;sheet=U0&amp;row=9655&amp;col=7&amp;number=0.000448&amp;sourceID=14","0.000448")</f>
        <v>0.000448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HYPERLINK("http://141.218.60.56/~jnz1568/getInfo.php?workbook=20_05.xlsx&amp;sheet=U0&amp;row=9656&amp;col=6&amp;number=4.2&amp;sourceID=14","4.2")</f>
        <v>4.2</v>
      </c>
      <c r="G9656" s="4" t="str">
        <f>HYPERLINK("http://141.218.60.56/~jnz1568/getInfo.php?workbook=20_05.xlsx&amp;sheet=U0&amp;row=9656&amp;col=7&amp;number=0.000447&amp;sourceID=14","0.000447")</f>
        <v>0.000447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HYPERLINK("http://141.218.60.56/~jnz1568/getInfo.php?workbook=20_05.xlsx&amp;sheet=U0&amp;row=9657&amp;col=6&amp;number=4.3&amp;sourceID=14","4.3")</f>
        <v>4.3</v>
      </c>
      <c r="G9657" s="4" t="str">
        <f>HYPERLINK("http://141.218.60.56/~jnz1568/getInfo.php?workbook=20_05.xlsx&amp;sheet=U0&amp;row=9657&amp;col=7&amp;number=0.000447&amp;sourceID=14","0.000447")</f>
        <v>0.000447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HYPERLINK("http://141.218.60.56/~jnz1568/getInfo.php?workbook=20_05.xlsx&amp;sheet=U0&amp;row=9658&amp;col=6&amp;number=4.4&amp;sourceID=14","4.4")</f>
        <v>4.4</v>
      </c>
      <c r="G9658" s="4" t="str">
        <f>HYPERLINK("http://141.218.60.56/~jnz1568/getInfo.php?workbook=20_05.xlsx&amp;sheet=U0&amp;row=9658&amp;col=7&amp;number=0.000447&amp;sourceID=14","0.000447")</f>
        <v>0.000447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HYPERLINK("http://141.218.60.56/~jnz1568/getInfo.php?workbook=20_05.xlsx&amp;sheet=U0&amp;row=9659&amp;col=6&amp;number=4.5&amp;sourceID=14","4.5")</f>
        <v>4.5</v>
      </c>
      <c r="G9659" s="4" t="str">
        <f>HYPERLINK("http://141.218.60.56/~jnz1568/getInfo.php?workbook=20_05.xlsx&amp;sheet=U0&amp;row=9659&amp;col=7&amp;number=0.000446&amp;sourceID=14","0.000446")</f>
        <v>0.000446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HYPERLINK("http://141.218.60.56/~jnz1568/getInfo.php?workbook=20_05.xlsx&amp;sheet=U0&amp;row=9660&amp;col=6&amp;number=4.6&amp;sourceID=14","4.6")</f>
        <v>4.6</v>
      </c>
      <c r="G9660" s="4" t="str">
        <f>HYPERLINK("http://141.218.60.56/~jnz1568/getInfo.php?workbook=20_05.xlsx&amp;sheet=U0&amp;row=9660&amp;col=7&amp;number=0.000445&amp;sourceID=14","0.000445")</f>
        <v>0.000445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HYPERLINK("http://141.218.60.56/~jnz1568/getInfo.php?workbook=20_05.xlsx&amp;sheet=U0&amp;row=9661&amp;col=6&amp;number=4.7&amp;sourceID=14","4.7")</f>
        <v>4.7</v>
      </c>
      <c r="G9661" s="4" t="str">
        <f>HYPERLINK("http://141.218.60.56/~jnz1568/getInfo.php?workbook=20_05.xlsx&amp;sheet=U0&amp;row=9661&amp;col=7&amp;number=0.000444&amp;sourceID=14","0.000444")</f>
        <v>0.000444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HYPERLINK("http://141.218.60.56/~jnz1568/getInfo.php?workbook=20_05.xlsx&amp;sheet=U0&amp;row=9662&amp;col=6&amp;number=4.8&amp;sourceID=14","4.8")</f>
        <v>4.8</v>
      </c>
      <c r="G9662" s="4" t="str">
        <f>HYPERLINK("http://141.218.60.56/~jnz1568/getInfo.php?workbook=20_05.xlsx&amp;sheet=U0&amp;row=9662&amp;col=7&amp;number=0.000443&amp;sourceID=14","0.000443")</f>
        <v>0.000443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HYPERLINK("http://141.218.60.56/~jnz1568/getInfo.php?workbook=20_05.xlsx&amp;sheet=U0&amp;row=9663&amp;col=6&amp;number=4.9&amp;sourceID=14","4.9")</f>
        <v>4.9</v>
      </c>
      <c r="G9663" s="4" t="str">
        <f>HYPERLINK("http://141.218.60.56/~jnz1568/getInfo.php?workbook=20_05.xlsx&amp;sheet=U0&amp;row=9663&amp;col=7&amp;number=0.000442&amp;sourceID=14","0.000442")</f>
        <v>0.000442</v>
      </c>
    </row>
    <row r="9664" spans="1:7">
      <c r="A9664" s="3">
        <v>20</v>
      </c>
      <c r="B9664" s="3">
        <v>5</v>
      </c>
      <c r="C9664" s="3">
        <v>4</v>
      </c>
      <c r="D9664" s="3">
        <v>124</v>
      </c>
      <c r="E9664" s="3">
        <v>1</v>
      </c>
      <c r="F9664" s="4" t="str">
        <f>HYPERLINK("http://141.218.60.56/~jnz1568/getInfo.php?workbook=20_05.xlsx&amp;sheet=U0&amp;row=9664&amp;col=6&amp;number=3&amp;sourceID=14","3")</f>
        <v>3</v>
      </c>
      <c r="G9664" s="4" t="str">
        <f>HYPERLINK("http://141.218.60.56/~jnz1568/getInfo.php?workbook=20_05.xlsx&amp;sheet=U0&amp;row=9664&amp;col=7&amp;number=5.88e-06&amp;sourceID=14","5.88e-06")</f>
        <v>5.88e-06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HYPERLINK("http://141.218.60.56/~jnz1568/getInfo.php?workbook=20_05.xlsx&amp;sheet=U0&amp;row=9665&amp;col=6&amp;number=3.1&amp;sourceID=14","3.1")</f>
        <v>3.1</v>
      </c>
      <c r="G9665" s="4" t="str">
        <f>HYPERLINK("http://141.218.60.56/~jnz1568/getInfo.php?workbook=20_05.xlsx&amp;sheet=U0&amp;row=9665&amp;col=7&amp;number=5.88e-06&amp;sourceID=14","5.88e-06")</f>
        <v>5.88e-06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HYPERLINK("http://141.218.60.56/~jnz1568/getInfo.php?workbook=20_05.xlsx&amp;sheet=U0&amp;row=9666&amp;col=6&amp;number=3.2&amp;sourceID=14","3.2")</f>
        <v>3.2</v>
      </c>
      <c r="G9666" s="4" t="str">
        <f>HYPERLINK("http://141.218.60.56/~jnz1568/getInfo.php?workbook=20_05.xlsx&amp;sheet=U0&amp;row=9666&amp;col=7&amp;number=5.88e-06&amp;sourceID=14","5.88e-06")</f>
        <v>5.88e-06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HYPERLINK("http://141.218.60.56/~jnz1568/getInfo.php?workbook=20_05.xlsx&amp;sheet=U0&amp;row=9667&amp;col=6&amp;number=3.3&amp;sourceID=14","3.3")</f>
        <v>3.3</v>
      </c>
      <c r="G9667" s="4" t="str">
        <f>HYPERLINK("http://141.218.60.56/~jnz1568/getInfo.php?workbook=20_05.xlsx&amp;sheet=U0&amp;row=9667&amp;col=7&amp;number=5.88e-06&amp;sourceID=14","5.88e-06")</f>
        <v>5.88e-06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HYPERLINK("http://141.218.60.56/~jnz1568/getInfo.php?workbook=20_05.xlsx&amp;sheet=U0&amp;row=9668&amp;col=6&amp;number=3.4&amp;sourceID=14","3.4")</f>
        <v>3.4</v>
      </c>
      <c r="G9668" s="4" t="str">
        <f>HYPERLINK("http://141.218.60.56/~jnz1568/getInfo.php?workbook=20_05.xlsx&amp;sheet=U0&amp;row=9668&amp;col=7&amp;number=5.88e-06&amp;sourceID=14","5.88e-06")</f>
        <v>5.88e-06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HYPERLINK("http://141.218.60.56/~jnz1568/getInfo.php?workbook=20_05.xlsx&amp;sheet=U0&amp;row=9669&amp;col=6&amp;number=3.5&amp;sourceID=14","3.5")</f>
        <v>3.5</v>
      </c>
      <c r="G9669" s="4" t="str">
        <f>HYPERLINK("http://141.218.60.56/~jnz1568/getInfo.php?workbook=20_05.xlsx&amp;sheet=U0&amp;row=9669&amp;col=7&amp;number=5.88e-06&amp;sourceID=14","5.88e-06")</f>
        <v>5.88e-06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HYPERLINK("http://141.218.60.56/~jnz1568/getInfo.php?workbook=20_05.xlsx&amp;sheet=U0&amp;row=9670&amp;col=6&amp;number=3.6&amp;sourceID=14","3.6")</f>
        <v>3.6</v>
      </c>
      <c r="G9670" s="4" t="str">
        <f>HYPERLINK("http://141.218.60.56/~jnz1568/getInfo.php?workbook=20_05.xlsx&amp;sheet=U0&amp;row=9670&amp;col=7&amp;number=5.87e-06&amp;sourceID=14","5.87e-06")</f>
        <v>5.87e-06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HYPERLINK("http://141.218.60.56/~jnz1568/getInfo.php?workbook=20_05.xlsx&amp;sheet=U0&amp;row=9671&amp;col=6&amp;number=3.7&amp;sourceID=14","3.7")</f>
        <v>3.7</v>
      </c>
      <c r="G9671" s="4" t="str">
        <f>HYPERLINK("http://141.218.60.56/~jnz1568/getInfo.php?workbook=20_05.xlsx&amp;sheet=U0&amp;row=9671&amp;col=7&amp;number=5.87e-06&amp;sourceID=14","5.87e-06")</f>
        <v>5.87e-06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HYPERLINK("http://141.218.60.56/~jnz1568/getInfo.php?workbook=20_05.xlsx&amp;sheet=U0&amp;row=9672&amp;col=6&amp;number=3.8&amp;sourceID=14","3.8")</f>
        <v>3.8</v>
      </c>
      <c r="G9672" s="4" t="str">
        <f>HYPERLINK("http://141.218.60.56/~jnz1568/getInfo.php?workbook=20_05.xlsx&amp;sheet=U0&amp;row=9672&amp;col=7&amp;number=5.87e-06&amp;sourceID=14","5.87e-06")</f>
        <v>5.87e-06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HYPERLINK("http://141.218.60.56/~jnz1568/getInfo.php?workbook=20_05.xlsx&amp;sheet=U0&amp;row=9673&amp;col=6&amp;number=3.9&amp;sourceID=14","3.9")</f>
        <v>3.9</v>
      </c>
      <c r="G9673" s="4" t="str">
        <f>HYPERLINK("http://141.218.60.56/~jnz1568/getInfo.php?workbook=20_05.xlsx&amp;sheet=U0&amp;row=9673&amp;col=7&amp;number=5.87e-06&amp;sourceID=14","5.87e-06")</f>
        <v>5.87e-06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HYPERLINK("http://141.218.60.56/~jnz1568/getInfo.php?workbook=20_05.xlsx&amp;sheet=U0&amp;row=9674&amp;col=6&amp;number=4&amp;sourceID=14","4")</f>
        <v>4</v>
      </c>
      <c r="G9674" s="4" t="str">
        <f>HYPERLINK("http://141.218.60.56/~jnz1568/getInfo.php?workbook=20_05.xlsx&amp;sheet=U0&amp;row=9674&amp;col=7&amp;number=5.87e-06&amp;sourceID=14","5.87e-06")</f>
        <v>5.87e-06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HYPERLINK("http://141.218.60.56/~jnz1568/getInfo.php?workbook=20_05.xlsx&amp;sheet=U0&amp;row=9675&amp;col=6&amp;number=4.1&amp;sourceID=14","4.1")</f>
        <v>4.1</v>
      </c>
      <c r="G9675" s="4" t="str">
        <f>HYPERLINK("http://141.218.60.56/~jnz1568/getInfo.php?workbook=20_05.xlsx&amp;sheet=U0&amp;row=9675&amp;col=7&amp;number=5.87e-06&amp;sourceID=14","5.87e-06")</f>
        <v>5.87e-06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HYPERLINK("http://141.218.60.56/~jnz1568/getInfo.php?workbook=20_05.xlsx&amp;sheet=U0&amp;row=9676&amp;col=6&amp;number=4.2&amp;sourceID=14","4.2")</f>
        <v>4.2</v>
      </c>
      <c r="G9676" s="4" t="str">
        <f>HYPERLINK("http://141.218.60.56/~jnz1568/getInfo.php?workbook=20_05.xlsx&amp;sheet=U0&amp;row=9676&amp;col=7&amp;number=5.86e-06&amp;sourceID=14","5.86e-06")</f>
        <v>5.86e-06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HYPERLINK("http://141.218.60.56/~jnz1568/getInfo.php?workbook=20_05.xlsx&amp;sheet=U0&amp;row=9677&amp;col=6&amp;number=4.3&amp;sourceID=14","4.3")</f>
        <v>4.3</v>
      </c>
      <c r="G9677" s="4" t="str">
        <f>HYPERLINK("http://141.218.60.56/~jnz1568/getInfo.php?workbook=20_05.xlsx&amp;sheet=U0&amp;row=9677&amp;col=7&amp;number=5.86e-06&amp;sourceID=14","5.86e-06")</f>
        <v>5.86e-06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HYPERLINK("http://141.218.60.56/~jnz1568/getInfo.php?workbook=20_05.xlsx&amp;sheet=U0&amp;row=9678&amp;col=6&amp;number=4.4&amp;sourceID=14","4.4")</f>
        <v>4.4</v>
      </c>
      <c r="G9678" s="4" t="str">
        <f>HYPERLINK("http://141.218.60.56/~jnz1568/getInfo.php?workbook=20_05.xlsx&amp;sheet=U0&amp;row=9678&amp;col=7&amp;number=5.85e-06&amp;sourceID=14","5.85e-06")</f>
        <v>5.85e-06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HYPERLINK("http://141.218.60.56/~jnz1568/getInfo.php?workbook=20_05.xlsx&amp;sheet=U0&amp;row=9679&amp;col=6&amp;number=4.5&amp;sourceID=14","4.5")</f>
        <v>4.5</v>
      </c>
      <c r="G9679" s="4" t="str">
        <f>HYPERLINK("http://141.218.60.56/~jnz1568/getInfo.php?workbook=20_05.xlsx&amp;sheet=U0&amp;row=9679&amp;col=7&amp;number=5.85e-06&amp;sourceID=14","5.85e-06")</f>
        <v>5.85e-06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HYPERLINK("http://141.218.60.56/~jnz1568/getInfo.php?workbook=20_05.xlsx&amp;sheet=U0&amp;row=9680&amp;col=6&amp;number=4.6&amp;sourceID=14","4.6")</f>
        <v>4.6</v>
      </c>
      <c r="G9680" s="4" t="str">
        <f>HYPERLINK("http://141.218.60.56/~jnz1568/getInfo.php?workbook=20_05.xlsx&amp;sheet=U0&amp;row=9680&amp;col=7&amp;number=5.84e-06&amp;sourceID=14","5.84e-06")</f>
        <v>5.84e-06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HYPERLINK("http://141.218.60.56/~jnz1568/getInfo.php?workbook=20_05.xlsx&amp;sheet=U0&amp;row=9681&amp;col=6&amp;number=4.7&amp;sourceID=14","4.7")</f>
        <v>4.7</v>
      </c>
      <c r="G9681" s="4" t="str">
        <f>HYPERLINK("http://141.218.60.56/~jnz1568/getInfo.php?workbook=20_05.xlsx&amp;sheet=U0&amp;row=9681&amp;col=7&amp;number=5.83e-06&amp;sourceID=14","5.83e-06")</f>
        <v>5.83e-06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HYPERLINK("http://141.218.60.56/~jnz1568/getInfo.php?workbook=20_05.xlsx&amp;sheet=U0&amp;row=9682&amp;col=6&amp;number=4.8&amp;sourceID=14","4.8")</f>
        <v>4.8</v>
      </c>
      <c r="G9682" s="4" t="str">
        <f>HYPERLINK("http://141.218.60.56/~jnz1568/getInfo.php?workbook=20_05.xlsx&amp;sheet=U0&amp;row=9682&amp;col=7&amp;number=5.81e-06&amp;sourceID=14","5.81e-06")</f>
        <v>5.81e-06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HYPERLINK("http://141.218.60.56/~jnz1568/getInfo.php?workbook=20_05.xlsx&amp;sheet=U0&amp;row=9683&amp;col=6&amp;number=4.9&amp;sourceID=14","4.9")</f>
        <v>4.9</v>
      </c>
      <c r="G9683" s="4" t="str">
        <f>HYPERLINK("http://141.218.60.56/~jnz1568/getInfo.php?workbook=20_05.xlsx&amp;sheet=U0&amp;row=9683&amp;col=7&amp;number=5.8e-06&amp;sourceID=14","5.8e-06")</f>
        <v>5.8e-06</v>
      </c>
    </row>
    <row r="9684" spans="1:7">
      <c r="A9684" s="3">
        <v>20</v>
      </c>
      <c r="B9684" s="3">
        <v>5</v>
      </c>
      <c r="C9684" s="3">
        <v>5</v>
      </c>
      <c r="D9684" s="3">
        <v>17</v>
      </c>
      <c r="E9684" s="3">
        <v>1</v>
      </c>
      <c r="F9684" s="4" t="str">
        <f>HYPERLINK("http://141.218.60.56/~jnz1568/getInfo.php?workbook=20_05.xlsx&amp;sheet=U0&amp;row=9684&amp;col=6&amp;number=3&amp;sourceID=14","3")</f>
        <v>3</v>
      </c>
      <c r="G9684" s="4" t="str">
        <f>HYPERLINK("http://141.218.60.56/~jnz1568/getInfo.php?workbook=20_05.xlsx&amp;sheet=U0&amp;row=9684&amp;col=7&amp;number=0.000418&amp;sourceID=14","0.000418")</f>
        <v>0.000418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HYPERLINK("http://141.218.60.56/~jnz1568/getInfo.php?workbook=20_05.xlsx&amp;sheet=U0&amp;row=9685&amp;col=6&amp;number=3.1&amp;sourceID=14","3.1")</f>
        <v>3.1</v>
      </c>
      <c r="G9685" s="4" t="str">
        <f>HYPERLINK("http://141.218.60.56/~jnz1568/getInfo.php?workbook=20_05.xlsx&amp;sheet=U0&amp;row=9685&amp;col=7&amp;number=0.000418&amp;sourceID=14","0.000418")</f>
        <v>0.000418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HYPERLINK("http://141.218.60.56/~jnz1568/getInfo.php?workbook=20_05.xlsx&amp;sheet=U0&amp;row=9686&amp;col=6&amp;number=3.2&amp;sourceID=14","3.2")</f>
        <v>3.2</v>
      </c>
      <c r="G9686" s="4" t="str">
        <f>HYPERLINK("http://141.218.60.56/~jnz1568/getInfo.php?workbook=20_05.xlsx&amp;sheet=U0&amp;row=9686&amp;col=7&amp;number=0.000418&amp;sourceID=14","0.000418")</f>
        <v>0.000418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HYPERLINK("http://141.218.60.56/~jnz1568/getInfo.php?workbook=20_05.xlsx&amp;sheet=U0&amp;row=9687&amp;col=6&amp;number=3.3&amp;sourceID=14","3.3")</f>
        <v>3.3</v>
      </c>
      <c r="G9687" s="4" t="str">
        <f>HYPERLINK("http://141.218.60.56/~jnz1568/getInfo.php?workbook=20_05.xlsx&amp;sheet=U0&amp;row=9687&amp;col=7&amp;number=0.000418&amp;sourceID=14","0.000418")</f>
        <v>0.000418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HYPERLINK("http://141.218.60.56/~jnz1568/getInfo.php?workbook=20_05.xlsx&amp;sheet=U0&amp;row=9688&amp;col=6&amp;number=3.4&amp;sourceID=14","3.4")</f>
        <v>3.4</v>
      </c>
      <c r="G9688" s="4" t="str">
        <f>HYPERLINK("http://141.218.60.56/~jnz1568/getInfo.php?workbook=20_05.xlsx&amp;sheet=U0&amp;row=9688&amp;col=7&amp;number=0.000418&amp;sourceID=14","0.000418")</f>
        <v>0.000418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HYPERLINK("http://141.218.60.56/~jnz1568/getInfo.php?workbook=20_05.xlsx&amp;sheet=U0&amp;row=9689&amp;col=6&amp;number=3.5&amp;sourceID=14","3.5")</f>
        <v>3.5</v>
      </c>
      <c r="G9689" s="4" t="str">
        <f>HYPERLINK("http://141.218.60.56/~jnz1568/getInfo.php?workbook=20_05.xlsx&amp;sheet=U0&amp;row=9689&amp;col=7&amp;number=0.000418&amp;sourceID=14","0.000418")</f>
        <v>0.000418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HYPERLINK("http://141.218.60.56/~jnz1568/getInfo.php?workbook=20_05.xlsx&amp;sheet=U0&amp;row=9690&amp;col=6&amp;number=3.6&amp;sourceID=14","3.6")</f>
        <v>3.6</v>
      </c>
      <c r="G9690" s="4" t="str">
        <f>HYPERLINK("http://141.218.60.56/~jnz1568/getInfo.php?workbook=20_05.xlsx&amp;sheet=U0&amp;row=9690&amp;col=7&amp;number=0.000418&amp;sourceID=14","0.000418")</f>
        <v>0.000418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HYPERLINK("http://141.218.60.56/~jnz1568/getInfo.php?workbook=20_05.xlsx&amp;sheet=U0&amp;row=9691&amp;col=6&amp;number=3.7&amp;sourceID=14","3.7")</f>
        <v>3.7</v>
      </c>
      <c r="G9691" s="4" t="str">
        <f>HYPERLINK("http://141.218.60.56/~jnz1568/getInfo.php?workbook=20_05.xlsx&amp;sheet=U0&amp;row=9691&amp;col=7&amp;number=0.000418&amp;sourceID=14","0.000418")</f>
        <v>0.000418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HYPERLINK("http://141.218.60.56/~jnz1568/getInfo.php?workbook=20_05.xlsx&amp;sheet=U0&amp;row=9692&amp;col=6&amp;number=3.8&amp;sourceID=14","3.8")</f>
        <v>3.8</v>
      </c>
      <c r="G9692" s="4" t="str">
        <f>HYPERLINK("http://141.218.60.56/~jnz1568/getInfo.php?workbook=20_05.xlsx&amp;sheet=U0&amp;row=9692&amp;col=7&amp;number=0.000418&amp;sourceID=14","0.000418")</f>
        <v>0.000418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HYPERLINK("http://141.218.60.56/~jnz1568/getInfo.php?workbook=20_05.xlsx&amp;sheet=U0&amp;row=9693&amp;col=6&amp;number=3.9&amp;sourceID=14","3.9")</f>
        <v>3.9</v>
      </c>
      <c r="G9693" s="4" t="str">
        <f>HYPERLINK("http://141.218.60.56/~jnz1568/getInfo.php?workbook=20_05.xlsx&amp;sheet=U0&amp;row=9693&amp;col=7&amp;number=0.000418&amp;sourceID=14","0.000418")</f>
        <v>0.000418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HYPERLINK("http://141.218.60.56/~jnz1568/getInfo.php?workbook=20_05.xlsx&amp;sheet=U0&amp;row=9694&amp;col=6&amp;number=4&amp;sourceID=14","4")</f>
        <v>4</v>
      </c>
      <c r="G9694" s="4" t="str">
        <f>HYPERLINK("http://141.218.60.56/~jnz1568/getInfo.php?workbook=20_05.xlsx&amp;sheet=U0&amp;row=9694&amp;col=7&amp;number=0.000418&amp;sourceID=14","0.000418")</f>
        <v>0.000418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HYPERLINK("http://141.218.60.56/~jnz1568/getInfo.php?workbook=20_05.xlsx&amp;sheet=U0&amp;row=9695&amp;col=6&amp;number=4.1&amp;sourceID=14","4.1")</f>
        <v>4.1</v>
      </c>
      <c r="G9695" s="4" t="str">
        <f>HYPERLINK("http://141.218.60.56/~jnz1568/getInfo.php?workbook=20_05.xlsx&amp;sheet=U0&amp;row=9695&amp;col=7&amp;number=0.000418&amp;sourceID=14","0.000418")</f>
        <v>0.000418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HYPERLINK("http://141.218.60.56/~jnz1568/getInfo.php?workbook=20_05.xlsx&amp;sheet=U0&amp;row=9696&amp;col=6&amp;number=4.2&amp;sourceID=14","4.2")</f>
        <v>4.2</v>
      </c>
      <c r="G9696" s="4" t="str">
        <f>HYPERLINK("http://141.218.60.56/~jnz1568/getInfo.php?workbook=20_05.xlsx&amp;sheet=U0&amp;row=9696&amp;col=7&amp;number=0.000418&amp;sourceID=14","0.000418")</f>
        <v>0.000418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HYPERLINK("http://141.218.60.56/~jnz1568/getInfo.php?workbook=20_05.xlsx&amp;sheet=U0&amp;row=9697&amp;col=6&amp;number=4.3&amp;sourceID=14","4.3")</f>
        <v>4.3</v>
      </c>
      <c r="G9697" s="4" t="str">
        <f>HYPERLINK("http://141.218.60.56/~jnz1568/getInfo.php?workbook=20_05.xlsx&amp;sheet=U0&amp;row=9697&amp;col=7&amp;number=0.000418&amp;sourceID=14","0.000418")</f>
        <v>0.000418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HYPERLINK("http://141.218.60.56/~jnz1568/getInfo.php?workbook=20_05.xlsx&amp;sheet=U0&amp;row=9698&amp;col=6&amp;number=4.4&amp;sourceID=14","4.4")</f>
        <v>4.4</v>
      </c>
      <c r="G9698" s="4" t="str">
        <f>HYPERLINK("http://141.218.60.56/~jnz1568/getInfo.php?workbook=20_05.xlsx&amp;sheet=U0&amp;row=9698&amp;col=7&amp;number=0.000417&amp;sourceID=14","0.000417")</f>
        <v>0.000417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HYPERLINK("http://141.218.60.56/~jnz1568/getInfo.php?workbook=20_05.xlsx&amp;sheet=U0&amp;row=9699&amp;col=6&amp;number=4.5&amp;sourceID=14","4.5")</f>
        <v>4.5</v>
      </c>
      <c r="G9699" s="4" t="str">
        <f>HYPERLINK("http://141.218.60.56/~jnz1568/getInfo.php?workbook=20_05.xlsx&amp;sheet=U0&amp;row=9699&amp;col=7&amp;number=0.000417&amp;sourceID=14","0.000417")</f>
        <v>0.000417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HYPERLINK("http://141.218.60.56/~jnz1568/getInfo.php?workbook=20_05.xlsx&amp;sheet=U0&amp;row=9700&amp;col=6&amp;number=4.6&amp;sourceID=14","4.6")</f>
        <v>4.6</v>
      </c>
      <c r="G9700" s="4" t="str">
        <f>HYPERLINK("http://141.218.60.56/~jnz1568/getInfo.php?workbook=20_05.xlsx&amp;sheet=U0&amp;row=9700&amp;col=7&amp;number=0.000417&amp;sourceID=14","0.000417")</f>
        <v>0.000417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HYPERLINK("http://141.218.60.56/~jnz1568/getInfo.php?workbook=20_05.xlsx&amp;sheet=U0&amp;row=9701&amp;col=6&amp;number=4.7&amp;sourceID=14","4.7")</f>
        <v>4.7</v>
      </c>
      <c r="G9701" s="4" t="str">
        <f>HYPERLINK("http://141.218.60.56/~jnz1568/getInfo.php?workbook=20_05.xlsx&amp;sheet=U0&amp;row=9701&amp;col=7&amp;number=0.000417&amp;sourceID=14","0.000417")</f>
        <v>0.000417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HYPERLINK("http://141.218.60.56/~jnz1568/getInfo.php?workbook=20_05.xlsx&amp;sheet=U0&amp;row=9702&amp;col=6&amp;number=4.8&amp;sourceID=14","4.8")</f>
        <v>4.8</v>
      </c>
      <c r="G9702" s="4" t="str">
        <f>HYPERLINK("http://141.218.60.56/~jnz1568/getInfo.php?workbook=20_05.xlsx&amp;sheet=U0&amp;row=9702&amp;col=7&amp;number=0.000416&amp;sourceID=14","0.000416")</f>
        <v>0.000416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HYPERLINK("http://141.218.60.56/~jnz1568/getInfo.php?workbook=20_05.xlsx&amp;sheet=U0&amp;row=9703&amp;col=6&amp;number=4.9&amp;sourceID=14","4.9")</f>
        <v>4.9</v>
      </c>
      <c r="G9703" s="4" t="str">
        <f>HYPERLINK("http://141.218.60.56/~jnz1568/getInfo.php?workbook=20_05.xlsx&amp;sheet=U0&amp;row=9703&amp;col=7&amp;number=0.000416&amp;sourceID=14","0.000416")</f>
        <v>0.000416</v>
      </c>
    </row>
    <row r="9704" spans="1:7">
      <c r="A9704" s="3">
        <v>20</v>
      </c>
      <c r="B9704" s="3">
        <v>5</v>
      </c>
      <c r="C9704" s="3">
        <v>5</v>
      </c>
      <c r="D9704" s="3">
        <v>18</v>
      </c>
      <c r="E9704" s="3">
        <v>1</v>
      </c>
      <c r="F9704" s="4" t="str">
        <f>HYPERLINK("http://141.218.60.56/~jnz1568/getInfo.php?workbook=20_05.xlsx&amp;sheet=U0&amp;row=9704&amp;col=6&amp;number=3&amp;sourceID=14","3")</f>
        <v>3</v>
      </c>
      <c r="G9704" s="4" t="str">
        <f>HYPERLINK("http://141.218.60.56/~jnz1568/getInfo.php?workbook=20_05.xlsx&amp;sheet=U0&amp;row=9704&amp;col=7&amp;number=0.00239&amp;sourceID=14","0.00239")</f>
        <v>0.00239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HYPERLINK("http://141.218.60.56/~jnz1568/getInfo.php?workbook=20_05.xlsx&amp;sheet=U0&amp;row=9705&amp;col=6&amp;number=3.1&amp;sourceID=14","3.1")</f>
        <v>3.1</v>
      </c>
      <c r="G9705" s="4" t="str">
        <f>HYPERLINK("http://141.218.60.56/~jnz1568/getInfo.php?workbook=20_05.xlsx&amp;sheet=U0&amp;row=9705&amp;col=7&amp;number=0.00239&amp;sourceID=14","0.00239")</f>
        <v>0.00239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HYPERLINK("http://141.218.60.56/~jnz1568/getInfo.php?workbook=20_05.xlsx&amp;sheet=U0&amp;row=9706&amp;col=6&amp;number=3.2&amp;sourceID=14","3.2")</f>
        <v>3.2</v>
      </c>
      <c r="G9706" s="4" t="str">
        <f>HYPERLINK("http://141.218.60.56/~jnz1568/getInfo.php?workbook=20_05.xlsx&amp;sheet=U0&amp;row=9706&amp;col=7&amp;number=0.00239&amp;sourceID=14","0.00239")</f>
        <v>0.00239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HYPERLINK("http://141.218.60.56/~jnz1568/getInfo.php?workbook=20_05.xlsx&amp;sheet=U0&amp;row=9707&amp;col=6&amp;number=3.3&amp;sourceID=14","3.3")</f>
        <v>3.3</v>
      </c>
      <c r="G9707" s="4" t="str">
        <f>HYPERLINK("http://141.218.60.56/~jnz1568/getInfo.php?workbook=20_05.xlsx&amp;sheet=U0&amp;row=9707&amp;col=7&amp;number=0.00239&amp;sourceID=14","0.00239")</f>
        <v>0.00239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HYPERLINK("http://141.218.60.56/~jnz1568/getInfo.php?workbook=20_05.xlsx&amp;sheet=U0&amp;row=9708&amp;col=6&amp;number=3.4&amp;sourceID=14","3.4")</f>
        <v>3.4</v>
      </c>
      <c r="G9708" s="4" t="str">
        <f>HYPERLINK("http://141.218.60.56/~jnz1568/getInfo.php?workbook=20_05.xlsx&amp;sheet=U0&amp;row=9708&amp;col=7&amp;number=0.00239&amp;sourceID=14","0.00239")</f>
        <v>0.00239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HYPERLINK("http://141.218.60.56/~jnz1568/getInfo.php?workbook=20_05.xlsx&amp;sheet=U0&amp;row=9709&amp;col=6&amp;number=3.5&amp;sourceID=14","3.5")</f>
        <v>3.5</v>
      </c>
      <c r="G9709" s="4" t="str">
        <f>HYPERLINK("http://141.218.60.56/~jnz1568/getInfo.php?workbook=20_05.xlsx&amp;sheet=U0&amp;row=9709&amp;col=7&amp;number=0.00239&amp;sourceID=14","0.00239")</f>
        <v>0.00239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HYPERLINK("http://141.218.60.56/~jnz1568/getInfo.php?workbook=20_05.xlsx&amp;sheet=U0&amp;row=9710&amp;col=6&amp;number=3.6&amp;sourceID=14","3.6")</f>
        <v>3.6</v>
      </c>
      <c r="G9710" s="4" t="str">
        <f>HYPERLINK("http://141.218.60.56/~jnz1568/getInfo.php?workbook=20_05.xlsx&amp;sheet=U0&amp;row=9710&amp;col=7&amp;number=0.00239&amp;sourceID=14","0.00239")</f>
        <v>0.00239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HYPERLINK("http://141.218.60.56/~jnz1568/getInfo.php?workbook=20_05.xlsx&amp;sheet=U0&amp;row=9711&amp;col=6&amp;number=3.7&amp;sourceID=14","3.7")</f>
        <v>3.7</v>
      </c>
      <c r="G9711" s="4" t="str">
        <f>HYPERLINK("http://141.218.60.56/~jnz1568/getInfo.php?workbook=20_05.xlsx&amp;sheet=U0&amp;row=9711&amp;col=7&amp;number=0.00239&amp;sourceID=14","0.00239")</f>
        <v>0.00239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HYPERLINK("http://141.218.60.56/~jnz1568/getInfo.php?workbook=20_05.xlsx&amp;sheet=U0&amp;row=9712&amp;col=6&amp;number=3.8&amp;sourceID=14","3.8")</f>
        <v>3.8</v>
      </c>
      <c r="G9712" s="4" t="str">
        <f>HYPERLINK("http://141.218.60.56/~jnz1568/getInfo.php?workbook=20_05.xlsx&amp;sheet=U0&amp;row=9712&amp;col=7&amp;number=0.00239&amp;sourceID=14","0.00239")</f>
        <v>0.00239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HYPERLINK("http://141.218.60.56/~jnz1568/getInfo.php?workbook=20_05.xlsx&amp;sheet=U0&amp;row=9713&amp;col=6&amp;number=3.9&amp;sourceID=14","3.9")</f>
        <v>3.9</v>
      </c>
      <c r="G9713" s="4" t="str">
        <f>HYPERLINK("http://141.218.60.56/~jnz1568/getInfo.php?workbook=20_05.xlsx&amp;sheet=U0&amp;row=9713&amp;col=7&amp;number=0.00239&amp;sourceID=14","0.00239")</f>
        <v>0.00239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HYPERLINK("http://141.218.60.56/~jnz1568/getInfo.php?workbook=20_05.xlsx&amp;sheet=U0&amp;row=9714&amp;col=6&amp;number=4&amp;sourceID=14","4")</f>
        <v>4</v>
      </c>
      <c r="G9714" s="4" t="str">
        <f>HYPERLINK("http://141.218.60.56/~jnz1568/getInfo.php?workbook=20_05.xlsx&amp;sheet=U0&amp;row=9714&amp;col=7&amp;number=0.00239&amp;sourceID=14","0.00239")</f>
        <v>0.00239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HYPERLINK("http://141.218.60.56/~jnz1568/getInfo.php?workbook=20_05.xlsx&amp;sheet=U0&amp;row=9715&amp;col=6&amp;number=4.1&amp;sourceID=14","4.1")</f>
        <v>4.1</v>
      </c>
      <c r="G9715" s="4" t="str">
        <f>HYPERLINK("http://141.218.60.56/~jnz1568/getInfo.php?workbook=20_05.xlsx&amp;sheet=U0&amp;row=9715&amp;col=7&amp;number=0.00239&amp;sourceID=14","0.00239")</f>
        <v>0.00239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HYPERLINK("http://141.218.60.56/~jnz1568/getInfo.php?workbook=20_05.xlsx&amp;sheet=U0&amp;row=9716&amp;col=6&amp;number=4.2&amp;sourceID=14","4.2")</f>
        <v>4.2</v>
      </c>
      <c r="G9716" s="4" t="str">
        <f>HYPERLINK("http://141.218.60.56/~jnz1568/getInfo.php?workbook=20_05.xlsx&amp;sheet=U0&amp;row=9716&amp;col=7&amp;number=0.00238&amp;sourceID=14","0.00238")</f>
        <v>0.00238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HYPERLINK("http://141.218.60.56/~jnz1568/getInfo.php?workbook=20_05.xlsx&amp;sheet=U0&amp;row=9717&amp;col=6&amp;number=4.3&amp;sourceID=14","4.3")</f>
        <v>4.3</v>
      </c>
      <c r="G9717" s="4" t="str">
        <f>HYPERLINK("http://141.218.60.56/~jnz1568/getInfo.php?workbook=20_05.xlsx&amp;sheet=U0&amp;row=9717&amp;col=7&amp;number=0.00238&amp;sourceID=14","0.00238")</f>
        <v>0.00238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HYPERLINK("http://141.218.60.56/~jnz1568/getInfo.php?workbook=20_05.xlsx&amp;sheet=U0&amp;row=9718&amp;col=6&amp;number=4.4&amp;sourceID=14","4.4")</f>
        <v>4.4</v>
      </c>
      <c r="G9718" s="4" t="str">
        <f>HYPERLINK("http://141.218.60.56/~jnz1568/getInfo.php?workbook=20_05.xlsx&amp;sheet=U0&amp;row=9718&amp;col=7&amp;number=0.00238&amp;sourceID=14","0.00238")</f>
        <v>0.00238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HYPERLINK("http://141.218.60.56/~jnz1568/getInfo.php?workbook=20_05.xlsx&amp;sheet=U0&amp;row=9719&amp;col=6&amp;number=4.5&amp;sourceID=14","4.5")</f>
        <v>4.5</v>
      </c>
      <c r="G9719" s="4" t="str">
        <f>HYPERLINK("http://141.218.60.56/~jnz1568/getInfo.php?workbook=20_05.xlsx&amp;sheet=U0&amp;row=9719&amp;col=7&amp;number=0.00238&amp;sourceID=14","0.00238")</f>
        <v>0.00238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HYPERLINK("http://141.218.60.56/~jnz1568/getInfo.php?workbook=20_05.xlsx&amp;sheet=U0&amp;row=9720&amp;col=6&amp;number=4.6&amp;sourceID=14","4.6")</f>
        <v>4.6</v>
      </c>
      <c r="G9720" s="4" t="str">
        <f>HYPERLINK("http://141.218.60.56/~jnz1568/getInfo.php?workbook=20_05.xlsx&amp;sheet=U0&amp;row=9720&amp;col=7&amp;number=0.00237&amp;sourceID=14","0.00237")</f>
        <v>0.00237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HYPERLINK("http://141.218.60.56/~jnz1568/getInfo.php?workbook=20_05.xlsx&amp;sheet=U0&amp;row=9721&amp;col=6&amp;number=4.7&amp;sourceID=14","4.7")</f>
        <v>4.7</v>
      </c>
      <c r="G9721" s="4" t="str">
        <f>HYPERLINK("http://141.218.60.56/~jnz1568/getInfo.php?workbook=20_05.xlsx&amp;sheet=U0&amp;row=9721&amp;col=7&amp;number=0.00236&amp;sourceID=14","0.00236")</f>
        <v>0.00236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HYPERLINK("http://141.218.60.56/~jnz1568/getInfo.php?workbook=20_05.xlsx&amp;sheet=U0&amp;row=9722&amp;col=6&amp;number=4.8&amp;sourceID=14","4.8")</f>
        <v>4.8</v>
      </c>
      <c r="G9722" s="4" t="str">
        <f>HYPERLINK("http://141.218.60.56/~jnz1568/getInfo.php?workbook=20_05.xlsx&amp;sheet=U0&amp;row=9722&amp;col=7&amp;number=0.00236&amp;sourceID=14","0.00236")</f>
        <v>0.00236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HYPERLINK("http://141.218.60.56/~jnz1568/getInfo.php?workbook=20_05.xlsx&amp;sheet=U0&amp;row=9723&amp;col=6&amp;number=4.9&amp;sourceID=14","4.9")</f>
        <v>4.9</v>
      </c>
      <c r="G9723" s="4" t="str">
        <f>HYPERLINK("http://141.218.60.56/~jnz1568/getInfo.php?workbook=20_05.xlsx&amp;sheet=U0&amp;row=9723&amp;col=7&amp;number=0.00235&amp;sourceID=14","0.00235")</f>
        <v>0.00235</v>
      </c>
    </row>
    <row r="9724" spans="1:7">
      <c r="A9724" s="3">
        <v>20</v>
      </c>
      <c r="B9724" s="3">
        <v>5</v>
      </c>
      <c r="C9724" s="3">
        <v>5</v>
      </c>
      <c r="D9724" s="3">
        <v>19</v>
      </c>
      <c r="E9724" s="3">
        <v>1</v>
      </c>
      <c r="F9724" s="4" t="str">
        <f>HYPERLINK("http://141.218.60.56/~jnz1568/getInfo.php?workbook=20_05.xlsx&amp;sheet=U0&amp;row=9724&amp;col=6&amp;number=3&amp;sourceID=14","3")</f>
        <v>3</v>
      </c>
      <c r="G9724" s="4" t="str">
        <f>HYPERLINK("http://141.218.60.56/~jnz1568/getInfo.php?workbook=20_05.xlsx&amp;sheet=U0&amp;row=9724&amp;col=7&amp;number=0.00257&amp;sourceID=14","0.00257")</f>
        <v>0.00257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HYPERLINK("http://141.218.60.56/~jnz1568/getInfo.php?workbook=20_05.xlsx&amp;sheet=U0&amp;row=9725&amp;col=6&amp;number=3.1&amp;sourceID=14","3.1")</f>
        <v>3.1</v>
      </c>
      <c r="G9725" s="4" t="str">
        <f>HYPERLINK("http://141.218.60.56/~jnz1568/getInfo.php?workbook=20_05.xlsx&amp;sheet=U0&amp;row=9725&amp;col=7&amp;number=0.00257&amp;sourceID=14","0.00257")</f>
        <v>0.00257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HYPERLINK("http://141.218.60.56/~jnz1568/getInfo.php?workbook=20_05.xlsx&amp;sheet=U0&amp;row=9726&amp;col=6&amp;number=3.2&amp;sourceID=14","3.2")</f>
        <v>3.2</v>
      </c>
      <c r="G9726" s="4" t="str">
        <f>HYPERLINK("http://141.218.60.56/~jnz1568/getInfo.php?workbook=20_05.xlsx&amp;sheet=U0&amp;row=9726&amp;col=7&amp;number=0.00257&amp;sourceID=14","0.00257")</f>
        <v>0.00257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HYPERLINK("http://141.218.60.56/~jnz1568/getInfo.php?workbook=20_05.xlsx&amp;sheet=U0&amp;row=9727&amp;col=6&amp;number=3.3&amp;sourceID=14","3.3")</f>
        <v>3.3</v>
      </c>
      <c r="G9727" s="4" t="str">
        <f>HYPERLINK("http://141.218.60.56/~jnz1568/getInfo.php?workbook=20_05.xlsx&amp;sheet=U0&amp;row=9727&amp;col=7&amp;number=0.00257&amp;sourceID=14","0.00257")</f>
        <v>0.00257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HYPERLINK("http://141.218.60.56/~jnz1568/getInfo.php?workbook=20_05.xlsx&amp;sheet=U0&amp;row=9728&amp;col=6&amp;number=3.4&amp;sourceID=14","3.4")</f>
        <v>3.4</v>
      </c>
      <c r="G9728" s="4" t="str">
        <f>HYPERLINK("http://141.218.60.56/~jnz1568/getInfo.php?workbook=20_05.xlsx&amp;sheet=U0&amp;row=9728&amp;col=7&amp;number=0.00257&amp;sourceID=14","0.00257")</f>
        <v>0.00257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HYPERLINK("http://141.218.60.56/~jnz1568/getInfo.php?workbook=20_05.xlsx&amp;sheet=U0&amp;row=9729&amp;col=6&amp;number=3.5&amp;sourceID=14","3.5")</f>
        <v>3.5</v>
      </c>
      <c r="G9729" s="4" t="str">
        <f>HYPERLINK("http://141.218.60.56/~jnz1568/getInfo.php?workbook=20_05.xlsx&amp;sheet=U0&amp;row=9729&amp;col=7&amp;number=0.00257&amp;sourceID=14","0.00257")</f>
        <v>0.00257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HYPERLINK("http://141.218.60.56/~jnz1568/getInfo.php?workbook=20_05.xlsx&amp;sheet=U0&amp;row=9730&amp;col=6&amp;number=3.6&amp;sourceID=14","3.6")</f>
        <v>3.6</v>
      </c>
      <c r="G9730" s="4" t="str">
        <f>HYPERLINK("http://141.218.60.56/~jnz1568/getInfo.php?workbook=20_05.xlsx&amp;sheet=U0&amp;row=9730&amp;col=7&amp;number=0.00257&amp;sourceID=14","0.00257")</f>
        <v>0.00257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HYPERLINK("http://141.218.60.56/~jnz1568/getInfo.php?workbook=20_05.xlsx&amp;sheet=U0&amp;row=9731&amp;col=6&amp;number=3.7&amp;sourceID=14","3.7")</f>
        <v>3.7</v>
      </c>
      <c r="G9731" s="4" t="str">
        <f>HYPERLINK("http://141.218.60.56/~jnz1568/getInfo.php?workbook=20_05.xlsx&amp;sheet=U0&amp;row=9731&amp;col=7&amp;number=0.00257&amp;sourceID=14","0.00257")</f>
        <v>0.00257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HYPERLINK("http://141.218.60.56/~jnz1568/getInfo.php?workbook=20_05.xlsx&amp;sheet=U0&amp;row=9732&amp;col=6&amp;number=3.8&amp;sourceID=14","3.8")</f>
        <v>3.8</v>
      </c>
      <c r="G9732" s="4" t="str">
        <f>HYPERLINK("http://141.218.60.56/~jnz1568/getInfo.php?workbook=20_05.xlsx&amp;sheet=U0&amp;row=9732&amp;col=7&amp;number=0.00257&amp;sourceID=14","0.00257")</f>
        <v>0.00257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HYPERLINK("http://141.218.60.56/~jnz1568/getInfo.php?workbook=20_05.xlsx&amp;sheet=U0&amp;row=9733&amp;col=6&amp;number=3.9&amp;sourceID=14","3.9")</f>
        <v>3.9</v>
      </c>
      <c r="G9733" s="4" t="str">
        <f>HYPERLINK("http://141.218.60.56/~jnz1568/getInfo.php?workbook=20_05.xlsx&amp;sheet=U0&amp;row=9733&amp;col=7&amp;number=0.00257&amp;sourceID=14","0.00257")</f>
        <v>0.00257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HYPERLINK("http://141.218.60.56/~jnz1568/getInfo.php?workbook=20_05.xlsx&amp;sheet=U0&amp;row=9734&amp;col=6&amp;number=4&amp;sourceID=14","4")</f>
        <v>4</v>
      </c>
      <c r="G9734" s="4" t="str">
        <f>HYPERLINK("http://141.218.60.56/~jnz1568/getInfo.php?workbook=20_05.xlsx&amp;sheet=U0&amp;row=9734&amp;col=7&amp;number=0.00257&amp;sourceID=14","0.00257")</f>
        <v>0.00257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HYPERLINK("http://141.218.60.56/~jnz1568/getInfo.php?workbook=20_05.xlsx&amp;sheet=U0&amp;row=9735&amp;col=6&amp;number=4.1&amp;sourceID=14","4.1")</f>
        <v>4.1</v>
      </c>
      <c r="G9735" s="4" t="str">
        <f>HYPERLINK("http://141.218.60.56/~jnz1568/getInfo.php?workbook=20_05.xlsx&amp;sheet=U0&amp;row=9735&amp;col=7&amp;number=0.00257&amp;sourceID=14","0.00257")</f>
        <v>0.00257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HYPERLINK("http://141.218.60.56/~jnz1568/getInfo.php?workbook=20_05.xlsx&amp;sheet=U0&amp;row=9736&amp;col=6&amp;number=4.2&amp;sourceID=14","4.2")</f>
        <v>4.2</v>
      </c>
      <c r="G9736" s="4" t="str">
        <f>HYPERLINK("http://141.218.60.56/~jnz1568/getInfo.php?workbook=20_05.xlsx&amp;sheet=U0&amp;row=9736&amp;col=7&amp;number=0.00257&amp;sourceID=14","0.00257")</f>
        <v>0.00257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HYPERLINK("http://141.218.60.56/~jnz1568/getInfo.php?workbook=20_05.xlsx&amp;sheet=U0&amp;row=9737&amp;col=6&amp;number=4.3&amp;sourceID=14","4.3")</f>
        <v>4.3</v>
      </c>
      <c r="G9737" s="4" t="str">
        <f>HYPERLINK("http://141.218.60.56/~jnz1568/getInfo.php?workbook=20_05.xlsx&amp;sheet=U0&amp;row=9737&amp;col=7&amp;number=0.00257&amp;sourceID=14","0.00257")</f>
        <v>0.00257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HYPERLINK("http://141.218.60.56/~jnz1568/getInfo.php?workbook=20_05.xlsx&amp;sheet=U0&amp;row=9738&amp;col=6&amp;number=4.4&amp;sourceID=14","4.4")</f>
        <v>4.4</v>
      </c>
      <c r="G9738" s="4" t="str">
        <f>HYPERLINK("http://141.218.60.56/~jnz1568/getInfo.php?workbook=20_05.xlsx&amp;sheet=U0&amp;row=9738&amp;col=7&amp;number=0.00257&amp;sourceID=14","0.00257")</f>
        <v>0.00257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HYPERLINK("http://141.218.60.56/~jnz1568/getInfo.php?workbook=20_05.xlsx&amp;sheet=U0&amp;row=9739&amp;col=6&amp;number=4.5&amp;sourceID=14","4.5")</f>
        <v>4.5</v>
      </c>
      <c r="G9739" s="4" t="str">
        <f>HYPERLINK("http://141.218.60.56/~jnz1568/getInfo.php?workbook=20_05.xlsx&amp;sheet=U0&amp;row=9739&amp;col=7&amp;number=0.00257&amp;sourceID=14","0.00257")</f>
        <v>0.00257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HYPERLINK("http://141.218.60.56/~jnz1568/getInfo.php?workbook=20_05.xlsx&amp;sheet=U0&amp;row=9740&amp;col=6&amp;number=4.6&amp;sourceID=14","4.6")</f>
        <v>4.6</v>
      </c>
      <c r="G9740" s="4" t="str">
        <f>HYPERLINK("http://141.218.60.56/~jnz1568/getInfo.php?workbook=20_05.xlsx&amp;sheet=U0&amp;row=9740&amp;col=7&amp;number=0.00257&amp;sourceID=14","0.00257")</f>
        <v>0.00257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HYPERLINK("http://141.218.60.56/~jnz1568/getInfo.php?workbook=20_05.xlsx&amp;sheet=U0&amp;row=9741&amp;col=6&amp;number=4.7&amp;sourceID=14","4.7")</f>
        <v>4.7</v>
      </c>
      <c r="G9741" s="4" t="str">
        <f>HYPERLINK("http://141.218.60.56/~jnz1568/getInfo.php?workbook=20_05.xlsx&amp;sheet=U0&amp;row=9741&amp;col=7&amp;number=0.00257&amp;sourceID=14","0.00257")</f>
        <v>0.00257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HYPERLINK("http://141.218.60.56/~jnz1568/getInfo.php?workbook=20_05.xlsx&amp;sheet=U0&amp;row=9742&amp;col=6&amp;number=4.8&amp;sourceID=14","4.8")</f>
        <v>4.8</v>
      </c>
      <c r="G9742" s="4" t="str">
        <f>HYPERLINK("http://141.218.60.56/~jnz1568/getInfo.php?workbook=20_05.xlsx&amp;sheet=U0&amp;row=9742&amp;col=7&amp;number=0.00257&amp;sourceID=14","0.00257")</f>
        <v>0.00257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HYPERLINK("http://141.218.60.56/~jnz1568/getInfo.php?workbook=20_05.xlsx&amp;sheet=U0&amp;row=9743&amp;col=6&amp;number=4.9&amp;sourceID=14","4.9")</f>
        <v>4.9</v>
      </c>
      <c r="G9743" s="4" t="str">
        <f>HYPERLINK("http://141.218.60.56/~jnz1568/getInfo.php?workbook=20_05.xlsx&amp;sheet=U0&amp;row=9743&amp;col=7&amp;number=0.00257&amp;sourceID=14","0.00257")</f>
        <v>0.00257</v>
      </c>
    </row>
    <row r="9744" spans="1:7">
      <c r="A9744" s="3">
        <v>20</v>
      </c>
      <c r="B9744" s="3">
        <v>5</v>
      </c>
      <c r="C9744" s="3">
        <v>5</v>
      </c>
      <c r="D9744" s="3">
        <v>20</v>
      </c>
      <c r="E9744" s="3">
        <v>1</v>
      </c>
      <c r="F9744" s="4" t="str">
        <f>HYPERLINK("http://141.218.60.56/~jnz1568/getInfo.php?workbook=20_05.xlsx&amp;sheet=U0&amp;row=9744&amp;col=6&amp;number=3&amp;sourceID=14","3")</f>
        <v>3</v>
      </c>
      <c r="G9744" s="4" t="str">
        <f>HYPERLINK("http://141.218.60.56/~jnz1568/getInfo.php?workbook=20_05.xlsx&amp;sheet=U0&amp;row=9744&amp;col=7&amp;number=0.00181&amp;sourceID=14","0.00181")</f>
        <v>0.00181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HYPERLINK("http://141.218.60.56/~jnz1568/getInfo.php?workbook=20_05.xlsx&amp;sheet=U0&amp;row=9745&amp;col=6&amp;number=3.1&amp;sourceID=14","3.1")</f>
        <v>3.1</v>
      </c>
      <c r="G9745" s="4" t="str">
        <f>HYPERLINK("http://141.218.60.56/~jnz1568/getInfo.php?workbook=20_05.xlsx&amp;sheet=U0&amp;row=9745&amp;col=7&amp;number=0.00181&amp;sourceID=14","0.00181")</f>
        <v>0.00181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HYPERLINK("http://141.218.60.56/~jnz1568/getInfo.php?workbook=20_05.xlsx&amp;sheet=U0&amp;row=9746&amp;col=6&amp;number=3.2&amp;sourceID=14","3.2")</f>
        <v>3.2</v>
      </c>
      <c r="G9746" s="4" t="str">
        <f>HYPERLINK("http://141.218.60.56/~jnz1568/getInfo.php?workbook=20_05.xlsx&amp;sheet=U0&amp;row=9746&amp;col=7&amp;number=0.00181&amp;sourceID=14","0.00181")</f>
        <v>0.00181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HYPERLINK("http://141.218.60.56/~jnz1568/getInfo.php?workbook=20_05.xlsx&amp;sheet=U0&amp;row=9747&amp;col=6&amp;number=3.3&amp;sourceID=14","3.3")</f>
        <v>3.3</v>
      </c>
      <c r="G9747" s="4" t="str">
        <f>HYPERLINK("http://141.218.60.56/~jnz1568/getInfo.php?workbook=20_05.xlsx&amp;sheet=U0&amp;row=9747&amp;col=7&amp;number=0.00181&amp;sourceID=14","0.00181")</f>
        <v>0.00181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HYPERLINK("http://141.218.60.56/~jnz1568/getInfo.php?workbook=20_05.xlsx&amp;sheet=U0&amp;row=9748&amp;col=6&amp;number=3.4&amp;sourceID=14","3.4")</f>
        <v>3.4</v>
      </c>
      <c r="G9748" s="4" t="str">
        <f>HYPERLINK("http://141.218.60.56/~jnz1568/getInfo.php?workbook=20_05.xlsx&amp;sheet=U0&amp;row=9748&amp;col=7&amp;number=0.00181&amp;sourceID=14","0.00181")</f>
        <v>0.00181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HYPERLINK("http://141.218.60.56/~jnz1568/getInfo.php?workbook=20_05.xlsx&amp;sheet=U0&amp;row=9749&amp;col=6&amp;number=3.5&amp;sourceID=14","3.5")</f>
        <v>3.5</v>
      </c>
      <c r="G9749" s="4" t="str">
        <f>HYPERLINK("http://141.218.60.56/~jnz1568/getInfo.php?workbook=20_05.xlsx&amp;sheet=U0&amp;row=9749&amp;col=7&amp;number=0.00181&amp;sourceID=14","0.00181")</f>
        <v>0.00181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HYPERLINK("http://141.218.60.56/~jnz1568/getInfo.php?workbook=20_05.xlsx&amp;sheet=U0&amp;row=9750&amp;col=6&amp;number=3.6&amp;sourceID=14","3.6")</f>
        <v>3.6</v>
      </c>
      <c r="G9750" s="4" t="str">
        <f>HYPERLINK("http://141.218.60.56/~jnz1568/getInfo.php?workbook=20_05.xlsx&amp;sheet=U0&amp;row=9750&amp;col=7&amp;number=0.00181&amp;sourceID=14","0.00181")</f>
        <v>0.00181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HYPERLINK("http://141.218.60.56/~jnz1568/getInfo.php?workbook=20_05.xlsx&amp;sheet=U0&amp;row=9751&amp;col=6&amp;number=3.7&amp;sourceID=14","3.7")</f>
        <v>3.7</v>
      </c>
      <c r="G9751" s="4" t="str">
        <f>HYPERLINK("http://141.218.60.56/~jnz1568/getInfo.php?workbook=20_05.xlsx&amp;sheet=U0&amp;row=9751&amp;col=7&amp;number=0.00181&amp;sourceID=14","0.00181")</f>
        <v>0.00181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HYPERLINK("http://141.218.60.56/~jnz1568/getInfo.php?workbook=20_05.xlsx&amp;sheet=U0&amp;row=9752&amp;col=6&amp;number=3.8&amp;sourceID=14","3.8")</f>
        <v>3.8</v>
      </c>
      <c r="G9752" s="4" t="str">
        <f>HYPERLINK("http://141.218.60.56/~jnz1568/getInfo.php?workbook=20_05.xlsx&amp;sheet=U0&amp;row=9752&amp;col=7&amp;number=0.00181&amp;sourceID=14","0.00181")</f>
        <v>0.00181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HYPERLINK("http://141.218.60.56/~jnz1568/getInfo.php?workbook=20_05.xlsx&amp;sheet=U0&amp;row=9753&amp;col=6&amp;number=3.9&amp;sourceID=14","3.9")</f>
        <v>3.9</v>
      </c>
      <c r="G9753" s="4" t="str">
        <f>HYPERLINK("http://141.218.60.56/~jnz1568/getInfo.php?workbook=20_05.xlsx&amp;sheet=U0&amp;row=9753&amp;col=7&amp;number=0.00181&amp;sourceID=14","0.00181")</f>
        <v>0.00181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HYPERLINK("http://141.218.60.56/~jnz1568/getInfo.php?workbook=20_05.xlsx&amp;sheet=U0&amp;row=9754&amp;col=6&amp;number=4&amp;sourceID=14","4")</f>
        <v>4</v>
      </c>
      <c r="G9754" s="4" t="str">
        <f>HYPERLINK("http://141.218.60.56/~jnz1568/getInfo.php?workbook=20_05.xlsx&amp;sheet=U0&amp;row=9754&amp;col=7&amp;number=0.00181&amp;sourceID=14","0.00181")</f>
        <v>0.00181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HYPERLINK("http://141.218.60.56/~jnz1568/getInfo.php?workbook=20_05.xlsx&amp;sheet=U0&amp;row=9755&amp;col=6&amp;number=4.1&amp;sourceID=14","4.1")</f>
        <v>4.1</v>
      </c>
      <c r="G9755" s="4" t="str">
        <f>HYPERLINK("http://141.218.60.56/~jnz1568/getInfo.php?workbook=20_05.xlsx&amp;sheet=U0&amp;row=9755&amp;col=7&amp;number=0.00181&amp;sourceID=14","0.00181")</f>
        <v>0.00181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HYPERLINK("http://141.218.60.56/~jnz1568/getInfo.php?workbook=20_05.xlsx&amp;sheet=U0&amp;row=9756&amp;col=6&amp;number=4.2&amp;sourceID=14","4.2")</f>
        <v>4.2</v>
      </c>
      <c r="G9756" s="4" t="str">
        <f>HYPERLINK("http://141.218.60.56/~jnz1568/getInfo.php?workbook=20_05.xlsx&amp;sheet=U0&amp;row=9756&amp;col=7&amp;number=0.0018&amp;sourceID=14","0.0018")</f>
        <v>0.0018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HYPERLINK("http://141.218.60.56/~jnz1568/getInfo.php?workbook=20_05.xlsx&amp;sheet=U0&amp;row=9757&amp;col=6&amp;number=4.3&amp;sourceID=14","4.3")</f>
        <v>4.3</v>
      </c>
      <c r="G9757" s="4" t="str">
        <f>HYPERLINK("http://141.218.60.56/~jnz1568/getInfo.php?workbook=20_05.xlsx&amp;sheet=U0&amp;row=9757&amp;col=7&amp;number=0.0018&amp;sourceID=14","0.0018")</f>
        <v>0.0018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HYPERLINK("http://141.218.60.56/~jnz1568/getInfo.php?workbook=20_05.xlsx&amp;sheet=U0&amp;row=9758&amp;col=6&amp;number=4.4&amp;sourceID=14","4.4")</f>
        <v>4.4</v>
      </c>
      <c r="G9758" s="4" t="str">
        <f>HYPERLINK("http://141.218.60.56/~jnz1568/getInfo.php?workbook=20_05.xlsx&amp;sheet=U0&amp;row=9758&amp;col=7&amp;number=0.0018&amp;sourceID=14","0.0018")</f>
        <v>0.0018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HYPERLINK("http://141.218.60.56/~jnz1568/getInfo.php?workbook=20_05.xlsx&amp;sheet=U0&amp;row=9759&amp;col=6&amp;number=4.5&amp;sourceID=14","4.5")</f>
        <v>4.5</v>
      </c>
      <c r="G9759" s="4" t="str">
        <f>HYPERLINK("http://141.218.60.56/~jnz1568/getInfo.php?workbook=20_05.xlsx&amp;sheet=U0&amp;row=9759&amp;col=7&amp;number=0.0018&amp;sourceID=14","0.0018")</f>
        <v>0.0018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HYPERLINK("http://141.218.60.56/~jnz1568/getInfo.php?workbook=20_05.xlsx&amp;sheet=U0&amp;row=9760&amp;col=6&amp;number=4.6&amp;sourceID=14","4.6")</f>
        <v>4.6</v>
      </c>
      <c r="G9760" s="4" t="str">
        <f>HYPERLINK("http://141.218.60.56/~jnz1568/getInfo.php?workbook=20_05.xlsx&amp;sheet=U0&amp;row=9760&amp;col=7&amp;number=0.00179&amp;sourceID=14","0.00179")</f>
        <v>0.00179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HYPERLINK("http://141.218.60.56/~jnz1568/getInfo.php?workbook=20_05.xlsx&amp;sheet=U0&amp;row=9761&amp;col=6&amp;number=4.7&amp;sourceID=14","4.7")</f>
        <v>4.7</v>
      </c>
      <c r="G9761" s="4" t="str">
        <f>HYPERLINK("http://141.218.60.56/~jnz1568/getInfo.php?workbook=20_05.xlsx&amp;sheet=U0&amp;row=9761&amp;col=7&amp;number=0.00179&amp;sourceID=14","0.00179")</f>
        <v>0.00179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HYPERLINK("http://141.218.60.56/~jnz1568/getInfo.php?workbook=20_05.xlsx&amp;sheet=U0&amp;row=9762&amp;col=6&amp;number=4.8&amp;sourceID=14","4.8")</f>
        <v>4.8</v>
      </c>
      <c r="G9762" s="4" t="str">
        <f>HYPERLINK("http://141.218.60.56/~jnz1568/getInfo.php?workbook=20_05.xlsx&amp;sheet=U0&amp;row=9762&amp;col=7&amp;number=0.00178&amp;sourceID=14","0.00178")</f>
        <v>0.00178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HYPERLINK("http://141.218.60.56/~jnz1568/getInfo.php?workbook=20_05.xlsx&amp;sheet=U0&amp;row=9763&amp;col=6&amp;number=4.9&amp;sourceID=14","4.9")</f>
        <v>4.9</v>
      </c>
      <c r="G9763" s="4" t="str">
        <f>HYPERLINK("http://141.218.60.56/~jnz1568/getInfo.php?workbook=20_05.xlsx&amp;sheet=U0&amp;row=9763&amp;col=7&amp;number=0.00177&amp;sourceID=14","0.00177")</f>
        <v>0.00177</v>
      </c>
    </row>
    <row r="9764" spans="1:7">
      <c r="A9764" s="3">
        <v>20</v>
      </c>
      <c r="B9764" s="3">
        <v>5</v>
      </c>
      <c r="C9764" s="3">
        <v>5</v>
      </c>
      <c r="D9764" s="3">
        <v>22</v>
      </c>
      <c r="E9764" s="3">
        <v>1</v>
      </c>
      <c r="F9764" s="4" t="str">
        <f>HYPERLINK("http://141.218.60.56/~jnz1568/getInfo.php?workbook=20_05.xlsx&amp;sheet=U0&amp;row=9764&amp;col=6&amp;number=3&amp;sourceID=14","3")</f>
        <v>3</v>
      </c>
      <c r="G9764" s="4" t="str">
        <f>HYPERLINK("http://141.218.60.56/~jnz1568/getInfo.php?workbook=20_05.xlsx&amp;sheet=U0&amp;row=9764&amp;col=7&amp;number=8.49e-05&amp;sourceID=14","8.49e-05")</f>
        <v>8.49e-05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HYPERLINK("http://141.218.60.56/~jnz1568/getInfo.php?workbook=20_05.xlsx&amp;sheet=U0&amp;row=9765&amp;col=6&amp;number=3.1&amp;sourceID=14","3.1")</f>
        <v>3.1</v>
      </c>
      <c r="G9765" s="4" t="str">
        <f>HYPERLINK("http://141.218.60.56/~jnz1568/getInfo.php?workbook=20_05.xlsx&amp;sheet=U0&amp;row=9765&amp;col=7&amp;number=8.49e-05&amp;sourceID=14","8.49e-05")</f>
        <v>8.49e-05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HYPERLINK("http://141.218.60.56/~jnz1568/getInfo.php?workbook=20_05.xlsx&amp;sheet=U0&amp;row=9766&amp;col=6&amp;number=3.2&amp;sourceID=14","3.2")</f>
        <v>3.2</v>
      </c>
      <c r="G9766" s="4" t="str">
        <f>HYPERLINK("http://141.218.60.56/~jnz1568/getInfo.php?workbook=20_05.xlsx&amp;sheet=U0&amp;row=9766&amp;col=7&amp;number=8.49e-05&amp;sourceID=14","8.49e-05")</f>
        <v>8.49e-05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HYPERLINK("http://141.218.60.56/~jnz1568/getInfo.php?workbook=20_05.xlsx&amp;sheet=U0&amp;row=9767&amp;col=6&amp;number=3.3&amp;sourceID=14","3.3")</f>
        <v>3.3</v>
      </c>
      <c r="G9767" s="4" t="str">
        <f>HYPERLINK("http://141.218.60.56/~jnz1568/getInfo.php?workbook=20_05.xlsx&amp;sheet=U0&amp;row=9767&amp;col=7&amp;number=8.49e-05&amp;sourceID=14","8.49e-05")</f>
        <v>8.49e-05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HYPERLINK("http://141.218.60.56/~jnz1568/getInfo.php?workbook=20_05.xlsx&amp;sheet=U0&amp;row=9768&amp;col=6&amp;number=3.4&amp;sourceID=14","3.4")</f>
        <v>3.4</v>
      </c>
      <c r="G9768" s="4" t="str">
        <f>HYPERLINK("http://141.218.60.56/~jnz1568/getInfo.php?workbook=20_05.xlsx&amp;sheet=U0&amp;row=9768&amp;col=7&amp;number=8.49e-05&amp;sourceID=14","8.49e-05")</f>
        <v>8.49e-05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HYPERLINK("http://141.218.60.56/~jnz1568/getInfo.php?workbook=20_05.xlsx&amp;sheet=U0&amp;row=9769&amp;col=6&amp;number=3.5&amp;sourceID=14","3.5")</f>
        <v>3.5</v>
      </c>
      <c r="G9769" s="4" t="str">
        <f>HYPERLINK("http://141.218.60.56/~jnz1568/getInfo.php?workbook=20_05.xlsx&amp;sheet=U0&amp;row=9769&amp;col=7&amp;number=8.49e-05&amp;sourceID=14","8.49e-05")</f>
        <v>8.49e-05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HYPERLINK("http://141.218.60.56/~jnz1568/getInfo.php?workbook=20_05.xlsx&amp;sheet=U0&amp;row=9770&amp;col=6&amp;number=3.6&amp;sourceID=14","3.6")</f>
        <v>3.6</v>
      </c>
      <c r="G9770" s="4" t="str">
        <f>HYPERLINK("http://141.218.60.56/~jnz1568/getInfo.php?workbook=20_05.xlsx&amp;sheet=U0&amp;row=9770&amp;col=7&amp;number=8.49e-05&amp;sourceID=14","8.49e-05")</f>
        <v>8.49e-05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HYPERLINK("http://141.218.60.56/~jnz1568/getInfo.php?workbook=20_05.xlsx&amp;sheet=U0&amp;row=9771&amp;col=6&amp;number=3.7&amp;sourceID=14","3.7")</f>
        <v>3.7</v>
      </c>
      <c r="G9771" s="4" t="str">
        <f>HYPERLINK("http://141.218.60.56/~jnz1568/getInfo.php?workbook=20_05.xlsx&amp;sheet=U0&amp;row=9771&amp;col=7&amp;number=8.48e-05&amp;sourceID=14","8.48e-05")</f>
        <v>8.48e-05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HYPERLINK("http://141.218.60.56/~jnz1568/getInfo.php?workbook=20_05.xlsx&amp;sheet=U0&amp;row=9772&amp;col=6&amp;number=3.8&amp;sourceID=14","3.8")</f>
        <v>3.8</v>
      </c>
      <c r="G9772" s="4" t="str">
        <f>HYPERLINK("http://141.218.60.56/~jnz1568/getInfo.php?workbook=20_05.xlsx&amp;sheet=U0&amp;row=9772&amp;col=7&amp;number=8.48e-05&amp;sourceID=14","8.48e-05")</f>
        <v>8.48e-05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HYPERLINK("http://141.218.60.56/~jnz1568/getInfo.php?workbook=20_05.xlsx&amp;sheet=U0&amp;row=9773&amp;col=6&amp;number=3.9&amp;sourceID=14","3.9")</f>
        <v>3.9</v>
      </c>
      <c r="G9773" s="4" t="str">
        <f>HYPERLINK("http://141.218.60.56/~jnz1568/getInfo.php?workbook=20_05.xlsx&amp;sheet=U0&amp;row=9773&amp;col=7&amp;number=8.48e-05&amp;sourceID=14","8.48e-05")</f>
        <v>8.48e-05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HYPERLINK("http://141.218.60.56/~jnz1568/getInfo.php?workbook=20_05.xlsx&amp;sheet=U0&amp;row=9774&amp;col=6&amp;number=4&amp;sourceID=14","4")</f>
        <v>4</v>
      </c>
      <c r="G9774" s="4" t="str">
        <f>HYPERLINK("http://141.218.60.56/~jnz1568/getInfo.php?workbook=20_05.xlsx&amp;sheet=U0&amp;row=9774&amp;col=7&amp;number=8.47e-05&amp;sourceID=14","8.47e-05")</f>
        <v>8.47e-05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HYPERLINK("http://141.218.60.56/~jnz1568/getInfo.php?workbook=20_05.xlsx&amp;sheet=U0&amp;row=9775&amp;col=6&amp;number=4.1&amp;sourceID=14","4.1")</f>
        <v>4.1</v>
      </c>
      <c r="G9775" s="4" t="str">
        <f>HYPERLINK("http://141.218.60.56/~jnz1568/getInfo.php?workbook=20_05.xlsx&amp;sheet=U0&amp;row=9775&amp;col=7&amp;number=8.47e-05&amp;sourceID=14","8.47e-05")</f>
        <v>8.47e-05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HYPERLINK("http://141.218.60.56/~jnz1568/getInfo.php?workbook=20_05.xlsx&amp;sheet=U0&amp;row=9776&amp;col=6&amp;number=4.2&amp;sourceID=14","4.2")</f>
        <v>4.2</v>
      </c>
      <c r="G9776" s="4" t="str">
        <f>HYPERLINK("http://141.218.60.56/~jnz1568/getInfo.php?workbook=20_05.xlsx&amp;sheet=U0&amp;row=9776&amp;col=7&amp;number=8.46e-05&amp;sourceID=14","8.46e-05")</f>
        <v>8.46e-05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HYPERLINK("http://141.218.60.56/~jnz1568/getInfo.php?workbook=20_05.xlsx&amp;sheet=U0&amp;row=9777&amp;col=6&amp;number=4.3&amp;sourceID=14","4.3")</f>
        <v>4.3</v>
      </c>
      <c r="G9777" s="4" t="str">
        <f>HYPERLINK("http://141.218.60.56/~jnz1568/getInfo.php?workbook=20_05.xlsx&amp;sheet=U0&amp;row=9777&amp;col=7&amp;number=8.45e-05&amp;sourceID=14","8.45e-05")</f>
        <v>8.45e-05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HYPERLINK("http://141.218.60.56/~jnz1568/getInfo.php?workbook=20_05.xlsx&amp;sheet=U0&amp;row=9778&amp;col=6&amp;number=4.4&amp;sourceID=14","4.4")</f>
        <v>4.4</v>
      </c>
      <c r="G9778" s="4" t="str">
        <f>HYPERLINK("http://141.218.60.56/~jnz1568/getInfo.php?workbook=20_05.xlsx&amp;sheet=U0&amp;row=9778&amp;col=7&amp;number=8.44e-05&amp;sourceID=14","8.44e-05")</f>
        <v>8.44e-05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HYPERLINK("http://141.218.60.56/~jnz1568/getInfo.php?workbook=20_05.xlsx&amp;sheet=U0&amp;row=9779&amp;col=6&amp;number=4.5&amp;sourceID=14","4.5")</f>
        <v>4.5</v>
      </c>
      <c r="G9779" s="4" t="str">
        <f>HYPERLINK("http://141.218.60.56/~jnz1568/getInfo.php?workbook=20_05.xlsx&amp;sheet=U0&amp;row=9779&amp;col=7&amp;number=8.42e-05&amp;sourceID=14","8.42e-05")</f>
        <v>8.42e-05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HYPERLINK("http://141.218.60.56/~jnz1568/getInfo.php?workbook=20_05.xlsx&amp;sheet=U0&amp;row=9780&amp;col=6&amp;number=4.6&amp;sourceID=14","4.6")</f>
        <v>4.6</v>
      </c>
      <c r="G9780" s="4" t="str">
        <f>HYPERLINK("http://141.218.60.56/~jnz1568/getInfo.php?workbook=20_05.xlsx&amp;sheet=U0&amp;row=9780&amp;col=7&amp;number=8.4e-05&amp;sourceID=14","8.4e-05")</f>
        <v>8.4e-05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HYPERLINK("http://141.218.60.56/~jnz1568/getInfo.php?workbook=20_05.xlsx&amp;sheet=U0&amp;row=9781&amp;col=6&amp;number=4.7&amp;sourceID=14","4.7")</f>
        <v>4.7</v>
      </c>
      <c r="G9781" s="4" t="str">
        <f>HYPERLINK("http://141.218.60.56/~jnz1568/getInfo.php?workbook=20_05.xlsx&amp;sheet=U0&amp;row=9781&amp;col=7&amp;number=8.38e-05&amp;sourceID=14","8.38e-05")</f>
        <v>8.38e-05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HYPERLINK("http://141.218.60.56/~jnz1568/getInfo.php?workbook=20_05.xlsx&amp;sheet=U0&amp;row=9782&amp;col=6&amp;number=4.8&amp;sourceID=14","4.8")</f>
        <v>4.8</v>
      </c>
      <c r="G9782" s="4" t="str">
        <f>HYPERLINK("http://141.218.60.56/~jnz1568/getInfo.php?workbook=20_05.xlsx&amp;sheet=U0&amp;row=9782&amp;col=7&amp;number=8.35e-05&amp;sourceID=14","8.35e-05")</f>
        <v>8.35e-05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HYPERLINK("http://141.218.60.56/~jnz1568/getInfo.php?workbook=20_05.xlsx&amp;sheet=U0&amp;row=9783&amp;col=6&amp;number=4.9&amp;sourceID=14","4.9")</f>
        <v>4.9</v>
      </c>
      <c r="G9783" s="4" t="str">
        <f>HYPERLINK("http://141.218.60.56/~jnz1568/getInfo.php?workbook=20_05.xlsx&amp;sheet=U0&amp;row=9783&amp;col=7&amp;number=8.31e-05&amp;sourceID=14","8.31e-05")</f>
        <v>8.31e-05</v>
      </c>
    </row>
    <row r="9784" spans="1:7">
      <c r="A9784" s="3">
        <v>20</v>
      </c>
      <c r="B9784" s="3">
        <v>5</v>
      </c>
      <c r="C9784" s="3">
        <v>5</v>
      </c>
      <c r="D9784" s="3">
        <v>23</v>
      </c>
      <c r="E9784" s="3">
        <v>1</v>
      </c>
      <c r="F9784" s="4" t="str">
        <f>HYPERLINK("http://141.218.60.56/~jnz1568/getInfo.php?workbook=20_05.xlsx&amp;sheet=U0&amp;row=9784&amp;col=6&amp;number=3&amp;sourceID=14","3")</f>
        <v>3</v>
      </c>
      <c r="G9784" s="4" t="str">
        <f>HYPERLINK("http://141.218.60.56/~jnz1568/getInfo.php?workbook=20_05.xlsx&amp;sheet=U0&amp;row=9784&amp;col=7&amp;number=7.08e-05&amp;sourceID=14","7.08e-05")</f>
        <v>7.08e-05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HYPERLINK("http://141.218.60.56/~jnz1568/getInfo.php?workbook=20_05.xlsx&amp;sheet=U0&amp;row=9785&amp;col=6&amp;number=3.1&amp;sourceID=14","3.1")</f>
        <v>3.1</v>
      </c>
      <c r="G9785" s="4" t="str">
        <f>HYPERLINK("http://141.218.60.56/~jnz1568/getInfo.php?workbook=20_05.xlsx&amp;sheet=U0&amp;row=9785&amp;col=7&amp;number=7.08e-05&amp;sourceID=14","7.08e-05")</f>
        <v>7.08e-05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HYPERLINK("http://141.218.60.56/~jnz1568/getInfo.php?workbook=20_05.xlsx&amp;sheet=U0&amp;row=9786&amp;col=6&amp;number=3.2&amp;sourceID=14","3.2")</f>
        <v>3.2</v>
      </c>
      <c r="G9786" s="4" t="str">
        <f>HYPERLINK("http://141.218.60.56/~jnz1568/getInfo.php?workbook=20_05.xlsx&amp;sheet=U0&amp;row=9786&amp;col=7&amp;number=7.08e-05&amp;sourceID=14","7.08e-05")</f>
        <v>7.08e-05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HYPERLINK("http://141.218.60.56/~jnz1568/getInfo.php?workbook=20_05.xlsx&amp;sheet=U0&amp;row=9787&amp;col=6&amp;number=3.3&amp;sourceID=14","3.3")</f>
        <v>3.3</v>
      </c>
      <c r="G9787" s="4" t="str">
        <f>HYPERLINK("http://141.218.60.56/~jnz1568/getInfo.php?workbook=20_05.xlsx&amp;sheet=U0&amp;row=9787&amp;col=7&amp;number=7.08e-05&amp;sourceID=14","7.08e-05")</f>
        <v>7.08e-05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HYPERLINK("http://141.218.60.56/~jnz1568/getInfo.php?workbook=20_05.xlsx&amp;sheet=U0&amp;row=9788&amp;col=6&amp;number=3.4&amp;sourceID=14","3.4")</f>
        <v>3.4</v>
      </c>
      <c r="G9788" s="4" t="str">
        <f>HYPERLINK("http://141.218.60.56/~jnz1568/getInfo.php?workbook=20_05.xlsx&amp;sheet=U0&amp;row=9788&amp;col=7&amp;number=7.08e-05&amp;sourceID=14","7.08e-05")</f>
        <v>7.08e-05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HYPERLINK("http://141.218.60.56/~jnz1568/getInfo.php?workbook=20_05.xlsx&amp;sheet=U0&amp;row=9789&amp;col=6&amp;number=3.5&amp;sourceID=14","3.5")</f>
        <v>3.5</v>
      </c>
      <c r="G9789" s="4" t="str">
        <f>HYPERLINK("http://141.218.60.56/~jnz1568/getInfo.php?workbook=20_05.xlsx&amp;sheet=U0&amp;row=9789&amp;col=7&amp;number=7.08e-05&amp;sourceID=14","7.08e-05")</f>
        <v>7.08e-05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HYPERLINK("http://141.218.60.56/~jnz1568/getInfo.php?workbook=20_05.xlsx&amp;sheet=U0&amp;row=9790&amp;col=6&amp;number=3.6&amp;sourceID=14","3.6")</f>
        <v>3.6</v>
      </c>
      <c r="G9790" s="4" t="str">
        <f>HYPERLINK("http://141.218.60.56/~jnz1568/getInfo.php?workbook=20_05.xlsx&amp;sheet=U0&amp;row=9790&amp;col=7&amp;number=7.08e-05&amp;sourceID=14","7.08e-05")</f>
        <v>7.08e-05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HYPERLINK("http://141.218.60.56/~jnz1568/getInfo.php?workbook=20_05.xlsx&amp;sheet=U0&amp;row=9791&amp;col=6&amp;number=3.7&amp;sourceID=14","3.7")</f>
        <v>3.7</v>
      </c>
      <c r="G9791" s="4" t="str">
        <f>HYPERLINK("http://141.218.60.56/~jnz1568/getInfo.php?workbook=20_05.xlsx&amp;sheet=U0&amp;row=9791&amp;col=7&amp;number=7.08e-05&amp;sourceID=14","7.08e-05")</f>
        <v>7.08e-05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HYPERLINK("http://141.218.60.56/~jnz1568/getInfo.php?workbook=20_05.xlsx&amp;sheet=U0&amp;row=9792&amp;col=6&amp;number=3.8&amp;sourceID=14","3.8")</f>
        <v>3.8</v>
      </c>
      <c r="G9792" s="4" t="str">
        <f>HYPERLINK("http://141.218.60.56/~jnz1568/getInfo.php?workbook=20_05.xlsx&amp;sheet=U0&amp;row=9792&amp;col=7&amp;number=7.08e-05&amp;sourceID=14","7.08e-05")</f>
        <v>7.08e-05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HYPERLINK("http://141.218.60.56/~jnz1568/getInfo.php?workbook=20_05.xlsx&amp;sheet=U0&amp;row=9793&amp;col=6&amp;number=3.9&amp;sourceID=14","3.9")</f>
        <v>3.9</v>
      </c>
      <c r="G9793" s="4" t="str">
        <f>HYPERLINK("http://141.218.60.56/~jnz1568/getInfo.php?workbook=20_05.xlsx&amp;sheet=U0&amp;row=9793&amp;col=7&amp;number=7.08e-05&amp;sourceID=14","7.08e-05")</f>
        <v>7.08e-05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HYPERLINK("http://141.218.60.56/~jnz1568/getInfo.php?workbook=20_05.xlsx&amp;sheet=U0&amp;row=9794&amp;col=6&amp;number=4&amp;sourceID=14","4")</f>
        <v>4</v>
      </c>
      <c r="G9794" s="4" t="str">
        <f>HYPERLINK("http://141.218.60.56/~jnz1568/getInfo.php?workbook=20_05.xlsx&amp;sheet=U0&amp;row=9794&amp;col=7&amp;number=7.08e-05&amp;sourceID=14","7.08e-05")</f>
        <v>7.08e-05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HYPERLINK("http://141.218.60.56/~jnz1568/getInfo.php?workbook=20_05.xlsx&amp;sheet=U0&amp;row=9795&amp;col=6&amp;number=4.1&amp;sourceID=14","4.1")</f>
        <v>4.1</v>
      </c>
      <c r="G9795" s="4" t="str">
        <f>HYPERLINK("http://141.218.60.56/~jnz1568/getInfo.php?workbook=20_05.xlsx&amp;sheet=U0&amp;row=9795&amp;col=7&amp;number=7.09e-05&amp;sourceID=14","7.09e-05")</f>
        <v>7.09e-05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HYPERLINK("http://141.218.60.56/~jnz1568/getInfo.php?workbook=20_05.xlsx&amp;sheet=U0&amp;row=9796&amp;col=6&amp;number=4.2&amp;sourceID=14","4.2")</f>
        <v>4.2</v>
      </c>
      <c r="G9796" s="4" t="str">
        <f>HYPERLINK("http://141.218.60.56/~jnz1568/getInfo.php?workbook=20_05.xlsx&amp;sheet=U0&amp;row=9796&amp;col=7&amp;number=7.09e-05&amp;sourceID=14","7.09e-05")</f>
        <v>7.09e-05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HYPERLINK("http://141.218.60.56/~jnz1568/getInfo.php?workbook=20_05.xlsx&amp;sheet=U0&amp;row=9797&amp;col=6&amp;number=4.3&amp;sourceID=14","4.3")</f>
        <v>4.3</v>
      </c>
      <c r="G9797" s="4" t="str">
        <f>HYPERLINK("http://141.218.60.56/~jnz1568/getInfo.php?workbook=20_05.xlsx&amp;sheet=U0&amp;row=9797&amp;col=7&amp;number=7.09e-05&amp;sourceID=14","7.09e-05")</f>
        <v>7.09e-05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HYPERLINK("http://141.218.60.56/~jnz1568/getInfo.php?workbook=20_05.xlsx&amp;sheet=U0&amp;row=9798&amp;col=6&amp;number=4.4&amp;sourceID=14","4.4")</f>
        <v>4.4</v>
      </c>
      <c r="G9798" s="4" t="str">
        <f>HYPERLINK("http://141.218.60.56/~jnz1568/getInfo.php?workbook=20_05.xlsx&amp;sheet=U0&amp;row=9798&amp;col=7&amp;number=7.09e-05&amp;sourceID=14","7.09e-05")</f>
        <v>7.09e-05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HYPERLINK("http://141.218.60.56/~jnz1568/getInfo.php?workbook=20_05.xlsx&amp;sheet=U0&amp;row=9799&amp;col=6&amp;number=4.5&amp;sourceID=14","4.5")</f>
        <v>4.5</v>
      </c>
      <c r="G9799" s="4" t="str">
        <f>HYPERLINK("http://141.218.60.56/~jnz1568/getInfo.php?workbook=20_05.xlsx&amp;sheet=U0&amp;row=9799&amp;col=7&amp;number=7.1e-05&amp;sourceID=14","7.1e-05")</f>
        <v>7.1e-05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HYPERLINK("http://141.218.60.56/~jnz1568/getInfo.php?workbook=20_05.xlsx&amp;sheet=U0&amp;row=9800&amp;col=6&amp;number=4.6&amp;sourceID=14","4.6")</f>
        <v>4.6</v>
      </c>
      <c r="G9800" s="4" t="str">
        <f>HYPERLINK("http://141.218.60.56/~jnz1568/getInfo.php?workbook=20_05.xlsx&amp;sheet=U0&amp;row=9800&amp;col=7&amp;number=7.1e-05&amp;sourceID=14","7.1e-05")</f>
        <v>7.1e-05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HYPERLINK("http://141.218.60.56/~jnz1568/getInfo.php?workbook=20_05.xlsx&amp;sheet=U0&amp;row=9801&amp;col=6&amp;number=4.7&amp;sourceID=14","4.7")</f>
        <v>4.7</v>
      </c>
      <c r="G9801" s="4" t="str">
        <f>HYPERLINK("http://141.218.60.56/~jnz1568/getInfo.php?workbook=20_05.xlsx&amp;sheet=U0&amp;row=9801&amp;col=7&amp;number=7.11e-05&amp;sourceID=14","7.11e-05")</f>
        <v>7.11e-05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HYPERLINK("http://141.218.60.56/~jnz1568/getInfo.php?workbook=20_05.xlsx&amp;sheet=U0&amp;row=9802&amp;col=6&amp;number=4.8&amp;sourceID=14","4.8")</f>
        <v>4.8</v>
      </c>
      <c r="G9802" s="4" t="str">
        <f>HYPERLINK("http://141.218.60.56/~jnz1568/getInfo.php?workbook=20_05.xlsx&amp;sheet=U0&amp;row=9802&amp;col=7&amp;number=7.12e-05&amp;sourceID=14","7.12e-05")</f>
        <v>7.12e-05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HYPERLINK("http://141.218.60.56/~jnz1568/getInfo.php?workbook=20_05.xlsx&amp;sheet=U0&amp;row=9803&amp;col=6&amp;number=4.9&amp;sourceID=14","4.9")</f>
        <v>4.9</v>
      </c>
      <c r="G9803" s="4" t="str">
        <f>HYPERLINK("http://141.218.60.56/~jnz1568/getInfo.php?workbook=20_05.xlsx&amp;sheet=U0&amp;row=9803&amp;col=7&amp;number=7.13e-05&amp;sourceID=14","7.13e-05")</f>
        <v>7.13e-05</v>
      </c>
    </row>
    <row r="9804" spans="1:7">
      <c r="A9804" s="3">
        <v>20</v>
      </c>
      <c r="B9804" s="3">
        <v>5</v>
      </c>
      <c r="C9804" s="3">
        <v>5</v>
      </c>
      <c r="D9804" s="3">
        <v>24</v>
      </c>
      <c r="E9804" s="3">
        <v>1</v>
      </c>
      <c r="F9804" s="4" t="str">
        <f>HYPERLINK("http://141.218.60.56/~jnz1568/getInfo.php?workbook=20_05.xlsx&amp;sheet=U0&amp;row=9804&amp;col=6&amp;number=3&amp;sourceID=14","3")</f>
        <v>3</v>
      </c>
      <c r="G9804" s="4" t="str">
        <f>HYPERLINK("http://141.218.60.56/~jnz1568/getInfo.php?workbook=20_05.xlsx&amp;sheet=U0&amp;row=9804&amp;col=7&amp;number=0.000116&amp;sourceID=14","0.000116")</f>
        <v>0.000116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HYPERLINK("http://141.218.60.56/~jnz1568/getInfo.php?workbook=20_05.xlsx&amp;sheet=U0&amp;row=9805&amp;col=6&amp;number=3.1&amp;sourceID=14","3.1")</f>
        <v>3.1</v>
      </c>
      <c r="G9805" s="4" t="str">
        <f>HYPERLINK("http://141.218.60.56/~jnz1568/getInfo.php?workbook=20_05.xlsx&amp;sheet=U0&amp;row=9805&amp;col=7&amp;number=0.000116&amp;sourceID=14","0.000116")</f>
        <v>0.000116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HYPERLINK("http://141.218.60.56/~jnz1568/getInfo.php?workbook=20_05.xlsx&amp;sheet=U0&amp;row=9806&amp;col=6&amp;number=3.2&amp;sourceID=14","3.2")</f>
        <v>3.2</v>
      </c>
      <c r="G9806" s="4" t="str">
        <f>HYPERLINK("http://141.218.60.56/~jnz1568/getInfo.php?workbook=20_05.xlsx&amp;sheet=U0&amp;row=9806&amp;col=7&amp;number=0.000116&amp;sourceID=14","0.000116")</f>
        <v>0.000116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HYPERLINK("http://141.218.60.56/~jnz1568/getInfo.php?workbook=20_05.xlsx&amp;sheet=U0&amp;row=9807&amp;col=6&amp;number=3.3&amp;sourceID=14","3.3")</f>
        <v>3.3</v>
      </c>
      <c r="G9807" s="4" t="str">
        <f>HYPERLINK("http://141.218.60.56/~jnz1568/getInfo.php?workbook=20_05.xlsx&amp;sheet=U0&amp;row=9807&amp;col=7&amp;number=0.000116&amp;sourceID=14","0.000116")</f>
        <v>0.000116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HYPERLINK("http://141.218.60.56/~jnz1568/getInfo.php?workbook=20_05.xlsx&amp;sheet=U0&amp;row=9808&amp;col=6&amp;number=3.4&amp;sourceID=14","3.4")</f>
        <v>3.4</v>
      </c>
      <c r="G9808" s="4" t="str">
        <f>HYPERLINK("http://141.218.60.56/~jnz1568/getInfo.php?workbook=20_05.xlsx&amp;sheet=U0&amp;row=9808&amp;col=7&amp;number=0.000116&amp;sourceID=14","0.000116")</f>
        <v>0.000116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HYPERLINK("http://141.218.60.56/~jnz1568/getInfo.php?workbook=20_05.xlsx&amp;sheet=U0&amp;row=9809&amp;col=6&amp;number=3.5&amp;sourceID=14","3.5")</f>
        <v>3.5</v>
      </c>
      <c r="G9809" s="4" t="str">
        <f>HYPERLINK("http://141.218.60.56/~jnz1568/getInfo.php?workbook=20_05.xlsx&amp;sheet=U0&amp;row=9809&amp;col=7&amp;number=0.000116&amp;sourceID=14","0.000116")</f>
        <v>0.000116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HYPERLINK("http://141.218.60.56/~jnz1568/getInfo.php?workbook=20_05.xlsx&amp;sheet=U0&amp;row=9810&amp;col=6&amp;number=3.6&amp;sourceID=14","3.6")</f>
        <v>3.6</v>
      </c>
      <c r="G9810" s="4" t="str">
        <f>HYPERLINK("http://141.218.60.56/~jnz1568/getInfo.php?workbook=20_05.xlsx&amp;sheet=U0&amp;row=9810&amp;col=7&amp;number=0.000116&amp;sourceID=14","0.000116")</f>
        <v>0.000116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HYPERLINK("http://141.218.60.56/~jnz1568/getInfo.php?workbook=20_05.xlsx&amp;sheet=U0&amp;row=9811&amp;col=6&amp;number=3.7&amp;sourceID=14","3.7")</f>
        <v>3.7</v>
      </c>
      <c r="G9811" s="4" t="str">
        <f>HYPERLINK("http://141.218.60.56/~jnz1568/getInfo.php?workbook=20_05.xlsx&amp;sheet=U0&amp;row=9811&amp;col=7&amp;number=0.000116&amp;sourceID=14","0.000116")</f>
        <v>0.000116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HYPERLINK("http://141.218.60.56/~jnz1568/getInfo.php?workbook=20_05.xlsx&amp;sheet=U0&amp;row=9812&amp;col=6&amp;number=3.8&amp;sourceID=14","3.8")</f>
        <v>3.8</v>
      </c>
      <c r="G9812" s="4" t="str">
        <f>HYPERLINK("http://141.218.60.56/~jnz1568/getInfo.php?workbook=20_05.xlsx&amp;sheet=U0&amp;row=9812&amp;col=7&amp;number=0.000116&amp;sourceID=14","0.000116")</f>
        <v>0.000116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HYPERLINK("http://141.218.60.56/~jnz1568/getInfo.php?workbook=20_05.xlsx&amp;sheet=U0&amp;row=9813&amp;col=6&amp;number=3.9&amp;sourceID=14","3.9")</f>
        <v>3.9</v>
      </c>
      <c r="G9813" s="4" t="str">
        <f>HYPERLINK("http://141.218.60.56/~jnz1568/getInfo.php?workbook=20_05.xlsx&amp;sheet=U0&amp;row=9813&amp;col=7&amp;number=0.000116&amp;sourceID=14","0.000116")</f>
        <v>0.000116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HYPERLINK("http://141.218.60.56/~jnz1568/getInfo.php?workbook=20_05.xlsx&amp;sheet=U0&amp;row=9814&amp;col=6&amp;number=4&amp;sourceID=14","4")</f>
        <v>4</v>
      </c>
      <c r="G9814" s="4" t="str">
        <f>HYPERLINK("http://141.218.60.56/~jnz1568/getInfo.php?workbook=20_05.xlsx&amp;sheet=U0&amp;row=9814&amp;col=7&amp;number=0.000116&amp;sourceID=14","0.000116")</f>
        <v>0.000116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HYPERLINK("http://141.218.60.56/~jnz1568/getInfo.php?workbook=20_05.xlsx&amp;sheet=U0&amp;row=9815&amp;col=6&amp;number=4.1&amp;sourceID=14","4.1")</f>
        <v>4.1</v>
      </c>
      <c r="G9815" s="4" t="str">
        <f>HYPERLINK("http://141.218.60.56/~jnz1568/getInfo.php?workbook=20_05.xlsx&amp;sheet=U0&amp;row=9815&amp;col=7&amp;number=0.000116&amp;sourceID=14","0.000116")</f>
        <v>0.000116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HYPERLINK("http://141.218.60.56/~jnz1568/getInfo.php?workbook=20_05.xlsx&amp;sheet=U0&amp;row=9816&amp;col=6&amp;number=4.2&amp;sourceID=14","4.2")</f>
        <v>4.2</v>
      </c>
      <c r="G9816" s="4" t="str">
        <f>HYPERLINK("http://141.218.60.56/~jnz1568/getInfo.php?workbook=20_05.xlsx&amp;sheet=U0&amp;row=9816&amp;col=7&amp;number=0.000116&amp;sourceID=14","0.000116")</f>
        <v>0.000116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HYPERLINK("http://141.218.60.56/~jnz1568/getInfo.php?workbook=20_05.xlsx&amp;sheet=U0&amp;row=9817&amp;col=6&amp;number=4.3&amp;sourceID=14","4.3")</f>
        <v>4.3</v>
      </c>
      <c r="G9817" s="4" t="str">
        <f>HYPERLINK("http://141.218.60.56/~jnz1568/getInfo.php?workbook=20_05.xlsx&amp;sheet=U0&amp;row=9817&amp;col=7&amp;number=0.000116&amp;sourceID=14","0.000116")</f>
        <v>0.000116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HYPERLINK("http://141.218.60.56/~jnz1568/getInfo.php?workbook=20_05.xlsx&amp;sheet=U0&amp;row=9818&amp;col=6&amp;number=4.4&amp;sourceID=14","4.4")</f>
        <v>4.4</v>
      </c>
      <c r="G9818" s="4" t="str">
        <f>HYPERLINK("http://141.218.60.56/~jnz1568/getInfo.php?workbook=20_05.xlsx&amp;sheet=U0&amp;row=9818&amp;col=7&amp;number=0.000115&amp;sourceID=14","0.000115")</f>
        <v>0.000115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HYPERLINK("http://141.218.60.56/~jnz1568/getInfo.php?workbook=20_05.xlsx&amp;sheet=U0&amp;row=9819&amp;col=6&amp;number=4.5&amp;sourceID=14","4.5")</f>
        <v>4.5</v>
      </c>
      <c r="G9819" s="4" t="str">
        <f>HYPERLINK("http://141.218.60.56/~jnz1568/getInfo.php?workbook=20_05.xlsx&amp;sheet=U0&amp;row=9819&amp;col=7&amp;number=0.000115&amp;sourceID=14","0.000115")</f>
        <v>0.000115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HYPERLINK("http://141.218.60.56/~jnz1568/getInfo.php?workbook=20_05.xlsx&amp;sheet=U0&amp;row=9820&amp;col=6&amp;number=4.6&amp;sourceID=14","4.6")</f>
        <v>4.6</v>
      </c>
      <c r="G9820" s="4" t="str">
        <f>HYPERLINK("http://141.218.60.56/~jnz1568/getInfo.php?workbook=20_05.xlsx&amp;sheet=U0&amp;row=9820&amp;col=7&amp;number=0.000115&amp;sourceID=14","0.000115")</f>
        <v>0.000115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HYPERLINK("http://141.218.60.56/~jnz1568/getInfo.php?workbook=20_05.xlsx&amp;sheet=U0&amp;row=9821&amp;col=6&amp;number=4.7&amp;sourceID=14","4.7")</f>
        <v>4.7</v>
      </c>
      <c r="G9821" s="4" t="str">
        <f>HYPERLINK("http://141.218.60.56/~jnz1568/getInfo.php?workbook=20_05.xlsx&amp;sheet=U0&amp;row=9821&amp;col=7&amp;number=0.000115&amp;sourceID=14","0.000115")</f>
        <v>0.000115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HYPERLINK("http://141.218.60.56/~jnz1568/getInfo.php?workbook=20_05.xlsx&amp;sheet=U0&amp;row=9822&amp;col=6&amp;number=4.8&amp;sourceID=14","4.8")</f>
        <v>4.8</v>
      </c>
      <c r="G9822" s="4" t="str">
        <f>HYPERLINK("http://141.218.60.56/~jnz1568/getInfo.php?workbook=20_05.xlsx&amp;sheet=U0&amp;row=9822&amp;col=7&amp;number=0.000114&amp;sourceID=14","0.000114")</f>
        <v>0.000114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HYPERLINK("http://141.218.60.56/~jnz1568/getInfo.php?workbook=20_05.xlsx&amp;sheet=U0&amp;row=9823&amp;col=6&amp;number=4.9&amp;sourceID=14","4.9")</f>
        <v>4.9</v>
      </c>
      <c r="G9823" s="4" t="str">
        <f>HYPERLINK("http://141.218.60.56/~jnz1568/getInfo.php?workbook=20_05.xlsx&amp;sheet=U0&amp;row=9823&amp;col=7&amp;number=0.000114&amp;sourceID=14","0.000114")</f>
        <v>0.000114</v>
      </c>
    </row>
    <row r="9824" spans="1:7">
      <c r="A9824" s="3">
        <v>20</v>
      </c>
      <c r="B9824" s="3">
        <v>5</v>
      </c>
      <c r="C9824" s="3">
        <v>5</v>
      </c>
      <c r="D9824" s="3">
        <v>25</v>
      </c>
      <c r="E9824" s="3">
        <v>1</v>
      </c>
      <c r="F9824" s="4" t="str">
        <f>HYPERLINK("http://141.218.60.56/~jnz1568/getInfo.php?workbook=20_05.xlsx&amp;sheet=U0&amp;row=9824&amp;col=6&amp;number=3&amp;sourceID=14","3")</f>
        <v>3</v>
      </c>
      <c r="G9824" s="4" t="str">
        <f>HYPERLINK("http://141.218.60.56/~jnz1568/getInfo.php?workbook=20_05.xlsx&amp;sheet=U0&amp;row=9824&amp;col=7&amp;number=0.00023&amp;sourceID=14","0.00023")</f>
        <v>0.00023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HYPERLINK("http://141.218.60.56/~jnz1568/getInfo.php?workbook=20_05.xlsx&amp;sheet=U0&amp;row=9825&amp;col=6&amp;number=3.1&amp;sourceID=14","3.1")</f>
        <v>3.1</v>
      </c>
      <c r="G9825" s="4" t="str">
        <f>HYPERLINK("http://141.218.60.56/~jnz1568/getInfo.php?workbook=20_05.xlsx&amp;sheet=U0&amp;row=9825&amp;col=7&amp;number=0.00023&amp;sourceID=14","0.00023")</f>
        <v>0.00023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HYPERLINK("http://141.218.60.56/~jnz1568/getInfo.php?workbook=20_05.xlsx&amp;sheet=U0&amp;row=9826&amp;col=6&amp;number=3.2&amp;sourceID=14","3.2")</f>
        <v>3.2</v>
      </c>
      <c r="G9826" s="4" t="str">
        <f>HYPERLINK("http://141.218.60.56/~jnz1568/getInfo.php?workbook=20_05.xlsx&amp;sheet=U0&amp;row=9826&amp;col=7&amp;number=0.00023&amp;sourceID=14","0.00023")</f>
        <v>0.00023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HYPERLINK("http://141.218.60.56/~jnz1568/getInfo.php?workbook=20_05.xlsx&amp;sheet=U0&amp;row=9827&amp;col=6&amp;number=3.3&amp;sourceID=14","3.3")</f>
        <v>3.3</v>
      </c>
      <c r="G9827" s="4" t="str">
        <f>HYPERLINK("http://141.218.60.56/~jnz1568/getInfo.php?workbook=20_05.xlsx&amp;sheet=U0&amp;row=9827&amp;col=7&amp;number=0.00023&amp;sourceID=14","0.00023")</f>
        <v>0.00023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HYPERLINK("http://141.218.60.56/~jnz1568/getInfo.php?workbook=20_05.xlsx&amp;sheet=U0&amp;row=9828&amp;col=6&amp;number=3.4&amp;sourceID=14","3.4")</f>
        <v>3.4</v>
      </c>
      <c r="G9828" s="4" t="str">
        <f>HYPERLINK("http://141.218.60.56/~jnz1568/getInfo.php?workbook=20_05.xlsx&amp;sheet=U0&amp;row=9828&amp;col=7&amp;number=0.00023&amp;sourceID=14","0.00023")</f>
        <v>0.00023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HYPERLINK("http://141.218.60.56/~jnz1568/getInfo.php?workbook=20_05.xlsx&amp;sheet=U0&amp;row=9829&amp;col=6&amp;number=3.5&amp;sourceID=14","3.5")</f>
        <v>3.5</v>
      </c>
      <c r="G9829" s="4" t="str">
        <f>HYPERLINK("http://141.218.60.56/~jnz1568/getInfo.php?workbook=20_05.xlsx&amp;sheet=U0&amp;row=9829&amp;col=7&amp;number=0.00023&amp;sourceID=14","0.00023")</f>
        <v>0.00023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HYPERLINK("http://141.218.60.56/~jnz1568/getInfo.php?workbook=20_05.xlsx&amp;sheet=U0&amp;row=9830&amp;col=6&amp;number=3.6&amp;sourceID=14","3.6")</f>
        <v>3.6</v>
      </c>
      <c r="G9830" s="4" t="str">
        <f>HYPERLINK("http://141.218.60.56/~jnz1568/getInfo.php?workbook=20_05.xlsx&amp;sheet=U0&amp;row=9830&amp;col=7&amp;number=0.00023&amp;sourceID=14","0.00023")</f>
        <v>0.00023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HYPERLINK("http://141.218.60.56/~jnz1568/getInfo.php?workbook=20_05.xlsx&amp;sheet=U0&amp;row=9831&amp;col=6&amp;number=3.7&amp;sourceID=14","3.7")</f>
        <v>3.7</v>
      </c>
      <c r="G9831" s="4" t="str">
        <f>HYPERLINK("http://141.218.60.56/~jnz1568/getInfo.php?workbook=20_05.xlsx&amp;sheet=U0&amp;row=9831&amp;col=7&amp;number=0.00023&amp;sourceID=14","0.00023")</f>
        <v>0.00023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HYPERLINK("http://141.218.60.56/~jnz1568/getInfo.php?workbook=20_05.xlsx&amp;sheet=U0&amp;row=9832&amp;col=6&amp;number=3.8&amp;sourceID=14","3.8")</f>
        <v>3.8</v>
      </c>
      <c r="G9832" s="4" t="str">
        <f>HYPERLINK("http://141.218.60.56/~jnz1568/getInfo.php?workbook=20_05.xlsx&amp;sheet=U0&amp;row=9832&amp;col=7&amp;number=0.00023&amp;sourceID=14","0.00023")</f>
        <v>0.00023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HYPERLINK("http://141.218.60.56/~jnz1568/getInfo.php?workbook=20_05.xlsx&amp;sheet=U0&amp;row=9833&amp;col=6&amp;number=3.9&amp;sourceID=14","3.9")</f>
        <v>3.9</v>
      </c>
      <c r="G9833" s="4" t="str">
        <f>HYPERLINK("http://141.218.60.56/~jnz1568/getInfo.php?workbook=20_05.xlsx&amp;sheet=U0&amp;row=9833&amp;col=7&amp;number=0.000231&amp;sourceID=14","0.000231")</f>
        <v>0.000231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HYPERLINK("http://141.218.60.56/~jnz1568/getInfo.php?workbook=20_05.xlsx&amp;sheet=U0&amp;row=9834&amp;col=6&amp;number=4&amp;sourceID=14","4")</f>
        <v>4</v>
      </c>
      <c r="G9834" s="4" t="str">
        <f>HYPERLINK("http://141.218.60.56/~jnz1568/getInfo.php?workbook=20_05.xlsx&amp;sheet=U0&amp;row=9834&amp;col=7&amp;number=0.000231&amp;sourceID=14","0.000231")</f>
        <v>0.000231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HYPERLINK("http://141.218.60.56/~jnz1568/getInfo.php?workbook=20_05.xlsx&amp;sheet=U0&amp;row=9835&amp;col=6&amp;number=4.1&amp;sourceID=14","4.1")</f>
        <v>4.1</v>
      </c>
      <c r="G9835" s="4" t="str">
        <f>HYPERLINK("http://141.218.60.56/~jnz1568/getInfo.php?workbook=20_05.xlsx&amp;sheet=U0&amp;row=9835&amp;col=7&amp;number=0.000231&amp;sourceID=14","0.000231")</f>
        <v>0.000231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HYPERLINK("http://141.218.60.56/~jnz1568/getInfo.php?workbook=20_05.xlsx&amp;sheet=U0&amp;row=9836&amp;col=6&amp;number=4.2&amp;sourceID=14","4.2")</f>
        <v>4.2</v>
      </c>
      <c r="G9836" s="4" t="str">
        <f>HYPERLINK("http://141.218.60.56/~jnz1568/getInfo.php?workbook=20_05.xlsx&amp;sheet=U0&amp;row=9836&amp;col=7&amp;number=0.000231&amp;sourceID=14","0.000231")</f>
        <v>0.000231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HYPERLINK("http://141.218.60.56/~jnz1568/getInfo.php?workbook=20_05.xlsx&amp;sheet=U0&amp;row=9837&amp;col=6&amp;number=4.3&amp;sourceID=14","4.3")</f>
        <v>4.3</v>
      </c>
      <c r="G9837" s="4" t="str">
        <f>HYPERLINK("http://141.218.60.56/~jnz1568/getInfo.php?workbook=20_05.xlsx&amp;sheet=U0&amp;row=9837&amp;col=7&amp;number=0.000231&amp;sourceID=14","0.000231")</f>
        <v>0.000231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HYPERLINK("http://141.218.60.56/~jnz1568/getInfo.php?workbook=20_05.xlsx&amp;sheet=U0&amp;row=9838&amp;col=6&amp;number=4.4&amp;sourceID=14","4.4")</f>
        <v>4.4</v>
      </c>
      <c r="G9838" s="4" t="str">
        <f>HYPERLINK("http://141.218.60.56/~jnz1568/getInfo.php?workbook=20_05.xlsx&amp;sheet=U0&amp;row=9838&amp;col=7&amp;number=0.000231&amp;sourceID=14","0.000231")</f>
        <v>0.000231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HYPERLINK("http://141.218.60.56/~jnz1568/getInfo.php?workbook=20_05.xlsx&amp;sheet=U0&amp;row=9839&amp;col=6&amp;number=4.5&amp;sourceID=14","4.5")</f>
        <v>4.5</v>
      </c>
      <c r="G9839" s="4" t="str">
        <f>HYPERLINK("http://141.218.60.56/~jnz1568/getInfo.php?workbook=20_05.xlsx&amp;sheet=U0&amp;row=9839&amp;col=7&amp;number=0.000231&amp;sourceID=14","0.000231")</f>
        <v>0.000231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HYPERLINK("http://141.218.60.56/~jnz1568/getInfo.php?workbook=20_05.xlsx&amp;sheet=U0&amp;row=9840&amp;col=6&amp;number=4.6&amp;sourceID=14","4.6")</f>
        <v>4.6</v>
      </c>
      <c r="G9840" s="4" t="str">
        <f>HYPERLINK("http://141.218.60.56/~jnz1568/getInfo.php?workbook=20_05.xlsx&amp;sheet=U0&amp;row=9840&amp;col=7&amp;number=0.000231&amp;sourceID=14","0.000231")</f>
        <v>0.000231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HYPERLINK("http://141.218.60.56/~jnz1568/getInfo.php?workbook=20_05.xlsx&amp;sheet=U0&amp;row=9841&amp;col=6&amp;number=4.7&amp;sourceID=14","4.7")</f>
        <v>4.7</v>
      </c>
      <c r="G9841" s="4" t="str">
        <f>HYPERLINK("http://141.218.60.56/~jnz1568/getInfo.php?workbook=20_05.xlsx&amp;sheet=U0&amp;row=9841&amp;col=7&amp;number=0.000232&amp;sourceID=14","0.000232")</f>
        <v>0.000232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HYPERLINK("http://141.218.60.56/~jnz1568/getInfo.php?workbook=20_05.xlsx&amp;sheet=U0&amp;row=9842&amp;col=6&amp;number=4.8&amp;sourceID=14","4.8")</f>
        <v>4.8</v>
      </c>
      <c r="G9842" s="4" t="str">
        <f>HYPERLINK("http://141.218.60.56/~jnz1568/getInfo.php?workbook=20_05.xlsx&amp;sheet=U0&amp;row=9842&amp;col=7&amp;number=0.000232&amp;sourceID=14","0.000232")</f>
        <v>0.000232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HYPERLINK("http://141.218.60.56/~jnz1568/getInfo.php?workbook=20_05.xlsx&amp;sheet=U0&amp;row=9843&amp;col=6&amp;number=4.9&amp;sourceID=14","4.9")</f>
        <v>4.9</v>
      </c>
      <c r="G9843" s="4" t="str">
        <f>HYPERLINK("http://141.218.60.56/~jnz1568/getInfo.php?workbook=20_05.xlsx&amp;sheet=U0&amp;row=9843&amp;col=7&amp;number=0.000232&amp;sourceID=14","0.000232")</f>
        <v>0.000232</v>
      </c>
    </row>
    <row r="9844" spans="1:7">
      <c r="A9844" s="3">
        <v>20</v>
      </c>
      <c r="B9844" s="3">
        <v>5</v>
      </c>
      <c r="C9844" s="3">
        <v>5</v>
      </c>
      <c r="D9844" s="3">
        <v>26</v>
      </c>
      <c r="E9844" s="3">
        <v>1</v>
      </c>
      <c r="F9844" s="4" t="str">
        <f>HYPERLINK("http://141.218.60.56/~jnz1568/getInfo.php?workbook=20_05.xlsx&amp;sheet=U0&amp;row=9844&amp;col=6&amp;number=3&amp;sourceID=14","3")</f>
        <v>3</v>
      </c>
      <c r="G9844" s="4" t="str">
        <f>HYPERLINK("http://141.218.60.56/~jnz1568/getInfo.php?workbook=20_05.xlsx&amp;sheet=U0&amp;row=9844&amp;col=7&amp;number=0.00245&amp;sourceID=14","0.00245")</f>
        <v>0.00245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HYPERLINK("http://141.218.60.56/~jnz1568/getInfo.php?workbook=20_05.xlsx&amp;sheet=U0&amp;row=9845&amp;col=6&amp;number=3.1&amp;sourceID=14","3.1")</f>
        <v>3.1</v>
      </c>
      <c r="G9845" s="4" t="str">
        <f>HYPERLINK("http://141.218.60.56/~jnz1568/getInfo.php?workbook=20_05.xlsx&amp;sheet=U0&amp;row=9845&amp;col=7&amp;number=0.00245&amp;sourceID=14","0.00245")</f>
        <v>0.00245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HYPERLINK("http://141.218.60.56/~jnz1568/getInfo.php?workbook=20_05.xlsx&amp;sheet=U0&amp;row=9846&amp;col=6&amp;number=3.2&amp;sourceID=14","3.2")</f>
        <v>3.2</v>
      </c>
      <c r="G9846" s="4" t="str">
        <f>HYPERLINK("http://141.218.60.56/~jnz1568/getInfo.php?workbook=20_05.xlsx&amp;sheet=U0&amp;row=9846&amp;col=7&amp;number=0.00244&amp;sourceID=14","0.00244")</f>
        <v>0.00244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HYPERLINK("http://141.218.60.56/~jnz1568/getInfo.php?workbook=20_05.xlsx&amp;sheet=U0&amp;row=9847&amp;col=6&amp;number=3.3&amp;sourceID=14","3.3")</f>
        <v>3.3</v>
      </c>
      <c r="G9847" s="4" t="str">
        <f>HYPERLINK("http://141.218.60.56/~jnz1568/getInfo.php?workbook=20_05.xlsx&amp;sheet=U0&amp;row=9847&amp;col=7&amp;number=0.00244&amp;sourceID=14","0.00244")</f>
        <v>0.00244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HYPERLINK("http://141.218.60.56/~jnz1568/getInfo.php?workbook=20_05.xlsx&amp;sheet=U0&amp;row=9848&amp;col=6&amp;number=3.4&amp;sourceID=14","3.4")</f>
        <v>3.4</v>
      </c>
      <c r="G9848" s="4" t="str">
        <f>HYPERLINK("http://141.218.60.56/~jnz1568/getInfo.php?workbook=20_05.xlsx&amp;sheet=U0&amp;row=9848&amp;col=7&amp;number=0.00244&amp;sourceID=14","0.00244")</f>
        <v>0.00244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HYPERLINK("http://141.218.60.56/~jnz1568/getInfo.php?workbook=20_05.xlsx&amp;sheet=U0&amp;row=9849&amp;col=6&amp;number=3.5&amp;sourceID=14","3.5")</f>
        <v>3.5</v>
      </c>
      <c r="G9849" s="4" t="str">
        <f>HYPERLINK("http://141.218.60.56/~jnz1568/getInfo.php?workbook=20_05.xlsx&amp;sheet=U0&amp;row=9849&amp;col=7&amp;number=0.00244&amp;sourceID=14","0.00244")</f>
        <v>0.00244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HYPERLINK("http://141.218.60.56/~jnz1568/getInfo.php?workbook=20_05.xlsx&amp;sheet=U0&amp;row=9850&amp;col=6&amp;number=3.6&amp;sourceID=14","3.6")</f>
        <v>3.6</v>
      </c>
      <c r="G9850" s="4" t="str">
        <f>HYPERLINK("http://141.218.60.56/~jnz1568/getInfo.php?workbook=20_05.xlsx&amp;sheet=U0&amp;row=9850&amp;col=7&amp;number=0.00244&amp;sourceID=14","0.00244")</f>
        <v>0.00244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HYPERLINK("http://141.218.60.56/~jnz1568/getInfo.php?workbook=20_05.xlsx&amp;sheet=U0&amp;row=9851&amp;col=6&amp;number=3.7&amp;sourceID=14","3.7")</f>
        <v>3.7</v>
      </c>
      <c r="G9851" s="4" t="str">
        <f>HYPERLINK("http://141.218.60.56/~jnz1568/getInfo.php?workbook=20_05.xlsx&amp;sheet=U0&amp;row=9851&amp;col=7&amp;number=0.00244&amp;sourceID=14","0.00244")</f>
        <v>0.00244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HYPERLINK("http://141.218.60.56/~jnz1568/getInfo.php?workbook=20_05.xlsx&amp;sheet=U0&amp;row=9852&amp;col=6&amp;number=3.8&amp;sourceID=14","3.8")</f>
        <v>3.8</v>
      </c>
      <c r="G9852" s="4" t="str">
        <f>HYPERLINK("http://141.218.60.56/~jnz1568/getInfo.php?workbook=20_05.xlsx&amp;sheet=U0&amp;row=9852&amp;col=7&amp;number=0.00244&amp;sourceID=14","0.00244")</f>
        <v>0.00244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HYPERLINK("http://141.218.60.56/~jnz1568/getInfo.php?workbook=20_05.xlsx&amp;sheet=U0&amp;row=9853&amp;col=6&amp;number=3.9&amp;sourceID=14","3.9")</f>
        <v>3.9</v>
      </c>
      <c r="G9853" s="4" t="str">
        <f>HYPERLINK("http://141.218.60.56/~jnz1568/getInfo.php?workbook=20_05.xlsx&amp;sheet=U0&amp;row=9853&amp;col=7&amp;number=0.00244&amp;sourceID=14","0.00244")</f>
        <v>0.00244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HYPERLINK("http://141.218.60.56/~jnz1568/getInfo.php?workbook=20_05.xlsx&amp;sheet=U0&amp;row=9854&amp;col=6&amp;number=4&amp;sourceID=14","4")</f>
        <v>4</v>
      </c>
      <c r="G9854" s="4" t="str">
        <f>HYPERLINK("http://141.218.60.56/~jnz1568/getInfo.php?workbook=20_05.xlsx&amp;sheet=U0&amp;row=9854&amp;col=7&amp;number=0.00244&amp;sourceID=14","0.00244")</f>
        <v>0.00244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HYPERLINK("http://141.218.60.56/~jnz1568/getInfo.php?workbook=20_05.xlsx&amp;sheet=U0&amp;row=9855&amp;col=6&amp;number=4.1&amp;sourceID=14","4.1")</f>
        <v>4.1</v>
      </c>
      <c r="G9855" s="4" t="str">
        <f>HYPERLINK("http://141.218.60.56/~jnz1568/getInfo.php?workbook=20_05.xlsx&amp;sheet=U0&amp;row=9855&amp;col=7&amp;number=0.00244&amp;sourceID=14","0.00244")</f>
        <v>0.00244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HYPERLINK("http://141.218.60.56/~jnz1568/getInfo.php?workbook=20_05.xlsx&amp;sheet=U0&amp;row=9856&amp;col=6&amp;number=4.2&amp;sourceID=14","4.2")</f>
        <v>4.2</v>
      </c>
      <c r="G9856" s="4" t="str">
        <f>HYPERLINK("http://141.218.60.56/~jnz1568/getInfo.php?workbook=20_05.xlsx&amp;sheet=U0&amp;row=9856&amp;col=7&amp;number=0.00244&amp;sourceID=14","0.00244")</f>
        <v>0.00244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HYPERLINK("http://141.218.60.56/~jnz1568/getInfo.php?workbook=20_05.xlsx&amp;sheet=U0&amp;row=9857&amp;col=6&amp;number=4.3&amp;sourceID=14","4.3")</f>
        <v>4.3</v>
      </c>
      <c r="G9857" s="4" t="str">
        <f>HYPERLINK("http://141.218.60.56/~jnz1568/getInfo.php?workbook=20_05.xlsx&amp;sheet=U0&amp;row=9857&amp;col=7&amp;number=0.00243&amp;sourceID=14","0.00243")</f>
        <v>0.00243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HYPERLINK("http://141.218.60.56/~jnz1568/getInfo.php?workbook=20_05.xlsx&amp;sheet=U0&amp;row=9858&amp;col=6&amp;number=4.4&amp;sourceID=14","4.4")</f>
        <v>4.4</v>
      </c>
      <c r="G9858" s="4" t="str">
        <f>HYPERLINK("http://141.218.60.56/~jnz1568/getInfo.php?workbook=20_05.xlsx&amp;sheet=U0&amp;row=9858&amp;col=7&amp;number=0.00243&amp;sourceID=14","0.00243")</f>
        <v>0.00243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HYPERLINK("http://141.218.60.56/~jnz1568/getInfo.php?workbook=20_05.xlsx&amp;sheet=U0&amp;row=9859&amp;col=6&amp;number=4.5&amp;sourceID=14","4.5")</f>
        <v>4.5</v>
      </c>
      <c r="G9859" s="4" t="str">
        <f>HYPERLINK("http://141.218.60.56/~jnz1568/getInfo.php?workbook=20_05.xlsx&amp;sheet=U0&amp;row=9859&amp;col=7&amp;number=0.00242&amp;sourceID=14","0.00242")</f>
        <v>0.00242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HYPERLINK("http://141.218.60.56/~jnz1568/getInfo.php?workbook=20_05.xlsx&amp;sheet=U0&amp;row=9860&amp;col=6&amp;number=4.6&amp;sourceID=14","4.6")</f>
        <v>4.6</v>
      </c>
      <c r="G9860" s="4" t="str">
        <f>HYPERLINK("http://141.218.60.56/~jnz1568/getInfo.php?workbook=20_05.xlsx&amp;sheet=U0&amp;row=9860&amp;col=7&amp;number=0.00242&amp;sourceID=14","0.00242")</f>
        <v>0.00242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HYPERLINK("http://141.218.60.56/~jnz1568/getInfo.php?workbook=20_05.xlsx&amp;sheet=U0&amp;row=9861&amp;col=6&amp;number=4.7&amp;sourceID=14","4.7")</f>
        <v>4.7</v>
      </c>
      <c r="G9861" s="4" t="str">
        <f>HYPERLINK("http://141.218.60.56/~jnz1568/getInfo.php?workbook=20_05.xlsx&amp;sheet=U0&amp;row=9861&amp;col=7&amp;number=0.00241&amp;sourceID=14","0.00241")</f>
        <v>0.00241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HYPERLINK("http://141.218.60.56/~jnz1568/getInfo.php?workbook=20_05.xlsx&amp;sheet=U0&amp;row=9862&amp;col=6&amp;number=4.8&amp;sourceID=14","4.8")</f>
        <v>4.8</v>
      </c>
      <c r="G9862" s="4" t="str">
        <f>HYPERLINK("http://141.218.60.56/~jnz1568/getInfo.php?workbook=20_05.xlsx&amp;sheet=U0&amp;row=9862&amp;col=7&amp;number=0.0024&amp;sourceID=14","0.0024")</f>
        <v>0.0024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HYPERLINK("http://141.218.60.56/~jnz1568/getInfo.php?workbook=20_05.xlsx&amp;sheet=U0&amp;row=9863&amp;col=6&amp;number=4.9&amp;sourceID=14","4.9")</f>
        <v>4.9</v>
      </c>
      <c r="G9863" s="4" t="str">
        <f>HYPERLINK("http://141.218.60.56/~jnz1568/getInfo.php?workbook=20_05.xlsx&amp;sheet=U0&amp;row=9863&amp;col=7&amp;number=0.00239&amp;sourceID=14","0.00239")</f>
        <v>0.00239</v>
      </c>
    </row>
    <row r="9864" spans="1:7">
      <c r="A9864" s="3">
        <v>20</v>
      </c>
      <c r="B9864" s="3">
        <v>5</v>
      </c>
      <c r="C9864" s="3">
        <v>5</v>
      </c>
      <c r="D9864" s="3">
        <v>27</v>
      </c>
      <c r="E9864" s="3">
        <v>1</v>
      </c>
      <c r="F9864" s="4" t="str">
        <f>HYPERLINK("http://141.218.60.56/~jnz1568/getInfo.php?workbook=20_05.xlsx&amp;sheet=U0&amp;row=9864&amp;col=6&amp;number=3&amp;sourceID=14","3")</f>
        <v>3</v>
      </c>
      <c r="G9864" s="4" t="str">
        <f>HYPERLINK("http://141.218.60.56/~jnz1568/getInfo.php?workbook=20_05.xlsx&amp;sheet=U0&amp;row=9864&amp;col=7&amp;number=0.00535&amp;sourceID=14","0.00535")</f>
        <v>0.00535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HYPERLINK("http://141.218.60.56/~jnz1568/getInfo.php?workbook=20_05.xlsx&amp;sheet=U0&amp;row=9865&amp;col=6&amp;number=3.1&amp;sourceID=14","3.1")</f>
        <v>3.1</v>
      </c>
      <c r="G9865" s="4" t="str">
        <f>HYPERLINK("http://141.218.60.56/~jnz1568/getInfo.php?workbook=20_05.xlsx&amp;sheet=U0&amp;row=9865&amp;col=7&amp;number=0.00535&amp;sourceID=14","0.00535")</f>
        <v>0.00535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HYPERLINK("http://141.218.60.56/~jnz1568/getInfo.php?workbook=20_05.xlsx&amp;sheet=U0&amp;row=9866&amp;col=6&amp;number=3.2&amp;sourceID=14","3.2")</f>
        <v>3.2</v>
      </c>
      <c r="G9866" s="4" t="str">
        <f>HYPERLINK("http://141.218.60.56/~jnz1568/getInfo.php?workbook=20_05.xlsx&amp;sheet=U0&amp;row=9866&amp;col=7&amp;number=0.00535&amp;sourceID=14","0.00535")</f>
        <v>0.00535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HYPERLINK("http://141.218.60.56/~jnz1568/getInfo.php?workbook=20_05.xlsx&amp;sheet=U0&amp;row=9867&amp;col=6&amp;number=3.3&amp;sourceID=14","3.3")</f>
        <v>3.3</v>
      </c>
      <c r="G9867" s="4" t="str">
        <f>HYPERLINK("http://141.218.60.56/~jnz1568/getInfo.php?workbook=20_05.xlsx&amp;sheet=U0&amp;row=9867&amp;col=7&amp;number=0.00536&amp;sourceID=14","0.00536")</f>
        <v>0.00536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HYPERLINK("http://141.218.60.56/~jnz1568/getInfo.php?workbook=20_05.xlsx&amp;sheet=U0&amp;row=9868&amp;col=6&amp;number=3.4&amp;sourceID=14","3.4")</f>
        <v>3.4</v>
      </c>
      <c r="G9868" s="4" t="str">
        <f>HYPERLINK("http://141.218.60.56/~jnz1568/getInfo.php?workbook=20_05.xlsx&amp;sheet=U0&amp;row=9868&amp;col=7&amp;number=0.00536&amp;sourceID=14","0.00536")</f>
        <v>0.00536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HYPERLINK("http://141.218.60.56/~jnz1568/getInfo.php?workbook=20_05.xlsx&amp;sheet=U0&amp;row=9869&amp;col=6&amp;number=3.5&amp;sourceID=14","3.5")</f>
        <v>3.5</v>
      </c>
      <c r="G9869" s="4" t="str">
        <f>HYPERLINK("http://141.218.60.56/~jnz1568/getInfo.php?workbook=20_05.xlsx&amp;sheet=U0&amp;row=9869&amp;col=7&amp;number=0.00536&amp;sourceID=14","0.00536")</f>
        <v>0.00536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HYPERLINK("http://141.218.60.56/~jnz1568/getInfo.php?workbook=20_05.xlsx&amp;sheet=U0&amp;row=9870&amp;col=6&amp;number=3.6&amp;sourceID=14","3.6")</f>
        <v>3.6</v>
      </c>
      <c r="G9870" s="4" t="str">
        <f>HYPERLINK("http://141.218.60.56/~jnz1568/getInfo.php?workbook=20_05.xlsx&amp;sheet=U0&amp;row=9870&amp;col=7&amp;number=0.00536&amp;sourceID=14","0.00536")</f>
        <v>0.00536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HYPERLINK("http://141.218.60.56/~jnz1568/getInfo.php?workbook=20_05.xlsx&amp;sheet=U0&amp;row=9871&amp;col=6&amp;number=3.7&amp;sourceID=14","3.7")</f>
        <v>3.7</v>
      </c>
      <c r="G9871" s="4" t="str">
        <f>HYPERLINK("http://141.218.60.56/~jnz1568/getInfo.php?workbook=20_05.xlsx&amp;sheet=U0&amp;row=9871&amp;col=7&amp;number=0.00536&amp;sourceID=14","0.00536")</f>
        <v>0.00536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HYPERLINK("http://141.218.60.56/~jnz1568/getInfo.php?workbook=20_05.xlsx&amp;sheet=U0&amp;row=9872&amp;col=6&amp;number=3.8&amp;sourceID=14","3.8")</f>
        <v>3.8</v>
      </c>
      <c r="G9872" s="4" t="str">
        <f>HYPERLINK("http://141.218.60.56/~jnz1568/getInfo.php?workbook=20_05.xlsx&amp;sheet=U0&amp;row=9872&amp;col=7&amp;number=0.00536&amp;sourceID=14","0.00536")</f>
        <v>0.00536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HYPERLINK("http://141.218.60.56/~jnz1568/getInfo.php?workbook=20_05.xlsx&amp;sheet=U0&amp;row=9873&amp;col=6&amp;number=3.9&amp;sourceID=14","3.9")</f>
        <v>3.9</v>
      </c>
      <c r="G9873" s="4" t="str">
        <f>HYPERLINK("http://141.218.60.56/~jnz1568/getInfo.php?workbook=20_05.xlsx&amp;sheet=U0&amp;row=9873&amp;col=7&amp;number=0.00536&amp;sourceID=14","0.00536")</f>
        <v>0.00536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HYPERLINK("http://141.218.60.56/~jnz1568/getInfo.php?workbook=20_05.xlsx&amp;sheet=U0&amp;row=9874&amp;col=6&amp;number=4&amp;sourceID=14","4")</f>
        <v>4</v>
      </c>
      <c r="G9874" s="4" t="str">
        <f>HYPERLINK("http://141.218.60.56/~jnz1568/getInfo.php?workbook=20_05.xlsx&amp;sheet=U0&amp;row=9874&amp;col=7&amp;number=0.00536&amp;sourceID=14","0.00536")</f>
        <v>0.00536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HYPERLINK("http://141.218.60.56/~jnz1568/getInfo.php?workbook=20_05.xlsx&amp;sheet=U0&amp;row=9875&amp;col=6&amp;number=4.1&amp;sourceID=14","4.1")</f>
        <v>4.1</v>
      </c>
      <c r="G9875" s="4" t="str">
        <f>HYPERLINK("http://141.218.60.56/~jnz1568/getInfo.php?workbook=20_05.xlsx&amp;sheet=U0&amp;row=9875&amp;col=7&amp;number=0.00536&amp;sourceID=14","0.00536")</f>
        <v>0.00536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HYPERLINK("http://141.218.60.56/~jnz1568/getInfo.php?workbook=20_05.xlsx&amp;sheet=U0&amp;row=9876&amp;col=6&amp;number=4.2&amp;sourceID=14","4.2")</f>
        <v>4.2</v>
      </c>
      <c r="G9876" s="4" t="str">
        <f>HYPERLINK("http://141.218.60.56/~jnz1568/getInfo.php?workbook=20_05.xlsx&amp;sheet=U0&amp;row=9876&amp;col=7&amp;number=0.00536&amp;sourceID=14","0.00536")</f>
        <v>0.00536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HYPERLINK("http://141.218.60.56/~jnz1568/getInfo.php?workbook=20_05.xlsx&amp;sheet=U0&amp;row=9877&amp;col=6&amp;number=4.3&amp;sourceID=14","4.3")</f>
        <v>4.3</v>
      </c>
      <c r="G9877" s="4" t="str">
        <f>HYPERLINK("http://141.218.60.56/~jnz1568/getInfo.php?workbook=20_05.xlsx&amp;sheet=U0&amp;row=9877&amp;col=7&amp;number=0.00537&amp;sourceID=14","0.00537")</f>
        <v>0.00537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HYPERLINK("http://141.218.60.56/~jnz1568/getInfo.php?workbook=20_05.xlsx&amp;sheet=U0&amp;row=9878&amp;col=6&amp;number=4.4&amp;sourceID=14","4.4")</f>
        <v>4.4</v>
      </c>
      <c r="G9878" s="4" t="str">
        <f>HYPERLINK("http://141.218.60.56/~jnz1568/getInfo.php?workbook=20_05.xlsx&amp;sheet=U0&amp;row=9878&amp;col=7&amp;number=0.00537&amp;sourceID=14","0.00537")</f>
        <v>0.00537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HYPERLINK("http://141.218.60.56/~jnz1568/getInfo.php?workbook=20_05.xlsx&amp;sheet=U0&amp;row=9879&amp;col=6&amp;number=4.5&amp;sourceID=14","4.5")</f>
        <v>4.5</v>
      </c>
      <c r="G9879" s="4" t="str">
        <f>HYPERLINK("http://141.218.60.56/~jnz1568/getInfo.php?workbook=20_05.xlsx&amp;sheet=U0&amp;row=9879&amp;col=7&amp;number=0.00537&amp;sourceID=14","0.00537")</f>
        <v>0.00537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HYPERLINK("http://141.218.60.56/~jnz1568/getInfo.php?workbook=20_05.xlsx&amp;sheet=U0&amp;row=9880&amp;col=6&amp;number=4.6&amp;sourceID=14","4.6")</f>
        <v>4.6</v>
      </c>
      <c r="G9880" s="4" t="str">
        <f>HYPERLINK("http://141.218.60.56/~jnz1568/getInfo.php?workbook=20_05.xlsx&amp;sheet=U0&amp;row=9880&amp;col=7&amp;number=0.00538&amp;sourceID=14","0.00538")</f>
        <v>0.00538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HYPERLINK("http://141.218.60.56/~jnz1568/getInfo.php?workbook=20_05.xlsx&amp;sheet=U0&amp;row=9881&amp;col=6&amp;number=4.7&amp;sourceID=14","4.7")</f>
        <v>4.7</v>
      </c>
      <c r="G9881" s="4" t="str">
        <f>HYPERLINK("http://141.218.60.56/~jnz1568/getInfo.php?workbook=20_05.xlsx&amp;sheet=U0&amp;row=9881&amp;col=7&amp;number=0.00539&amp;sourceID=14","0.00539")</f>
        <v>0.00539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HYPERLINK("http://141.218.60.56/~jnz1568/getInfo.php?workbook=20_05.xlsx&amp;sheet=U0&amp;row=9882&amp;col=6&amp;number=4.8&amp;sourceID=14","4.8")</f>
        <v>4.8</v>
      </c>
      <c r="G9882" s="4" t="str">
        <f>HYPERLINK("http://141.218.60.56/~jnz1568/getInfo.php?workbook=20_05.xlsx&amp;sheet=U0&amp;row=9882&amp;col=7&amp;number=0.00539&amp;sourceID=14","0.00539")</f>
        <v>0.00539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HYPERLINK("http://141.218.60.56/~jnz1568/getInfo.php?workbook=20_05.xlsx&amp;sheet=U0&amp;row=9883&amp;col=6&amp;number=4.9&amp;sourceID=14","4.9")</f>
        <v>4.9</v>
      </c>
      <c r="G9883" s="4" t="str">
        <f>HYPERLINK("http://141.218.60.56/~jnz1568/getInfo.php?workbook=20_05.xlsx&amp;sheet=U0&amp;row=9883&amp;col=7&amp;number=0.0054&amp;sourceID=14","0.0054")</f>
        <v>0.0054</v>
      </c>
    </row>
    <row r="9884" spans="1:7">
      <c r="A9884" s="3">
        <v>20</v>
      </c>
      <c r="B9884" s="3">
        <v>5</v>
      </c>
      <c r="C9884" s="3">
        <v>5</v>
      </c>
      <c r="D9884" s="3">
        <v>28</v>
      </c>
      <c r="E9884" s="3">
        <v>1</v>
      </c>
      <c r="F9884" s="4" t="str">
        <f>HYPERLINK("http://141.218.60.56/~jnz1568/getInfo.php?workbook=20_05.xlsx&amp;sheet=U0&amp;row=9884&amp;col=6&amp;number=3&amp;sourceID=14","3")</f>
        <v>3</v>
      </c>
      <c r="G9884" s="4" t="str">
        <f>HYPERLINK("http://141.218.60.56/~jnz1568/getInfo.php?workbook=20_05.xlsx&amp;sheet=U0&amp;row=9884&amp;col=7&amp;number=0.00113&amp;sourceID=14","0.00113")</f>
        <v>0.00113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HYPERLINK("http://141.218.60.56/~jnz1568/getInfo.php?workbook=20_05.xlsx&amp;sheet=U0&amp;row=9885&amp;col=6&amp;number=3.1&amp;sourceID=14","3.1")</f>
        <v>3.1</v>
      </c>
      <c r="G9885" s="4" t="str">
        <f>HYPERLINK("http://141.218.60.56/~jnz1568/getInfo.php?workbook=20_05.xlsx&amp;sheet=U0&amp;row=9885&amp;col=7&amp;number=0.00113&amp;sourceID=14","0.00113")</f>
        <v>0.00113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HYPERLINK("http://141.218.60.56/~jnz1568/getInfo.php?workbook=20_05.xlsx&amp;sheet=U0&amp;row=9886&amp;col=6&amp;number=3.2&amp;sourceID=14","3.2")</f>
        <v>3.2</v>
      </c>
      <c r="G9886" s="4" t="str">
        <f>HYPERLINK("http://141.218.60.56/~jnz1568/getInfo.php?workbook=20_05.xlsx&amp;sheet=U0&amp;row=9886&amp;col=7&amp;number=0.00113&amp;sourceID=14","0.00113")</f>
        <v>0.00113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HYPERLINK("http://141.218.60.56/~jnz1568/getInfo.php?workbook=20_05.xlsx&amp;sheet=U0&amp;row=9887&amp;col=6&amp;number=3.3&amp;sourceID=14","3.3")</f>
        <v>3.3</v>
      </c>
      <c r="G9887" s="4" t="str">
        <f>HYPERLINK("http://141.218.60.56/~jnz1568/getInfo.php?workbook=20_05.xlsx&amp;sheet=U0&amp;row=9887&amp;col=7&amp;number=0.00113&amp;sourceID=14","0.00113")</f>
        <v>0.00113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HYPERLINK("http://141.218.60.56/~jnz1568/getInfo.php?workbook=20_05.xlsx&amp;sheet=U0&amp;row=9888&amp;col=6&amp;number=3.4&amp;sourceID=14","3.4")</f>
        <v>3.4</v>
      </c>
      <c r="G9888" s="4" t="str">
        <f>HYPERLINK("http://141.218.60.56/~jnz1568/getInfo.php?workbook=20_05.xlsx&amp;sheet=U0&amp;row=9888&amp;col=7&amp;number=0.00113&amp;sourceID=14","0.00113")</f>
        <v>0.00113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HYPERLINK("http://141.218.60.56/~jnz1568/getInfo.php?workbook=20_05.xlsx&amp;sheet=U0&amp;row=9889&amp;col=6&amp;number=3.5&amp;sourceID=14","3.5")</f>
        <v>3.5</v>
      </c>
      <c r="G9889" s="4" t="str">
        <f>HYPERLINK("http://141.218.60.56/~jnz1568/getInfo.php?workbook=20_05.xlsx&amp;sheet=U0&amp;row=9889&amp;col=7&amp;number=0.00113&amp;sourceID=14","0.00113")</f>
        <v>0.00113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HYPERLINK("http://141.218.60.56/~jnz1568/getInfo.php?workbook=20_05.xlsx&amp;sheet=U0&amp;row=9890&amp;col=6&amp;number=3.6&amp;sourceID=14","3.6")</f>
        <v>3.6</v>
      </c>
      <c r="G9890" s="4" t="str">
        <f>HYPERLINK("http://141.218.60.56/~jnz1568/getInfo.php?workbook=20_05.xlsx&amp;sheet=U0&amp;row=9890&amp;col=7&amp;number=0.00113&amp;sourceID=14","0.00113")</f>
        <v>0.00113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HYPERLINK("http://141.218.60.56/~jnz1568/getInfo.php?workbook=20_05.xlsx&amp;sheet=U0&amp;row=9891&amp;col=6&amp;number=3.7&amp;sourceID=14","3.7")</f>
        <v>3.7</v>
      </c>
      <c r="G9891" s="4" t="str">
        <f>HYPERLINK("http://141.218.60.56/~jnz1568/getInfo.php?workbook=20_05.xlsx&amp;sheet=U0&amp;row=9891&amp;col=7&amp;number=0.00113&amp;sourceID=14","0.00113")</f>
        <v>0.00113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HYPERLINK("http://141.218.60.56/~jnz1568/getInfo.php?workbook=20_05.xlsx&amp;sheet=U0&amp;row=9892&amp;col=6&amp;number=3.8&amp;sourceID=14","3.8")</f>
        <v>3.8</v>
      </c>
      <c r="G9892" s="4" t="str">
        <f>HYPERLINK("http://141.218.60.56/~jnz1568/getInfo.php?workbook=20_05.xlsx&amp;sheet=U0&amp;row=9892&amp;col=7&amp;number=0.00113&amp;sourceID=14","0.00113")</f>
        <v>0.00113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HYPERLINK("http://141.218.60.56/~jnz1568/getInfo.php?workbook=20_05.xlsx&amp;sheet=U0&amp;row=9893&amp;col=6&amp;number=3.9&amp;sourceID=14","3.9")</f>
        <v>3.9</v>
      </c>
      <c r="G9893" s="4" t="str">
        <f>HYPERLINK("http://141.218.60.56/~jnz1568/getInfo.php?workbook=20_05.xlsx&amp;sheet=U0&amp;row=9893&amp;col=7&amp;number=0.00113&amp;sourceID=14","0.00113")</f>
        <v>0.00113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HYPERLINK("http://141.218.60.56/~jnz1568/getInfo.php?workbook=20_05.xlsx&amp;sheet=U0&amp;row=9894&amp;col=6&amp;number=4&amp;sourceID=14","4")</f>
        <v>4</v>
      </c>
      <c r="G9894" s="4" t="str">
        <f>HYPERLINK("http://141.218.60.56/~jnz1568/getInfo.php?workbook=20_05.xlsx&amp;sheet=U0&amp;row=9894&amp;col=7&amp;number=0.00113&amp;sourceID=14","0.00113")</f>
        <v>0.00113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HYPERLINK("http://141.218.60.56/~jnz1568/getInfo.php?workbook=20_05.xlsx&amp;sheet=U0&amp;row=9895&amp;col=6&amp;number=4.1&amp;sourceID=14","4.1")</f>
        <v>4.1</v>
      </c>
      <c r="G9895" s="4" t="str">
        <f>HYPERLINK("http://141.218.60.56/~jnz1568/getInfo.php?workbook=20_05.xlsx&amp;sheet=U0&amp;row=9895&amp;col=7&amp;number=0.00113&amp;sourceID=14","0.00113")</f>
        <v>0.00113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HYPERLINK("http://141.218.60.56/~jnz1568/getInfo.php?workbook=20_05.xlsx&amp;sheet=U0&amp;row=9896&amp;col=6&amp;number=4.2&amp;sourceID=14","4.2")</f>
        <v>4.2</v>
      </c>
      <c r="G9896" s="4" t="str">
        <f>HYPERLINK("http://141.218.60.56/~jnz1568/getInfo.php?workbook=20_05.xlsx&amp;sheet=U0&amp;row=9896&amp;col=7&amp;number=0.00113&amp;sourceID=14","0.00113")</f>
        <v>0.00113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HYPERLINK("http://141.218.60.56/~jnz1568/getInfo.php?workbook=20_05.xlsx&amp;sheet=U0&amp;row=9897&amp;col=6&amp;number=4.3&amp;sourceID=14","4.3")</f>
        <v>4.3</v>
      </c>
      <c r="G9897" s="4" t="str">
        <f>HYPERLINK("http://141.218.60.56/~jnz1568/getInfo.php?workbook=20_05.xlsx&amp;sheet=U0&amp;row=9897&amp;col=7&amp;number=0.00113&amp;sourceID=14","0.00113")</f>
        <v>0.00113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HYPERLINK("http://141.218.60.56/~jnz1568/getInfo.php?workbook=20_05.xlsx&amp;sheet=U0&amp;row=9898&amp;col=6&amp;number=4.4&amp;sourceID=14","4.4")</f>
        <v>4.4</v>
      </c>
      <c r="G9898" s="4" t="str">
        <f>HYPERLINK("http://141.218.60.56/~jnz1568/getInfo.php?workbook=20_05.xlsx&amp;sheet=U0&amp;row=9898&amp;col=7&amp;number=0.00114&amp;sourceID=14","0.00114")</f>
        <v>0.00114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HYPERLINK("http://141.218.60.56/~jnz1568/getInfo.php?workbook=20_05.xlsx&amp;sheet=U0&amp;row=9899&amp;col=6&amp;number=4.5&amp;sourceID=14","4.5")</f>
        <v>4.5</v>
      </c>
      <c r="G9899" s="4" t="str">
        <f>HYPERLINK("http://141.218.60.56/~jnz1568/getInfo.php?workbook=20_05.xlsx&amp;sheet=U0&amp;row=9899&amp;col=7&amp;number=0.00114&amp;sourceID=14","0.00114")</f>
        <v>0.00114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HYPERLINK("http://141.218.60.56/~jnz1568/getInfo.php?workbook=20_05.xlsx&amp;sheet=U0&amp;row=9900&amp;col=6&amp;number=4.6&amp;sourceID=14","4.6")</f>
        <v>4.6</v>
      </c>
      <c r="G9900" s="4" t="str">
        <f>HYPERLINK("http://141.218.60.56/~jnz1568/getInfo.php?workbook=20_05.xlsx&amp;sheet=U0&amp;row=9900&amp;col=7&amp;number=0.00114&amp;sourceID=14","0.00114")</f>
        <v>0.00114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HYPERLINK("http://141.218.60.56/~jnz1568/getInfo.php?workbook=20_05.xlsx&amp;sheet=U0&amp;row=9901&amp;col=6&amp;number=4.7&amp;sourceID=14","4.7")</f>
        <v>4.7</v>
      </c>
      <c r="G9901" s="4" t="str">
        <f>HYPERLINK("http://141.218.60.56/~jnz1568/getInfo.php?workbook=20_05.xlsx&amp;sheet=U0&amp;row=9901&amp;col=7&amp;number=0.00114&amp;sourceID=14","0.00114")</f>
        <v>0.00114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HYPERLINK("http://141.218.60.56/~jnz1568/getInfo.php?workbook=20_05.xlsx&amp;sheet=U0&amp;row=9902&amp;col=6&amp;number=4.8&amp;sourceID=14","4.8")</f>
        <v>4.8</v>
      </c>
      <c r="G9902" s="4" t="str">
        <f>HYPERLINK("http://141.218.60.56/~jnz1568/getInfo.php?workbook=20_05.xlsx&amp;sheet=U0&amp;row=9902&amp;col=7&amp;number=0.00114&amp;sourceID=14","0.00114")</f>
        <v>0.00114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HYPERLINK("http://141.218.60.56/~jnz1568/getInfo.php?workbook=20_05.xlsx&amp;sheet=U0&amp;row=9903&amp;col=6&amp;number=4.9&amp;sourceID=14","4.9")</f>
        <v>4.9</v>
      </c>
      <c r="G9903" s="4" t="str">
        <f>HYPERLINK("http://141.218.60.56/~jnz1568/getInfo.php?workbook=20_05.xlsx&amp;sheet=U0&amp;row=9903&amp;col=7&amp;number=0.00114&amp;sourceID=14","0.00114")</f>
        <v>0.00114</v>
      </c>
    </row>
    <row r="9904" spans="1:7">
      <c r="A9904" s="3">
        <v>20</v>
      </c>
      <c r="B9904" s="3">
        <v>5</v>
      </c>
      <c r="C9904" s="3">
        <v>5</v>
      </c>
      <c r="D9904" s="3">
        <v>29</v>
      </c>
      <c r="E9904" s="3">
        <v>1</v>
      </c>
      <c r="F9904" s="4" t="str">
        <f>HYPERLINK("http://141.218.60.56/~jnz1568/getInfo.php?workbook=20_05.xlsx&amp;sheet=U0&amp;row=9904&amp;col=6&amp;number=3&amp;sourceID=14","3")</f>
        <v>3</v>
      </c>
      <c r="G9904" s="4" t="str">
        <f>HYPERLINK("http://141.218.60.56/~jnz1568/getInfo.php?workbook=20_05.xlsx&amp;sheet=U0&amp;row=9904&amp;col=7&amp;number=0.000111&amp;sourceID=14","0.000111")</f>
        <v>0.000111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HYPERLINK("http://141.218.60.56/~jnz1568/getInfo.php?workbook=20_05.xlsx&amp;sheet=U0&amp;row=9905&amp;col=6&amp;number=3.1&amp;sourceID=14","3.1")</f>
        <v>3.1</v>
      </c>
      <c r="G9905" s="4" t="str">
        <f>HYPERLINK("http://141.218.60.56/~jnz1568/getInfo.php?workbook=20_05.xlsx&amp;sheet=U0&amp;row=9905&amp;col=7&amp;number=0.000111&amp;sourceID=14","0.000111")</f>
        <v>0.000111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HYPERLINK("http://141.218.60.56/~jnz1568/getInfo.php?workbook=20_05.xlsx&amp;sheet=U0&amp;row=9906&amp;col=6&amp;number=3.2&amp;sourceID=14","3.2")</f>
        <v>3.2</v>
      </c>
      <c r="G9906" s="4" t="str">
        <f>HYPERLINK("http://141.218.60.56/~jnz1568/getInfo.php?workbook=20_05.xlsx&amp;sheet=U0&amp;row=9906&amp;col=7&amp;number=0.000111&amp;sourceID=14","0.000111")</f>
        <v>0.000111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HYPERLINK("http://141.218.60.56/~jnz1568/getInfo.php?workbook=20_05.xlsx&amp;sheet=U0&amp;row=9907&amp;col=6&amp;number=3.3&amp;sourceID=14","3.3")</f>
        <v>3.3</v>
      </c>
      <c r="G9907" s="4" t="str">
        <f>HYPERLINK("http://141.218.60.56/~jnz1568/getInfo.php?workbook=20_05.xlsx&amp;sheet=U0&amp;row=9907&amp;col=7&amp;number=0.000111&amp;sourceID=14","0.000111")</f>
        <v>0.000111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HYPERLINK("http://141.218.60.56/~jnz1568/getInfo.php?workbook=20_05.xlsx&amp;sheet=U0&amp;row=9908&amp;col=6&amp;number=3.4&amp;sourceID=14","3.4")</f>
        <v>3.4</v>
      </c>
      <c r="G9908" s="4" t="str">
        <f>HYPERLINK("http://141.218.60.56/~jnz1568/getInfo.php?workbook=20_05.xlsx&amp;sheet=U0&amp;row=9908&amp;col=7&amp;number=0.000111&amp;sourceID=14","0.000111")</f>
        <v>0.000111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HYPERLINK("http://141.218.60.56/~jnz1568/getInfo.php?workbook=20_05.xlsx&amp;sheet=U0&amp;row=9909&amp;col=6&amp;number=3.5&amp;sourceID=14","3.5")</f>
        <v>3.5</v>
      </c>
      <c r="G9909" s="4" t="str">
        <f>HYPERLINK("http://141.218.60.56/~jnz1568/getInfo.php?workbook=20_05.xlsx&amp;sheet=U0&amp;row=9909&amp;col=7&amp;number=0.000111&amp;sourceID=14","0.000111")</f>
        <v>0.000111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HYPERLINK("http://141.218.60.56/~jnz1568/getInfo.php?workbook=20_05.xlsx&amp;sheet=U0&amp;row=9910&amp;col=6&amp;number=3.6&amp;sourceID=14","3.6")</f>
        <v>3.6</v>
      </c>
      <c r="G9910" s="4" t="str">
        <f>HYPERLINK("http://141.218.60.56/~jnz1568/getInfo.php?workbook=20_05.xlsx&amp;sheet=U0&amp;row=9910&amp;col=7&amp;number=0.000111&amp;sourceID=14","0.000111")</f>
        <v>0.000111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HYPERLINK("http://141.218.60.56/~jnz1568/getInfo.php?workbook=20_05.xlsx&amp;sheet=U0&amp;row=9911&amp;col=6&amp;number=3.7&amp;sourceID=14","3.7")</f>
        <v>3.7</v>
      </c>
      <c r="G9911" s="4" t="str">
        <f>HYPERLINK("http://141.218.60.56/~jnz1568/getInfo.php?workbook=20_05.xlsx&amp;sheet=U0&amp;row=9911&amp;col=7&amp;number=0.000111&amp;sourceID=14","0.000111")</f>
        <v>0.000111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HYPERLINK("http://141.218.60.56/~jnz1568/getInfo.php?workbook=20_05.xlsx&amp;sheet=U0&amp;row=9912&amp;col=6&amp;number=3.8&amp;sourceID=14","3.8")</f>
        <v>3.8</v>
      </c>
      <c r="G9912" s="4" t="str">
        <f>HYPERLINK("http://141.218.60.56/~jnz1568/getInfo.php?workbook=20_05.xlsx&amp;sheet=U0&amp;row=9912&amp;col=7&amp;number=0.000111&amp;sourceID=14","0.000111")</f>
        <v>0.000111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HYPERLINK("http://141.218.60.56/~jnz1568/getInfo.php?workbook=20_05.xlsx&amp;sheet=U0&amp;row=9913&amp;col=6&amp;number=3.9&amp;sourceID=14","3.9")</f>
        <v>3.9</v>
      </c>
      <c r="G9913" s="4" t="str">
        <f>HYPERLINK("http://141.218.60.56/~jnz1568/getInfo.php?workbook=20_05.xlsx&amp;sheet=U0&amp;row=9913&amp;col=7&amp;number=0.000111&amp;sourceID=14","0.000111")</f>
        <v>0.000111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HYPERLINK("http://141.218.60.56/~jnz1568/getInfo.php?workbook=20_05.xlsx&amp;sheet=U0&amp;row=9914&amp;col=6&amp;number=4&amp;sourceID=14","4")</f>
        <v>4</v>
      </c>
      <c r="G9914" s="4" t="str">
        <f>HYPERLINK("http://141.218.60.56/~jnz1568/getInfo.php?workbook=20_05.xlsx&amp;sheet=U0&amp;row=9914&amp;col=7&amp;number=0.00011&amp;sourceID=14","0.00011")</f>
        <v>0.00011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HYPERLINK("http://141.218.60.56/~jnz1568/getInfo.php?workbook=20_05.xlsx&amp;sheet=U0&amp;row=9915&amp;col=6&amp;number=4.1&amp;sourceID=14","4.1")</f>
        <v>4.1</v>
      </c>
      <c r="G9915" s="4" t="str">
        <f>HYPERLINK("http://141.218.60.56/~jnz1568/getInfo.php?workbook=20_05.xlsx&amp;sheet=U0&amp;row=9915&amp;col=7&amp;number=0.00011&amp;sourceID=14","0.00011")</f>
        <v>0.00011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HYPERLINK("http://141.218.60.56/~jnz1568/getInfo.php?workbook=20_05.xlsx&amp;sheet=U0&amp;row=9916&amp;col=6&amp;number=4.2&amp;sourceID=14","4.2")</f>
        <v>4.2</v>
      </c>
      <c r="G9916" s="4" t="str">
        <f>HYPERLINK("http://141.218.60.56/~jnz1568/getInfo.php?workbook=20_05.xlsx&amp;sheet=U0&amp;row=9916&amp;col=7&amp;number=0.00011&amp;sourceID=14","0.00011")</f>
        <v>0.00011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HYPERLINK("http://141.218.60.56/~jnz1568/getInfo.php?workbook=20_05.xlsx&amp;sheet=U0&amp;row=9917&amp;col=6&amp;number=4.3&amp;sourceID=14","4.3")</f>
        <v>4.3</v>
      </c>
      <c r="G9917" s="4" t="str">
        <f>HYPERLINK("http://141.218.60.56/~jnz1568/getInfo.php?workbook=20_05.xlsx&amp;sheet=U0&amp;row=9917&amp;col=7&amp;number=0.00011&amp;sourceID=14","0.00011")</f>
        <v>0.00011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HYPERLINK("http://141.218.60.56/~jnz1568/getInfo.php?workbook=20_05.xlsx&amp;sheet=U0&amp;row=9918&amp;col=6&amp;number=4.4&amp;sourceID=14","4.4")</f>
        <v>4.4</v>
      </c>
      <c r="G9918" s="4" t="str">
        <f>HYPERLINK("http://141.218.60.56/~jnz1568/getInfo.php?workbook=20_05.xlsx&amp;sheet=U0&amp;row=9918&amp;col=7&amp;number=0.00011&amp;sourceID=14","0.00011")</f>
        <v>0.00011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HYPERLINK("http://141.218.60.56/~jnz1568/getInfo.php?workbook=20_05.xlsx&amp;sheet=U0&amp;row=9919&amp;col=6&amp;number=4.5&amp;sourceID=14","4.5")</f>
        <v>4.5</v>
      </c>
      <c r="G9919" s="4" t="str">
        <f>HYPERLINK("http://141.218.60.56/~jnz1568/getInfo.php?workbook=20_05.xlsx&amp;sheet=U0&amp;row=9919&amp;col=7&amp;number=0.00011&amp;sourceID=14","0.00011")</f>
        <v>0.00011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HYPERLINK("http://141.218.60.56/~jnz1568/getInfo.php?workbook=20_05.xlsx&amp;sheet=U0&amp;row=9920&amp;col=6&amp;number=4.6&amp;sourceID=14","4.6")</f>
        <v>4.6</v>
      </c>
      <c r="G9920" s="4" t="str">
        <f>HYPERLINK("http://141.218.60.56/~jnz1568/getInfo.php?workbook=20_05.xlsx&amp;sheet=U0&amp;row=9920&amp;col=7&amp;number=0.00011&amp;sourceID=14","0.00011")</f>
        <v>0.00011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HYPERLINK("http://141.218.60.56/~jnz1568/getInfo.php?workbook=20_05.xlsx&amp;sheet=U0&amp;row=9921&amp;col=6&amp;number=4.7&amp;sourceID=14","4.7")</f>
        <v>4.7</v>
      </c>
      <c r="G9921" s="4" t="str">
        <f>HYPERLINK("http://141.218.60.56/~jnz1568/getInfo.php?workbook=20_05.xlsx&amp;sheet=U0&amp;row=9921&amp;col=7&amp;number=0.00011&amp;sourceID=14","0.00011")</f>
        <v>0.00011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HYPERLINK("http://141.218.60.56/~jnz1568/getInfo.php?workbook=20_05.xlsx&amp;sheet=U0&amp;row=9922&amp;col=6&amp;number=4.8&amp;sourceID=14","4.8")</f>
        <v>4.8</v>
      </c>
      <c r="G9922" s="4" t="str">
        <f>HYPERLINK("http://141.218.60.56/~jnz1568/getInfo.php?workbook=20_05.xlsx&amp;sheet=U0&amp;row=9922&amp;col=7&amp;number=0.000109&amp;sourceID=14","0.000109")</f>
        <v>0.000109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HYPERLINK("http://141.218.60.56/~jnz1568/getInfo.php?workbook=20_05.xlsx&amp;sheet=U0&amp;row=9923&amp;col=6&amp;number=4.9&amp;sourceID=14","4.9")</f>
        <v>4.9</v>
      </c>
      <c r="G9923" s="4" t="str">
        <f>HYPERLINK("http://141.218.60.56/~jnz1568/getInfo.php?workbook=20_05.xlsx&amp;sheet=U0&amp;row=9923&amp;col=7&amp;number=0.000109&amp;sourceID=14","0.000109")</f>
        <v>0.000109</v>
      </c>
    </row>
    <row r="9924" spans="1:7">
      <c r="A9924" s="3">
        <v>20</v>
      </c>
      <c r="B9924" s="3">
        <v>5</v>
      </c>
      <c r="C9924" s="3">
        <v>5</v>
      </c>
      <c r="D9924" s="3">
        <v>30</v>
      </c>
      <c r="E9924" s="3">
        <v>1</v>
      </c>
      <c r="F9924" s="4" t="str">
        <f>HYPERLINK("http://141.218.60.56/~jnz1568/getInfo.php?workbook=20_05.xlsx&amp;sheet=U0&amp;row=9924&amp;col=6&amp;number=3&amp;sourceID=14","3")</f>
        <v>3</v>
      </c>
      <c r="G9924" s="4" t="str">
        <f>HYPERLINK("http://141.218.60.56/~jnz1568/getInfo.php?workbook=20_05.xlsx&amp;sheet=U0&amp;row=9924&amp;col=7&amp;number=1.82e-05&amp;sourceID=14","1.82e-05")</f>
        <v>1.82e-05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HYPERLINK("http://141.218.60.56/~jnz1568/getInfo.php?workbook=20_05.xlsx&amp;sheet=U0&amp;row=9925&amp;col=6&amp;number=3.1&amp;sourceID=14","3.1")</f>
        <v>3.1</v>
      </c>
      <c r="G9925" s="4" t="str">
        <f>HYPERLINK("http://141.218.60.56/~jnz1568/getInfo.php?workbook=20_05.xlsx&amp;sheet=U0&amp;row=9925&amp;col=7&amp;number=1.82e-05&amp;sourceID=14","1.82e-05")</f>
        <v>1.82e-05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HYPERLINK("http://141.218.60.56/~jnz1568/getInfo.php?workbook=20_05.xlsx&amp;sheet=U0&amp;row=9926&amp;col=6&amp;number=3.2&amp;sourceID=14","3.2")</f>
        <v>3.2</v>
      </c>
      <c r="G9926" s="4" t="str">
        <f>HYPERLINK("http://141.218.60.56/~jnz1568/getInfo.php?workbook=20_05.xlsx&amp;sheet=U0&amp;row=9926&amp;col=7&amp;number=1.82e-05&amp;sourceID=14","1.82e-05")</f>
        <v>1.82e-05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HYPERLINK("http://141.218.60.56/~jnz1568/getInfo.php?workbook=20_05.xlsx&amp;sheet=U0&amp;row=9927&amp;col=6&amp;number=3.3&amp;sourceID=14","3.3")</f>
        <v>3.3</v>
      </c>
      <c r="G9927" s="4" t="str">
        <f>HYPERLINK("http://141.218.60.56/~jnz1568/getInfo.php?workbook=20_05.xlsx&amp;sheet=U0&amp;row=9927&amp;col=7&amp;number=1.82e-05&amp;sourceID=14","1.82e-05")</f>
        <v>1.82e-05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HYPERLINK("http://141.218.60.56/~jnz1568/getInfo.php?workbook=20_05.xlsx&amp;sheet=U0&amp;row=9928&amp;col=6&amp;number=3.4&amp;sourceID=14","3.4")</f>
        <v>3.4</v>
      </c>
      <c r="G9928" s="4" t="str">
        <f>HYPERLINK("http://141.218.60.56/~jnz1568/getInfo.php?workbook=20_05.xlsx&amp;sheet=U0&amp;row=9928&amp;col=7&amp;number=1.82e-05&amp;sourceID=14","1.82e-05")</f>
        <v>1.82e-05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HYPERLINK("http://141.218.60.56/~jnz1568/getInfo.php?workbook=20_05.xlsx&amp;sheet=U0&amp;row=9929&amp;col=6&amp;number=3.5&amp;sourceID=14","3.5")</f>
        <v>3.5</v>
      </c>
      <c r="G9929" s="4" t="str">
        <f>HYPERLINK("http://141.218.60.56/~jnz1568/getInfo.php?workbook=20_05.xlsx&amp;sheet=U0&amp;row=9929&amp;col=7&amp;number=1.82e-05&amp;sourceID=14","1.82e-05")</f>
        <v>1.82e-05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HYPERLINK("http://141.218.60.56/~jnz1568/getInfo.php?workbook=20_05.xlsx&amp;sheet=U0&amp;row=9930&amp;col=6&amp;number=3.6&amp;sourceID=14","3.6")</f>
        <v>3.6</v>
      </c>
      <c r="G9930" s="4" t="str">
        <f>HYPERLINK("http://141.218.60.56/~jnz1568/getInfo.php?workbook=20_05.xlsx&amp;sheet=U0&amp;row=9930&amp;col=7&amp;number=1.82e-05&amp;sourceID=14","1.82e-05")</f>
        <v>1.82e-05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HYPERLINK("http://141.218.60.56/~jnz1568/getInfo.php?workbook=20_05.xlsx&amp;sheet=U0&amp;row=9931&amp;col=6&amp;number=3.7&amp;sourceID=14","3.7")</f>
        <v>3.7</v>
      </c>
      <c r="G9931" s="4" t="str">
        <f>HYPERLINK("http://141.218.60.56/~jnz1568/getInfo.php?workbook=20_05.xlsx&amp;sheet=U0&amp;row=9931&amp;col=7&amp;number=1.82e-05&amp;sourceID=14","1.82e-05")</f>
        <v>1.82e-05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HYPERLINK("http://141.218.60.56/~jnz1568/getInfo.php?workbook=20_05.xlsx&amp;sheet=U0&amp;row=9932&amp;col=6&amp;number=3.8&amp;sourceID=14","3.8")</f>
        <v>3.8</v>
      </c>
      <c r="G9932" s="4" t="str">
        <f>HYPERLINK("http://141.218.60.56/~jnz1568/getInfo.php?workbook=20_05.xlsx&amp;sheet=U0&amp;row=9932&amp;col=7&amp;number=1.82e-05&amp;sourceID=14","1.82e-05")</f>
        <v>1.82e-05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HYPERLINK("http://141.218.60.56/~jnz1568/getInfo.php?workbook=20_05.xlsx&amp;sheet=U0&amp;row=9933&amp;col=6&amp;number=3.9&amp;sourceID=14","3.9")</f>
        <v>3.9</v>
      </c>
      <c r="G9933" s="4" t="str">
        <f>HYPERLINK("http://141.218.60.56/~jnz1568/getInfo.php?workbook=20_05.xlsx&amp;sheet=U0&amp;row=9933&amp;col=7&amp;number=1.82e-05&amp;sourceID=14","1.82e-05")</f>
        <v>1.82e-05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HYPERLINK("http://141.218.60.56/~jnz1568/getInfo.php?workbook=20_05.xlsx&amp;sheet=U0&amp;row=9934&amp;col=6&amp;number=4&amp;sourceID=14","4")</f>
        <v>4</v>
      </c>
      <c r="G9934" s="4" t="str">
        <f>HYPERLINK("http://141.218.60.56/~jnz1568/getInfo.php?workbook=20_05.xlsx&amp;sheet=U0&amp;row=9934&amp;col=7&amp;number=1.82e-05&amp;sourceID=14","1.82e-05")</f>
        <v>1.82e-05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HYPERLINK("http://141.218.60.56/~jnz1568/getInfo.php?workbook=20_05.xlsx&amp;sheet=U0&amp;row=9935&amp;col=6&amp;number=4.1&amp;sourceID=14","4.1")</f>
        <v>4.1</v>
      </c>
      <c r="G9935" s="4" t="str">
        <f>HYPERLINK("http://141.218.60.56/~jnz1568/getInfo.php?workbook=20_05.xlsx&amp;sheet=U0&amp;row=9935&amp;col=7&amp;number=1.82e-05&amp;sourceID=14","1.82e-05")</f>
        <v>1.82e-05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HYPERLINK("http://141.218.60.56/~jnz1568/getInfo.php?workbook=20_05.xlsx&amp;sheet=U0&amp;row=9936&amp;col=6&amp;number=4.2&amp;sourceID=14","4.2")</f>
        <v>4.2</v>
      </c>
      <c r="G9936" s="4" t="str">
        <f>HYPERLINK("http://141.218.60.56/~jnz1568/getInfo.php?workbook=20_05.xlsx&amp;sheet=U0&amp;row=9936&amp;col=7&amp;number=1.82e-05&amp;sourceID=14","1.82e-05")</f>
        <v>1.82e-05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HYPERLINK("http://141.218.60.56/~jnz1568/getInfo.php?workbook=20_05.xlsx&amp;sheet=U0&amp;row=9937&amp;col=6&amp;number=4.3&amp;sourceID=14","4.3")</f>
        <v>4.3</v>
      </c>
      <c r="G9937" s="4" t="str">
        <f>HYPERLINK("http://141.218.60.56/~jnz1568/getInfo.php?workbook=20_05.xlsx&amp;sheet=U0&amp;row=9937&amp;col=7&amp;number=1.82e-05&amp;sourceID=14","1.82e-05")</f>
        <v>1.82e-05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HYPERLINK("http://141.218.60.56/~jnz1568/getInfo.php?workbook=20_05.xlsx&amp;sheet=U0&amp;row=9938&amp;col=6&amp;number=4.4&amp;sourceID=14","4.4")</f>
        <v>4.4</v>
      </c>
      <c r="G9938" s="4" t="str">
        <f>HYPERLINK("http://141.218.60.56/~jnz1568/getInfo.php?workbook=20_05.xlsx&amp;sheet=U0&amp;row=9938&amp;col=7&amp;number=1.82e-05&amp;sourceID=14","1.82e-05")</f>
        <v>1.82e-05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HYPERLINK("http://141.218.60.56/~jnz1568/getInfo.php?workbook=20_05.xlsx&amp;sheet=U0&amp;row=9939&amp;col=6&amp;number=4.5&amp;sourceID=14","4.5")</f>
        <v>4.5</v>
      </c>
      <c r="G9939" s="4" t="str">
        <f>HYPERLINK("http://141.218.60.56/~jnz1568/getInfo.php?workbook=20_05.xlsx&amp;sheet=U0&amp;row=9939&amp;col=7&amp;number=1.82e-05&amp;sourceID=14","1.82e-05")</f>
        <v>1.82e-05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HYPERLINK("http://141.218.60.56/~jnz1568/getInfo.php?workbook=20_05.xlsx&amp;sheet=U0&amp;row=9940&amp;col=6&amp;number=4.6&amp;sourceID=14","4.6")</f>
        <v>4.6</v>
      </c>
      <c r="G9940" s="4" t="str">
        <f>HYPERLINK("http://141.218.60.56/~jnz1568/getInfo.php?workbook=20_05.xlsx&amp;sheet=U0&amp;row=9940&amp;col=7&amp;number=1.82e-05&amp;sourceID=14","1.82e-05")</f>
        <v>1.82e-05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HYPERLINK("http://141.218.60.56/~jnz1568/getInfo.php?workbook=20_05.xlsx&amp;sheet=U0&amp;row=9941&amp;col=6&amp;number=4.7&amp;sourceID=14","4.7")</f>
        <v>4.7</v>
      </c>
      <c r="G9941" s="4" t="str">
        <f>HYPERLINK("http://141.218.60.56/~jnz1568/getInfo.php?workbook=20_05.xlsx&amp;sheet=U0&amp;row=9941&amp;col=7&amp;number=1.82e-05&amp;sourceID=14","1.82e-05")</f>
        <v>1.82e-05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HYPERLINK("http://141.218.60.56/~jnz1568/getInfo.php?workbook=20_05.xlsx&amp;sheet=U0&amp;row=9942&amp;col=6&amp;number=4.8&amp;sourceID=14","4.8")</f>
        <v>4.8</v>
      </c>
      <c r="G9942" s="4" t="str">
        <f>HYPERLINK("http://141.218.60.56/~jnz1568/getInfo.php?workbook=20_05.xlsx&amp;sheet=U0&amp;row=9942&amp;col=7&amp;number=1.82e-05&amp;sourceID=14","1.82e-05")</f>
        <v>1.82e-05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HYPERLINK("http://141.218.60.56/~jnz1568/getInfo.php?workbook=20_05.xlsx&amp;sheet=U0&amp;row=9943&amp;col=6&amp;number=4.9&amp;sourceID=14","4.9")</f>
        <v>4.9</v>
      </c>
      <c r="G9943" s="4" t="str">
        <f>HYPERLINK("http://141.218.60.56/~jnz1568/getInfo.php?workbook=20_05.xlsx&amp;sheet=U0&amp;row=9943&amp;col=7&amp;number=1.83e-05&amp;sourceID=14","1.83e-05")</f>
        <v>1.83e-05</v>
      </c>
    </row>
    <row r="9944" spans="1:7">
      <c r="A9944" s="3">
        <v>20</v>
      </c>
      <c r="B9944" s="3">
        <v>5</v>
      </c>
      <c r="C9944" s="3">
        <v>5</v>
      </c>
      <c r="D9944" s="3">
        <v>32</v>
      </c>
      <c r="E9944" s="3">
        <v>1</v>
      </c>
      <c r="F9944" s="4" t="str">
        <f>HYPERLINK("http://141.218.60.56/~jnz1568/getInfo.php?workbook=20_05.xlsx&amp;sheet=U0&amp;row=9944&amp;col=6&amp;number=3&amp;sourceID=14","3")</f>
        <v>3</v>
      </c>
      <c r="G9944" s="4" t="str">
        <f>HYPERLINK("http://141.218.60.56/~jnz1568/getInfo.php?workbook=20_05.xlsx&amp;sheet=U0&amp;row=9944&amp;col=7&amp;number=0.00517&amp;sourceID=14","0.00517")</f>
        <v>0.00517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HYPERLINK("http://141.218.60.56/~jnz1568/getInfo.php?workbook=20_05.xlsx&amp;sheet=U0&amp;row=9945&amp;col=6&amp;number=3.1&amp;sourceID=14","3.1")</f>
        <v>3.1</v>
      </c>
      <c r="G9945" s="4" t="str">
        <f>HYPERLINK("http://141.218.60.56/~jnz1568/getInfo.php?workbook=20_05.xlsx&amp;sheet=U0&amp;row=9945&amp;col=7&amp;number=0.00517&amp;sourceID=14","0.00517")</f>
        <v>0.00517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HYPERLINK("http://141.218.60.56/~jnz1568/getInfo.php?workbook=20_05.xlsx&amp;sheet=U0&amp;row=9946&amp;col=6&amp;number=3.2&amp;sourceID=14","3.2")</f>
        <v>3.2</v>
      </c>
      <c r="G9946" s="4" t="str">
        <f>HYPERLINK("http://141.218.60.56/~jnz1568/getInfo.php?workbook=20_05.xlsx&amp;sheet=U0&amp;row=9946&amp;col=7&amp;number=0.00517&amp;sourceID=14","0.00517")</f>
        <v>0.00517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HYPERLINK("http://141.218.60.56/~jnz1568/getInfo.php?workbook=20_05.xlsx&amp;sheet=U0&amp;row=9947&amp;col=6&amp;number=3.3&amp;sourceID=14","3.3")</f>
        <v>3.3</v>
      </c>
      <c r="G9947" s="4" t="str">
        <f>HYPERLINK("http://141.218.60.56/~jnz1568/getInfo.php?workbook=20_05.xlsx&amp;sheet=U0&amp;row=9947&amp;col=7&amp;number=0.00517&amp;sourceID=14","0.00517")</f>
        <v>0.00517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HYPERLINK("http://141.218.60.56/~jnz1568/getInfo.php?workbook=20_05.xlsx&amp;sheet=U0&amp;row=9948&amp;col=6&amp;number=3.4&amp;sourceID=14","3.4")</f>
        <v>3.4</v>
      </c>
      <c r="G9948" s="4" t="str">
        <f>HYPERLINK("http://141.218.60.56/~jnz1568/getInfo.php?workbook=20_05.xlsx&amp;sheet=U0&amp;row=9948&amp;col=7&amp;number=0.00517&amp;sourceID=14","0.00517")</f>
        <v>0.00517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HYPERLINK("http://141.218.60.56/~jnz1568/getInfo.php?workbook=20_05.xlsx&amp;sheet=U0&amp;row=9949&amp;col=6&amp;number=3.5&amp;sourceID=14","3.5")</f>
        <v>3.5</v>
      </c>
      <c r="G9949" s="4" t="str">
        <f>HYPERLINK("http://141.218.60.56/~jnz1568/getInfo.php?workbook=20_05.xlsx&amp;sheet=U0&amp;row=9949&amp;col=7&amp;number=0.00517&amp;sourceID=14","0.00517")</f>
        <v>0.00517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HYPERLINK("http://141.218.60.56/~jnz1568/getInfo.php?workbook=20_05.xlsx&amp;sheet=U0&amp;row=9950&amp;col=6&amp;number=3.6&amp;sourceID=14","3.6")</f>
        <v>3.6</v>
      </c>
      <c r="G9950" s="4" t="str">
        <f>HYPERLINK("http://141.218.60.56/~jnz1568/getInfo.php?workbook=20_05.xlsx&amp;sheet=U0&amp;row=9950&amp;col=7&amp;number=0.00517&amp;sourceID=14","0.00517")</f>
        <v>0.00517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HYPERLINK("http://141.218.60.56/~jnz1568/getInfo.php?workbook=20_05.xlsx&amp;sheet=U0&amp;row=9951&amp;col=6&amp;number=3.7&amp;sourceID=14","3.7")</f>
        <v>3.7</v>
      </c>
      <c r="G9951" s="4" t="str">
        <f>HYPERLINK("http://141.218.60.56/~jnz1568/getInfo.php?workbook=20_05.xlsx&amp;sheet=U0&amp;row=9951&amp;col=7&amp;number=0.00517&amp;sourceID=14","0.00517")</f>
        <v>0.00517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HYPERLINK("http://141.218.60.56/~jnz1568/getInfo.php?workbook=20_05.xlsx&amp;sheet=U0&amp;row=9952&amp;col=6&amp;number=3.8&amp;sourceID=14","3.8")</f>
        <v>3.8</v>
      </c>
      <c r="G9952" s="4" t="str">
        <f>HYPERLINK("http://141.218.60.56/~jnz1568/getInfo.php?workbook=20_05.xlsx&amp;sheet=U0&amp;row=9952&amp;col=7&amp;number=0.00517&amp;sourceID=14","0.00517")</f>
        <v>0.00517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HYPERLINK("http://141.218.60.56/~jnz1568/getInfo.php?workbook=20_05.xlsx&amp;sheet=U0&amp;row=9953&amp;col=6&amp;number=3.9&amp;sourceID=14","3.9")</f>
        <v>3.9</v>
      </c>
      <c r="G9953" s="4" t="str">
        <f>HYPERLINK("http://141.218.60.56/~jnz1568/getInfo.php?workbook=20_05.xlsx&amp;sheet=U0&amp;row=9953&amp;col=7&amp;number=0.00517&amp;sourceID=14","0.00517")</f>
        <v>0.00517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HYPERLINK("http://141.218.60.56/~jnz1568/getInfo.php?workbook=20_05.xlsx&amp;sheet=U0&amp;row=9954&amp;col=6&amp;number=4&amp;sourceID=14","4")</f>
        <v>4</v>
      </c>
      <c r="G9954" s="4" t="str">
        <f>HYPERLINK("http://141.218.60.56/~jnz1568/getInfo.php?workbook=20_05.xlsx&amp;sheet=U0&amp;row=9954&amp;col=7&amp;number=0.00517&amp;sourceID=14","0.00517")</f>
        <v>0.00517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HYPERLINK("http://141.218.60.56/~jnz1568/getInfo.php?workbook=20_05.xlsx&amp;sheet=U0&amp;row=9955&amp;col=6&amp;number=4.1&amp;sourceID=14","4.1")</f>
        <v>4.1</v>
      </c>
      <c r="G9955" s="4" t="str">
        <f>HYPERLINK("http://141.218.60.56/~jnz1568/getInfo.php?workbook=20_05.xlsx&amp;sheet=U0&amp;row=9955&amp;col=7&amp;number=0.00516&amp;sourceID=14","0.00516")</f>
        <v>0.00516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HYPERLINK("http://141.218.60.56/~jnz1568/getInfo.php?workbook=20_05.xlsx&amp;sheet=U0&amp;row=9956&amp;col=6&amp;number=4.2&amp;sourceID=14","4.2")</f>
        <v>4.2</v>
      </c>
      <c r="G9956" s="4" t="str">
        <f>HYPERLINK("http://141.218.60.56/~jnz1568/getInfo.php?workbook=20_05.xlsx&amp;sheet=U0&amp;row=9956&amp;col=7&amp;number=0.00516&amp;sourceID=14","0.00516")</f>
        <v>0.00516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HYPERLINK("http://141.218.60.56/~jnz1568/getInfo.php?workbook=20_05.xlsx&amp;sheet=U0&amp;row=9957&amp;col=6&amp;number=4.3&amp;sourceID=14","4.3")</f>
        <v>4.3</v>
      </c>
      <c r="G9957" s="4" t="str">
        <f>HYPERLINK("http://141.218.60.56/~jnz1568/getInfo.php?workbook=20_05.xlsx&amp;sheet=U0&amp;row=9957&amp;col=7&amp;number=0.00516&amp;sourceID=14","0.00516")</f>
        <v>0.00516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HYPERLINK("http://141.218.60.56/~jnz1568/getInfo.php?workbook=20_05.xlsx&amp;sheet=U0&amp;row=9958&amp;col=6&amp;number=4.4&amp;sourceID=14","4.4")</f>
        <v>4.4</v>
      </c>
      <c r="G9958" s="4" t="str">
        <f>HYPERLINK("http://141.218.60.56/~jnz1568/getInfo.php?workbook=20_05.xlsx&amp;sheet=U0&amp;row=9958&amp;col=7&amp;number=0.00516&amp;sourceID=14","0.00516")</f>
        <v>0.00516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HYPERLINK("http://141.218.60.56/~jnz1568/getInfo.php?workbook=20_05.xlsx&amp;sheet=U0&amp;row=9959&amp;col=6&amp;number=4.5&amp;sourceID=14","4.5")</f>
        <v>4.5</v>
      </c>
      <c r="G9959" s="4" t="str">
        <f>HYPERLINK("http://141.218.60.56/~jnz1568/getInfo.php?workbook=20_05.xlsx&amp;sheet=U0&amp;row=9959&amp;col=7&amp;number=0.00515&amp;sourceID=14","0.00515")</f>
        <v>0.00515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HYPERLINK("http://141.218.60.56/~jnz1568/getInfo.php?workbook=20_05.xlsx&amp;sheet=U0&amp;row=9960&amp;col=6&amp;number=4.6&amp;sourceID=14","4.6")</f>
        <v>4.6</v>
      </c>
      <c r="G9960" s="4" t="str">
        <f>HYPERLINK("http://141.218.60.56/~jnz1568/getInfo.php?workbook=20_05.xlsx&amp;sheet=U0&amp;row=9960&amp;col=7&amp;number=0.00515&amp;sourceID=14","0.00515")</f>
        <v>0.00515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HYPERLINK("http://141.218.60.56/~jnz1568/getInfo.php?workbook=20_05.xlsx&amp;sheet=U0&amp;row=9961&amp;col=6&amp;number=4.7&amp;sourceID=14","4.7")</f>
        <v>4.7</v>
      </c>
      <c r="G9961" s="4" t="str">
        <f>HYPERLINK("http://141.218.60.56/~jnz1568/getInfo.php?workbook=20_05.xlsx&amp;sheet=U0&amp;row=9961&amp;col=7&amp;number=0.00514&amp;sourceID=14","0.00514")</f>
        <v>0.00514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HYPERLINK("http://141.218.60.56/~jnz1568/getInfo.php?workbook=20_05.xlsx&amp;sheet=U0&amp;row=9962&amp;col=6&amp;number=4.8&amp;sourceID=14","4.8")</f>
        <v>4.8</v>
      </c>
      <c r="G9962" s="4" t="str">
        <f>HYPERLINK("http://141.218.60.56/~jnz1568/getInfo.php?workbook=20_05.xlsx&amp;sheet=U0&amp;row=9962&amp;col=7&amp;number=0.00513&amp;sourceID=14","0.00513")</f>
        <v>0.00513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HYPERLINK("http://141.218.60.56/~jnz1568/getInfo.php?workbook=20_05.xlsx&amp;sheet=U0&amp;row=9963&amp;col=6&amp;number=4.9&amp;sourceID=14","4.9")</f>
        <v>4.9</v>
      </c>
      <c r="G9963" s="4" t="str">
        <f>HYPERLINK("http://141.218.60.56/~jnz1568/getInfo.php?workbook=20_05.xlsx&amp;sheet=U0&amp;row=9963&amp;col=7&amp;number=0.00512&amp;sourceID=14","0.00512")</f>
        <v>0.00512</v>
      </c>
    </row>
    <row r="9964" spans="1:7">
      <c r="A9964" s="3">
        <v>20</v>
      </c>
      <c r="B9964" s="3">
        <v>5</v>
      </c>
      <c r="C9964" s="3">
        <v>5</v>
      </c>
      <c r="D9964" s="3">
        <v>33</v>
      </c>
      <c r="E9964" s="3">
        <v>1</v>
      </c>
      <c r="F9964" s="4" t="str">
        <f>HYPERLINK("http://141.218.60.56/~jnz1568/getInfo.php?workbook=20_05.xlsx&amp;sheet=U0&amp;row=9964&amp;col=6&amp;number=3&amp;sourceID=14","3")</f>
        <v>3</v>
      </c>
      <c r="G9964" s="4" t="str">
        <f>HYPERLINK("http://141.218.60.56/~jnz1568/getInfo.php?workbook=20_05.xlsx&amp;sheet=U0&amp;row=9964&amp;col=7&amp;number=0.00478&amp;sourceID=14","0.00478")</f>
        <v>0.00478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HYPERLINK("http://141.218.60.56/~jnz1568/getInfo.php?workbook=20_05.xlsx&amp;sheet=U0&amp;row=9965&amp;col=6&amp;number=3.1&amp;sourceID=14","3.1")</f>
        <v>3.1</v>
      </c>
      <c r="G9965" s="4" t="str">
        <f>HYPERLINK("http://141.218.60.56/~jnz1568/getInfo.php?workbook=20_05.xlsx&amp;sheet=U0&amp;row=9965&amp;col=7&amp;number=0.00478&amp;sourceID=14","0.00478")</f>
        <v>0.00478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HYPERLINK("http://141.218.60.56/~jnz1568/getInfo.php?workbook=20_05.xlsx&amp;sheet=U0&amp;row=9966&amp;col=6&amp;number=3.2&amp;sourceID=14","3.2")</f>
        <v>3.2</v>
      </c>
      <c r="G9966" s="4" t="str">
        <f>HYPERLINK("http://141.218.60.56/~jnz1568/getInfo.php?workbook=20_05.xlsx&amp;sheet=U0&amp;row=9966&amp;col=7&amp;number=0.00478&amp;sourceID=14","0.00478")</f>
        <v>0.00478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HYPERLINK("http://141.218.60.56/~jnz1568/getInfo.php?workbook=20_05.xlsx&amp;sheet=U0&amp;row=9967&amp;col=6&amp;number=3.3&amp;sourceID=14","3.3")</f>
        <v>3.3</v>
      </c>
      <c r="G9967" s="4" t="str">
        <f>HYPERLINK("http://141.218.60.56/~jnz1568/getInfo.php?workbook=20_05.xlsx&amp;sheet=U0&amp;row=9967&amp;col=7&amp;number=0.00478&amp;sourceID=14","0.00478")</f>
        <v>0.00478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HYPERLINK("http://141.218.60.56/~jnz1568/getInfo.php?workbook=20_05.xlsx&amp;sheet=U0&amp;row=9968&amp;col=6&amp;number=3.4&amp;sourceID=14","3.4")</f>
        <v>3.4</v>
      </c>
      <c r="G9968" s="4" t="str">
        <f>HYPERLINK("http://141.218.60.56/~jnz1568/getInfo.php?workbook=20_05.xlsx&amp;sheet=U0&amp;row=9968&amp;col=7&amp;number=0.00478&amp;sourceID=14","0.00478")</f>
        <v>0.00478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HYPERLINK("http://141.218.60.56/~jnz1568/getInfo.php?workbook=20_05.xlsx&amp;sheet=U0&amp;row=9969&amp;col=6&amp;number=3.5&amp;sourceID=14","3.5")</f>
        <v>3.5</v>
      </c>
      <c r="G9969" s="4" t="str">
        <f>HYPERLINK("http://141.218.60.56/~jnz1568/getInfo.php?workbook=20_05.xlsx&amp;sheet=U0&amp;row=9969&amp;col=7&amp;number=0.00478&amp;sourceID=14","0.00478")</f>
        <v>0.00478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HYPERLINK("http://141.218.60.56/~jnz1568/getInfo.php?workbook=20_05.xlsx&amp;sheet=U0&amp;row=9970&amp;col=6&amp;number=3.6&amp;sourceID=14","3.6")</f>
        <v>3.6</v>
      </c>
      <c r="G9970" s="4" t="str">
        <f>HYPERLINK("http://141.218.60.56/~jnz1568/getInfo.php?workbook=20_05.xlsx&amp;sheet=U0&amp;row=9970&amp;col=7&amp;number=0.00477&amp;sourceID=14","0.00477")</f>
        <v>0.00477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HYPERLINK("http://141.218.60.56/~jnz1568/getInfo.php?workbook=20_05.xlsx&amp;sheet=U0&amp;row=9971&amp;col=6&amp;number=3.7&amp;sourceID=14","3.7")</f>
        <v>3.7</v>
      </c>
      <c r="G9971" s="4" t="str">
        <f>HYPERLINK("http://141.218.60.56/~jnz1568/getInfo.php?workbook=20_05.xlsx&amp;sheet=U0&amp;row=9971&amp;col=7&amp;number=0.00477&amp;sourceID=14","0.00477")</f>
        <v>0.00477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HYPERLINK("http://141.218.60.56/~jnz1568/getInfo.php?workbook=20_05.xlsx&amp;sheet=U0&amp;row=9972&amp;col=6&amp;number=3.8&amp;sourceID=14","3.8")</f>
        <v>3.8</v>
      </c>
      <c r="G9972" s="4" t="str">
        <f>HYPERLINK("http://141.218.60.56/~jnz1568/getInfo.php?workbook=20_05.xlsx&amp;sheet=U0&amp;row=9972&amp;col=7&amp;number=0.00477&amp;sourceID=14","0.00477")</f>
        <v>0.00477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HYPERLINK("http://141.218.60.56/~jnz1568/getInfo.php?workbook=20_05.xlsx&amp;sheet=U0&amp;row=9973&amp;col=6&amp;number=3.9&amp;sourceID=14","3.9")</f>
        <v>3.9</v>
      </c>
      <c r="G9973" s="4" t="str">
        <f>HYPERLINK("http://141.218.60.56/~jnz1568/getInfo.php?workbook=20_05.xlsx&amp;sheet=U0&amp;row=9973&amp;col=7&amp;number=0.00477&amp;sourceID=14","0.00477")</f>
        <v>0.00477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HYPERLINK("http://141.218.60.56/~jnz1568/getInfo.php?workbook=20_05.xlsx&amp;sheet=U0&amp;row=9974&amp;col=6&amp;number=4&amp;sourceID=14","4")</f>
        <v>4</v>
      </c>
      <c r="G9974" s="4" t="str">
        <f>HYPERLINK("http://141.218.60.56/~jnz1568/getInfo.php?workbook=20_05.xlsx&amp;sheet=U0&amp;row=9974&amp;col=7&amp;number=0.00477&amp;sourceID=14","0.00477")</f>
        <v>0.00477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HYPERLINK("http://141.218.60.56/~jnz1568/getInfo.php?workbook=20_05.xlsx&amp;sheet=U0&amp;row=9975&amp;col=6&amp;number=4.1&amp;sourceID=14","4.1")</f>
        <v>4.1</v>
      </c>
      <c r="G9975" s="4" t="str">
        <f>HYPERLINK("http://141.218.60.56/~jnz1568/getInfo.php?workbook=20_05.xlsx&amp;sheet=U0&amp;row=9975&amp;col=7&amp;number=0.00476&amp;sourceID=14","0.00476")</f>
        <v>0.00476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HYPERLINK("http://141.218.60.56/~jnz1568/getInfo.php?workbook=20_05.xlsx&amp;sheet=U0&amp;row=9976&amp;col=6&amp;number=4.2&amp;sourceID=14","4.2")</f>
        <v>4.2</v>
      </c>
      <c r="G9976" s="4" t="str">
        <f>HYPERLINK("http://141.218.60.56/~jnz1568/getInfo.php?workbook=20_05.xlsx&amp;sheet=U0&amp;row=9976&amp;col=7&amp;number=0.00476&amp;sourceID=14","0.00476")</f>
        <v>0.00476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HYPERLINK("http://141.218.60.56/~jnz1568/getInfo.php?workbook=20_05.xlsx&amp;sheet=U0&amp;row=9977&amp;col=6&amp;number=4.3&amp;sourceID=14","4.3")</f>
        <v>4.3</v>
      </c>
      <c r="G9977" s="4" t="str">
        <f>HYPERLINK("http://141.218.60.56/~jnz1568/getInfo.php?workbook=20_05.xlsx&amp;sheet=U0&amp;row=9977&amp;col=7&amp;number=0.00476&amp;sourceID=14","0.00476")</f>
        <v>0.00476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HYPERLINK("http://141.218.60.56/~jnz1568/getInfo.php?workbook=20_05.xlsx&amp;sheet=U0&amp;row=9978&amp;col=6&amp;number=4.4&amp;sourceID=14","4.4")</f>
        <v>4.4</v>
      </c>
      <c r="G9978" s="4" t="str">
        <f>HYPERLINK("http://141.218.60.56/~jnz1568/getInfo.php?workbook=20_05.xlsx&amp;sheet=U0&amp;row=9978&amp;col=7&amp;number=0.00475&amp;sourceID=14","0.00475")</f>
        <v>0.00475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HYPERLINK("http://141.218.60.56/~jnz1568/getInfo.php?workbook=20_05.xlsx&amp;sheet=U0&amp;row=9979&amp;col=6&amp;number=4.5&amp;sourceID=14","4.5")</f>
        <v>4.5</v>
      </c>
      <c r="G9979" s="4" t="str">
        <f>HYPERLINK("http://141.218.60.56/~jnz1568/getInfo.php?workbook=20_05.xlsx&amp;sheet=U0&amp;row=9979&amp;col=7&amp;number=0.00474&amp;sourceID=14","0.00474")</f>
        <v>0.00474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HYPERLINK("http://141.218.60.56/~jnz1568/getInfo.php?workbook=20_05.xlsx&amp;sheet=U0&amp;row=9980&amp;col=6&amp;number=4.6&amp;sourceID=14","4.6")</f>
        <v>4.6</v>
      </c>
      <c r="G9980" s="4" t="str">
        <f>HYPERLINK("http://141.218.60.56/~jnz1568/getInfo.php?workbook=20_05.xlsx&amp;sheet=U0&amp;row=9980&amp;col=7&amp;number=0.00473&amp;sourceID=14","0.00473")</f>
        <v>0.00473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HYPERLINK("http://141.218.60.56/~jnz1568/getInfo.php?workbook=20_05.xlsx&amp;sheet=U0&amp;row=9981&amp;col=6&amp;number=4.7&amp;sourceID=14","4.7")</f>
        <v>4.7</v>
      </c>
      <c r="G9981" s="4" t="str">
        <f>HYPERLINK("http://141.218.60.56/~jnz1568/getInfo.php?workbook=20_05.xlsx&amp;sheet=U0&amp;row=9981&amp;col=7&amp;number=0.00472&amp;sourceID=14","0.00472")</f>
        <v>0.00472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HYPERLINK("http://141.218.60.56/~jnz1568/getInfo.php?workbook=20_05.xlsx&amp;sheet=U0&amp;row=9982&amp;col=6&amp;number=4.8&amp;sourceID=14","4.8")</f>
        <v>4.8</v>
      </c>
      <c r="G9982" s="4" t="str">
        <f>HYPERLINK("http://141.218.60.56/~jnz1568/getInfo.php?workbook=20_05.xlsx&amp;sheet=U0&amp;row=9982&amp;col=7&amp;number=0.00471&amp;sourceID=14","0.00471")</f>
        <v>0.00471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HYPERLINK("http://141.218.60.56/~jnz1568/getInfo.php?workbook=20_05.xlsx&amp;sheet=U0&amp;row=9983&amp;col=6&amp;number=4.9&amp;sourceID=14","4.9")</f>
        <v>4.9</v>
      </c>
      <c r="G9983" s="4" t="str">
        <f>HYPERLINK("http://141.218.60.56/~jnz1568/getInfo.php?workbook=20_05.xlsx&amp;sheet=U0&amp;row=9983&amp;col=7&amp;number=0.00469&amp;sourceID=14","0.00469")</f>
        <v>0.00469</v>
      </c>
    </row>
    <row r="9984" spans="1:7">
      <c r="A9984" s="3">
        <v>20</v>
      </c>
      <c r="B9984" s="3">
        <v>5</v>
      </c>
      <c r="C9984" s="3">
        <v>5</v>
      </c>
      <c r="D9984" s="3">
        <v>34</v>
      </c>
      <c r="E9984" s="3">
        <v>1</v>
      </c>
      <c r="F9984" s="4" t="str">
        <f>HYPERLINK("http://141.218.60.56/~jnz1568/getInfo.php?workbook=20_05.xlsx&amp;sheet=U0&amp;row=9984&amp;col=6&amp;number=3&amp;sourceID=14","3")</f>
        <v>3</v>
      </c>
      <c r="G9984" s="4" t="str">
        <f>HYPERLINK("http://141.218.60.56/~jnz1568/getInfo.php?workbook=20_05.xlsx&amp;sheet=U0&amp;row=9984&amp;col=7&amp;number=0.0055&amp;sourceID=14","0.0055")</f>
        <v>0.0055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HYPERLINK("http://141.218.60.56/~jnz1568/getInfo.php?workbook=20_05.xlsx&amp;sheet=U0&amp;row=9985&amp;col=6&amp;number=3.1&amp;sourceID=14","3.1")</f>
        <v>3.1</v>
      </c>
      <c r="G9985" s="4" t="str">
        <f>HYPERLINK("http://141.218.60.56/~jnz1568/getInfo.php?workbook=20_05.xlsx&amp;sheet=U0&amp;row=9985&amp;col=7&amp;number=0.0055&amp;sourceID=14","0.0055")</f>
        <v>0.0055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HYPERLINK("http://141.218.60.56/~jnz1568/getInfo.php?workbook=20_05.xlsx&amp;sheet=U0&amp;row=9986&amp;col=6&amp;number=3.2&amp;sourceID=14","3.2")</f>
        <v>3.2</v>
      </c>
      <c r="G9986" s="4" t="str">
        <f>HYPERLINK("http://141.218.60.56/~jnz1568/getInfo.php?workbook=20_05.xlsx&amp;sheet=U0&amp;row=9986&amp;col=7&amp;number=0.0055&amp;sourceID=14","0.0055")</f>
        <v>0.0055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HYPERLINK("http://141.218.60.56/~jnz1568/getInfo.php?workbook=20_05.xlsx&amp;sheet=U0&amp;row=9987&amp;col=6&amp;number=3.3&amp;sourceID=14","3.3")</f>
        <v>3.3</v>
      </c>
      <c r="G9987" s="4" t="str">
        <f>HYPERLINK("http://141.218.60.56/~jnz1568/getInfo.php?workbook=20_05.xlsx&amp;sheet=U0&amp;row=9987&amp;col=7&amp;number=0.0055&amp;sourceID=14","0.0055")</f>
        <v>0.0055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HYPERLINK("http://141.218.60.56/~jnz1568/getInfo.php?workbook=20_05.xlsx&amp;sheet=U0&amp;row=9988&amp;col=6&amp;number=3.4&amp;sourceID=14","3.4")</f>
        <v>3.4</v>
      </c>
      <c r="G9988" s="4" t="str">
        <f>HYPERLINK("http://141.218.60.56/~jnz1568/getInfo.php?workbook=20_05.xlsx&amp;sheet=U0&amp;row=9988&amp;col=7&amp;number=0.0055&amp;sourceID=14","0.0055")</f>
        <v>0.0055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HYPERLINK("http://141.218.60.56/~jnz1568/getInfo.php?workbook=20_05.xlsx&amp;sheet=U0&amp;row=9989&amp;col=6&amp;number=3.5&amp;sourceID=14","3.5")</f>
        <v>3.5</v>
      </c>
      <c r="G9989" s="4" t="str">
        <f>HYPERLINK("http://141.218.60.56/~jnz1568/getInfo.php?workbook=20_05.xlsx&amp;sheet=U0&amp;row=9989&amp;col=7&amp;number=0.0055&amp;sourceID=14","0.0055")</f>
        <v>0.0055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HYPERLINK("http://141.218.60.56/~jnz1568/getInfo.php?workbook=20_05.xlsx&amp;sheet=U0&amp;row=9990&amp;col=6&amp;number=3.6&amp;sourceID=14","3.6")</f>
        <v>3.6</v>
      </c>
      <c r="G9990" s="4" t="str">
        <f>HYPERLINK("http://141.218.60.56/~jnz1568/getInfo.php?workbook=20_05.xlsx&amp;sheet=U0&amp;row=9990&amp;col=7&amp;number=0.0055&amp;sourceID=14","0.0055")</f>
        <v>0.0055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HYPERLINK("http://141.218.60.56/~jnz1568/getInfo.php?workbook=20_05.xlsx&amp;sheet=U0&amp;row=9991&amp;col=6&amp;number=3.7&amp;sourceID=14","3.7")</f>
        <v>3.7</v>
      </c>
      <c r="G9991" s="4" t="str">
        <f>HYPERLINK("http://141.218.60.56/~jnz1568/getInfo.php?workbook=20_05.xlsx&amp;sheet=U0&amp;row=9991&amp;col=7&amp;number=0.0055&amp;sourceID=14","0.0055")</f>
        <v>0.0055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HYPERLINK("http://141.218.60.56/~jnz1568/getInfo.php?workbook=20_05.xlsx&amp;sheet=U0&amp;row=9992&amp;col=6&amp;number=3.8&amp;sourceID=14","3.8")</f>
        <v>3.8</v>
      </c>
      <c r="G9992" s="4" t="str">
        <f>HYPERLINK("http://141.218.60.56/~jnz1568/getInfo.php?workbook=20_05.xlsx&amp;sheet=U0&amp;row=9992&amp;col=7&amp;number=0.0055&amp;sourceID=14","0.0055")</f>
        <v>0.0055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HYPERLINK("http://141.218.60.56/~jnz1568/getInfo.php?workbook=20_05.xlsx&amp;sheet=U0&amp;row=9993&amp;col=6&amp;number=3.9&amp;sourceID=14","3.9")</f>
        <v>3.9</v>
      </c>
      <c r="G9993" s="4" t="str">
        <f>HYPERLINK("http://141.218.60.56/~jnz1568/getInfo.php?workbook=20_05.xlsx&amp;sheet=U0&amp;row=9993&amp;col=7&amp;number=0.00549&amp;sourceID=14","0.00549")</f>
        <v>0.00549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HYPERLINK("http://141.218.60.56/~jnz1568/getInfo.php?workbook=20_05.xlsx&amp;sheet=U0&amp;row=9994&amp;col=6&amp;number=4&amp;sourceID=14","4")</f>
        <v>4</v>
      </c>
      <c r="G9994" s="4" t="str">
        <f>HYPERLINK("http://141.218.60.56/~jnz1568/getInfo.php?workbook=20_05.xlsx&amp;sheet=U0&amp;row=9994&amp;col=7&amp;number=0.00549&amp;sourceID=14","0.00549")</f>
        <v>0.00549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HYPERLINK("http://141.218.60.56/~jnz1568/getInfo.php?workbook=20_05.xlsx&amp;sheet=U0&amp;row=9995&amp;col=6&amp;number=4.1&amp;sourceID=14","4.1")</f>
        <v>4.1</v>
      </c>
      <c r="G9995" s="4" t="str">
        <f>HYPERLINK("http://141.218.60.56/~jnz1568/getInfo.php?workbook=20_05.xlsx&amp;sheet=U0&amp;row=9995&amp;col=7&amp;number=0.00549&amp;sourceID=14","0.00549")</f>
        <v>0.00549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HYPERLINK("http://141.218.60.56/~jnz1568/getInfo.php?workbook=20_05.xlsx&amp;sheet=U0&amp;row=9996&amp;col=6&amp;number=4.2&amp;sourceID=14","4.2")</f>
        <v>4.2</v>
      </c>
      <c r="G9996" s="4" t="str">
        <f>HYPERLINK("http://141.218.60.56/~jnz1568/getInfo.php?workbook=20_05.xlsx&amp;sheet=U0&amp;row=9996&amp;col=7&amp;number=0.00548&amp;sourceID=14","0.00548")</f>
        <v>0.00548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HYPERLINK("http://141.218.60.56/~jnz1568/getInfo.php?workbook=20_05.xlsx&amp;sheet=U0&amp;row=9997&amp;col=6&amp;number=4.3&amp;sourceID=14","4.3")</f>
        <v>4.3</v>
      </c>
      <c r="G9997" s="4" t="str">
        <f>HYPERLINK("http://141.218.60.56/~jnz1568/getInfo.php?workbook=20_05.xlsx&amp;sheet=U0&amp;row=9997&amp;col=7&amp;number=0.00548&amp;sourceID=14","0.00548")</f>
        <v>0.00548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HYPERLINK("http://141.218.60.56/~jnz1568/getInfo.php?workbook=20_05.xlsx&amp;sheet=U0&amp;row=9998&amp;col=6&amp;number=4.4&amp;sourceID=14","4.4")</f>
        <v>4.4</v>
      </c>
      <c r="G9998" s="4" t="str">
        <f>HYPERLINK("http://141.218.60.56/~jnz1568/getInfo.php?workbook=20_05.xlsx&amp;sheet=U0&amp;row=9998&amp;col=7&amp;number=0.00547&amp;sourceID=14","0.00547")</f>
        <v>0.00547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HYPERLINK("http://141.218.60.56/~jnz1568/getInfo.php?workbook=20_05.xlsx&amp;sheet=U0&amp;row=9999&amp;col=6&amp;number=4.5&amp;sourceID=14","4.5")</f>
        <v>4.5</v>
      </c>
      <c r="G9999" s="4" t="str">
        <f>HYPERLINK("http://141.218.60.56/~jnz1568/getInfo.php?workbook=20_05.xlsx&amp;sheet=U0&amp;row=9999&amp;col=7&amp;number=0.00547&amp;sourceID=14","0.00547")</f>
        <v>0.00547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HYPERLINK("http://141.218.60.56/~jnz1568/getInfo.php?workbook=20_05.xlsx&amp;sheet=U0&amp;row=10000&amp;col=6&amp;number=4.6&amp;sourceID=14","4.6")</f>
        <v>4.6</v>
      </c>
      <c r="G10000" s="4" t="str">
        <f>HYPERLINK("http://141.218.60.56/~jnz1568/getInfo.php?workbook=20_05.xlsx&amp;sheet=U0&amp;row=10000&amp;col=7&amp;number=0.00546&amp;sourceID=14","0.00546")</f>
        <v>0.00546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HYPERLINK("http://141.218.60.56/~jnz1568/getInfo.php?workbook=20_05.xlsx&amp;sheet=U0&amp;row=10001&amp;col=6&amp;number=4.7&amp;sourceID=14","4.7")</f>
        <v>4.7</v>
      </c>
      <c r="G10001" s="4" t="str">
        <f>HYPERLINK("http://141.218.60.56/~jnz1568/getInfo.php?workbook=20_05.xlsx&amp;sheet=U0&amp;row=10001&amp;col=7&amp;number=0.00544&amp;sourceID=14","0.00544")</f>
        <v>0.00544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HYPERLINK("http://141.218.60.56/~jnz1568/getInfo.php?workbook=20_05.xlsx&amp;sheet=U0&amp;row=10002&amp;col=6&amp;number=4.8&amp;sourceID=14","4.8")</f>
        <v>4.8</v>
      </c>
      <c r="G10002" s="4" t="str">
        <f>HYPERLINK("http://141.218.60.56/~jnz1568/getInfo.php?workbook=20_05.xlsx&amp;sheet=U0&amp;row=10002&amp;col=7&amp;number=0.00543&amp;sourceID=14","0.00543")</f>
        <v>0.00543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HYPERLINK("http://141.218.60.56/~jnz1568/getInfo.php?workbook=20_05.xlsx&amp;sheet=U0&amp;row=10003&amp;col=6&amp;number=4.9&amp;sourceID=14","4.9")</f>
        <v>4.9</v>
      </c>
      <c r="G10003" s="4" t="str">
        <f>HYPERLINK("http://141.218.60.56/~jnz1568/getInfo.php?workbook=20_05.xlsx&amp;sheet=U0&amp;row=10003&amp;col=7&amp;number=0.00541&amp;sourceID=14","0.00541")</f>
        <v>0.00541</v>
      </c>
    </row>
    <row r="10004" spans="1:7">
      <c r="A10004" s="3">
        <v>20</v>
      </c>
      <c r="B10004" s="3">
        <v>5</v>
      </c>
      <c r="C10004" s="3">
        <v>5</v>
      </c>
      <c r="D10004" s="3">
        <v>35</v>
      </c>
      <c r="E10004" s="3">
        <v>1</v>
      </c>
      <c r="F10004" s="4" t="str">
        <f>HYPERLINK("http://141.218.60.56/~jnz1568/getInfo.php?workbook=20_05.xlsx&amp;sheet=U0&amp;row=10004&amp;col=6&amp;number=3&amp;sourceID=14","3")</f>
        <v>3</v>
      </c>
      <c r="G10004" s="4" t="str">
        <f>HYPERLINK("http://141.218.60.56/~jnz1568/getInfo.php?workbook=20_05.xlsx&amp;sheet=U0&amp;row=10004&amp;col=7&amp;number=0.00607&amp;sourceID=14","0.00607")</f>
        <v>0.00607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HYPERLINK("http://141.218.60.56/~jnz1568/getInfo.php?workbook=20_05.xlsx&amp;sheet=U0&amp;row=10005&amp;col=6&amp;number=3.1&amp;sourceID=14","3.1")</f>
        <v>3.1</v>
      </c>
      <c r="G10005" s="4" t="str">
        <f>HYPERLINK("http://141.218.60.56/~jnz1568/getInfo.php?workbook=20_05.xlsx&amp;sheet=U0&amp;row=10005&amp;col=7&amp;number=0.00607&amp;sourceID=14","0.00607")</f>
        <v>0.00607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HYPERLINK("http://141.218.60.56/~jnz1568/getInfo.php?workbook=20_05.xlsx&amp;sheet=U0&amp;row=10006&amp;col=6&amp;number=3.2&amp;sourceID=14","3.2")</f>
        <v>3.2</v>
      </c>
      <c r="G10006" s="4" t="str">
        <f>HYPERLINK("http://141.218.60.56/~jnz1568/getInfo.php?workbook=20_05.xlsx&amp;sheet=U0&amp;row=10006&amp;col=7&amp;number=0.00607&amp;sourceID=14","0.00607")</f>
        <v>0.00607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HYPERLINK("http://141.218.60.56/~jnz1568/getInfo.php?workbook=20_05.xlsx&amp;sheet=U0&amp;row=10007&amp;col=6&amp;number=3.3&amp;sourceID=14","3.3")</f>
        <v>3.3</v>
      </c>
      <c r="G10007" s="4" t="str">
        <f>HYPERLINK("http://141.218.60.56/~jnz1568/getInfo.php?workbook=20_05.xlsx&amp;sheet=U0&amp;row=10007&amp;col=7&amp;number=0.00607&amp;sourceID=14","0.00607")</f>
        <v>0.00607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HYPERLINK("http://141.218.60.56/~jnz1568/getInfo.php?workbook=20_05.xlsx&amp;sheet=U0&amp;row=10008&amp;col=6&amp;number=3.4&amp;sourceID=14","3.4")</f>
        <v>3.4</v>
      </c>
      <c r="G10008" s="4" t="str">
        <f>HYPERLINK("http://141.218.60.56/~jnz1568/getInfo.php?workbook=20_05.xlsx&amp;sheet=U0&amp;row=10008&amp;col=7&amp;number=0.00607&amp;sourceID=14","0.00607")</f>
        <v>0.00607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HYPERLINK("http://141.218.60.56/~jnz1568/getInfo.php?workbook=20_05.xlsx&amp;sheet=U0&amp;row=10009&amp;col=6&amp;number=3.5&amp;sourceID=14","3.5")</f>
        <v>3.5</v>
      </c>
      <c r="G10009" s="4" t="str">
        <f>HYPERLINK("http://141.218.60.56/~jnz1568/getInfo.php?workbook=20_05.xlsx&amp;sheet=U0&amp;row=10009&amp;col=7&amp;number=0.00607&amp;sourceID=14","0.00607")</f>
        <v>0.00607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HYPERLINK("http://141.218.60.56/~jnz1568/getInfo.php?workbook=20_05.xlsx&amp;sheet=U0&amp;row=10010&amp;col=6&amp;number=3.6&amp;sourceID=14","3.6")</f>
        <v>3.6</v>
      </c>
      <c r="G10010" s="4" t="str">
        <f>HYPERLINK("http://141.218.60.56/~jnz1568/getInfo.php?workbook=20_05.xlsx&amp;sheet=U0&amp;row=10010&amp;col=7&amp;number=0.00607&amp;sourceID=14","0.00607")</f>
        <v>0.00607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HYPERLINK("http://141.218.60.56/~jnz1568/getInfo.php?workbook=20_05.xlsx&amp;sheet=U0&amp;row=10011&amp;col=6&amp;number=3.7&amp;sourceID=14","3.7")</f>
        <v>3.7</v>
      </c>
      <c r="G10011" s="4" t="str">
        <f>HYPERLINK("http://141.218.60.56/~jnz1568/getInfo.php?workbook=20_05.xlsx&amp;sheet=U0&amp;row=10011&amp;col=7&amp;number=0.00607&amp;sourceID=14","0.00607")</f>
        <v>0.00607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HYPERLINK("http://141.218.60.56/~jnz1568/getInfo.php?workbook=20_05.xlsx&amp;sheet=U0&amp;row=10012&amp;col=6&amp;number=3.8&amp;sourceID=14","3.8")</f>
        <v>3.8</v>
      </c>
      <c r="G10012" s="4" t="str">
        <f>HYPERLINK("http://141.218.60.56/~jnz1568/getInfo.php?workbook=20_05.xlsx&amp;sheet=U0&amp;row=10012&amp;col=7&amp;number=0.00607&amp;sourceID=14","0.00607")</f>
        <v>0.00607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HYPERLINK("http://141.218.60.56/~jnz1568/getInfo.php?workbook=20_05.xlsx&amp;sheet=U0&amp;row=10013&amp;col=6&amp;number=3.9&amp;sourceID=14","3.9")</f>
        <v>3.9</v>
      </c>
      <c r="G10013" s="4" t="str">
        <f>HYPERLINK("http://141.218.60.56/~jnz1568/getInfo.php?workbook=20_05.xlsx&amp;sheet=U0&amp;row=10013&amp;col=7&amp;number=0.00607&amp;sourceID=14","0.00607")</f>
        <v>0.00607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HYPERLINK("http://141.218.60.56/~jnz1568/getInfo.php?workbook=20_05.xlsx&amp;sheet=U0&amp;row=10014&amp;col=6&amp;number=4&amp;sourceID=14","4")</f>
        <v>4</v>
      </c>
      <c r="G10014" s="4" t="str">
        <f>HYPERLINK("http://141.218.60.56/~jnz1568/getInfo.php?workbook=20_05.xlsx&amp;sheet=U0&amp;row=10014&amp;col=7&amp;number=0.00606&amp;sourceID=14","0.00606")</f>
        <v>0.00606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HYPERLINK("http://141.218.60.56/~jnz1568/getInfo.php?workbook=20_05.xlsx&amp;sheet=U0&amp;row=10015&amp;col=6&amp;number=4.1&amp;sourceID=14","4.1")</f>
        <v>4.1</v>
      </c>
      <c r="G10015" s="4" t="str">
        <f>HYPERLINK("http://141.218.60.56/~jnz1568/getInfo.php?workbook=20_05.xlsx&amp;sheet=U0&amp;row=10015&amp;col=7&amp;number=0.00606&amp;sourceID=14","0.00606")</f>
        <v>0.00606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HYPERLINK("http://141.218.60.56/~jnz1568/getInfo.php?workbook=20_05.xlsx&amp;sheet=U0&amp;row=10016&amp;col=6&amp;number=4.2&amp;sourceID=14","4.2")</f>
        <v>4.2</v>
      </c>
      <c r="G10016" s="4" t="str">
        <f>HYPERLINK("http://141.218.60.56/~jnz1568/getInfo.php?workbook=20_05.xlsx&amp;sheet=U0&amp;row=10016&amp;col=7&amp;number=0.00606&amp;sourceID=14","0.00606")</f>
        <v>0.00606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HYPERLINK("http://141.218.60.56/~jnz1568/getInfo.php?workbook=20_05.xlsx&amp;sheet=U0&amp;row=10017&amp;col=6&amp;number=4.3&amp;sourceID=14","4.3")</f>
        <v>4.3</v>
      </c>
      <c r="G10017" s="4" t="str">
        <f>HYPERLINK("http://141.218.60.56/~jnz1568/getInfo.php?workbook=20_05.xlsx&amp;sheet=U0&amp;row=10017&amp;col=7&amp;number=0.00606&amp;sourceID=14","0.00606")</f>
        <v>0.00606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HYPERLINK("http://141.218.60.56/~jnz1568/getInfo.php?workbook=20_05.xlsx&amp;sheet=U0&amp;row=10018&amp;col=6&amp;number=4.4&amp;sourceID=14","4.4")</f>
        <v>4.4</v>
      </c>
      <c r="G10018" s="4" t="str">
        <f>HYPERLINK("http://141.218.60.56/~jnz1568/getInfo.php?workbook=20_05.xlsx&amp;sheet=U0&amp;row=10018&amp;col=7&amp;number=0.00605&amp;sourceID=14","0.00605")</f>
        <v>0.00605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HYPERLINK("http://141.218.60.56/~jnz1568/getInfo.php?workbook=20_05.xlsx&amp;sheet=U0&amp;row=10019&amp;col=6&amp;number=4.5&amp;sourceID=14","4.5")</f>
        <v>4.5</v>
      </c>
      <c r="G10019" s="4" t="str">
        <f>HYPERLINK("http://141.218.60.56/~jnz1568/getInfo.php?workbook=20_05.xlsx&amp;sheet=U0&amp;row=10019&amp;col=7&amp;number=0.00605&amp;sourceID=14","0.00605")</f>
        <v>0.00605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HYPERLINK("http://141.218.60.56/~jnz1568/getInfo.php?workbook=20_05.xlsx&amp;sheet=U0&amp;row=10020&amp;col=6&amp;number=4.6&amp;sourceID=14","4.6")</f>
        <v>4.6</v>
      </c>
      <c r="G10020" s="4" t="str">
        <f>HYPERLINK("http://141.218.60.56/~jnz1568/getInfo.php?workbook=20_05.xlsx&amp;sheet=U0&amp;row=10020&amp;col=7&amp;number=0.00604&amp;sourceID=14","0.00604")</f>
        <v>0.00604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HYPERLINK("http://141.218.60.56/~jnz1568/getInfo.php?workbook=20_05.xlsx&amp;sheet=U0&amp;row=10021&amp;col=6&amp;number=4.7&amp;sourceID=14","4.7")</f>
        <v>4.7</v>
      </c>
      <c r="G10021" s="4" t="str">
        <f>HYPERLINK("http://141.218.60.56/~jnz1568/getInfo.php?workbook=20_05.xlsx&amp;sheet=U0&amp;row=10021&amp;col=7&amp;number=0.00603&amp;sourceID=14","0.00603")</f>
        <v>0.00603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HYPERLINK("http://141.218.60.56/~jnz1568/getInfo.php?workbook=20_05.xlsx&amp;sheet=U0&amp;row=10022&amp;col=6&amp;number=4.8&amp;sourceID=14","4.8")</f>
        <v>4.8</v>
      </c>
      <c r="G10022" s="4" t="str">
        <f>HYPERLINK("http://141.218.60.56/~jnz1568/getInfo.php?workbook=20_05.xlsx&amp;sheet=U0&amp;row=10022&amp;col=7&amp;number=0.00602&amp;sourceID=14","0.00602")</f>
        <v>0.00602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HYPERLINK("http://141.218.60.56/~jnz1568/getInfo.php?workbook=20_05.xlsx&amp;sheet=U0&amp;row=10023&amp;col=6&amp;number=4.9&amp;sourceID=14","4.9")</f>
        <v>4.9</v>
      </c>
      <c r="G10023" s="4" t="str">
        <f>HYPERLINK("http://141.218.60.56/~jnz1568/getInfo.php?workbook=20_05.xlsx&amp;sheet=U0&amp;row=10023&amp;col=7&amp;number=0.006&amp;sourceID=14","0.006")</f>
        <v>0.006</v>
      </c>
    </row>
    <row r="10024" spans="1:7">
      <c r="A10024" s="3">
        <v>20</v>
      </c>
      <c r="B10024" s="3">
        <v>5</v>
      </c>
      <c r="C10024" s="3">
        <v>5</v>
      </c>
      <c r="D10024" s="3">
        <v>36</v>
      </c>
      <c r="E10024" s="3">
        <v>1</v>
      </c>
      <c r="F10024" s="4" t="str">
        <f>HYPERLINK("http://141.218.60.56/~jnz1568/getInfo.php?workbook=20_05.xlsx&amp;sheet=U0&amp;row=10024&amp;col=6&amp;number=3&amp;sourceID=14","3")</f>
        <v>3</v>
      </c>
      <c r="G10024" s="4" t="str">
        <f>HYPERLINK("http://141.218.60.56/~jnz1568/getInfo.php?workbook=20_05.xlsx&amp;sheet=U0&amp;row=10024&amp;col=7&amp;number=0.00464&amp;sourceID=14","0.00464")</f>
        <v>0.00464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HYPERLINK("http://141.218.60.56/~jnz1568/getInfo.php?workbook=20_05.xlsx&amp;sheet=U0&amp;row=10025&amp;col=6&amp;number=3.1&amp;sourceID=14","3.1")</f>
        <v>3.1</v>
      </c>
      <c r="G10025" s="4" t="str">
        <f>HYPERLINK("http://141.218.60.56/~jnz1568/getInfo.php?workbook=20_05.xlsx&amp;sheet=U0&amp;row=10025&amp;col=7&amp;number=0.00464&amp;sourceID=14","0.00464")</f>
        <v>0.00464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HYPERLINK("http://141.218.60.56/~jnz1568/getInfo.php?workbook=20_05.xlsx&amp;sheet=U0&amp;row=10026&amp;col=6&amp;number=3.2&amp;sourceID=14","3.2")</f>
        <v>3.2</v>
      </c>
      <c r="G10026" s="4" t="str">
        <f>HYPERLINK("http://141.218.60.56/~jnz1568/getInfo.php?workbook=20_05.xlsx&amp;sheet=U0&amp;row=10026&amp;col=7&amp;number=0.00463&amp;sourceID=14","0.00463")</f>
        <v>0.00463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HYPERLINK("http://141.218.60.56/~jnz1568/getInfo.php?workbook=20_05.xlsx&amp;sheet=U0&amp;row=10027&amp;col=6&amp;number=3.3&amp;sourceID=14","3.3")</f>
        <v>3.3</v>
      </c>
      <c r="G10027" s="4" t="str">
        <f>HYPERLINK("http://141.218.60.56/~jnz1568/getInfo.php?workbook=20_05.xlsx&amp;sheet=U0&amp;row=10027&amp;col=7&amp;number=0.00463&amp;sourceID=14","0.00463")</f>
        <v>0.00463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HYPERLINK("http://141.218.60.56/~jnz1568/getInfo.php?workbook=20_05.xlsx&amp;sheet=U0&amp;row=10028&amp;col=6&amp;number=3.4&amp;sourceID=14","3.4")</f>
        <v>3.4</v>
      </c>
      <c r="G10028" s="4" t="str">
        <f>HYPERLINK("http://141.218.60.56/~jnz1568/getInfo.php?workbook=20_05.xlsx&amp;sheet=U0&amp;row=10028&amp;col=7&amp;number=0.00463&amp;sourceID=14","0.00463")</f>
        <v>0.00463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HYPERLINK("http://141.218.60.56/~jnz1568/getInfo.php?workbook=20_05.xlsx&amp;sheet=U0&amp;row=10029&amp;col=6&amp;number=3.5&amp;sourceID=14","3.5")</f>
        <v>3.5</v>
      </c>
      <c r="G10029" s="4" t="str">
        <f>HYPERLINK("http://141.218.60.56/~jnz1568/getInfo.php?workbook=20_05.xlsx&amp;sheet=U0&amp;row=10029&amp;col=7&amp;number=0.00463&amp;sourceID=14","0.00463")</f>
        <v>0.00463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HYPERLINK("http://141.218.60.56/~jnz1568/getInfo.php?workbook=20_05.xlsx&amp;sheet=U0&amp;row=10030&amp;col=6&amp;number=3.6&amp;sourceID=14","3.6")</f>
        <v>3.6</v>
      </c>
      <c r="G10030" s="4" t="str">
        <f>HYPERLINK("http://141.218.60.56/~jnz1568/getInfo.php?workbook=20_05.xlsx&amp;sheet=U0&amp;row=10030&amp;col=7&amp;number=0.00463&amp;sourceID=14","0.00463")</f>
        <v>0.00463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HYPERLINK("http://141.218.60.56/~jnz1568/getInfo.php?workbook=20_05.xlsx&amp;sheet=U0&amp;row=10031&amp;col=6&amp;number=3.7&amp;sourceID=14","3.7")</f>
        <v>3.7</v>
      </c>
      <c r="G10031" s="4" t="str">
        <f>HYPERLINK("http://141.218.60.56/~jnz1568/getInfo.php?workbook=20_05.xlsx&amp;sheet=U0&amp;row=10031&amp;col=7&amp;number=0.00463&amp;sourceID=14","0.00463")</f>
        <v>0.00463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HYPERLINK("http://141.218.60.56/~jnz1568/getInfo.php?workbook=20_05.xlsx&amp;sheet=U0&amp;row=10032&amp;col=6&amp;number=3.8&amp;sourceID=14","3.8")</f>
        <v>3.8</v>
      </c>
      <c r="G10032" s="4" t="str">
        <f>HYPERLINK("http://141.218.60.56/~jnz1568/getInfo.php?workbook=20_05.xlsx&amp;sheet=U0&amp;row=10032&amp;col=7&amp;number=0.00463&amp;sourceID=14","0.00463")</f>
        <v>0.00463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HYPERLINK("http://141.218.60.56/~jnz1568/getInfo.php?workbook=20_05.xlsx&amp;sheet=U0&amp;row=10033&amp;col=6&amp;number=3.9&amp;sourceID=14","3.9")</f>
        <v>3.9</v>
      </c>
      <c r="G10033" s="4" t="str">
        <f>HYPERLINK("http://141.218.60.56/~jnz1568/getInfo.php?workbook=20_05.xlsx&amp;sheet=U0&amp;row=10033&amp;col=7&amp;number=0.00463&amp;sourceID=14","0.00463")</f>
        <v>0.00463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HYPERLINK("http://141.218.60.56/~jnz1568/getInfo.php?workbook=20_05.xlsx&amp;sheet=U0&amp;row=10034&amp;col=6&amp;number=4&amp;sourceID=14","4")</f>
        <v>4</v>
      </c>
      <c r="G10034" s="4" t="str">
        <f>HYPERLINK("http://141.218.60.56/~jnz1568/getInfo.php?workbook=20_05.xlsx&amp;sheet=U0&amp;row=10034&amp;col=7&amp;number=0.00462&amp;sourceID=14","0.00462")</f>
        <v>0.00462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HYPERLINK("http://141.218.60.56/~jnz1568/getInfo.php?workbook=20_05.xlsx&amp;sheet=U0&amp;row=10035&amp;col=6&amp;number=4.1&amp;sourceID=14","4.1")</f>
        <v>4.1</v>
      </c>
      <c r="G10035" s="4" t="str">
        <f>HYPERLINK("http://141.218.60.56/~jnz1568/getInfo.php?workbook=20_05.xlsx&amp;sheet=U0&amp;row=10035&amp;col=7&amp;number=0.00462&amp;sourceID=14","0.00462")</f>
        <v>0.00462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HYPERLINK("http://141.218.60.56/~jnz1568/getInfo.php?workbook=20_05.xlsx&amp;sheet=U0&amp;row=10036&amp;col=6&amp;number=4.2&amp;sourceID=14","4.2")</f>
        <v>4.2</v>
      </c>
      <c r="G10036" s="4" t="str">
        <f>HYPERLINK("http://141.218.60.56/~jnz1568/getInfo.php?workbook=20_05.xlsx&amp;sheet=U0&amp;row=10036&amp;col=7&amp;number=0.00462&amp;sourceID=14","0.00462")</f>
        <v>0.00462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HYPERLINK("http://141.218.60.56/~jnz1568/getInfo.php?workbook=20_05.xlsx&amp;sheet=U0&amp;row=10037&amp;col=6&amp;number=4.3&amp;sourceID=14","4.3")</f>
        <v>4.3</v>
      </c>
      <c r="G10037" s="4" t="str">
        <f>HYPERLINK("http://141.218.60.56/~jnz1568/getInfo.php?workbook=20_05.xlsx&amp;sheet=U0&amp;row=10037&amp;col=7&amp;number=0.00461&amp;sourceID=14","0.00461")</f>
        <v>0.00461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HYPERLINK("http://141.218.60.56/~jnz1568/getInfo.php?workbook=20_05.xlsx&amp;sheet=U0&amp;row=10038&amp;col=6&amp;number=4.4&amp;sourceID=14","4.4")</f>
        <v>4.4</v>
      </c>
      <c r="G10038" s="4" t="str">
        <f>HYPERLINK("http://141.218.60.56/~jnz1568/getInfo.php?workbook=20_05.xlsx&amp;sheet=U0&amp;row=10038&amp;col=7&amp;number=0.0046&amp;sourceID=14","0.0046")</f>
        <v>0.0046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HYPERLINK("http://141.218.60.56/~jnz1568/getInfo.php?workbook=20_05.xlsx&amp;sheet=U0&amp;row=10039&amp;col=6&amp;number=4.5&amp;sourceID=14","4.5")</f>
        <v>4.5</v>
      </c>
      <c r="G10039" s="4" t="str">
        <f>HYPERLINK("http://141.218.60.56/~jnz1568/getInfo.php?workbook=20_05.xlsx&amp;sheet=U0&amp;row=10039&amp;col=7&amp;number=0.0046&amp;sourceID=14","0.0046")</f>
        <v>0.0046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HYPERLINK("http://141.218.60.56/~jnz1568/getInfo.php?workbook=20_05.xlsx&amp;sheet=U0&amp;row=10040&amp;col=6&amp;number=4.6&amp;sourceID=14","4.6")</f>
        <v>4.6</v>
      </c>
      <c r="G10040" s="4" t="str">
        <f>HYPERLINK("http://141.218.60.56/~jnz1568/getInfo.php?workbook=20_05.xlsx&amp;sheet=U0&amp;row=10040&amp;col=7&amp;number=0.00459&amp;sourceID=14","0.00459")</f>
        <v>0.00459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HYPERLINK("http://141.218.60.56/~jnz1568/getInfo.php?workbook=20_05.xlsx&amp;sheet=U0&amp;row=10041&amp;col=6&amp;number=4.7&amp;sourceID=14","4.7")</f>
        <v>4.7</v>
      </c>
      <c r="G10041" s="4" t="str">
        <f>HYPERLINK("http://141.218.60.56/~jnz1568/getInfo.php?workbook=20_05.xlsx&amp;sheet=U0&amp;row=10041&amp;col=7&amp;number=0.00457&amp;sourceID=14","0.00457")</f>
        <v>0.00457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HYPERLINK("http://141.218.60.56/~jnz1568/getInfo.php?workbook=20_05.xlsx&amp;sheet=U0&amp;row=10042&amp;col=6&amp;number=4.8&amp;sourceID=14","4.8")</f>
        <v>4.8</v>
      </c>
      <c r="G10042" s="4" t="str">
        <f>HYPERLINK("http://141.218.60.56/~jnz1568/getInfo.php?workbook=20_05.xlsx&amp;sheet=U0&amp;row=10042&amp;col=7&amp;number=0.00456&amp;sourceID=14","0.00456")</f>
        <v>0.00456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HYPERLINK("http://141.218.60.56/~jnz1568/getInfo.php?workbook=20_05.xlsx&amp;sheet=U0&amp;row=10043&amp;col=6&amp;number=4.9&amp;sourceID=14","4.9")</f>
        <v>4.9</v>
      </c>
      <c r="G10043" s="4" t="str">
        <f>HYPERLINK("http://141.218.60.56/~jnz1568/getInfo.php?workbook=20_05.xlsx&amp;sheet=U0&amp;row=10043&amp;col=7&amp;number=0.00454&amp;sourceID=14","0.00454")</f>
        <v>0.00454</v>
      </c>
    </row>
    <row r="10044" spans="1:7">
      <c r="A10044" s="3">
        <v>20</v>
      </c>
      <c r="B10044" s="3">
        <v>5</v>
      </c>
      <c r="C10044" s="3">
        <v>5</v>
      </c>
      <c r="D10044" s="3">
        <v>37</v>
      </c>
      <c r="E10044" s="3">
        <v>1</v>
      </c>
      <c r="F10044" s="4" t="str">
        <f>HYPERLINK("http://141.218.60.56/~jnz1568/getInfo.php?workbook=20_05.xlsx&amp;sheet=U0&amp;row=10044&amp;col=6&amp;number=3&amp;sourceID=14","3")</f>
        <v>3</v>
      </c>
      <c r="G10044" s="4" t="str">
        <f>HYPERLINK("http://141.218.60.56/~jnz1568/getInfo.php?workbook=20_05.xlsx&amp;sheet=U0&amp;row=10044&amp;col=7&amp;number=0.000129&amp;sourceID=14","0.000129")</f>
        <v>0.000129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HYPERLINK("http://141.218.60.56/~jnz1568/getInfo.php?workbook=20_05.xlsx&amp;sheet=U0&amp;row=10045&amp;col=6&amp;number=3.1&amp;sourceID=14","3.1")</f>
        <v>3.1</v>
      </c>
      <c r="G10045" s="4" t="str">
        <f>HYPERLINK("http://141.218.60.56/~jnz1568/getInfo.php?workbook=20_05.xlsx&amp;sheet=U0&amp;row=10045&amp;col=7&amp;number=0.000129&amp;sourceID=14","0.000129")</f>
        <v>0.000129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HYPERLINK("http://141.218.60.56/~jnz1568/getInfo.php?workbook=20_05.xlsx&amp;sheet=U0&amp;row=10046&amp;col=6&amp;number=3.2&amp;sourceID=14","3.2")</f>
        <v>3.2</v>
      </c>
      <c r="G10046" s="4" t="str">
        <f>HYPERLINK("http://141.218.60.56/~jnz1568/getInfo.php?workbook=20_05.xlsx&amp;sheet=U0&amp;row=10046&amp;col=7&amp;number=0.000129&amp;sourceID=14","0.000129")</f>
        <v>0.000129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HYPERLINK("http://141.218.60.56/~jnz1568/getInfo.php?workbook=20_05.xlsx&amp;sheet=U0&amp;row=10047&amp;col=6&amp;number=3.3&amp;sourceID=14","3.3")</f>
        <v>3.3</v>
      </c>
      <c r="G10047" s="4" t="str">
        <f>HYPERLINK("http://141.218.60.56/~jnz1568/getInfo.php?workbook=20_05.xlsx&amp;sheet=U0&amp;row=10047&amp;col=7&amp;number=0.000129&amp;sourceID=14","0.000129")</f>
        <v>0.000129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HYPERLINK("http://141.218.60.56/~jnz1568/getInfo.php?workbook=20_05.xlsx&amp;sheet=U0&amp;row=10048&amp;col=6&amp;number=3.4&amp;sourceID=14","3.4")</f>
        <v>3.4</v>
      </c>
      <c r="G10048" s="4" t="str">
        <f>HYPERLINK("http://141.218.60.56/~jnz1568/getInfo.php?workbook=20_05.xlsx&amp;sheet=U0&amp;row=10048&amp;col=7&amp;number=0.000129&amp;sourceID=14","0.000129")</f>
        <v>0.000129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HYPERLINK("http://141.218.60.56/~jnz1568/getInfo.php?workbook=20_05.xlsx&amp;sheet=U0&amp;row=10049&amp;col=6&amp;number=3.5&amp;sourceID=14","3.5")</f>
        <v>3.5</v>
      </c>
      <c r="G10049" s="4" t="str">
        <f>HYPERLINK("http://141.218.60.56/~jnz1568/getInfo.php?workbook=20_05.xlsx&amp;sheet=U0&amp;row=10049&amp;col=7&amp;number=0.000129&amp;sourceID=14","0.000129")</f>
        <v>0.000129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HYPERLINK("http://141.218.60.56/~jnz1568/getInfo.php?workbook=20_05.xlsx&amp;sheet=U0&amp;row=10050&amp;col=6&amp;number=3.6&amp;sourceID=14","3.6")</f>
        <v>3.6</v>
      </c>
      <c r="G10050" s="4" t="str">
        <f>HYPERLINK("http://141.218.60.56/~jnz1568/getInfo.php?workbook=20_05.xlsx&amp;sheet=U0&amp;row=10050&amp;col=7&amp;number=0.000129&amp;sourceID=14","0.000129")</f>
        <v>0.000129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HYPERLINK("http://141.218.60.56/~jnz1568/getInfo.php?workbook=20_05.xlsx&amp;sheet=U0&amp;row=10051&amp;col=6&amp;number=3.7&amp;sourceID=14","3.7")</f>
        <v>3.7</v>
      </c>
      <c r="G10051" s="4" t="str">
        <f>HYPERLINK("http://141.218.60.56/~jnz1568/getInfo.php?workbook=20_05.xlsx&amp;sheet=U0&amp;row=10051&amp;col=7&amp;number=0.000129&amp;sourceID=14","0.000129")</f>
        <v>0.000129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HYPERLINK("http://141.218.60.56/~jnz1568/getInfo.php?workbook=20_05.xlsx&amp;sheet=U0&amp;row=10052&amp;col=6&amp;number=3.8&amp;sourceID=14","3.8")</f>
        <v>3.8</v>
      </c>
      <c r="G10052" s="4" t="str">
        <f>HYPERLINK("http://141.218.60.56/~jnz1568/getInfo.php?workbook=20_05.xlsx&amp;sheet=U0&amp;row=10052&amp;col=7&amp;number=0.000129&amp;sourceID=14","0.000129")</f>
        <v>0.000129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HYPERLINK("http://141.218.60.56/~jnz1568/getInfo.php?workbook=20_05.xlsx&amp;sheet=U0&amp;row=10053&amp;col=6&amp;number=3.9&amp;sourceID=14","3.9")</f>
        <v>3.9</v>
      </c>
      <c r="G10053" s="4" t="str">
        <f>HYPERLINK("http://141.218.60.56/~jnz1568/getInfo.php?workbook=20_05.xlsx&amp;sheet=U0&amp;row=10053&amp;col=7&amp;number=0.000129&amp;sourceID=14","0.000129")</f>
        <v>0.000129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HYPERLINK("http://141.218.60.56/~jnz1568/getInfo.php?workbook=20_05.xlsx&amp;sheet=U0&amp;row=10054&amp;col=6&amp;number=4&amp;sourceID=14","4")</f>
        <v>4</v>
      </c>
      <c r="G10054" s="4" t="str">
        <f>HYPERLINK("http://141.218.60.56/~jnz1568/getInfo.php?workbook=20_05.xlsx&amp;sheet=U0&amp;row=10054&amp;col=7&amp;number=0.000129&amp;sourceID=14","0.000129")</f>
        <v>0.000129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HYPERLINK("http://141.218.60.56/~jnz1568/getInfo.php?workbook=20_05.xlsx&amp;sheet=U0&amp;row=10055&amp;col=6&amp;number=4.1&amp;sourceID=14","4.1")</f>
        <v>4.1</v>
      </c>
      <c r="G10055" s="4" t="str">
        <f>HYPERLINK("http://141.218.60.56/~jnz1568/getInfo.php?workbook=20_05.xlsx&amp;sheet=U0&amp;row=10055&amp;col=7&amp;number=0.000129&amp;sourceID=14","0.000129")</f>
        <v>0.000129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HYPERLINK("http://141.218.60.56/~jnz1568/getInfo.php?workbook=20_05.xlsx&amp;sheet=U0&amp;row=10056&amp;col=6&amp;number=4.2&amp;sourceID=14","4.2")</f>
        <v>4.2</v>
      </c>
      <c r="G10056" s="4" t="str">
        <f>HYPERLINK("http://141.218.60.56/~jnz1568/getInfo.php?workbook=20_05.xlsx&amp;sheet=U0&amp;row=10056&amp;col=7&amp;number=0.000129&amp;sourceID=14","0.000129")</f>
        <v>0.000129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HYPERLINK("http://141.218.60.56/~jnz1568/getInfo.php?workbook=20_05.xlsx&amp;sheet=U0&amp;row=10057&amp;col=6&amp;number=4.3&amp;sourceID=14","4.3")</f>
        <v>4.3</v>
      </c>
      <c r="G10057" s="4" t="str">
        <f>HYPERLINK("http://141.218.60.56/~jnz1568/getInfo.php?workbook=20_05.xlsx&amp;sheet=U0&amp;row=10057&amp;col=7&amp;number=0.000129&amp;sourceID=14","0.000129")</f>
        <v>0.000129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HYPERLINK("http://141.218.60.56/~jnz1568/getInfo.php?workbook=20_05.xlsx&amp;sheet=U0&amp;row=10058&amp;col=6&amp;number=4.4&amp;sourceID=14","4.4")</f>
        <v>4.4</v>
      </c>
      <c r="G10058" s="4" t="str">
        <f>HYPERLINK("http://141.218.60.56/~jnz1568/getInfo.php?workbook=20_05.xlsx&amp;sheet=U0&amp;row=10058&amp;col=7&amp;number=0.000128&amp;sourceID=14","0.000128")</f>
        <v>0.000128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HYPERLINK("http://141.218.60.56/~jnz1568/getInfo.php?workbook=20_05.xlsx&amp;sheet=U0&amp;row=10059&amp;col=6&amp;number=4.5&amp;sourceID=14","4.5")</f>
        <v>4.5</v>
      </c>
      <c r="G10059" s="4" t="str">
        <f>HYPERLINK("http://141.218.60.56/~jnz1568/getInfo.php?workbook=20_05.xlsx&amp;sheet=U0&amp;row=10059&amp;col=7&amp;number=0.000128&amp;sourceID=14","0.000128")</f>
        <v>0.000128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HYPERLINK("http://141.218.60.56/~jnz1568/getInfo.php?workbook=20_05.xlsx&amp;sheet=U0&amp;row=10060&amp;col=6&amp;number=4.6&amp;sourceID=14","4.6")</f>
        <v>4.6</v>
      </c>
      <c r="G10060" s="4" t="str">
        <f>HYPERLINK("http://141.218.60.56/~jnz1568/getInfo.php?workbook=20_05.xlsx&amp;sheet=U0&amp;row=10060&amp;col=7&amp;number=0.000128&amp;sourceID=14","0.000128")</f>
        <v>0.000128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HYPERLINK("http://141.218.60.56/~jnz1568/getInfo.php?workbook=20_05.xlsx&amp;sheet=U0&amp;row=10061&amp;col=6&amp;number=4.7&amp;sourceID=14","4.7")</f>
        <v>4.7</v>
      </c>
      <c r="G10061" s="4" t="str">
        <f>HYPERLINK("http://141.218.60.56/~jnz1568/getInfo.php?workbook=20_05.xlsx&amp;sheet=U0&amp;row=10061&amp;col=7&amp;number=0.000128&amp;sourceID=14","0.000128")</f>
        <v>0.000128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HYPERLINK("http://141.218.60.56/~jnz1568/getInfo.php?workbook=20_05.xlsx&amp;sheet=U0&amp;row=10062&amp;col=6&amp;number=4.8&amp;sourceID=14","4.8")</f>
        <v>4.8</v>
      </c>
      <c r="G10062" s="4" t="str">
        <f>HYPERLINK("http://141.218.60.56/~jnz1568/getInfo.php?workbook=20_05.xlsx&amp;sheet=U0&amp;row=10062&amp;col=7&amp;number=0.000127&amp;sourceID=14","0.000127")</f>
        <v>0.000127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HYPERLINK("http://141.218.60.56/~jnz1568/getInfo.php?workbook=20_05.xlsx&amp;sheet=U0&amp;row=10063&amp;col=6&amp;number=4.9&amp;sourceID=14","4.9")</f>
        <v>4.9</v>
      </c>
      <c r="G10063" s="4" t="str">
        <f>HYPERLINK("http://141.218.60.56/~jnz1568/getInfo.php?workbook=20_05.xlsx&amp;sheet=U0&amp;row=10063&amp;col=7&amp;number=0.000127&amp;sourceID=14","0.000127")</f>
        <v>0.000127</v>
      </c>
    </row>
    <row r="10064" spans="1:7">
      <c r="A10064" s="3">
        <v>20</v>
      </c>
      <c r="B10064" s="3">
        <v>5</v>
      </c>
      <c r="C10064" s="3">
        <v>5</v>
      </c>
      <c r="D10064" s="3">
        <v>38</v>
      </c>
      <c r="E10064" s="3">
        <v>1</v>
      </c>
      <c r="F10064" s="4" t="str">
        <f>HYPERLINK("http://141.218.60.56/~jnz1568/getInfo.php?workbook=20_05.xlsx&amp;sheet=U0&amp;row=10064&amp;col=6&amp;number=3&amp;sourceID=14","3")</f>
        <v>3</v>
      </c>
      <c r="G10064" s="4" t="str">
        <f>HYPERLINK("http://141.218.60.56/~jnz1568/getInfo.php?workbook=20_05.xlsx&amp;sheet=U0&amp;row=10064&amp;col=7&amp;number=0.000257&amp;sourceID=14","0.000257")</f>
        <v>0.000257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HYPERLINK("http://141.218.60.56/~jnz1568/getInfo.php?workbook=20_05.xlsx&amp;sheet=U0&amp;row=10065&amp;col=6&amp;number=3.1&amp;sourceID=14","3.1")</f>
        <v>3.1</v>
      </c>
      <c r="G10065" s="4" t="str">
        <f>HYPERLINK("http://141.218.60.56/~jnz1568/getInfo.php?workbook=20_05.xlsx&amp;sheet=U0&amp;row=10065&amp;col=7&amp;number=0.000257&amp;sourceID=14","0.000257")</f>
        <v>0.000257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HYPERLINK("http://141.218.60.56/~jnz1568/getInfo.php?workbook=20_05.xlsx&amp;sheet=U0&amp;row=10066&amp;col=6&amp;number=3.2&amp;sourceID=14","3.2")</f>
        <v>3.2</v>
      </c>
      <c r="G10066" s="4" t="str">
        <f>HYPERLINK("http://141.218.60.56/~jnz1568/getInfo.php?workbook=20_05.xlsx&amp;sheet=U0&amp;row=10066&amp;col=7&amp;number=0.000257&amp;sourceID=14","0.000257")</f>
        <v>0.000257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HYPERLINK("http://141.218.60.56/~jnz1568/getInfo.php?workbook=20_05.xlsx&amp;sheet=U0&amp;row=10067&amp;col=6&amp;number=3.3&amp;sourceID=14","3.3")</f>
        <v>3.3</v>
      </c>
      <c r="G10067" s="4" t="str">
        <f>HYPERLINK("http://141.218.60.56/~jnz1568/getInfo.php?workbook=20_05.xlsx&amp;sheet=U0&amp;row=10067&amp;col=7&amp;number=0.000257&amp;sourceID=14","0.000257")</f>
        <v>0.000257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HYPERLINK("http://141.218.60.56/~jnz1568/getInfo.php?workbook=20_05.xlsx&amp;sheet=U0&amp;row=10068&amp;col=6&amp;number=3.4&amp;sourceID=14","3.4")</f>
        <v>3.4</v>
      </c>
      <c r="G10068" s="4" t="str">
        <f>HYPERLINK("http://141.218.60.56/~jnz1568/getInfo.php?workbook=20_05.xlsx&amp;sheet=U0&amp;row=10068&amp;col=7&amp;number=0.000257&amp;sourceID=14","0.000257")</f>
        <v>0.000257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HYPERLINK("http://141.218.60.56/~jnz1568/getInfo.php?workbook=20_05.xlsx&amp;sheet=U0&amp;row=10069&amp;col=6&amp;number=3.5&amp;sourceID=14","3.5")</f>
        <v>3.5</v>
      </c>
      <c r="G10069" s="4" t="str">
        <f>HYPERLINK("http://141.218.60.56/~jnz1568/getInfo.php?workbook=20_05.xlsx&amp;sheet=U0&amp;row=10069&amp;col=7&amp;number=0.000257&amp;sourceID=14","0.000257")</f>
        <v>0.000257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HYPERLINK("http://141.218.60.56/~jnz1568/getInfo.php?workbook=20_05.xlsx&amp;sheet=U0&amp;row=10070&amp;col=6&amp;number=3.6&amp;sourceID=14","3.6")</f>
        <v>3.6</v>
      </c>
      <c r="G10070" s="4" t="str">
        <f>HYPERLINK("http://141.218.60.56/~jnz1568/getInfo.php?workbook=20_05.xlsx&amp;sheet=U0&amp;row=10070&amp;col=7&amp;number=0.000257&amp;sourceID=14","0.000257")</f>
        <v>0.000257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HYPERLINK("http://141.218.60.56/~jnz1568/getInfo.php?workbook=20_05.xlsx&amp;sheet=U0&amp;row=10071&amp;col=6&amp;number=3.7&amp;sourceID=14","3.7")</f>
        <v>3.7</v>
      </c>
      <c r="G10071" s="4" t="str">
        <f>HYPERLINK("http://141.218.60.56/~jnz1568/getInfo.php?workbook=20_05.xlsx&amp;sheet=U0&amp;row=10071&amp;col=7&amp;number=0.000257&amp;sourceID=14","0.000257")</f>
        <v>0.000257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HYPERLINK("http://141.218.60.56/~jnz1568/getInfo.php?workbook=20_05.xlsx&amp;sheet=U0&amp;row=10072&amp;col=6&amp;number=3.8&amp;sourceID=14","3.8")</f>
        <v>3.8</v>
      </c>
      <c r="G10072" s="4" t="str">
        <f>HYPERLINK("http://141.218.60.56/~jnz1568/getInfo.php?workbook=20_05.xlsx&amp;sheet=U0&amp;row=10072&amp;col=7&amp;number=0.000257&amp;sourceID=14","0.000257")</f>
        <v>0.000257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HYPERLINK("http://141.218.60.56/~jnz1568/getInfo.php?workbook=20_05.xlsx&amp;sheet=U0&amp;row=10073&amp;col=6&amp;number=3.9&amp;sourceID=14","3.9")</f>
        <v>3.9</v>
      </c>
      <c r="G10073" s="4" t="str">
        <f>HYPERLINK("http://141.218.60.56/~jnz1568/getInfo.php?workbook=20_05.xlsx&amp;sheet=U0&amp;row=10073&amp;col=7&amp;number=0.000257&amp;sourceID=14","0.000257")</f>
        <v>0.000257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HYPERLINK("http://141.218.60.56/~jnz1568/getInfo.php?workbook=20_05.xlsx&amp;sheet=U0&amp;row=10074&amp;col=6&amp;number=4&amp;sourceID=14","4")</f>
        <v>4</v>
      </c>
      <c r="G10074" s="4" t="str">
        <f>HYPERLINK("http://141.218.60.56/~jnz1568/getInfo.php?workbook=20_05.xlsx&amp;sheet=U0&amp;row=10074&amp;col=7&amp;number=0.000257&amp;sourceID=14","0.000257")</f>
        <v>0.000257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HYPERLINK("http://141.218.60.56/~jnz1568/getInfo.php?workbook=20_05.xlsx&amp;sheet=U0&amp;row=10075&amp;col=6&amp;number=4.1&amp;sourceID=14","4.1")</f>
        <v>4.1</v>
      </c>
      <c r="G10075" s="4" t="str">
        <f>HYPERLINK("http://141.218.60.56/~jnz1568/getInfo.php?workbook=20_05.xlsx&amp;sheet=U0&amp;row=10075&amp;col=7&amp;number=0.000257&amp;sourceID=14","0.000257")</f>
        <v>0.000257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HYPERLINK("http://141.218.60.56/~jnz1568/getInfo.php?workbook=20_05.xlsx&amp;sheet=U0&amp;row=10076&amp;col=6&amp;number=4.2&amp;sourceID=14","4.2")</f>
        <v>4.2</v>
      </c>
      <c r="G10076" s="4" t="str">
        <f>HYPERLINK("http://141.218.60.56/~jnz1568/getInfo.php?workbook=20_05.xlsx&amp;sheet=U0&amp;row=10076&amp;col=7&amp;number=0.000256&amp;sourceID=14","0.000256")</f>
        <v>0.000256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HYPERLINK("http://141.218.60.56/~jnz1568/getInfo.php?workbook=20_05.xlsx&amp;sheet=U0&amp;row=10077&amp;col=6&amp;number=4.3&amp;sourceID=14","4.3")</f>
        <v>4.3</v>
      </c>
      <c r="G10077" s="4" t="str">
        <f>HYPERLINK("http://141.218.60.56/~jnz1568/getInfo.php?workbook=20_05.xlsx&amp;sheet=U0&amp;row=10077&amp;col=7&amp;number=0.000256&amp;sourceID=14","0.000256")</f>
        <v>0.000256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HYPERLINK("http://141.218.60.56/~jnz1568/getInfo.php?workbook=20_05.xlsx&amp;sheet=U0&amp;row=10078&amp;col=6&amp;number=4.4&amp;sourceID=14","4.4")</f>
        <v>4.4</v>
      </c>
      <c r="G10078" s="4" t="str">
        <f>HYPERLINK("http://141.218.60.56/~jnz1568/getInfo.php?workbook=20_05.xlsx&amp;sheet=U0&amp;row=10078&amp;col=7&amp;number=0.000256&amp;sourceID=14","0.000256")</f>
        <v>0.000256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HYPERLINK("http://141.218.60.56/~jnz1568/getInfo.php?workbook=20_05.xlsx&amp;sheet=U0&amp;row=10079&amp;col=6&amp;number=4.5&amp;sourceID=14","4.5")</f>
        <v>4.5</v>
      </c>
      <c r="G10079" s="4" t="str">
        <f>HYPERLINK("http://141.218.60.56/~jnz1568/getInfo.php?workbook=20_05.xlsx&amp;sheet=U0&amp;row=10079&amp;col=7&amp;number=0.000255&amp;sourceID=14","0.000255")</f>
        <v>0.000255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HYPERLINK("http://141.218.60.56/~jnz1568/getInfo.php?workbook=20_05.xlsx&amp;sheet=U0&amp;row=10080&amp;col=6&amp;number=4.6&amp;sourceID=14","4.6")</f>
        <v>4.6</v>
      </c>
      <c r="G10080" s="4" t="str">
        <f>HYPERLINK("http://141.218.60.56/~jnz1568/getInfo.php?workbook=20_05.xlsx&amp;sheet=U0&amp;row=10080&amp;col=7&amp;number=0.000255&amp;sourceID=14","0.000255")</f>
        <v>0.000255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HYPERLINK("http://141.218.60.56/~jnz1568/getInfo.php?workbook=20_05.xlsx&amp;sheet=U0&amp;row=10081&amp;col=6&amp;number=4.7&amp;sourceID=14","4.7")</f>
        <v>4.7</v>
      </c>
      <c r="G10081" s="4" t="str">
        <f>HYPERLINK("http://141.218.60.56/~jnz1568/getInfo.php?workbook=20_05.xlsx&amp;sheet=U0&amp;row=10081&amp;col=7&amp;number=0.000254&amp;sourceID=14","0.000254")</f>
        <v>0.000254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HYPERLINK("http://141.218.60.56/~jnz1568/getInfo.php?workbook=20_05.xlsx&amp;sheet=U0&amp;row=10082&amp;col=6&amp;number=4.8&amp;sourceID=14","4.8")</f>
        <v>4.8</v>
      </c>
      <c r="G10082" s="4" t="str">
        <f>HYPERLINK("http://141.218.60.56/~jnz1568/getInfo.php?workbook=20_05.xlsx&amp;sheet=U0&amp;row=10082&amp;col=7&amp;number=0.000253&amp;sourceID=14","0.000253")</f>
        <v>0.000253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HYPERLINK("http://141.218.60.56/~jnz1568/getInfo.php?workbook=20_05.xlsx&amp;sheet=U0&amp;row=10083&amp;col=6&amp;number=4.9&amp;sourceID=14","4.9")</f>
        <v>4.9</v>
      </c>
      <c r="G10083" s="4" t="str">
        <f>HYPERLINK("http://141.218.60.56/~jnz1568/getInfo.php?workbook=20_05.xlsx&amp;sheet=U0&amp;row=10083&amp;col=7&amp;number=0.000252&amp;sourceID=14","0.000252")</f>
        <v>0.000252</v>
      </c>
    </row>
    <row r="10084" spans="1:7">
      <c r="A10084" s="3">
        <v>20</v>
      </c>
      <c r="B10084" s="3">
        <v>5</v>
      </c>
      <c r="C10084" s="3">
        <v>5</v>
      </c>
      <c r="D10084" s="3">
        <v>39</v>
      </c>
      <c r="E10084" s="3">
        <v>1</v>
      </c>
      <c r="F10084" s="4" t="str">
        <f>HYPERLINK("http://141.218.60.56/~jnz1568/getInfo.php?workbook=20_05.xlsx&amp;sheet=U0&amp;row=10084&amp;col=6&amp;number=3&amp;sourceID=14","3")</f>
        <v>3</v>
      </c>
      <c r="G10084" s="4" t="str">
        <f>HYPERLINK("http://141.218.60.56/~jnz1568/getInfo.php?workbook=20_05.xlsx&amp;sheet=U0&amp;row=10084&amp;col=7&amp;number=0.000521&amp;sourceID=14","0.000521")</f>
        <v>0.000521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HYPERLINK("http://141.218.60.56/~jnz1568/getInfo.php?workbook=20_05.xlsx&amp;sheet=U0&amp;row=10085&amp;col=6&amp;number=3.1&amp;sourceID=14","3.1")</f>
        <v>3.1</v>
      </c>
      <c r="G10085" s="4" t="str">
        <f>HYPERLINK("http://141.218.60.56/~jnz1568/getInfo.php?workbook=20_05.xlsx&amp;sheet=U0&amp;row=10085&amp;col=7&amp;number=0.000521&amp;sourceID=14","0.000521")</f>
        <v>0.000521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HYPERLINK("http://141.218.60.56/~jnz1568/getInfo.php?workbook=20_05.xlsx&amp;sheet=U0&amp;row=10086&amp;col=6&amp;number=3.2&amp;sourceID=14","3.2")</f>
        <v>3.2</v>
      </c>
      <c r="G10086" s="4" t="str">
        <f>HYPERLINK("http://141.218.60.56/~jnz1568/getInfo.php?workbook=20_05.xlsx&amp;sheet=U0&amp;row=10086&amp;col=7&amp;number=0.000521&amp;sourceID=14","0.000521")</f>
        <v>0.000521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HYPERLINK("http://141.218.60.56/~jnz1568/getInfo.php?workbook=20_05.xlsx&amp;sheet=U0&amp;row=10087&amp;col=6&amp;number=3.3&amp;sourceID=14","3.3")</f>
        <v>3.3</v>
      </c>
      <c r="G10087" s="4" t="str">
        <f>HYPERLINK("http://141.218.60.56/~jnz1568/getInfo.php?workbook=20_05.xlsx&amp;sheet=U0&amp;row=10087&amp;col=7&amp;number=0.000521&amp;sourceID=14","0.000521")</f>
        <v>0.000521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HYPERLINK("http://141.218.60.56/~jnz1568/getInfo.php?workbook=20_05.xlsx&amp;sheet=U0&amp;row=10088&amp;col=6&amp;number=3.4&amp;sourceID=14","3.4")</f>
        <v>3.4</v>
      </c>
      <c r="G10088" s="4" t="str">
        <f>HYPERLINK("http://141.218.60.56/~jnz1568/getInfo.php?workbook=20_05.xlsx&amp;sheet=U0&amp;row=10088&amp;col=7&amp;number=0.000521&amp;sourceID=14","0.000521")</f>
        <v>0.000521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HYPERLINK("http://141.218.60.56/~jnz1568/getInfo.php?workbook=20_05.xlsx&amp;sheet=U0&amp;row=10089&amp;col=6&amp;number=3.5&amp;sourceID=14","3.5")</f>
        <v>3.5</v>
      </c>
      <c r="G10089" s="4" t="str">
        <f>HYPERLINK("http://141.218.60.56/~jnz1568/getInfo.php?workbook=20_05.xlsx&amp;sheet=U0&amp;row=10089&amp;col=7&amp;number=0.000521&amp;sourceID=14","0.000521")</f>
        <v>0.000521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HYPERLINK("http://141.218.60.56/~jnz1568/getInfo.php?workbook=20_05.xlsx&amp;sheet=U0&amp;row=10090&amp;col=6&amp;number=3.6&amp;sourceID=14","3.6")</f>
        <v>3.6</v>
      </c>
      <c r="G10090" s="4" t="str">
        <f>HYPERLINK("http://141.218.60.56/~jnz1568/getInfo.php?workbook=20_05.xlsx&amp;sheet=U0&amp;row=10090&amp;col=7&amp;number=0.000521&amp;sourceID=14","0.000521")</f>
        <v>0.000521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HYPERLINK("http://141.218.60.56/~jnz1568/getInfo.php?workbook=20_05.xlsx&amp;sheet=U0&amp;row=10091&amp;col=6&amp;number=3.7&amp;sourceID=14","3.7")</f>
        <v>3.7</v>
      </c>
      <c r="G10091" s="4" t="str">
        <f>HYPERLINK("http://141.218.60.56/~jnz1568/getInfo.php?workbook=20_05.xlsx&amp;sheet=U0&amp;row=10091&amp;col=7&amp;number=0.000521&amp;sourceID=14","0.000521")</f>
        <v>0.000521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HYPERLINK("http://141.218.60.56/~jnz1568/getInfo.php?workbook=20_05.xlsx&amp;sheet=U0&amp;row=10092&amp;col=6&amp;number=3.8&amp;sourceID=14","3.8")</f>
        <v>3.8</v>
      </c>
      <c r="G10092" s="4" t="str">
        <f>HYPERLINK("http://141.218.60.56/~jnz1568/getInfo.php?workbook=20_05.xlsx&amp;sheet=U0&amp;row=10092&amp;col=7&amp;number=0.00052&amp;sourceID=14","0.00052")</f>
        <v>0.00052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HYPERLINK("http://141.218.60.56/~jnz1568/getInfo.php?workbook=20_05.xlsx&amp;sheet=U0&amp;row=10093&amp;col=6&amp;number=3.9&amp;sourceID=14","3.9")</f>
        <v>3.9</v>
      </c>
      <c r="G10093" s="4" t="str">
        <f>HYPERLINK("http://141.218.60.56/~jnz1568/getInfo.php?workbook=20_05.xlsx&amp;sheet=U0&amp;row=10093&amp;col=7&amp;number=0.00052&amp;sourceID=14","0.00052")</f>
        <v>0.00052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HYPERLINK("http://141.218.60.56/~jnz1568/getInfo.php?workbook=20_05.xlsx&amp;sheet=U0&amp;row=10094&amp;col=6&amp;number=4&amp;sourceID=14","4")</f>
        <v>4</v>
      </c>
      <c r="G10094" s="4" t="str">
        <f>HYPERLINK("http://141.218.60.56/~jnz1568/getInfo.php?workbook=20_05.xlsx&amp;sheet=U0&amp;row=10094&amp;col=7&amp;number=0.00052&amp;sourceID=14","0.00052")</f>
        <v>0.00052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HYPERLINK("http://141.218.60.56/~jnz1568/getInfo.php?workbook=20_05.xlsx&amp;sheet=U0&amp;row=10095&amp;col=6&amp;number=4.1&amp;sourceID=14","4.1")</f>
        <v>4.1</v>
      </c>
      <c r="G10095" s="4" t="str">
        <f>HYPERLINK("http://141.218.60.56/~jnz1568/getInfo.php?workbook=20_05.xlsx&amp;sheet=U0&amp;row=10095&amp;col=7&amp;number=0.00052&amp;sourceID=14","0.00052")</f>
        <v>0.00052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HYPERLINK("http://141.218.60.56/~jnz1568/getInfo.php?workbook=20_05.xlsx&amp;sheet=U0&amp;row=10096&amp;col=6&amp;number=4.2&amp;sourceID=14","4.2")</f>
        <v>4.2</v>
      </c>
      <c r="G10096" s="4" t="str">
        <f>HYPERLINK("http://141.218.60.56/~jnz1568/getInfo.php?workbook=20_05.xlsx&amp;sheet=U0&amp;row=10096&amp;col=7&amp;number=0.000519&amp;sourceID=14","0.000519")</f>
        <v>0.000519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HYPERLINK("http://141.218.60.56/~jnz1568/getInfo.php?workbook=20_05.xlsx&amp;sheet=U0&amp;row=10097&amp;col=6&amp;number=4.3&amp;sourceID=14","4.3")</f>
        <v>4.3</v>
      </c>
      <c r="G10097" s="4" t="str">
        <f>HYPERLINK("http://141.218.60.56/~jnz1568/getInfo.php?workbook=20_05.xlsx&amp;sheet=U0&amp;row=10097&amp;col=7&amp;number=0.000519&amp;sourceID=14","0.000519")</f>
        <v>0.000519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HYPERLINK("http://141.218.60.56/~jnz1568/getInfo.php?workbook=20_05.xlsx&amp;sheet=U0&amp;row=10098&amp;col=6&amp;number=4.4&amp;sourceID=14","4.4")</f>
        <v>4.4</v>
      </c>
      <c r="G10098" s="4" t="str">
        <f>HYPERLINK("http://141.218.60.56/~jnz1568/getInfo.php?workbook=20_05.xlsx&amp;sheet=U0&amp;row=10098&amp;col=7&amp;number=0.000518&amp;sourceID=14","0.000518")</f>
        <v>0.000518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HYPERLINK("http://141.218.60.56/~jnz1568/getInfo.php?workbook=20_05.xlsx&amp;sheet=U0&amp;row=10099&amp;col=6&amp;number=4.5&amp;sourceID=14","4.5")</f>
        <v>4.5</v>
      </c>
      <c r="G10099" s="4" t="str">
        <f>HYPERLINK("http://141.218.60.56/~jnz1568/getInfo.php?workbook=20_05.xlsx&amp;sheet=U0&amp;row=10099&amp;col=7&amp;number=0.000518&amp;sourceID=14","0.000518")</f>
        <v>0.000518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HYPERLINK("http://141.218.60.56/~jnz1568/getInfo.php?workbook=20_05.xlsx&amp;sheet=U0&amp;row=10100&amp;col=6&amp;number=4.6&amp;sourceID=14","4.6")</f>
        <v>4.6</v>
      </c>
      <c r="G10100" s="4" t="str">
        <f>HYPERLINK("http://141.218.60.56/~jnz1568/getInfo.php?workbook=20_05.xlsx&amp;sheet=U0&amp;row=10100&amp;col=7&amp;number=0.000517&amp;sourceID=14","0.000517")</f>
        <v>0.000517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HYPERLINK("http://141.218.60.56/~jnz1568/getInfo.php?workbook=20_05.xlsx&amp;sheet=U0&amp;row=10101&amp;col=6&amp;number=4.7&amp;sourceID=14","4.7")</f>
        <v>4.7</v>
      </c>
      <c r="G10101" s="4" t="str">
        <f>HYPERLINK("http://141.218.60.56/~jnz1568/getInfo.php?workbook=20_05.xlsx&amp;sheet=U0&amp;row=10101&amp;col=7&amp;number=0.000515&amp;sourceID=14","0.000515")</f>
        <v>0.000515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HYPERLINK("http://141.218.60.56/~jnz1568/getInfo.php?workbook=20_05.xlsx&amp;sheet=U0&amp;row=10102&amp;col=6&amp;number=4.8&amp;sourceID=14","4.8")</f>
        <v>4.8</v>
      </c>
      <c r="G10102" s="4" t="str">
        <f>HYPERLINK("http://141.218.60.56/~jnz1568/getInfo.php?workbook=20_05.xlsx&amp;sheet=U0&amp;row=10102&amp;col=7&amp;number=0.000514&amp;sourceID=14","0.000514")</f>
        <v>0.000514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HYPERLINK("http://141.218.60.56/~jnz1568/getInfo.php?workbook=20_05.xlsx&amp;sheet=U0&amp;row=10103&amp;col=6&amp;number=4.9&amp;sourceID=14","4.9")</f>
        <v>4.9</v>
      </c>
      <c r="G10103" s="4" t="str">
        <f>HYPERLINK("http://141.218.60.56/~jnz1568/getInfo.php?workbook=20_05.xlsx&amp;sheet=U0&amp;row=10103&amp;col=7&amp;number=0.000512&amp;sourceID=14","0.000512")</f>
        <v>0.000512</v>
      </c>
    </row>
    <row r="10104" spans="1:7">
      <c r="A10104" s="3">
        <v>20</v>
      </c>
      <c r="B10104" s="3">
        <v>5</v>
      </c>
      <c r="C10104" s="3">
        <v>5</v>
      </c>
      <c r="D10104" s="3">
        <v>40</v>
      </c>
      <c r="E10104" s="3">
        <v>1</v>
      </c>
      <c r="F10104" s="4" t="str">
        <f>HYPERLINK("http://141.218.60.56/~jnz1568/getInfo.php?workbook=20_05.xlsx&amp;sheet=U0&amp;row=10104&amp;col=6&amp;number=3&amp;sourceID=14","3")</f>
        <v>3</v>
      </c>
      <c r="G10104" s="4" t="str">
        <f>HYPERLINK("http://141.218.60.56/~jnz1568/getInfo.php?workbook=20_05.xlsx&amp;sheet=U0&amp;row=10104&amp;col=7&amp;number=0.00138&amp;sourceID=14","0.00138")</f>
        <v>0.00138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HYPERLINK("http://141.218.60.56/~jnz1568/getInfo.php?workbook=20_05.xlsx&amp;sheet=U0&amp;row=10105&amp;col=6&amp;number=3.1&amp;sourceID=14","3.1")</f>
        <v>3.1</v>
      </c>
      <c r="G10105" s="4" t="str">
        <f>HYPERLINK("http://141.218.60.56/~jnz1568/getInfo.php?workbook=20_05.xlsx&amp;sheet=U0&amp;row=10105&amp;col=7&amp;number=0.00138&amp;sourceID=14","0.00138")</f>
        <v>0.00138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HYPERLINK("http://141.218.60.56/~jnz1568/getInfo.php?workbook=20_05.xlsx&amp;sheet=U0&amp;row=10106&amp;col=6&amp;number=3.2&amp;sourceID=14","3.2")</f>
        <v>3.2</v>
      </c>
      <c r="G10106" s="4" t="str">
        <f>HYPERLINK("http://141.218.60.56/~jnz1568/getInfo.php?workbook=20_05.xlsx&amp;sheet=U0&amp;row=10106&amp;col=7&amp;number=0.00138&amp;sourceID=14","0.00138")</f>
        <v>0.00138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HYPERLINK("http://141.218.60.56/~jnz1568/getInfo.php?workbook=20_05.xlsx&amp;sheet=U0&amp;row=10107&amp;col=6&amp;number=3.3&amp;sourceID=14","3.3")</f>
        <v>3.3</v>
      </c>
      <c r="G10107" s="4" t="str">
        <f>HYPERLINK("http://141.218.60.56/~jnz1568/getInfo.php?workbook=20_05.xlsx&amp;sheet=U0&amp;row=10107&amp;col=7&amp;number=0.00138&amp;sourceID=14","0.00138")</f>
        <v>0.00138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HYPERLINK("http://141.218.60.56/~jnz1568/getInfo.php?workbook=20_05.xlsx&amp;sheet=U0&amp;row=10108&amp;col=6&amp;number=3.4&amp;sourceID=14","3.4")</f>
        <v>3.4</v>
      </c>
      <c r="G10108" s="4" t="str">
        <f>HYPERLINK("http://141.218.60.56/~jnz1568/getInfo.php?workbook=20_05.xlsx&amp;sheet=U0&amp;row=10108&amp;col=7&amp;number=0.00138&amp;sourceID=14","0.00138")</f>
        <v>0.00138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HYPERLINK("http://141.218.60.56/~jnz1568/getInfo.php?workbook=20_05.xlsx&amp;sheet=U0&amp;row=10109&amp;col=6&amp;number=3.5&amp;sourceID=14","3.5")</f>
        <v>3.5</v>
      </c>
      <c r="G10109" s="4" t="str">
        <f>HYPERLINK("http://141.218.60.56/~jnz1568/getInfo.php?workbook=20_05.xlsx&amp;sheet=U0&amp;row=10109&amp;col=7&amp;number=0.00138&amp;sourceID=14","0.00138")</f>
        <v>0.00138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HYPERLINK("http://141.218.60.56/~jnz1568/getInfo.php?workbook=20_05.xlsx&amp;sheet=U0&amp;row=10110&amp;col=6&amp;number=3.6&amp;sourceID=14","3.6")</f>
        <v>3.6</v>
      </c>
      <c r="G10110" s="4" t="str">
        <f>HYPERLINK("http://141.218.60.56/~jnz1568/getInfo.php?workbook=20_05.xlsx&amp;sheet=U0&amp;row=10110&amp;col=7&amp;number=0.00138&amp;sourceID=14","0.00138")</f>
        <v>0.00138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HYPERLINK("http://141.218.60.56/~jnz1568/getInfo.php?workbook=20_05.xlsx&amp;sheet=U0&amp;row=10111&amp;col=6&amp;number=3.7&amp;sourceID=14","3.7")</f>
        <v>3.7</v>
      </c>
      <c r="G10111" s="4" t="str">
        <f>HYPERLINK("http://141.218.60.56/~jnz1568/getInfo.php?workbook=20_05.xlsx&amp;sheet=U0&amp;row=10111&amp;col=7&amp;number=0.00138&amp;sourceID=14","0.00138")</f>
        <v>0.00138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HYPERLINK("http://141.218.60.56/~jnz1568/getInfo.php?workbook=20_05.xlsx&amp;sheet=U0&amp;row=10112&amp;col=6&amp;number=3.8&amp;sourceID=14","3.8")</f>
        <v>3.8</v>
      </c>
      <c r="G10112" s="4" t="str">
        <f>HYPERLINK("http://141.218.60.56/~jnz1568/getInfo.php?workbook=20_05.xlsx&amp;sheet=U0&amp;row=10112&amp;col=7&amp;number=0.00138&amp;sourceID=14","0.00138")</f>
        <v>0.00138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HYPERLINK("http://141.218.60.56/~jnz1568/getInfo.php?workbook=20_05.xlsx&amp;sheet=U0&amp;row=10113&amp;col=6&amp;number=3.9&amp;sourceID=14","3.9")</f>
        <v>3.9</v>
      </c>
      <c r="G10113" s="4" t="str">
        <f>HYPERLINK("http://141.218.60.56/~jnz1568/getInfo.php?workbook=20_05.xlsx&amp;sheet=U0&amp;row=10113&amp;col=7&amp;number=0.00138&amp;sourceID=14","0.00138")</f>
        <v>0.00138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HYPERLINK("http://141.218.60.56/~jnz1568/getInfo.php?workbook=20_05.xlsx&amp;sheet=U0&amp;row=10114&amp;col=6&amp;number=4&amp;sourceID=14","4")</f>
        <v>4</v>
      </c>
      <c r="G10114" s="4" t="str">
        <f>HYPERLINK("http://141.218.60.56/~jnz1568/getInfo.php?workbook=20_05.xlsx&amp;sheet=U0&amp;row=10114&amp;col=7&amp;number=0.00138&amp;sourceID=14","0.00138")</f>
        <v>0.00138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HYPERLINK("http://141.218.60.56/~jnz1568/getInfo.php?workbook=20_05.xlsx&amp;sheet=U0&amp;row=10115&amp;col=6&amp;number=4.1&amp;sourceID=14","4.1")</f>
        <v>4.1</v>
      </c>
      <c r="G10115" s="4" t="str">
        <f>HYPERLINK("http://141.218.60.56/~jnz1568/getInfo.php?workbook=20_05.xlsx&amp;sheet=U0&amp;row=10115&amp;col=7&amp;number=0.00138&amp;sourceID=14","0.00138")</f>
        <v>0.00138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HYPERLINK("http://141.218.60.56/~jnz1568/getInfo.php?workbook=20_05.xlsx&amp;sheet=U0&amp;row=10116&amp;col=6&amp;number=4.2&amp;sourceID=14","4.2")</f>
        <v>4.2</v>
      </c>
      <c r="G10116" s="4" t="str">
        <f>HYPERLINK("http://141.218.60.56/~jnz1568/getInfo.php?workbook=20_05.xlsx&amp;sheet=U0&amp;row=10116&amp;col=7&amp;number=0.00138&amp;sourceID=14","0.00138")</f>
        <v>0.00138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HYPERLINK("http://141.218.60.56/~jnz1568/getInfo.php?workbook=20_05.xlsx&amp;sheet=U0&amp;row=10117&amp;col=6&amp;number=4.3&amp;sourceID=14","4.3")</f>
        <v>4.3</v>
      </c>
      <c r="G10117" s="4" t="str">
        <f>HYPERLINK("http://141.218.60.56/~jnz1568/getInfo.php?workbook=20_05.xlsx&amp;sheet=U0&amp;row=10117&amp;col=7&amp;number=0.00137&amp;sourceID=14","0.00137")</f>
        <v>0.00137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HYPERLINK("http://141.218.60.56/~jnz1568/getInfo.php?workbook=20_05.xlsx&amp;sheet=U0&amp;row=10118&amp;col=6&amp;number=4.4&amp;sourceID=14","4.4")</f>
        <v>4.4</v>
      </c>
      <c r="G10118" s="4" t="str">
        <f>HYPERLINK("http://141.218.60.56/~jnz1568/getInfo.php?workbook=20_05.xlsx&amp;sheet=U0&amp;row=10118&amp;col=7&amp;number=0.00137&amp;sourceID=14","0.00137")</f>
        <v>0.00137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HYPERLINK("http://141.218.60.56/~jnz1568/getInfo.php?workbook=20_05.xlsx&amp;sheet=U0&amp;row=10119&amp;col=6&amp;number=4.5&amp;sourceID=14","4.5")</f>
        <v>4.5</v>
      </c>
      <c r="G10119" s="4" t="str">
        <f>HYPERLINK("http://141.218.60.56/~jnz1568/getInfo.php?workbook=20_05.xlsx&amp;sheet=U0&amp;row=10119&amp;col=7&amp;number=0.00137&amp;sourceID=14","0.00137")</f>
        <v>0.00137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HYPERLINK("http://141.218.60.56/~jnz1568/getInfo.php?workbook=20_05.xlsx&amp;sheet=U0&amp;row=10120&amp;col=6&amp;number=4.6&amp;sourceID=14","4.6")</f>
        <v>4.6</v>
      </c>
      <c r="G10120" s="4" t="str">
        <f>HYPERLINK("http://141.218.60.56/~jnz1568/getInfo.php?workbook=20_05.xlsx&amp;sheet=U0&amp;row=10120&amp;col=7&amp;number=0.00137&amp;sourceID=14","0.00137")</f>
        <v>0.00137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HYPERLINK("http://141.218.60.56/~jnz1568/getInfo.php?workbook=20_05.xlsx&amp;sheet=U0&amp;row=10121&amp;col=6&amp;number=4.7&amp;sourceID=14","4.7")</f>
        <v>4.7</v>
      </c>
      <c r="G10121" s="4" t="str">
        <f>HYPERLINK("http://141.218.60.56/~jnz1568/getInfo.php?workbook=20_05.xlsx&amp;sheet=U0&amp;row=10121&amp;col=7&amp;number=0.00136&amp;sourceID=14","0.00136")</f>
        <v>0.00136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HYPERLINK("http://141.218.60.56/~jnz1568/getInfo.php?workbook=20_05.xlsx&amp;sheet=U0&amp;row=10122&amp;col=6&amp;number=4.8&amp;sourceID=14","4.8")</f>
        <v>4.8</v>
      </c>
      <c r="G10122" s="4" t="str">
        <f>HYPERLINK("http://141.218.60.56/~jnz1568/getInfo.php?workbook=20_05.xlsx&amp;sheet=U0&amp;row=10122&amp;col=7&amp;number=0.00136&amp;sourceID=14","0.00136")</f>
        <v>0.00136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HYPERLINK("http://141.218.60.56/~jnz1568/getInfo.php?workbook=20_05.xlsx&amp;sheet=U0&amp;row=10123&amp;col=6&amp;number=4.9&amp;sourceID=14","4.9")</f>
        <v>4.9</v>
      </c>
      <c r="G10123" s="4" t="str">
        <f>HYPERLINK("http://141.218.60.56/~jnz1568/getInfo.php?workbook=20_05.xlsx&amp;sheet=U0&amp;row=10123&amp;col=7&amp;number=0.00135&amp;sourceID=14","0.00135")</f>
        <v>0.00135</v>
      </c>
    </row>
    <row r="10124" spans="1:7">
      <c r="A10124" s="3">
        <v>20</v>
      </c>
      <c r="B10124" s="3">
        <v>5</v>
      </c>
      <c r="C10124" s="3">
        <v>5</v>
      </c>
      <c r="D10124" s="3">
        <v>41</v>
      </c>
      <c r="E10124" s="3">
        <v>1</v>
      </c>
      <c r="F10124" s="4" t="str">
        <f>HYPERLINK("http://141.218.60.56/~jnz1568/getInfo.php?workbook=20_05.xlsx&amp;sheet=U0&amp;row=10124&amp;col=6&amp;number=3&amp;sourceID=14","3")</f>
        <v>3</v>
      </c>
      <c r="G10124" s="4" t="str">
        <f>HYPERLINK("http://141.218.60.56/~jnz1568/getInfo.php?workbook=20_05.xlsx&amp;sheet=U0&amp;row=10124&amp;col=7&amp;number=0.000241&amp;sourceID=14","0.000241")</f>
        <v>0.000241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HYPERLINK("http://141.218.60.56/~jnz1568/getInfo.php?workbook=20_05.xlsx&amp;sheet=U0&amp;row=10125&amp;col=6&amp;number=3.1&amp;sourceID=14","3.1")</f>
        <v>3.1</v>
      </c>
      <c r="G10125" s="4" t="str">
        <f>HYPERLINK("http://141.218.60.56/~jnz1568/getInfo.php?workbook=20_05.xlsx&amp;sheet=U0&amp;row=10125&amp;col=7&amp;number=0.000241&amp;sourceID=14","0.000241")</f>
        <v>0.000241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HYPERLINK("http://141.218.60.56/~jnz1568/getInfo.php?workbook=20_05.xlsx&amp;sheet=U0&amp;row=10126&amp;col=6&amp;number=3.2&amp;sourceID=14","3.2")</f>
        <v>3.2</v>
      </c>
      <c r="G10126" s="4" t="str">
        <f>HYPERLINK("http://141.218.60.56/~jnz1568/getInfo.php?workbook=20_05.xlsx&amp;sheet=U0&amp;row=10126&amp;col=7&amp;number=0.000241&amp;sourceID=14","0.000241")</f>
        <v>0.000241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HYPERLINK("http://141.218.60.56/~jnz1568/getInfo.php?workbook=20_05.xlsx&amp;sheet=U0&amp;row=10127&amp;col=6&amp;number=3.3&amp;sourceID=14","3.3")</f>
        <v>3.3</v>
      </c>
      <c r="G10127" s="4" t="str">
        <f>HYPERLINK("http://141.218.60.56/~jnz1568/getInfo.php?workbook=20_05.xlsx&amp;sheet=U0&amp;row=10127&amp;col=7&amp;number=0.000241&amp;sourceID=14","0.000241")</f>
        <v>0.000241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HYPERLINK("http://141.218.60.56/~jnz1568/getInfo.php?workbook=20_05.xlsx&amp;sheet=U0&amp;row=10128&amp;col=6&amp;number=3.4&amp;sourceID=14","3.4")</f>
        <v>3.4</v>
      </c>
      <c r="G10128" s="4" t="str">
        <f>HYPERLINK("http://141.218.60.56/~jnz1568/getInfo.php?workbook=20_05.xlsx&amp;sheet=U0&amp;row=10128&amp;col=7&amp;number=0.000241&amp;sourceID=14","0.000241")</f>
        <v>0.000241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HYPERLINK("http://141.218.60.56/~jnz1568/getInfo.php?workbook=20_05.xlsx&amp;sheet=U0&amp;row=10129&amp;col=6&amp;number=3.5&amp;sourceID=14","3.5")</f>
        <v>3.5</v>
      </c>
      <c r="G10129" s="4" t="str">
        <f>HYPERLINK("http://141.218.60.56/~jnz1568/getInfo.php?workbook=20_05.xlsx&amp;sheet=U0&amp;row=10129&amp;col=7&amp;number=0.000241&amp;sourceID=14","0.000241")</f>
        <v>0.000241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HYPERLINK("http://141.218.60.56/~jnz1568/getInfo.php?workbook=20_05.xlsx&amp;sheet=U0&amp;row=10130&amp;col=6&amp;number=3.6&amp;sourceID=14","3.6")</f>
        <v>3.6</v>
      </c>
      <c r="G10130" s="4" t="str">
        <f>HYPERLINK("http://141.218.60.56/~jnz1568/getInfo.php?workbook=20_05.xlsx&amp;sheet=U0&amp;row=10130&amp;col=7&amp;number=0.000241&amp;sourceID=14","0.000241")</f>
        <v>0.000241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HYPERLINK("http://141.218.60.56/~jnz1568/getInfo.php?workbook=20_05.xlsx&amp;sheet=U0&amp;row=10131&amp;col=6&amp;number=3.7&amp;sourceID=14","3.7")</f>
        <v>3.7</v>
      </c>
      <c r="G10131" s="4" t="str">
        <f>HYPERLINK("http://141.218.60.56/~jnz1568/getInfo.php?workbook=20_05.xlsx&amp;sheet=U0&amp;row=10131&amp;col=7&amp;number=0.000241&amp;sourceID=14","0.000241")</f>
        <v>0.000241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HYPERLINK("http://141.218.60.56/~jnz1568/getInfo.php?workbook=20_05.xlsx&amp;sheet=U0&amp;row=10132&amp;col=6&amp;number=3.8&amp;sourceID=14","3.8")</f>
        <v>3.8</v>
      </c>
      <c r="G10132" s="4" t="str">
        <f>HYPERLINK("http://141.218.60.56/~jnz1568/getInfo.php?workbook=20_05.xlsx&amp;sheet=U0&amp;row=10132&amp;col=7&amp;number=0.000241&amp;sourceID=14","0.000241")</f>
        <v>0.000241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HYPERLINK("http://141.218.60.56/~jnz1568/getInfo.php?workbook=20_05.xlsx&amp;sheet=U0&amp;row=10133&amp;col=6&amp;number=3.9&amp;sourceID=14","3.9")</f>
        <v>3.9</v>
      </c>
      <c r="G10133" s="4" t="str">
        <f>HYPERLINK("http://141.218.60.56/~jnz1568/getInfo.php?workbook=20_05.xlsx&amp;sheet=U0&amp;row=10133&amp;col=7&amp;number=0.000241&amp;sourceID=14","0.000241")</f>
        <v>0.000241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HYPERLINK("http://141.218.60.56/~jnz1568/getInfo.php?workbook=20_05.xlsx&amp;sheet=U0&amp;row=10134&amp;col=6&amp;number=4&amp;sourceID=14","4")</f>
        <v>4</v>
      </c>
      <c r="G10134" s="4" t="str">
        <f>HYPERLINK("http://141.218.60.56/~jnz1568/getInfo.php?workbook=20_05.xlsx&amp;sheet=U0&amp;row=10134&amp;col=7&amp;number=0.00024&amp;sourceID=14","0.00024")</f>
        <v>0.00024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HYPERLINK("http://141.218.60.56/~jnz1568/getInfo.php?workbook=20_05.xlsx&amp;sheet=U0&amp;row=10135&amp;col=6&amp;number=4.1&amp;sourceID=14","4.1")</f>
        <v>4.1</v>
      </c>
      <c r="G10135" s="4" t="str">
        <f>HYPERLINK("http://141.218.60.56/~jnz1568/getInfo.php?workbook=20_05.xlsx&amp;sheet=U0&amp;row=10135&amp;col=7&amp;number=0.00024&amp;sourceID=14","0.00024")</f>
        <v>0.00024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HYPERLINK("http://141.218.60.56/~jnz1568/getInfo.php?workbook=20_05.xlsx&amp;sheet=U0&amp;row=10136&amp;col=6&amp;number=4.2&amp;sourceID=14","4.2")</f>
        <v>4.2</v>
      </c>
      <c r="G10136" s="4" t="str">
        <f>HYPERLINK("http://141.218.60.56/~jnz1568/getInfo.php?workbook=20_05.xlsx&amp;sheet=U0&amp;row=10136&amp;col=7&amp;number=0.00024&amp;sourceID=14","0.00024")</f>
        <v>0.00024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HYPERLINK("http://141.218.60.56/~jnz1568/getInfo.php?workbook=20_05.xlsx&amp;sheet=U0&amp;row=10137&amp;col=6&amp;number=4.3&amp;sourceID=14","4.3")</f>
        <v>4.3</v>
      </c>
      <c r="G10137" s="4" t="str">
        <f>HYPERLINK("http://141.218.60.56/~jnz1568/getInfo.php?workbook=20_05.xlsx&amp;sheet=U0&amp;row=10137&amp;col=7&amp;number=0.00024&amp;sourceID=14","0.00024")</f>
        <v>0.00024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HYPERLINK("http://141.218.60.56/~jnz1568/getInfo.php?workbook=20_05.xlsx&amp;sheet=U0&amp;row=10138&amp;col=6&amp;number=4.4&amp;sourceID=14","4.4")</f>
        <v>4.4</v>
      </c>
      <c r="G10138" s="4" t="str">
        <f>HYPERLINK("http://141.218.60.56/~jnz1568/getInfo.php?workbook=20_05.xlsx&amp;sheet=U0&amp;row=10138&amp;col=7&amp;number=0.000239&amp;sourceID=14","0.000239")</f>
        <v>0.000239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HYPERLINK("http://141.218.60.56/~jnz1568/getInfo.php?workbook=20_05.xlsx&amp;sheet=U0&amp;row=10139&amp;col=6&amp;number=4.5&amp;sourceID=14","4.5")</f>
        <v>4.5</v>
      </c>
      <c r="G10139" s="4" t="str">
        <f>HYPERLINK("http://141.218.60.56/~jnz1568/getInfo.php?workbook=20_05.xlsx&amp;sheet=U0&amp;row=10139&amp;col=7&amp;number=0.000239&amp;sourceID=14","0.000239")</f>
        <v>0.000239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HYPERLINK("http://141.218.60.56/~jnz1568/getInfo.php?workbook=20_05.xlsx&amp;sheet=U0&amp;row=10140&amp;col=6&amp;number=4.6&amp;sourceID=14","4.6")</f>
        <v>4.6</v>
      </c>
      <c r="G10140" s="4" t="str">
        <f>HYPERLINK("http://141.218.60.56/~jnz1568/getInfo.php?workbook=20_05.xlsx&amp;sheet=U0&amp;row=10140&amp;col=7&amp;number=0.000238&amp;sourceID=14","0.000238")</f>
        <v>0.000238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HYPERLINK("http://141.218.60.56/~jnz1568/getInfo.php?workbook=20_05.xlsx&amp;sheet=U0&amp;row=10141&amp;col=6&amp;number=4.7&amp;sourceID=14","4.7")</f>
        <v>4.7</v>
      </c>
      <c r="G10141" s="4" t="str">
        <f>HYPERLINK("http://141.218.60.56/~jnz1568/getInfo.php?workbook=20_05.xlsx&amp;sheet=U0&amp;row=10141&amp;col=7&amp;number=0.000238&amp;sourceID=14","0.000238")</f>
        <v>0.000238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HYPERLINK("http://141.218.60.56/~jnz1568/getInfo.php?workbook=20_05.xlsx&amp;sheet=U0&amp;row=10142&amp;col=6&amp;number=4.8&amp;sourceID=14","4.8")</f>
        <v>4.8</v>
      </c>
      <c r="G10142" s="4" t="str">
        <f>HYPERLINK("http://141.218.60.56/~jnz1568/getInfo.php?workbook=20_05.xlsx&amp;sheet=U0&amp;row=10142&amp;col=7&amp;number=0.000237&amp;sourceID=14","0.000237")</f>
        <v>0.000237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HYPERLINK("http://141.218.60.56/~jnz1568/getInfo.php?workbook=20_05.xlsx&amp;sheet=U0&amp;row=10143&amp;col=6&amp;number=4.9&amp;sourceID=14","4.9")</f>
        <v>4.9</v>
      </c>
      <c r="G10143" s="4" t="str">
        <f>HYPERLINK("http://141.218.60.56/~jnz1568/getInfo.php?workbook=20_05.xlsx&amp;sheet=U0&amp;row=10143&amp;col=7&amp;number=0.000236&amp;sourceID=14","0.000236")</f>
        <v>0.000236</v>
      </c>
    </row>
    <row r="10144" spans="1:7">
      <c r="A10144" s="3">
        <v>20</v>
      </c>
      <c r="B10144" s="3">
        <v>5</v>
      </c>
      <c r="C10144" s="3">
        <v>5</v>
      </c>
      <c r="D10144" s="3">
        <v>42</v>
      </c>
      <c r="E10144" s="3">
        <v>1</v>
      </c>
      <c r="F10144" s="4" t="str">
        <f>HYPERLINK("http://141.218.60.56/~jnz1568/getInfo.php?workbook=20_05.xlsx&amp;sheet=U0&amp;row=10144&amp;col=6&amp;number=3&amp;sourceID=14","3")</f>
        <v>3</v>
      </c>
      <c r="G10144" s="4" t="str">
        <f>HYPERLINK("http://141.218.60.56/~jnz1568/getInfo.php?workbook=20_05.xlsx&amp;sheet=U0&amp;row=10144&amp;col=7&amp;number=0.000164&amp;sourceID=14","0.000164")</f>
        <v>0.000164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HYPERLINK("http://141.218.60.56/~jnz1568/getInfo.php?workbook=20_05.xlsx&amp;sheet=U0&amp;row=10145&amp;col=6&amp;number=3.1&amp;sourceID=14","3.1")</f>
        <v>3.1</v>
      </c>
      <c r="G10145" s="4" t="str">
        <f>HYPERLINK("http://141.218.60.56/~jnz1568/getInfo.php?workbook=20_05.xlsx&amp;sheet=U0&amp;row=10145&amp;col=7&amp;number=0.000164&amp;sourceID=14","0.000164")</f>
        <v>0.000164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HYPERLINK("http://141.218.60.56/~jnz1568/getInfo.php?workbook=20_05.xlsx&amp;sheet=U0&amp;row=10146&amp;col=6&amp;number=3.2&amp;sourceID=14","3.2")</f>
        <v>3.2</v>
      </c>
      <c r="G10146" s="4" t="str">
        <f>HYPERLINK("http://141.218.60.56/~jnz1568/getInfo.php?workbook=20_05.xlsx&amp;sheet=U0&amp;row=10146&amp;col=7&amp;number=0.000164&amp;sourceID=14","0.000164")</f>
        <v>0.000164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HYPERLINK("http://141.218.60.56/~jnz1568/getInfo.php?workbook=20_05.xlsx&amp;sheet=U0&amp;row=10147&amp;col=6&amp;number=3.3&amp;sourceID=14","3.3")</f>
        <v>3.3</v>
      </c>
      <c r="G10147" s="4" t="str">
        <f>HYPERLINK("http://141.218.60.56/~jnz1568/getInfo.php?workbook=20_05.xlsx&amp;sheet=U0&amp;row=10147&amp;col=7&amp;number=0.000164&amp;sourceID=14","0.000164")</f>
        <v>0.000164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HYPERLINK("http://141.218.60.56/~jnz1568/getInfo.php?workbook=20_05.xlsx&amp;sheet=U0&amp;row=10148&amp;col=6&amp;number=3.4&amp;sourceID=14","3.4")</f>
        <v>3.4</v>
      </c>
      <c r="G10148" s="4" t="str">
        <f>HYPERLINK("http://141.218.60.56/~jnz1568/getInfo.php?workbook=20_05.xlsx&amp;sheet=U0&amp;row=10148&amp;col=7&amp;number=0.000164&amp;sourceID=14","0.000164")</f>
        <v>0.000164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HYPERLINK("http://141.218.60.56/~jnz1568/getInfo.php?workbook=20_05.xlsx&amp;sheet=U0&amp;row=10149&amp;col=6&amp;number=3.5&amp;sourceID=14","3.5")</f>
        <v>3.5</v>
      </c>
      <c r="G10149" s="4" t="str">
        <f>HYPERLINK("http://141.218.60.56/~jnz1568/getInfo.php?workbook=20_05.xlsx&amp;sheet=U0&amp;row=10149&amp;col=7&amp;number=0.000164&amp;sourceID=14","0.000164")</f>
        <v>0.000164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HYPERLINK("http://141.218.60.56/~jnz1568/getInfo.php?workbook=20_05.xlsx&amp;sheet=U0&amp;row=10150&amp;col=6&amp;number=3.6&amp;sourceID=14","3.6")</f>
        <v>3.6</v>
      </c>
      <c r="G10150" s="4" t="str">
        <f>HYPERLINK("http://141.218.60.56/~jnz1568/getInfo.php?workbook=20_05.xlsx&amp;sheet=U0&amp;row=10150&amp;col=7&amp;number=0.000164&amp;sourceID=14","0.000164")</f>
        <v>0.000164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HYPERLINK("http://141.218.60.56/~jnz1568/getInfo.php?workbook=20_05.xlsx&amp;sheet=U0&amp;row=10151&amp;col=6&amp;number=3.7&amp;sourceID=14","3.7")</f>
        <v>3.7</v>
      </c>
      <c r="G10151" s="4" t="str">
        <f>HYPERLINK("http://141.218.60.56/~jnz1568/getInfo.php?workbook=20_05.xlsx&amp;sheet=U0&amp;row=10151&amp;col=7&amp;number=0.000164&amp;sourceID=14","0.000164")</f>
        <v>0.000164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HYPERLINK("http://141.218.60.56/~jnz1568/getInfo.php?workbook=20_05.xlsx&amp;sheet=U0&amp;row=10152&amp;col=6&amp;number=3.8&amp;sourceID=14","3.8")</f>
        <v>3.8</v>
      </c>
      <c r="G10152" s="4" t="str">
        <f>HYPERLINK("http://141.218.60.56/~jnz1568/getInfo.php?workbook=20_05.xlsx&amp;sheet=U0&amp;row=10152&amp;col=7&amp;number=0.000164&amp;sourceID=14","0.000164")</f>
        <v>0.000164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HYPERLINK("http://141.218.60.56/~jnz1568/getInfo.php?workbook=20_05.xlsx&amp;sheet=U0&amp;row=10153&amp;col=6&amp;number=3.9&amp;sourceID=14","3.9")</f>
        <v>3.9</v>
      </c>
      <c r="G10153" s="4" t="str">
        <f>HYPERLINK("http://141.218.60.56/~jnz1568/getInfo.php?workbook=20_05.xlsx&amp;sheet=U0&amp;row=10153&amp;col=7&amp;number=0.000164&amp;sourceID=14","0.000164")</f>
        <v>0.000164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HYPERLINK("http://141.218.60.56/~jnz1568/getInfo.php?workbook=20_05.xlsx&amp;sheet=U0&amp;row=10154&amp;col=6&amp;number=4&amp;sourceID=14","4")</f>
        <v>4</v>
      </c>
      <c r="G10154" s="4" t="str">
        <f>HYPERLINK("http://141.218.60.56/~jnz1568/getInfo.php?workbook=20_05.xlsx&amp;sheet=U0&amp;row=10154&amp;col=7&amp;number=0.000164&amp;sourceID=14","0.000164")</f>
        <v>0.000164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HYPERLINK("http://141.218.60.56/~jnz1568/getInfo.php?workbook=20_05.xlsx&amp;sheet=U0&amp;row=10155&amp;col=6&amp;number=4.1&amp;sourceID=14","4.1")</f>
        <v>4.1</v>
      </c>
      <c r="G10155" s="4" t="str">
        <f>HYPERLINK("http://141.218.60.56/~jnz1568/getInfo.php?workbook=20_05.xlsx&amp;sheet=U0&amp;row=10155&amp;col=7&amp;number=0.000164&amp;sourceID=14","0.000164")</f>
        <v>0.000164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HYPERLINK("http://141.218.60.56/~jnz1568/getInfo.php?workbook=20_05.xlsx&amp;sheet=U0&amp;row=10156&amp;col=6&amp;number=4.2&amp;sourceID=14","4.2")</f>
        <v>4.2</v>
      </c>
      <c r="G10156" s="4" t="str">
        <f>HYPERLINK("http://141.218.60.56/~jnz1568/getInfo.php?workbook=20_05.xlsx&amp;sheet=U0&amp;row=10156&amp;col=7&amp;number=0.000164&amp;sourceID=14","0.000164")</f>
        <v>0.000164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HYPERLINK("http://141.218.60.56/~jnz1568/getInfo.php?workbook=20_05.xlsx&amp;sheet=U0&amp;row=10157&amp;col=6&amp;number=4.3&amp;sourceID=14","4.3")</f>
        <v>4.3</v>
      </c>
      <c r="G10157" s="4" t="str">
        <f>HYPERLINK("http://141.218.60.56/~jnz1568/getInfo.php?workbook=20_05.xlsx&amp;sheet=U0&amp;row=10157&amp;col=7&amp;number=0.000164&amp;sourceID=14","0.000164")</f>
        <v>0.000164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HYPERLINK("http://141.218.60.56/~jnz1568/getInfo.php?workbook=20_05.xlsx&amp;sheet=U0&amp;row=10158&amp;col=6&amp;number=4.4&amp;sourceID=14","4.4")</f>
        <v>4.4</v>
      </c>
      <c r="G10158" s="4" t="str">
        <f>HYPERLINK("http://141.218.60.56/~jnz1568/getInfo.php?workbook=20_05.xlsx&amp;sheet=U0&amp;row=10158&amp;col=7&amp;number=0.000164&amp;sourceID=14","0.000164")</f>
        <v>0.000164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HYPERLINK("http://141.218.60.56/~jnz1568/getInfo.php?workbook=20_05.xlsx&amp;sheet=U0&amp;row=10159&amp;col=6&amp;number=4.5&amp;sourceID=14","4.5")</f>
        <v>4.5</v>
      </c>
      <c r="G10159" s="4" t="str">
        <f>HYPERLINK("http://141.218.60.56/~jnz1568/getInfo.php?workbook=20_05.xlsx&amp;sheet=U0&amp;row=10159&amp;col=7&amp;number=0.000163&amp;sourceID=14","0.000163")</f>
        <v>0.000163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HYPERLINK("http://141.218.60.56/~jnz1568/getInfo.php?workbook=20_05.xlsx&amp;sheet=U0&amp;row=10160&amp;col=6&amp;number=4.6&amp;sourceID=14","4.6")</f>
        <v>4.6</v>
      </c>
      <c r="G10160" s="4" t="str">
        <f>HYPERLINK("http://141.218.60.56/~jnz1568/getInfo.php?workbook=20_05.xlsx&amp;sheet=U0&amp;row=10160&amp;col=7&amp;number=0.000163&amp;sourceID=14","0.000163")</f>
        <v>0.000163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HYPERLINK("http://141.218.60.56/~jnz1568/getInfo.php?workbook=20_05.xlsx&amp;sheet=U0&amp;row=10161&amp;col=6&amp;number=4.7&amp;sourceID=14","4.7")</f>
        <v>4.7</v>
      </c>
      <c r="G10161" s="4" t="str">
        <f>HYPERLINK("http://141.218.60.56/~jnz1568/getInfo.php?workbook=20_05.xlsx&amp;sheet=U0&amp;row=10161&amp;col=7&amp;number=0.000163&amp;sourceID=14","0.000163")</f>
        <v>0.000163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HYPERLINK("http://141.218.60.56/~jnz1568/getInfo.php?workbook=20_05.xlsx&amp;sheet=U0&amp;row=10162&amp;col=6&amp;number=4.8&amp;sourceID=14","4.8")</f>
        <v>4.8</v>
      </c>
      <c r="G10162" s="4" t="str">
        <f>HYPERLINK("http://141.218.60.56/~jnz1568/getInfo.php?workbook=20_05.xlsx&amp;sheet=U0&amp;row=10162&amp;col=7&amp;number=0.000162&amp;sourceID=14","0.000162")</f>
        <v>0.000162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HYPERLINK("http://141.218.60.56/~jnz1568/getInfo.php?workbook=20_05.xlsx&amp;sheet=U0&amp;row=10163&amp;col=6&amp;number=4.9&amp;sourceID=14","4.9")</f>
        <v>4.9</v>
      </c>
      <c r="G10163" s="4" t="str">
        <f>HYPERLINK("http://141.218.60.56/~jnz1568/getInfo.php?workbook=20_05.xlsx&amp;sheet=U0&amp;row=10163&amp;col=7&amp;number=0.000162&amp;sourceID=14","0.000162")</f>
        <v>0.000162</v>
      </c>
    </row>
    <row r="10164" spans="1:7">
      <c r="A10164" s="3">
        <v>20</v>
      </c>
      <c r="B10164" s="3">
        <v>5</v>
      </c>
      <c r="C10164" s="3">
        <v>5</v>
      </c>
      <c r="D10164" s="3">
        <v>43</v>
      </c>
      <c r="E10164" s="3">
        <v>1</v>
      </c>
      <c r="F10164" s="4" t="str">
        <f>HYPERLINK("http://141.218.60.56/~jnz1568/getInfo.php?workbook=20_05.xlsx&amp;sheet=U0&amp;row=10164&amp;col=6&amp;number=3&amp;sourceID=14","3")</f>
        <v>3</v>
      </c>
      <c r="G10164" s="4" t="str">
        <f>HYPERLINK("http://141.218.60.56/~jnz1568/getInfo.php?workbook=20_05.xlsx&amp;sheet=U0&amp;row=10164&amp;col=7&amp;number=0.00111&amp;sourceID=14","0.00111")</f>
        <v>0.00111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HYPERLINK("http://141.218.60.56/~jnz1568/getInfo.php?workbook=20_05.xlsx&amp;sheet=U0&amp;row=10165&amp;col=6&amp;number=3.1&amp;sourceID=14","3.1")</f>
        <v>3.1</v>
      </c>
      <c r="G10165" s="4" t="str">
        <f>HYPERLINK("http://141.218.60.56/~jnz1568/getInfo.php?workbook=20_05.xlsx&amp;sheet=U0&amp;row=10165&amp;col=7&amp;number=0.00111&amp;sourceID=14","0.00111")</f>
        <v>0.00111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HYPERLINK("http://141.218.60.56/~jnz1568/getInfo.php?workbook=20_05.xlsx&amp;sheet=U0&amp;row=10166&amp;col=6&amp;number=3.2&amp;sourceID=14","3.2")</f>
        <v>3.2</v>
      </c>
      <c r="G10166" s="4" t="str">
        <f>HYPERLINK("http://141.218.60.56/~jnz1568/getInfo.php?workbook=20_05.xlsx&amp;sheet=U0&amp;row=10166&amp;col=7&amp;number=0.00111&amp;sourceID=14","0.00111")</f>
        <v>0.00111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HYPERLINK("http://141.218.60.56/~jnz1568/getInfo.php?workbook=20_05.xlsx&amp;sheet=U0&amp;row=10167&amp;col=6&amp;number=3.3&amp;sourceID=14","3.3")</f>
        <v>3.3</v>
      </c>
      <c r="G10167" s="4" t="str">
        <f>HYPERLINK("http://141.218.60.56/~jnz1568/getInfo.php?workbook=20_05.xlsx&amp;sheet=U0&amp;row=10167&amp;col=7&amp;number=0.00111&amp;sourceID=14","0.00111")</f>
        <v>0.00111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HYPERLINK("http://141.218.60.56/~jnz1568/getInfo.php?workbook=20_05.xlsx&amp;sheet=U0&amp;row=10168&amp;col=6&amp;number=3.4&amp;sourceID=14","3.4")</f>
        <v>3.4</v>
      </c>
      <c r="G10168" s="4" t="str">
        <f>HYPERLINK("http://141.218.60.56/~jnz1568/getInfo.php?workbook=20_05.xlsx&amp;sheet=U0&amp;row=10168&amp;col=7&amp;number=0.00111&amp;sourceID=14","0.00111")</f>
        <v>0.00111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HYPERLINK("http://141.218.60.56/~jnz1568/getInfo.php?workbook=20_05.xlsx&amp;sheet=U0&amp;row=10169&amp;col=6&amp;number=3.5&amp;sourceID=14","3.5")</f>
        <v>3.5</v>
      </c>
      <c r="G10169" s="4" t="str">
        <f>HYPERLINK("http://141.218.60.56/~jnz1568/getInfo.php?workbook=20_05.xlsx&amp;sheet=U0&amp;row=10169&amp;col=7&amp;number=0.00111&amp;sourceID=14","0.00111")</f>
        <v>0.00111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HYPERLINK("http://141.218.60.56/~jnz1568/getInfo.php?workbook=20_05.xlsx&amp;sheet=U0&amp;row=10170&amp;col=6&amp;number=3.6&amp;sourceID=14","3.6")</f>
        <v>3.6</v>
      </c>
      <c r="G10170" s="4" t="str">
        <f>HYPERLINK("http://141.218.60.56/~jnz1568/getInfo.php?workbook=20_05.xlsx&amp;sheet=U0&amp;row=10170&amp;col=7&amp;number=0.00111&amp;sourceID=14","0.00111")</f>
        <v>0.00111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HYPERLINK("http://141.218.60.56/~jnz1568/getInfo.php?workbook=20_05.xlsx&amp;sheet=U0&amp;row=10171&amp;col=6&amp;number=3.7&amp;sourceID=14","3.7")</f>
        <v>3.7</v>
      </c>
      <c r="G10171" s="4" t="str">
        <f>HYPERLINK("http://141.218.60.56/~jnz1568/getInfo.php?workbook=20_05.xlsx&amp;sheet=U0&amp;row=10171&amp;col=7&amp;number=0.00111&amp;sourceID=14","0.00111")</f>
        <v>0.00111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HYPERLINK("http://141.218.60.56/~jnz1568/getInfo.php?workbook=20_05.xlsx&amp;sheet=U0&amp;row=10172&amp;col=6&amp;number=3.8&amp;sourceID=14","3.8")</f>
        <v>3.8</v>
      </c>
      <c r="G10172" s="4" t="str">
        <f>HYPERLINK("http://141.218.60.56/~jnz1568/getInfo.php?workbook=20_05.xlsx&amp;sheet=U0&amp;row=10172&amp;col=7&amp;number=0.00111&amp;sourceID=14","0.00111")</f>
        <v>0.00111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HYPERLINK("http://141.218.60.56/~jnz1568/getInfo.php?workbook=20_05.xlsx&amp;sheet=U0&amp;row=10173&amp;col=6&amp;number=3.9&amp;sourceID=14","3.9")</f>
        <v>3.9</v>
      </c>
      <c r="G10173" s="4" t="str">
        <f>HYPERLINK("http://141.218.60.56/~jnz1568/getInfo.php?workbook=20_05.xlsx&amp;sheet=U0&amp;row=10173&amp;col=7&amp;number=0.00111&amp;sourceID=14","0.00111")</f>
        <v>0.00111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HYPERLINK("http://141.218.60.56/~jnz1568/getInfo.php?workbook=20_05.xlsx&amp;sheet=U0&amp;row=10174&amp;col=6&amp;number=4&amp;sourceID=14","4")</f>
        <v>4</v>
      </c>
      <c r="G10174" s="4" t="str">
        <f>HYPERLINK("http://141.218.60.56/~jnz1568/getInfo.php?workbook=20_05.xlsx&amp;sheet=U0&amp;row=10174&amp;col=7&amp;number=0.00111&amp;sourceID=14","0.00111")</f>
        <v>0.00111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HYPERLINK("http://141.218.60.56/~jnz1568/getInfo.php?workbook=20_05.xlsx&amp;sheet=U0&amp;row=10175&amp;col=6&amp;number=4.1&amp;sourceID=14","4.1")</f>
        <v>4.1</v>
      </c>
      <c r="G10175" s="4" t="str">
        <f>HYPERLINK("http://141.218.60.56/~jnz1568/getInfo.php?workbook=20_05.xlsx&amp;sheet=U0&amp;row=10175&amp;col=7&amp;number=0.00111&amp;sourceID=14","0.00111")</f>
        <v>0.00111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HYPERLINK("http://141.218.60.56/~jnz1568/getInfo.php?workbook=20_05.xlsx&amp;sheet=U0&amp;row=10176&amp;col=6&amp;number=4.2&amp;sourceID=14","4.2")</f>
        <v>4.2</v>
      </c>
      <c r="G10176" s="4" t="str">
        <f>HYPERLINK("http://141.218.60.56/~jnz1568/getInfo.php?workbook=20_05.xlsx&amp;sheet=U0&amp;row=10176&amp;col=7&amp;number=0.00111&amp;sourceID=14","0.00111")</f>
        <v>0.00111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HYPERLINK("http://141.218.60.56/~jnz1568/getInfo.php?workbook=20_05.xlsx&amp;sheet=U0&amp;row=10177&amp;col=6&amp;number=4.3&amp;sourceID=14","4.3")</f>
        <v>4.3</v>
      </c>
      <c r="G10177" s="4" t="str">
        <f>HYPERLINK("http://141.218.60.56/~jnz1568/getInfo.php?workbook=20_05.xlsx&amp;sheet=U0&amp;row=10177&amp;col=7&amp;number=0.00111&amp;sourceID=14","0.00111")</f>
        <v>0.00111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HYPERLINK("http://141.218.60.56/~jnz1568/getInfo.php?workbook=20_05.xlsx&amp;sheet=U0&amp;row=10178&amp;col=6&amp;number=4.4&amp;sourceID=14","4.4")</f>
        <v>4.4</v>
      </c>
      <c r="G10178" s="4" t="str">
        <f>HYPERLINK("http://141.218.60.56/~jnz1568/getInfo.php?workbook=20_05.xlsx&amp;sheet=U0&amp;row=10178&amp;col=7&amp;number=0.00111&amp;sourceID=14","0.00111")</f>
        <v>0.00111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HYPERLINK("http://141.218.60.56/~jnz1568/getInfo.php?workbook=20_05.xlsx&amp;sheet=U0&amp;row=10179&amp;col=6&amp;number=4.5&amp;sourceID=14","4.5")</f>
        <v>4.5</v>
      </c>
      <c r="G10179" s="4" t="str">
        <f>HYPERLINK("http://141.218.60.56/~jnz1568/getInfo.php?workbook=20_05.xlsx&amp;sheet=U0&amp;row=10179&amp;col=7&amp;number=0.00111&amp;sourceID=14","0.00111")</f>
        <v>0.00111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HYPERLINK("http://141.218.60.56/~jnz1568/getInfo.php?workbook=20_05.xlsx&amp;sheet=U0&amp;row=10180&amp;col=6&amp;number=4.6&amp;sourceID=14","4.6")</f>
        <v>4.6</v>
      </c>
      <c r="G10180" s="4" t="str">
        <f>HYPERLINK("http://141.218.60.56/~jnz1568/getInfo.php?workbook=20_05.xlsx&amp;sheet=U0&amp;row=10180&amp;col=7&amp;number=0.00111&amp;sourceID=14","0.00111")</f>
        <v>0.00111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HYPERLINK("http://141.218.60.56/~jnz1568/getInfo.php?workbook=20_05.xlsx&amp;sheet=U0&amp;row=10181&amp;col=6&amp;number=4.7&amp;sourceID=14","4.7")</f>
        <v>4.7</v>
      </c>
      <c r="G10181" s="4" t="str">
        <f>HYPERLINK("http://141.218.60.56/~jnz1568/getInfo.php?workbook=20_05.xlsx&amp;sheet=U0&amp;row=10181&amp;col=7&amp;number=0.00111&amp;sourceID=14","0.00111")</f>
        <v>0.00111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HYPERLINK("http://141.218.60.56/~jnz1568/getInfo.php?workbook=20_05.xlsx&amp;sheet=U0&amp;row=10182&amp;col=6&amp;number=4.8&amp;sourceID=14","4.8")</f>
        <v>4.8</v>
      </c>
      <c r="G10182" s="4" t="str">
        <f>HYPERLINK("http://141.218.60.56/~jnz1568/getInfo.php?workbook=20_05.xlsx&amp;sheet=U0&amp;row=10182&amp;col=7&amp;number=0.00111&amp;sourceID=14","0.00111")</f>
        <v>0.00111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HYPERLINK("http://141.218.60.56/~jnz1568/getInfo.php?workbook=20_05.xlsx&amp;sheet=U0&amp;row=10183&amp;col=6&amp;number=4.9&amp;sourceID=14","4.9")</f>
        <v>4.9</v>
      </c>
      <c r="G10183" s="4" t="str">
        <f>HYPERLINK("http://141.218.60.56/~jnz1568/getInfo.php?workbook=20_05.xlsx&amp;sheet=U0&amp;row=10183&amp;col=7&amp;number=0.00111&amp;sourceID=14","0.00111")</f>
        <v>0.00111</v>
      </c>
    </row>
    <row r="10184" spans="1:7">
      <c r="A10184" s="3">
        <v>20</v>
      </c>
      <c r="B10184" s="3">
        <v>5</v>
      </c>
      <c r="C10184" s="3">
        <v>5</v>
      </c>
      <c r="D10184" s="3">
        <v>44</v>
      </c>
      <c r="E10184" s="3">
        <v>1</v>
      </c>
      <c r="F10184" s="4" t="str">
        <f>HYPERLINK("http://141.218.60.56/~jnz1568/getInfo.php?workbook=20_05.xlsx&amp;sheet=U0&amp;row=10184&amp;col=6&amp;number=3&amp;sourceID=14","3")</f>
        <v>3</v>
      </c>
      <c r="G10184" s="4" t="str">
        <f>HYPERLINK("http://141.218.60.56/~jnz1568/getInfo.php?workbook=20_05.xlsx&amp;sheet=U0&amp;row=10184&amp;col=7&amp;number=0.00296&amp;sourceID=14","0.00296")</f>
        <v>0.00296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HYPERLINK("http://141.218.60.56/~jnz1568/getInfo.php?workbook=20_05.xlsx&amp;sheet=U0&amp;row=10185&amp;col=6&amp;number=3.1&amp;sourceID=14","3.1")</f>
        <v>3.1</v>
      </c>
      <c r="G10185" s="4" t="str">
        <f>HYPERLINK("http://141.218.60.56/~jnz1568/getInfo.php?workbook=20_05.xlsx&amp;sheet=U0&amp;row=10185&amp;col=7&amp;number=0.00296&amp;sourceID=14","0.00296")</f>
        <v>0.00296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HYPERLINK("http://141.218.60.56/~jnz1568/getInfo.php?workbook=20_05.xlsx&amp;sheet=U0&amp;row=10186&amp;col=6&amp;number=3.2&amp;sourceID=14","3.2")</f>
        <v>3.2</v>
      </c>
      <c r="G10186" s="4" t="str">
        <f>HYPERLINK("http://141.218.60.56/~jnz1568/getInfo.php?workbook=20_05.xlsx&amp;sheet=U0&amp;row=10186&amp;col=7&amp;number=0.00296&amp;sourceID=14","0.00296")</f>
        <v>0.00296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HYPERLINK("http://141.218.60.56/~jnz1568/getInfo.php?workbook=20_05.xlsx&amp;sheet=U0&amp;row=10187&amp;col=6&amp;number=3.3&amp;sourceID=14","3.3")</f>
        <v>3.3</v>
      </c>
      <c r="G10187" s="4" t="str">
        <f>HYPERLINK("http://141.218.60.56/~jnz1568/getInfo.php?workbook=20_05.xlsx&amp;sheet=U0&amp;row=10187&amp;col=7&amp;number=0.00296&amp;sourceID=14","0.00296")</f>
        <v>0.00296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HYPERLINK("http://141.218.60.56/~jnz1568/getInfo.php?workbook=20_05.xlsx&amp;sheet=U0&amp;row=10188&amp;col=6&amp;number=3.4&amp;sourceID=14","3.4")</f>
        <v>3.4</v>
      </c>
      <c r="G10188" s="4" t="str">
        <f>HYPERLINK("http://141.218.60.56/~jnz1568/getInfo.php?workbook=20_05.xlsx&amp;sheet=U0&amp;row=10188&amp;col=7&amp;number=0.00296&amp;sourceID=14","0.00296")</f>
        <v>0.00296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HYPERLINK("http://141.218.60.56/~jnz1568/getInfo.php?workbook=20_05.xlsx&amp;sheet=U0&amp;row=10189&amp;col=6&amp;number=3.5&amp;sourceID=14","3.5")</f>
        <v>3.5</v>
      </c>
      <c r="G10189" s="4" t="str">
        <f>HYPERLINK("http://141.218.60.56/~jnz1568/getInfo.php?workbook=20_05.xlsx&amp;sheet=U0&amp;row=10189&amp;col=7&amp;number=0.00296&amp;sourceID=14","0.00296")</f>
        <v>0.00296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HYPERLINK("http://141.218.60.56/~jnz1568/getInfo.php?workbook=20_05.xlsx&amp;sheet=U0&amp;row=10190&amp;col=6&amp;number=3.6&amp;sourceID=14","3.6")</f>
        <v>3.6</v>
      </c>
      <c r="G10190" s="4" t="str">
        <f>HYPERLINK("http://141.218.60.56/~jnz1568/getInfo.php?workbook=20_05.xlsx&amp;sheet=U0&amp;row=10190&amp;col=7&amp;number=0.00296&amp;sourceID=14","0.00296")</f>
        <v>0.00296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HYPERLINK("http://141.218.60.56/~jnz1568/getInfo.php?workbook=20_05.xlsx&amp;sheet=U0&amp;row=10191&amp;col=6&amp;number=3.7&amp;sourceID=14","3.7")</f>
        <v>3.7</v>
      </c>
      <c r="G10191" s="4" t="str">
        <f>HYPERLINK("http://141.218.60.56/~jnz1568/getInfo.php?workbook=20_05.xlsx&amp;sheet=U0&amp;row=10191&amp;col=7&amp;number=0.00296&amp;sourceID=14","0.00296")</f>
        <v>0.00296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HYPERLINK("http://141.218.60.56/~jnz1568/getInfo.php?workbook=20_05.xlsx&amp;sheet=U0&amp;row=10192&amp;col=6&amp;number=3.8&amp;sourceID=14","3.8")</f>
        <v>3.8</v>
      </c>
      <c r="G10192" s="4" t="str">
        <f>HYPERLINK("http://141.218.60.56/~jnz1568/getInfo.php?workbook=20_05.xlsx&amp;sheet=U0&amp;row=10192&amp;col=7&amp;number=0.00296&amp;sourceID=14","0.00296")</f>
        <v>0.00296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HYPERLINK("http://141.218.60.56/~jnz1568/getInfo.php?workbook=20_05.xlsx&amp;sheet=U0&amp;row=10193&amp;col=6&amp;number=3.9&amp;sourceID=14","3.9")</f>
        <v>3.9</v>
      </c>
      <c r="G10193" s="4" t="str">
        <f>HYPERLINK("http://141.218.60.56/~jnz1568/getInfo.php?workbook=20_05.xlsx&amp;sheet=U0&amp;row=10193&amp;col=7&amp;number=0.00296&amp;sourceID=14","0.00296")</f>
        <v>0.00296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HYPERLINK("http://141.218.60.56/~jnz1568/getInfo.php?workbook=20_05.xlsx&amp;sheet=U0&amp;row=10194&amp;col=6&amp;number=4&amp;sourceID=14","4")</f>
        <v>4</v>
      </c>
      <c r="G10194" s="4" t="str">
        <f>HYPERLINK("http://141.218.60.56/~jnz1568/getInfo.php?workbook=20_05.xlsx&amp;sheet=U0&amp;row=10194&amp;col=7&amp;number=0.00296&amp;sourceID=14","0.00296")</f>
        <v>0.00296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HYPERLINK("http://141.218.60.56/~jnz1568/getInfo.php?workbook=20_05.xlsx&amp;sheet=U0&amp;row=10195&amp;col=6&amp;number=4.1&amp;sourceID=14","4.1")</f>
        <v>4.1</v>
      </c>
      <c r="G10195" s="4" t="str">
        <f>HYPERLINK("http://141.218.60.56/~jnz1568/getInfo.php?workbook=20_05.xlsx&amp;sheet=U0&amp;row=10195&amp;col=7&amp;number=0.00296&amp;sourceID=14","0.00296")</f>
        <v>0.00296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HYPERLINK("http://141.218.60.56/~jnz1568/getInfo.php?workbook=20_05.xlsx&amp;sheet=U0&amp;row=10196&amp;col=6&amp;number=4.2&amp;sourceID=14","4.2")</f>
        <v>4.2</v>
      </c>
      <c r="G10196" s="4" t="str">
        <f>HYPERLINK("http://141.218.60.56/~jnz1568/getInfo.php?workbook=20_05.xlsx&amp;sheet=U0&amp;row=10196&amp;col=7&amp;number=0.00296&amp;sourceID=14","0.00296")</f>
        <v>0.00296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HYPERLINK("http://141.218.60.56/~jnz1568/getInfo.php?workbook=20_05.xlsx&amp;sheet=U0&amp;row=10197&amp;col=6&amp;number=4.3&amp;sourceID=14","4.3")</f>
        <v>4.3</v>
      </c>
      <c r="G10197" s="4" t="str">
        <f>HYPERLINK("http://141.218.60.56/~jnz1568/getInfo.php?workbook=20_05.xlsx&amp;sheet=U0&amp;row=10197&amp;col=7&amp;number=0.00296&amp;sourceID=14","0.00296")</f>
        <v>0.00296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HYPERLINK("http://141.218.60.56/~jnz1568/getInfo.php?workbook=20_05.xlsx&amp;sheet=U0&amp;row=10198&amp;col=6&amp;number=4.4&amp;sourceID=14","4.4")</f>
        <v>4.4</v>
      </c>
      <c r="G10198" s="4" t="str">
        <f>HYPERLINK("http://141.218.60.56/~jnz1568/getInfo.php?workbook=20_05.xlsx&amp;sheet=U0&amp;row=10198&amp;col=7&amp;number=0.00296&amp;sourceID=14","0.00296")</f>
        <v>0.00296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HYPERLINK("http://141.218.60.56/~jnz1568/getInfo.php?workbook=20_05.xlsx&amp;sheet=U0&amp;row=10199&amp;col=6&amp;number=4.5&amp;sourceID=14","4.5")</f>
        <v>4.5</v>
      </c>
      <c r="G10199" s="4" t="str">
        <f>HYPERLINK("http://141.218.60.56/~jnz1568/getInfo.php?workbook=20_05.xlsx&amp;sheet=U0&amp;row=10199&amp;col=7&amp;number=0.00295&amp;sourceID=14","0.00295")</f>
        <v>0.00295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HYPERLINK("http://141.218.60.56/~jnz1568/getInfo.php?workbook=20_05.xlsx&amp;sheet=U0&amp;row=10200&amp;col=6&amp;number=4.6&amp;sourceID=14","4.6")</f>
        <v>4.6</v>
      </c>
      <c r="G10200" s="4" t="str">
        <f>HYPERLINK("http://141.218.60.56/~jnz1568/getInfo.php?workbook=20_05.xlsx&amp;sheet=U0&amp;row=10200&amp;col=7&amp;number=0.00295&amp;sourceID=14","0.00295")</f>
        <v>0.00295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HYPERLINK("http://141.218.60.56/~jnz1568/getInfo.php?workbook=20_05.xlsx&amp;sheet=U0&amp;row=10201&amp;col=6&amp;number=4.7&amp;sourceID=14","4.7")</f>
        <v>4.7</v>
      </c>
      <c r="G10201" s="4" t="str">
        <f>HYPERLINK("http://141.218.60.56/~jnz1568/getInfo.php?workbook=20_05.xlsx&amp;sheet=U0&amp;row=10201&amp;col=7&amp;number=0.00295&amp;sourceID=14","0.00295")</f>
        <v>0.00295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HYPERLINK("http://141.218.60.56/~jnz1568/getInfo.php?workbook=20_05.xlsx&amp;sheet=U0&amp;row=10202&amp;col=6&amp;number=4.8&amp;sourceID=14","4.8")</f>
        <v>4.8</v>
      </c>
      <c r="G10202" s="4" t="str">
        <f>HYPERLINK("http://141.218.60.56/~jnz1568/getInfo.php?workbook=20_05.xlsx&amp;sheet=U0&amp;row=10202&amp;col=7&amp;number=0.00295&amp;sourceID=14","0.00295")</f>
        <v>0.00295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HYPERLINK("http://141.218.60.56/~jnz1568/getInfo.php?workbook=20_05.xlsx&amp;sheet=U0&amp;row=10203&amp;col=6&amp;number=4.9&amp;sourceID=14","4.9")</f>
        <v>4.9</v>
      </c>
      <c r="G10203" s="4" t="str">
        <f>HYPERLINK("http://141.218.60.56/~jnz1568/getInfo.php?workbook=20_05.xlsx&amp;sheet=U0&amp;row=10203&amp;col=7&amp;number=0.00294&amp;sourceID=14","0.00294")</f>
        <v>0.00294</v>
      </c>
    </row>
    <row r="10204" spans="1:7">
      <c r="A10204" s="3">
        <v>20</v>
      </c>
      <c r="B10204" s="3">
        <v>5</v>
      </c>
      <c r="C10204" s="3">
        <v>5</v>
      </c>
      <c r="D10204" s="3">
        <v>45</v>
      </c>
      <c r="E10204" s="3">
        <v>1</v>
      </c>
      <c r="F10204" s="4" t="str">
        <f>HYPERLINK("http://141.218.60.56/~jnz1568/getInfo.php?workbook=20_05.xlsx&amp;sheet=U0&amp;row=10204&amp;col=6&amp;number=3&amp;sourceID=14","3")</f>
        <v>3</v>
      </c>
      <c r="G10204" s="4" t="str">
        <f>HYPERLINK("http://141.218.60.56/~jnz1568/getInfo.php?workbook=20_05.xlsx&amp;sheet=U0&amp;row=10204&amp;col=7&amp;number=0.0113&amp;sourceID=14","0.0113")</f>
        <v>0.0113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HYPERLINK("http://141.218.60.56/~jnz1568/getInfo.php?workbook=20_05.xlsx&amp;sheet=U0&amp;row=10205&amp;col=6&amp;number=3.1&amp;sourceID=14","3.1")</f>
        <v>3.1</v>
      </c>
      <c r="G10205" s="4" t="str">
        <f>HYPERLINK("http://141.218.60.56/~jnz1568/getInfo.php?workbook=20_05.xlsx&amp;sheet=U0&amp;row=10205&amp;col=7&amp;number=0.0113&amp;sourceID=14","0.0113")</f>
        <v>0.0113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HYPERLINK("http://141.218.60.56/~jnz1568/getInfo.php?workbook=20_05.xlsx&amp;sheet=U0&amp;row=10206&amp;col=6&amp;number=3.2&amp;sourceID=14","3.2")</f>
        <v>3.2</v>
      </c>
      <c r="G10206" s="4" t="str">
        <f>HYPERLINK("http://141.218.60.56/~jnz1568/getInfo.php?workbook=20_05.xlsx&amp;sheet=U0&amp;row=10206&amp;col=7&amp;number=0.0113&amp;sourceID=14","0.0113")</f>
        <v>0.0113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HYPERLINK("http://141.218.60.56/~jnz1568/getInfo.php?workbook=20_05.xlsx&amp;sheet=U0&amp;row=10207&amp;col=6&amp;number=3.3&amp;sourceID=14","3.3")</f>
        <v>3.3</v>
      </c>
      <c r="G10207" s="4" t="str">
        <f>HYPERLINK("http://141.218.60.56/~jnz1568/getInfo.php?workbook=20_05.xlsx&amp;sheet=U0&amp;row=10207&amp;col=7&amp;number=0.0113&amp;sourceID=14","0.0113")</f>
        <v>0.0113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HYPERLINK("http://141.218.60.56/~jnz1568/getInfo.php?workbook=20_05.xlsx&amp;sheet=U0&amp;row=10208&amp;col=6&amp;number=3.4&amp;sourceID=14","3.4")</f>
        <v>3.4</v>
      </c>
      <c r="G10208" s="4" t="str">
        <f>HYPERLINK("http://141.218.60.56/~jnz1568/getInfo.php?workbook=20_05.xlsx&amp;sheet=U0&amp;row=10208&amp;col=7&amp;number=0.0113&amp;sourceID=14","0.0113")</f>
        <v>0.0113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HYPERLINK("http://141.218.60.56/~jnz1568/getInfo.php?workbook=20_05.xlsx&amp;sheet=U0&amp;row=10209&amp;col=6&amp;number=3.5&amp;sourceID=14","3.5")</f>
        <v>3.5</v>
      </c>
      <c r="G10209" s="4" t="str">
        <f>HYPERLINK("http://141.218.60.56/~jnz1568/getInfo.php?workbook=20_05.xlsx&amp;sheet=U0&amp;row=10209&amp;col=7&amp;number=0.0113&amp;sourceID=14","0.0113")</f>
        <v>0.0113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HYPERLINK("http://141.218.60.56/~jnz1568/getInfo.php?workbook=20_05.xlsx&amp;sheet=U0&amp;row=10210&amp;col=6&amp;number=3.6&amp;sourceID=14","3.6")</f>
        <v>3.6</v>
      </c>
      <c r="G10210" s="4" t="str">
        <f>HYPERLINK("http://141.218.60.56/~jnz1568/getInfo.php?workbook=20_05.xlsx&amp;sheet=U0&amp;row=10210&amp;col=7&amp;number=0.0113&amp;sourceID=14","0.0113")</f>
        <v>0.0113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HYPERLINK("http://141.218.60.56/~jnz1568/getInfo.php?workbook=20_05.xlsx&amp;sheet=U0&amp;row=10211&amp;col=6&amp;number=3.7&amp;sourceID=14","3.7")</f>
        <v>3.7</v>
      </c>
      <c r="G10211" s="4" t="str">
        <f>HYPERLINK("http://141.218.60.56/~jnz1568/getInfo.php?workbook=20_05.xlsx&amp;sheet=U0&amp;row=10211&amp;col=7&amp;number=0.0113&amp;sourceID=14","0.0113")</f>
        <v>0.0113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HYPERLINK("http://141.218.60.56/~jnz1568/getInfo.php?workbook=20_05.xlsx&amp;sheet=U0&amp;row=10212&amp;col=6&amp;number=3.8&amp;sourceID=14","3.8")</f>
        <v>3.8</v>
      </c>
      <c r="G10212" s="4" t="str">
        <f>HYPERLINK("http://141.218.60.56/~jnz1568/getInfo.php?workbook=20_05.xlsx&amp;sheet=U0&amp;row=10212&amp;col=7&amp;number=0.0113&amp;sourceID=14","0.0113")</f>
        <v>0.0113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HYPERLINK("http://141.218.60.56/~jnz1568/getInfo.php?workbook=20_05.xlsx&amp;sheet=U0&amp;row=10213&amp;col=6&amp;number=3.9&amp;sourceID=14","3.9")</f>
        <v>3.9</v>
      </c>
      <c r="G10213" s="4" t="str">
        <f>HYPERLINK("http://141.218.60.56/~jnz1568/getInfo.php?workbook=20_05.xlsx&amp;sheet=U0&amp;row=10213&amp;col=7&amp;number=0.0113&amp;sourceID=14","0.0113")</f>
        <v>0.0113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HYPERLINK("http://141.218.60.56/~jnz1568/getInfo.php?workbook=20_05.xlsx&amp;sheet=U0&amp;row=10214&amp;col=6&amp;number=4&amp;sourceID=14","4")</f>
        <v>4</v>
      </c>
      <c r="G10214" s="4" t="str">
        <f>HYPERLINK("http://141.218.60.56/~jnz1568/getInfo.php?workbook=20_05.xlsx&amp;sheet=U0&amp;row=10214&amp;col=7&amp;number=0.0113&amp;sourceID=14","0.0113")</f>
        <v>0.0113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HYPERLINK("http://141.218.60.56/~jnz1568/getInfo.php?workbook=20_05.xlsx&amp;sheet=U0&amp;row=10215&amp;col=6&amp;number=4.1&amp;sourceID=14","4.1")</f>
        <v>4.1</v>
      </c>
      <c r="G10215" s="4" t="str">
        <f>HYPERLINK("http://141.218.60.56/~jnz1568/getInfo.php?workbook=20_05.xlsx&amp;sheet=U0&amp;row=10215&amp;col=7&amp;number=0.0113&amp;sourceID=14","0.0113")</f>
        <v>0.0113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HYPERLINK("http://141.218.60.56/~jnz1568/getInfo.php?workbook=20_05.xlsx&amp;sheet=U0&amp;row=10216&amp;col=6&amp;number=4.2&amp;sourceID=14","4.2")</f>
        <v>4.2</v>
      </c>
      <c r="G10216" s="4" t="str">
        <f>HYPERLINK("http://141.218.60.56/~jnz1568/getInfo.php?workbook=20_05.xlsx&amp;sheet=U0&amp;row=10216&amp;col=7&amp;number=0.0113&amp;sourceID=14","0.0113")</f>
        <v>0.0113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HYPERLINK("http://141.218.60.56/~jnz1568/getInfo.php?workbook=20_05.xlsx&amp;sheet=U0&amp;row=10217&amp;col=6&amp;number=4.3&amp;sourceID=14","4.3")</f>
        <v>4.3</v>
      </c>
      <c r="G10217" s="4" t="str">
        <f>HYPERLINK("http://141.218.60.56/~jnz1568/getInfo.php?workbook=20_05.xlsx&amp;sheet=U0&amp;row=10217&amp;col=7&amp;number=0.0113&amp;sourceID=14","0.0113")</f>
        <v>0.0113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HYPERLINK("http://141.218.60.56/~jnz1568/getInfo.php?workbook=20_05.xlsx&amp;sheet=U0&amp;row=10218&amp;col=6&amp;number=4.4&amp;sourceID=14","4.4")</f>
        <v>4.4</v>
      </c>
      <c r="G10218" s="4" t="str">
        <f>HYPERLINK("http://141.218.60.56/~jnz1568/getInfo.php?workbook=20_05.xlsx&amp;sheet=U0&amp;row=10218&amp;col=7&amp;number=0.0113&amp;sourceID=14","0.0113")</f>
        <v>0.0113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HYPERLINK("http://141.218.60.56/~jnz1568/getInfo.php?workbook=20_05.xlsx&amp;sheet=U0&amp;row=10219&amp;col=6&amp;number=4.5&amp;sourceID=14","4.5")</f>
        <v>4.5</v>
      </c>
      <c r="G10219" s="4" t="str">
        <f>HYPERLINK("http://141.218.60.56/~jnz1568/getInfo.php?workbook=20_05.xlsx&amp;sheet=U0&amp;row=10219&amp;col=7&amp;number=0.0113&amp;sourceID=14","0.0113")</f>
        <v>0.0113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HYPERLINK("http://141.218.60.56/~jnz1568/getInfo.php?workbook=20_05.xlsx&amp;sheet=U0&amp;row=10220&amp;col=6&amp;number=4.6&amp;sourceID=14","4.6")</f>
        <v>4.6</v>
      </c>
      <c r="G10220" s="4" t="str">
        <f>HYPERLINK("http://141.218.60.56/~jnz1568/getInfo.php?workbook=20_05.xlsx&amp;sheet=U0&amp;row=10220&amp;col=7&amp;number=0.0113&amp;sourceID=14","0.0113")</f>
        <v>0.0113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HYPERLINK("http://141.218.60.56/~jnz1568/getInfo.php?workbook=20_05.xlsx&amp;sheet=U0&amp;row=10221&amp;col=6&amp;number=4.7&amp;sourceID=14","4.7")</f>
        <v>4.7</v>
      </c>
      <c r="G10221" s="4" t="str">
        <f>HYPERLINK("http://141.218.60.56/~jnz1568/getInfo.php?workbook=20_05.xlsx&amp;sheet=U0&amp;row=10221&amp;col=7&amp;number=0.0113&amp;sourceID=14","0.0113")</f>
        <v>0.0113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HYPERLINK("http://141.218.60.56/~jnz1568/getInfo.php?workbook=20_05.xlsx&amp;sheet=U0&amp;row=10222&amp;col=6&amp;number=4.8&amp;sourceID=14","4.8")</f>
        <v>4.8</v>
      </c>
      <c r="G10222" s="4" t="str">
        <f>HYPERLINK("http://141.218.60.56/~jnz1568/getInfo.php?workbook=20_05.xlsx&amp;sheet=U0&amp;row=10222&amp;col=7&amp;number=0.0113&amp;sourceID=14","0.0113")</f>
        <v>0.0113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HYPERLINK("http://141.218.60.56/~jnz1568/getInfo.php?workbook=20_05.xlsx&amp;sheet=U0&amp;row=10223&amp;col=6&amp;number=4.9&amp;sourceID=14","4.9")</f>
        <v>4.9</v>
      </c>
      <c r="G10223" s="4" t="str">
        <f>HYPERLINK("http://141.218.60.56/~jnz1568/getInfo.php?workbook=20_05.xlsx&amp;sheet=U0&amp;row=10223&amp;col=7&amp;number=0.0114&amp;sourceID=14","0.0114")</f>
        <v>0.0114</v>
      </c>
    </row>
    <row r="10224" spans="1:7">
      <c r="A10224" s="3">
        <v>20</v>
      </c>
      <c r="B10224" s="3">
        <v>5</v>
      </c>
      <c r="C10224" s="3">
        <v>5</v>
      </c>
      <c r="D10224" s="3">
        <v>46</v>
      </c>
      <c r="E10224" s="3">
        <v>1</v>
      </c>
      <c r="F10224" s="4" t="str">
        <f>HYPERLINK("http://141.218.60.56/~jnz1568/getInfo.php?workbook=20_05.xlsx&amp;sheet=U0&amp;row=10224&amp;col=6&amp;number=3&amp;sourceID=14","3")</f>
        <v>3</v>
      </c>
      <c r="G10224" s="4" t="str">
        <f>HYPERLINK("http://141.218.60.56/~jnz1568/getInfo.php?workbook=20_05.xlsx&amp;sheet=U0&amp;row=10224&amp;col=7&amp;number=0.00248&amp;sourceID=14","0.00248")</f>
        <v>0.00248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HYPERLINK("http://141.218.60.56/~jnz1568/getInfo.php?workbook=20_05.xlsx&amp;sheet=U0&amp;row=10225&amp;col=6&amp;number=3.1&amp;sourceID=14","3.1")</f>
        <v>3.1</v>
      </c>
      <c r="G10225" s="4" t="str">
        <f>HYPERLINK("http://141.218.60.56/~jnz1568/getInfo.php?workbook=20_05.xlsx&amp;sheet=U0&amp;row=10225&amp;col=7&amp;number=0.00248&amp;sourceID=14","0.00248")</f>
        <v>0.00248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HYPERLINK("http://141.218.60.56/~jnz1568/getInfo.php?workbook=20_05.xlsx&amp;sheet=U0&amp;row=10226&amp;col=6&amp;number=3.2&amp;sourceID=14","3.2")</f>
        <v>3.2</v>
      </c>
      <c r="G10226" s="4" t="str">
        <f>HYPERLINK("http://141.218.60.56/~jnz1568/getInfo.php?workbook=20_05.xlsx&amp;sheet=U0&amp;row=10226&amp;col=7&amp;number=0.00248&amp;sourceID=14","0.00248")</f>
        <v>0.00248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HYPERLINK("http://141.218.60.56/~jnz1568/getInfo.php?workbook=20_05.xlsx&amp;sheet=U0&amp;row=10227&amp;col=6&amp;number=3.3&amp;sourceID=14","3.3")</f>
        <v>3.3</v>
      </c>
      <c r="G10227" s="4" t="str">
        <f>HYPERLINK("http://141.218.60.56/~jnz1568/getInfo.php?workbook=20_05.xlsx&amp;sheet=U0&amp;row=10227&amp;col=7&amp;number=0.00248&amp;sourceID=14","0.00248")</f>
        <v>0.00248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HYPERLINK("http://141.218.60.56/~jnz1568/getInfo.php?workbook=20_05.xlsx&amp;sheet=U0&amp;row=10228&amp;col=6&amp;number=3.4&amp;sourceID=14","3.4")</f>
        <v>3.4</v>
      </c>
      <c r="G10228" s="4" t="str">
        <f>HYPERLINK("http://141.218.60.56/~jnz1568/getInfo.php?workbook=20_05.xlsx&amp;sheet=U0&amp;row=10228&amp;col=7&amp;number=0.00248&amp;sourceID=14","0.00248")</f>
        <v>0.00248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HYPERLINK("http://141.218.60.56/~jnz1568/getInfo.php?workbook=20_05.xlsx&amp;sheet=U0&amp;row=10229&amp;col=6&amp;number=3.5&amp;sourceID=14","3.5")</f>
        <v>3.5</v>
      </c>
      <c r="G10229" s="4" t="str">
        <f>HYPERLINK("http://141.218.60.56/~jnz1568/getInfo.php?workbook=20_05.xlsx&amp;sheet=U0&amp;row=10229&amp;col=7&amp;number=0.00248&amp;sourceID=14","0.00248")</f>
        <v>0.00248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HYPERLINK("http://141.218.60.56/~jnz1568/getInfo.php?workbook=20_05.xlsx&amp;sheet=U0&amp;row=10230&amp;col=6&amp;number=3.6&amp;sourceID=14","3.6")</f>
        <v>3.6</v>
      </c>
      <c r="G10230" s="4" t="str">
        <f>HYPERLINK("http://141.218.60.56/~jnz1568/getInfo.php?workbook=20_05.xlsx&amp;sheet=U0&amp;row=10230&amp;col=7&amp;number=0.00248&amp;sourceID=14","0.00248")</f>
        <v>0.00248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HYPERLINK("http://141.218.60.56/~jnz1568/getInfo.php?workbook=20_05.xlsx&amp;sheet=U0&amp;row=10231&amp;col=6&amp;number=3.7&amp;sourceID=14","3.7")</f>
        <v>3.7</v>
      </c>
      <c r="G10231" s="4" t="str">
        <f>HYPERLINK("http://141.218.60.56/~jnz1568/getInfo.php?workbook=20_05.xlsx&amp;sheet=U0&amp;row=10231&amp;col=7&amp;number=0.00248&amp;sourceID=14","0.00248")</f>
        <v>0.00248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HYPERLINK("http://141.218.60.56/~jnz1568/getInfo.php?workbook=20_05.xlsx&amp;sheet=U0&amp;row=10232&amp;col=6&amp;number=3.8&amp;sourceID=14","3.8")</f>
        <v>3.8</v>
      </c>
      <c r="G10232" s="4" t="str">
        <f>HYPERLINK("http://141.218.60.56/~jnz1568/getInfo.php?workbook=20_05.xlsx&amp;sheet=U0&amp;row=10232&amp;col=7&amp;number=0.00248&amp;sourceID=14","0.00248")</f>
        <v>0.00248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HYPERLINK("http://141.218.60.56/~jnz1568/getInfo.php?workbook=20_05.xlsx&amp;sheet=U0&amp;row=10233&amp;col=6&amp;number=3.9&amp;sourceID=14","3.9")</f>
        <v>3.9</v>
      </c>
      <c r="G10233" s="4" t="str">
        <f>HYPERLINK("http://141.218.60.56/~jnz1568/getInfo.php?workbook=20_05.xlsx&amp;sheet=U0&amp;row=10233&amp;col=7&amp;number=0.00248&amp;sourceID=14","0.00248")</f>
        <v>0.00248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HYPERLINK("http://141.218.60.56/~jnz1568/getInfo.php?workbook=20_05.xlsx&amp;sheet=U0&amp;row=10234&amp;col=6&amp;number=4&amp;sourceID=14","4")</f>
        <v>4</v>
      </c>
      <c r="G10234" s="4" t="str">
        <f>HYPERLINK("http://141.218.60.56/~jnz1568/getInfo.php?workbook=20_05.xlsx&amp;sheet=U0&amp;row=10234&amp;col=7&amp;number=0.00248&amp;sourceID=14","0.00248")</f>
        <v>0.00248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HYPERLINK("http://141.218.60.56/~jnz1568/getInfo.php?workbook=20_05.xlsx&amp;sheet=U0&amp;row=10235&amp;col=6&amp;number=4.1&amp;sourceID=14","4.1")</f>
        <v>4.1</v>
      </c>
      <c r="G10235" s="4" t="str">
        <f>HYPERLINK("http://141.218.60.56/~jnz1568/getInfo.php?workbook=20_05.xlsx&amp;sheet=U0&amp;row=10235&amp;col=7&amp;number=0.00248&amp;sourceID=14","0.00248")</f>
        <v>0.00248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HYPERLINK("http://141.218.60.56/~jnz1568/getInfo.php?workbook=20_05.xlsx&amp;sheet=U0&amp;row=10236&amp;col=6&amp;number=4.2&amp;sourceID=14","4.2")</f>
        <v>4.2</v>
      </c>
      <c r="G10236" s="4" t="str">
        <f>HYPERLINK("http://141.218.60.56/~jnz1568/getInfo.php?workbook=20_05.xlsx&amp;sheet=U0&amp;row=10236&amp;col=7&amp;number=0.00247&amp;sourceID=14","0.00247")</f>
        <v>0.00247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HYPERLINK("http://141.218.60.56/~jnz1568/getInfo.php?workbook=20_05.xlsx&amp;sheet=U0&amp;row=10237&amp;col=6&amp;number=4.3&amp;sourceID=14","4.3")</f>
        <v>4.3</v>
      </c>
      <c r="G10237" s="4" t="str">
        <f>HYPERLINK("http://141.218.60.56/~jnz1568/getInfo.php?workbook=20_05.xlsx&amp;sheet=U0&amp;row=10237&amp;col=7&amp;number=0.00247&amp;sourceID=14","0.00247")</f>
        <v>0.00247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HYPERLINK("http://141.218.60.56/~jnz1568/getInfo.php?workbook=20_05.xlsx&amp;sheet=U0&amp;row=10238&amp;col=6&amp;number=4.4&amp;sourceID=14","4.4")</f>
        <v>4.4</v>
      </c>
      <c r="G10238" s="4" t="str">
        <f>HYPERLINK("http://141.218.60.56/~jnz1568/getInfo.php?workbook=20_05.xlsx&amp;sheet=U0&amp;row=10238&amp;col=7&amp;number=0.00247&amp;sourceID=14","0.00247")</f>
        <v>0.00247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HYPERLINK("http://141.218.60.56/~jnz1568/getInfo.php?workbook=20_05.xlsx&amp;sheet=U0&amp;row=10239&amp;col=6&amp;number=4.5&amp;sourceID=14","4.5")</f>
        <v>4.5</v>
      </c>
      <c r="G10239" s="4" t="str">
        <f>HYPERLINK("http://141.218.60.56/~jnz1568/getInfo.php?workbook=20_05.xlsx&amp;sheet=U0&amp;row=10239&amp;col=7&amp;number=0.00246&amp;sourceID=14","0.00246")</f>
        <v>0.00246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HYPERLINK("http://141.218.60.56/~jnz1568/getInfo.php?workbook=20_05.xlsx&amp;sheet=U0&amp;row=10240&amp;col=6&amp;number=4.6&amp;sourceID=14","4.6")</f>
        <v>4.6</v>
      </c>
      <c r="G10240" s="4" t="str">
        <f>HYPERLINK("http://141.218.60.56/~jnz1568/getInfo.php?workbook=20_05.xlsx&amp;sheet=U0&amp;row=10240&amp;col=7&amp;number=0.00246&amp;sourceID=14","0.00246")</f>
        <v>0.00246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HYPERLINK("http://141.218.60.56/~jnz1568/getInfo.php?workbook=20_05.xlsx&amp;sheet=U0&amp;row=10241&amp;col=6&amp;number=4.7&amp;sourceID=14","4.7")</f>
        <v>4.7</v>
      </c>
      <c r="G10241" s="4" t="str">
        <f>HYPERLINK("http://141.218.60.56/~jnz1568/getInfo.php?workbook=20_05.xlsx&amp;sheet=U0&amp;row=10241&amp;col=7&amp;number=0.00245&amp;sourceID=14","0.00245")</f>
        <v>0.00245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HYPERLINK("http://141.218.60.56/~jnz1568/getInfo.php?workbook=20_05.xlsx&amp;sheet=U0&amp;row=10242&amp;col=6&amp;number=4.8&amp;sourceID=14","4.8")</f>
        <v>4.8</v>
      </c>
      <c r="G10242" s="4" t="str">
        <f>HYPERLINK("http://141.218.60.56/~jnz1568/getInfo.php?workbook=20_05.xlsx&amp;sheet=U0&amp;row=10242&amp;col=7&amp;number=0.00244&amp;sourceID=14","0.00244")</f>
        <v>0.00244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HYPERLINK("http://141.218.60.56/~jnz1568/getInfo.php?workbook=20_05.xlsx&amp;sheet=U0&amp;row=10243&amp;col=6&amp;number=4.9&amp;sourceID=14","4.9")</f>
        <v>4.9</v>
      </c>
      <c r="G10243" s="4" t="str">
        <f>HYPERLINK("http://141.218.60.56/~jnz1568/getInfo.php?workbook=20_05.xlsx&amp;sheet=U0&amp;row=10243&amp;col=7&amp;number=0.00243&amp;sourceID=14","0.00243")</f>
        <v>0.00243</v>
      </c>
    </row>
    <row r="10244" spans="1:7">
      <c r="A10244" s="3">
        <v>20</v>
      </c>
      <c r="B10244" s="3">
        <v>5</v>
      </c>
      <c r="C10244" s="3">
        <v>5</v>
      </c>
      <c r="D10244" s="3">
        <v>47</v>
      </c>
      <c r="E10244" s="3">
        <v>1</v>
      </c>
      <c r="F10244" s="4" t="str">
        <f>HYPERLINK("http://141.218.60.56/~jnz1568/getInfo.php?workbook=20_05.xlsx&amp;sheet=U0&amp;row=10244&amp;col=6&amp;number=3&amp;sourceID=14","3")</f>
        <v>3</v>
      </c>
      <c r="G10244" s="4" t="str">
        <f>HYPERLINK("http://141.218.60.56/~jnz1568/getInfo.php?workbook=20_05.xlsx&amp;sheet=U0&amp;row=10244&amp;col=7&amp;number=9.52e-05&amp;sourceID=14","9.52e-05")</f>
        <v>9.52e-05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HYPERLINK("http://141.218.60.56/~jnz1568/getInfo.php?workbook=20_05.xlsx&amp;sheet=U0&amp;row=10245&amp;col=6&amp;number=3.1&amp;sourceID=14","3.1")</f>
        <v>3.1</v>
      </c>
      <c r="G10245" s="4" t="str">
        <f>HYPERLINK("http://141.218.60.56/~jnz1568/getInfo.php?workbook=20_05.xlsx&amp;sheet=U0&amp;row=10245&amp;col=7&amp;number=9.52e-05&amp;sourceID=14","9.52e-05")</f>
        <v>9.52e-05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HYPERLINK("http://141.218.60.56/~jnz1568/getInfo.php?workbook=20_05.xlsx&amp;sheet=U0&amp;row=10246&amp;col=6&amp;number=3.2&amp;sourceID=14","3.2")</f>
        <v>3.2</v>
      </c>
      <c r="G10246" s="4" t="str">
        <f>HYPERLINK("http://141.218.60.56/~jnz1568/getInfo.php?workbook=20_05.xlsx&amp;sheet=U0&amp;row=10246&amp;col=7&amp;number=9.52e-05&amp;sourceID=14","9.52e-05")</f>
        <v>9.52e-05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HYPERLINK("http://141.218.60.56/~jnz1568/getInfo.php?workbook=20_05.xlsx&amp;sheet=U0&amp;row=10247&amp;col=6&amp;number=3.3&amp;sourceID=14","3.3")</f>
        <v>3.3</v>
      </c>
      <c r="G10247" s="4" t="str">
        <f>HYPERLINK("http://141.218.60.56/~jnz1568/getInfo.php?workbook=20_05.xlsx&amp;sheet=U0&amp;row=10247&amp;col=7&amp;number=9.52e-05&amp;sourceID=14","9.52e-05")</f>
        <v>9.52e-05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HYPERLINK("http://141.218.60.56/~jnz1568/getInfo.php?workbook=20_05.xlsx&amp;sheet=U0&amp;row=10248&amp;col=6&amp;number=3.4&amp;sourceID=14","3.4")</f>
        <v>3.4</v>
      </c>
      <c r="G10248" s="4" t="str">
        <f>HYPERLINK("http://141.218.60.56/~jnz1568/getInfo.php?workbook=20_05.xlsx&amp;sheet=U0&amp;row=10248&amp;col=7&amp;number=9.52e-05&amp;sourceID=14","9.52e-05")</f>
        <v>9.52e-05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HYPERLINK("http://141.218.60.56/~jnz1568/getInfo.php?workbook=20_05.xlsx&amp;sheet=U0&amp;row=10249&amp;col=6&amp;number=3.5&amp;sourceID=14","3.5")</f>
        <v>3.5</v>
      </c>
      <c r="G10249" s="4" t="str">
        <f>HYPERLINK("http://141.218.60.56/~jnz1568/getInfo.php?workbook=20_05.xlsx&amp;sheet=U0&amp;row=10249&amp;col=7&amp;number=9.52e-05&amp;sourceID=14","9.52e-05")</f>
        <v>9.52e-05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HYPERLINK("http://141.218.60.56/~jnz1568/getInfo.php?workbook=20_05.xlsx&amp;sheet=U0&amp;row=10250&amp;col=6&amp;number=3.6&amp;sourceID=14","3.6")</f>
        <v>3.6</v>
      </c>
      <c r="G10250" s="4" t="str">
        <f>HYPERLINK("http://141.218.60.56/~jnz1568/getInfo.php?workbook=20_05.xlsx&amp;sheet=U0&amp;row=10250&amp;col=7&amp;number=9.52e-05&amp;sourceID=14","9.52e-05")</f>
        <v>9.52e-05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HYPERLINK("http://141.218.60.56/~jnz1568/getInfo.php?workbook=20_05.xlsx&amp;sheet=U0&amp;row=10251&amp;col=6&amp;number=3.7&amp;sourceID=14","3.7")</f>
        <v>3.7</v>
      </c>
      <c r="G10251" s="4" t="str">
        <f>HYPERLINK("http://141.218.60.56/~jnz1568/getInfo.php?workbook=20_05.xlsx&amp;sheet=U0&amp;row=10251&amp;col=7&amp;number=9.52e-05&amp;sourceID=14","9.52e-05")</f>
        <v>9.52e-05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HYPERLINK("http://141.218.60.56/~jnz1568/getInfo.php?workbook=20_05.xlsx&amp;sheet=U0&amp;row=10252&amp;col=6&amp;number=3.8&amp;sourceID=14","3.8")</f>
        <v>3.8</v>
      </c>
      <c r="G10252" s="4" t="str">
        <f>HYPERLINK("http://141.218.60.56/~jnz1568/getInfo.php?workbook=20_05.xlsx&amp;sheet=U0&amp;row=10252&amp;col=7&amp;number=9.52e-05&amp;sourceID=14","9.52e-05")</f>
        <v>9.52e-05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HYPERLINK("http://141.218.60.56/~jnz1568/getInfo.php?workbook=20_05.xlsx&amp;sheet=U0&amp;row=10253&amp;col=6&amp;number=3.9&amp;sourceID=14","3.9")</f>
        <v>3.9</v>
      </c>
      <c r="G10253" s="4" t="str">
        <f>HYPERLINK("http://141.218.60.56/~jnz1568/getInfo.php?workbook=20_05.xlsx&amp;sheet=U0&amp;row=10253&amp;col=7&amp;number=9.52e-05&amp;sourceID=14","9.52e-05")</f>
        <v>9.52e-05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HYPERLINK("http://141.218.60.56/~jnz1568/getInfo.php?workbook=20_05.xlsx&amp;sheet=U0&amp;row=10254&amp;col=6&amp;number=4&amp;sourceID=14","4")</f>
        <v>4</v>
      </c>
      <c r="G10254" s="4" t="str">
        <f>HYPERLINK("http://141.218.60.56/~jnz1568/getInfo.php?workbook=20_05.xlsx&amp;sheet=U0&amp;row=10254&amp;col=7&amp;number=9.53e-05&amp;sourceID=14","9.53e-05")</f>
        <v>9.53e-05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HYPERLINK("http://141.218.60.56/~jnz1568/getInfo.php?workbook=20_05.xlsx&amp;sheet=U0&amp;row=10255&amp;col=6&amp;number=4.1&amp;sourceID=14","4.1")</f>
        <v>4.1</v>
      </c>
      <c r="G10255" s="4" t="str">
        <f>HYPERLINK("http://141.218.60.56/~jnz1568/getInfo.php?workbook=20_05.xlsx&amp;sheet=U0&amp;row=10255&amp;col=7&amp;number=9.53e-05&amp;sourceID=14","9.53e-05")</f>
        <v>9.53e-05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HYPERLINK("http://141.218.60.56/~jnz1568/getInfo.php?workbook=20_05.xlsx&amp;sheet=U0&amp;row=10256&amp;col=6&amp;number=4.2&amp;sourceID=14","4.2")</f>
        <v>4.2</v>
      </c>
      <c r="G10256" s="4" t="str">
        <f>HYPERLINK("http://141.218.60.56/~jnz1568/getInfo.php?workbook=20_05.xlsx&amp;sheet=U0&amp;row=10256&amp;col=7&amp;number=9.53e-05&amp;sourceID=14","9.53e-05")</f>
        <v>9.53e-05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HYPERLINK("http://141.218.60.56/~jnz1568/getInfo.php?workbook=20_05.xlsx&amp;sheet=U0&amp;row=10257&amp;col=6&amp;number=4.3&amp;sourceID=14","4.3")</f>
        <v>4.3</v>
      </c>
      <c r="G10257" s="4" t="str">
        <f>HYPERLINK("http://141.218.60.56/~jnz1568/getInfo.php?workbook=20_05.xlsx&amp;sheet=U0&amp;row=10257&amp;col=7&amp;number=9.53e-05&amp;sourceID=14","9.53e-05")</f>
        <v>9.53e-05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HYPERLINK("http://141.218.60.56/~jnz1568/getInfo.php?workbook=20_05.xlsx&amp;sheet=U0&amp;row=10258&amp;col=6&amp;number=4.4&amp;sourceID=14","4.4")</f>
        <v>4.4</v>
      </c>
      <c r="G10258" s="4" t="str">
        <f>HYPERLINK("http://141.218.60.56/~jnz1568/getInfo.php?workbook=20_05.xlsx&amp;sheet=U0&amp;row=10258&amp;col=7&amp;number=9.53e-05&amp;sourceID=14","9.53e-05")</f>
        <v>9.53e-05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HYPERLINK("http://141.218.60.56/~jnz1568/getInfo.php?workbook=20_05.xlsx&amp;sheet=U0&amp;row=10259&amp;col=6&amp;number=4.5&amp;sourceID=14","4.5")</f>
        <v>4.5</v>
      </c>
      <c r="G10259" s="4" t="str">
        <f>HYPERLINK("http://141.218.60.56/~jnz1568/getInfo.php?workbook=20_05.xlsx&amp;sheet=U0&amp;row=10259&amp;col=7&amp;number=9.53e-05&amp;sourceID=14","9.53e-05")</f>
        <v>9.53e-05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HYPERLINK("http://141.218.60.56/~jnz1568/getInfo.php?workbook=20_05.xlsx&amp;sheet=U0&amp;row=10260&amp;col=6&amp;number=4.6&amp;sourceID=14","4.6")</f>
        <v>4.6</v>
      </c>
      <c r="G10260" s="4" t="str">
        <f>HYPERLINK("http://141.218.60.56/~jnz1568/getInfo.php?workbook=20_05.xlsx&amp;sheet=U0&amp;row=10260&amp;col=7&amp;number=9.54e-05&amp;sourceID=14","9.54e-05")</f>
        <v>9.54e-05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HYPERLINK("http://141.218.60.56/~jnz1568/getInfo.php?workbook=20_05.xlsx&amp;sheet=U0&amp;row=10261&amp;col=6&amp;number=4.7&amp;sourceID=14","4.7")</f>
        <v>4.7</v>
      </c>
      <c r="G10261" s="4" t="str">
        <f>HYPERLINK("http://141.218.60.56/~jnz1568/getInfo.php?workbook=20_05.xlsx&amp;sheet=U0&amp;row=10261&amp;col=7&amp;number=9.54e-05&amp;sourceID=14","9.54e-05")</f>
        <v>9.54e-05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HYPERLINK("http://141.218.60.56/~jnz1568/getInfo.php?workbook=20_05.xlsx&amp;sheet=U0&amp;row=10262&amp;col=6&amp;number=4.8&amp;sourceID=14","4.8")</f>
        <v>4.8</v>
      </c>
      <c r="G10262" s="4" t="str">
        <f>HYPERLINK("http://141.218.60.56/~jnz1568/getInfo.php?workbook=20_05.xlsx&amp;sheet=U0&amp;row=10262&amp;col=7&amp;number=9.55e-05&amp;sourceID=14","9.55e-05")</f>
        <v>9.55e-05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HYPERLINK("http://141.218.60.56/~jnz1568/getInfo.php?workbook=20_05.xlsx&amp;sheet=U0&amp;row=10263&amp;col=6&amp;number=4.9&amp;sourceID=14","4.9")</f>
        <v>4.9</v>
      </c>
      <c r="G10263" s="4" t="str">
        <f>HYPERLINK("http://141.218.60.56/~jnz1568/getInfo.php?workbook=20_05.xlsx&amp;sheet=U0&amp;row=10263&amp;col=7&amp;number=9.55e-05&amp;sourceID=14","9.55e-05")</f>
        <v>9.55e-05</v>
      </c>
    </row>
    <row r="10264" spans="1:7">
      <c r="A10264" s="3">
        <v>20</v>
      </c>
      <c r="B10264" s="3">
        <v>5</v>
      </c>
      <c r="C10264" s="3">
        <v>5</v>
      </c>
      <c r="D10264" s="3">
        <v>48</v>
      </c>
      <c r="E10264" s="3">
        <v>1</v>
      </c>
      <c r="F10264" s="4" t="str">
        <f>HYPERLINK("http://141.218.60.56/~jnz1568/getInfo.php?workbook=20_05.xlsx&amp;sheet=U0&amp;row=10264&amp;col=6&amp;number=3&amp;sourceID=14","3")</f>
        <v>3</v>
      </c>
      <c r="G10264" s="4" t="str">
        <f>HYPERLINK("http://141.218.60.56/~jnz1568/getInfo.php?workbook=20_05.xlsx&amp;sheet=U0&amp;row=10264&amp;col=7&amp;number=0.000342&amp;sourceID=14","0.000342")</f>
        <v>0.000342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HYPERLINK("http://141.218.60.56/~jnz1568/getInfo.php?workbook=20_05.xlsx&amp;sheet=U0&amp;row=10265&amp;col=6&amp;number=3.1&amp;sourceID=14","3.1")</f>
        <v>3.1</v>
      </c>
      <c r="G10265" s="4" t="str">
        <f>HYPERLINK("http://141.218.60.56/~jnz1568/getInfo.php?workbook=20_05.xlsx&amp;sheet=U0&amp;row=10265&amp;col=7&amp;number=0.000342&amp;sourceID=14","0.000342")</f>
        <v>0.000342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HYPERLINK("http://141.218.60.56/~jnz1568/getInfo.php?workbook=20_05.xlsx&amp;sheet=U0&amp;row=10266&amp;col=6&amp;number=3.2&amp;sourceID=14","3.2")</f>
        <v>3.2</v>
      </c>
      <c r="G10266" s="4" t="str">
        <f>HYPERLINK("http://141.218.60.56/~jnz1568/getInfo.php?workbook=20_05.xlsx&amp;sheet=U0&amp;row=10266&amp;col=7&amp;number=0.000341&amp;sourceID=14","0.000341")</f>
        <v>0.000341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HYPERLINK("http://141.218.60.56/~jnz1568/getInfo.php?workbook=20_05.xlsx&amp;sheet=U0&amp;row=10267&amp;col=6&amp;number=3.3&amp;sourceID=14","3.3")</f>
        <v>3.3</v>
      </c>
      <c r="G10267" s="4" t="str">
        <f>HYPERLINK("http://141.218.60.56/~jnz1568/getInfo.php?workbook=20_05.xlsx&amp;sheet=U0&amp;row=10267&amp;col=7&amp;number=0.000341&amp;sourceID=14","0.000341")</f>
        <v>0.000341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HYPERLINK("http://141.218.60.56/~jnz1568/getInfo.php?workbook=20_05.xlsx&amp;sheet=U0&amp;row=10268&amp;col=6&amp;number=3.4&amp;sourceID=14","3.4")</f>
        <v>3.4</v>
      </c>
      <c r="G10268" s="4" t="str">
        <f>HYPERLINK("http://141.218.60.56/~jnz1568/getInfo.php?workbook=20_05.xlsx&amp;sheet=U0&amp;row=10268&amp;col=7&amp;number=0.000341&amp;sourceID=14","0.000341")</f>
        <v>0.000341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HYPERLINK("http://141.218.60.56/~jnz1568/getInfo.php?workbook=20_05.xlsx&amp;sheet=U0&amp;row=10269&amp;col=6&amp;number=3.5&amp;sourceID=14","3.5")</f>
        <v>3.5</v>
      </c>
      <c r="G10269" s="4" t="str">
        <f>HYPERLINK("http://141.218.60.56/~jnz1568/getInfo.php?workbook=20_05.xlsx&amp;sheet=U0&amp;row=10269&amp;col=7&amp;number=0.000341&amp;sourceID=14","0.000341")</f>
        <v>0.000341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HYPERLINK("http://141.218.60.56/~jnz1568/getInfo.php?workbook=20_05.xlsx&amp;sheet=U0&amp;row=10270&amp;col=6&amp;number=3.6&amp;sourceID=14","3.6")</f>
        <v>3.6</v>
      </c>
      <c r="G10270" s="4" t="str">
        <f>HYPERLINK("http://141.218.60.56/~jnz1568/getInfo.php?workbook=20_05.xlsx&amp;sheet=U0&amp;row=10270&amp;col=7&amp;number=0.000341&amp;sourceID=14","0.000341")</f>
        <v>0.000341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HYPERLINK("http://141.218.60.56/~jnz1568/getInfo.php?workbook=20_05.xlsx&amp;sheet=U0&amp;row=10271&amp;col=6&amp;number=3.7&amp;sourceID=14","3.7")</f>
        <v>3.7</v>
      </c>
      <c r="G10271" s="4" t="str">
        <f>HYPERLINK("http://141.218.60.56/~jnz1568/getInfo.php?workbook=20_05.xlsx&amp;sheet=U0&amp;row=10271&amp;col=7&amp;number=0.000341&amp;sourceID=14","0.000341")</f>
        <v>0.000341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HYPERLINK("http://141.218.60.56/~jnz1568/getInfo.php?workbook=20_05.xlsx&amp;sheet=U0&amp;row=10272&amp;col=6&amp;number=3.8&amp;sourceID=14","3.8")</f>
        <v>3.8</v>
      </c>
      <c r="G10272" s="4" t="str">
        <f>HYPERLINK("http://141.218.60.56/~jnz1568/getInfo.php?workbook=20_05.xlsx&amp;sheet=U0&amp;row=10272&amp;col=7&amp;number=0.000341&amp;sourceID=14","0.000341")</f>
        <v>0.000341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HYPERLINK("http://141.218.60.56/~jnz1568/getInfo.php?workbook=20_05.xlsx&amp;sheet=U0&amp;row=10273&amp;col=6&amp;number=3.9&amp;sourceID=14","3.9")</f>
        <v>3.9</v>
      </c>
      <c r="G10273" s="4" t="str">
        <f>HYPERLINK("http://141.218.60.56/~jnz1568/getInfo.php?workbook=20_05.xlsx&amp;sheet=U0&amp;row=10273&amp;col=7&amp;number=0.000341&amp;sourceID=14","0.000341")</f>
        <v>0.000341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HYPERLINK("http://141.218.60.56/~jnz1568/getInfo.php?workbook=20_05.xlsx&amp;sheet=U0&amp;row=10274&amp;col=6&amp;number=4&amp;sourceID=14","4")</f>
        <v>4</v>
      </c>
      <c r="G10274" s="4" t="str">
        <f>HYPERLINK("http://141.218.60.56/~jnz1568/getInfo.php?workbook=20_05.xlsx&amp;sheet=U0&amp;row=10274&amp;col=7&amp;number=0.000341&amp;sourceID=14","0.000341")</f>
        <v>0.000341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HYPERLINK("http://141.218.60.56/~jnz1568/getInfo.php?workbook=20_05.xlsx&amp;sheet=U0&amp;row=10275&amp;col=6&amp;number=4.1&amp;sourceID=14","4.1")</f>
        <v>4.1</v>
      </c>
      <c r="G10275" s="4" t="str">
        <f>HYPERLINK("http://141.218.60.56/~jnz1568/getInfo.php?workbook=20_05.xlsx&amp;sheet=U0&amp;row=10275&amp;col=7&amp;number=0.000341&amp;sourceID=14","0.000341")</f>
        <v>0.000341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HYPERLINK("http://141.218.60.56/~jnz1568/getInfo.php?workbook=20_05.xlsx&amp;sheet=U0&amp;row=10276&amp;col=6&amp;number=4.2&amp;sourceID=14","4.2")</f>
        <v>4.2</v>
      </c>
      <c r="G10276" s="4" t="str">
        <f>HYPERLINK("http://141.218.60.56/~jnz1568/getInfo.php?workbook=20_05.xlsx&amp;sheet=U0&amp;row=10276&amp;col=7&amp;number=0.00034&amp;sourceID=14","0.00034")</f>
        <v>0.00034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HYPERLINK("http://141.218.60.56/~jnz1568/getInfo.php?workbook=20_05.xlsx&amp;sheet=U0&amp;row=10277&amp;col=6&amp;number=4.3&amp;sourceID=14","4.3")</f>
        <v>4.3</v>
      </c>
      <c r="G10277" s="4" t="str">
        <f>HYPERLINK("http://141.218.60.56/~jnz1568/getInfo.php?workbook=20_05.xlsx&amp;sheet=U0&amp;row=10277&amp;col=7&amp;number=0.00034&amp;sourceID=14","0.00034")</f>
        <v>0.00034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HYPERLINK("http://141.218.60.56/~jnz1568/getInfo.php?workbook=20_05.xlsx&amp;sheet=U0&amp;row=10278&amp;col=6&amp;number=4.4&amp;sourceID=14","4.4")</f>
        <v>4.4</v>
      </c>
      <c r="G10278" s="4" t="str">
        <f>HYPERLINK("http://141.218.60.56/~jnz1568/getInfo.php?workbook=20_05.xlsx&amp;sheet=U0&amp;row=10278&amp;col=7&amp;number=0.00034&amp;sourceID=14","0.00034")</f>
        <v>0.00034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HYPERLINK("http://141.218.60.56/~jnz1568/getInfo.php?workbook=20_05.xlsx&amp;sheet=U0&amp;row=10279&amp;col=6&amp;number=4.5&amp;sourceID=14","4.5")</f>
        <v>4.5</v>
      </c>
      <c r="G10279" s="4" t="str">
        <f>HYPERLINK("http://141.218.60.56/~jnz1568/getInfo.php?workbook=20_05.xlsx&amp;sheet=U0&amp;row=10279&amp;col=7&amp;number=0.000339&amp;sourceID=14","0.000339")</f>
        <v>0.000339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HYPERLINK("http://141.218.60.56/~jnz1568/getInfo.php?workbook=20_05.xlsx&amp;sheet=U0&amp;row=10280&amp;col=6&amp;number=4.6&amp;sourceID=14","4.6")</f>
        <v>4.6</v>
      </c>
      <c r="G10280" s="4" t="str">
        <f>HYPERLINK("http://141.218.60.56/~jnz1568/getInfo.php?workbook=20_05.xlsx&amp;sheet=U0&amp;row=10280&amp;col=7&amp;number=0.000339&amp;sourceID=14","0.000339")</f>
        <v>0.000339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HYPERLINK("http://141.218.60.56/~jnz1568/getInfo.php?workbook=20_05.xlsx&amp;sheet=U0&amp;row=10281&amp;col=6&amp;number=4.7&amp;sourceID=14","4.7")</f>
        <v>4.7</v>
      </c>
      <c r="G10281" s="4" t="str">
        <f>HYPERLINK("http://141.218.60.56/~jnz1568/getInfo.php?workbook=20_05.xlsx&amp;sheet=U0&amp;row=10281&amp;col=7&amp;number=0.000338&amp;sourceID=14","0.000338")</f>
        <v>0.000338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HYPERLINK("http://141.218.60.56/~jnz1568/getInfo.php?workbook=20_05.xlsx&amp;sheet=U0&amp;row=10282&amp;col=6&amp;number=4.8&amp;sourceID=14","4.8")</f>
        <v>4.8</v>
      </c>
      <c r="G10282" s="4" t="str">
        <f>HYPERLINK("http://141.218.60.56/~jnz1568/getInfo.php?workbook=20_05.xlsx&amp;sheet=U0&amp;row=10282&amp;col=7&amp;number=0.000337&amp;sourceID=14","0.000337")</f>
        <v>0.000337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HYPERLINK("http://141.218.60.56/~jnz1568/getInfo.php?workbook=20_05.xlsx&amp;sheet=U0&amp;row=10283&amp;col=6&amp;number=4.9&amp;sourceID=14","4.9")</f>
        <v>4.9</v>
      </c>
      <c r="G10283" s="4" t="str">
        <f>HYPERLINK("http://141.218.60.56/~jnz1568/getInfo.php?workbook=20_05.xlsx&amp;sheet=U0&amp;row=10283&amp;col=7&amp;number=0.000336&amp;sourceID=14","0.000336")</f>
        <v>0.000336</v>
      </c>
    </row>
    <row r="10284" spans="1:7">
      <c r="A10284" s="3">
        <v>20</v>
      </c>
      <c r="B10284" s="3">
        <v>5</v>
      </c>
      <c r="C10284" s="3">
        <v>5</v>
      </c>
      <c r="D10284" s="3">
        <v>49</v>
      </c>
      <c r="E10284" s="3">
        <v>1</v>
      </c>
      <c r="F10284" s="4" t="str">
        <f>HYPERLINK("http://141.218.60.56/~jnz1568/getInfo.php?workbook=20_05.xlsx&amp;sheet=U0&amp;row=10284&amp;col=6&amp;number=3&amp;sourceID=14","3")</f>
        <v>3</v>
      </c>
      <c r="G10284" s="4" t="str">
        <f>HYPERLINK("http://141.218.60.56/~jnz1568/getInfo.php?workbook=20_05.xlsx&amp;sheet=U0&amp;row=10284&amp;col=7&amp;number=6.88e-05&amp;sourceID=14","6.88e-05")</f>
        <v>6.88e-05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HYPERLINK("http://141.218.60.56/~jnz1568/getInfo.php?workbook=20_05.xlsx&amp;sheet=U0&amp;row=10285&amp;col=6&amp;number=3.1&amp;sourceID=14","3.1")</f>
        <v>3.1</v>
      </c>
      <c r="G10285" s="4" t="str">
        <f>HYPERLINK("http://141.218.60.56/~jnz1568/getInfo.php?workbook=20_05.xlsx&amp;sheet=U0&amp;row=10285&amp;col=7&amp;number=6.88e-05&amp;sourceID=14","6.88e-05")</f>
        <v>6.88e-05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HYPERLINK("http://141.218.60.56/~jnz1568/getInfo.php?workbook=20_05.xlsx&amp;sheet=U0&amp;row=10286&amp;col=6&amp;number=3.2&amp;sourceID=14","3.2")</f>
        <v>3.2</v>
      </c>
      <c r="G10286" s="4" t="str">
        <f>HYPERLINK("http://141.218.60.56/~jnz1568/getInfo.php?workbook=20_05.xlsx&amp;sheet=U0&amp;row=10286&amp;col=7&amp;number=6.88e-05&amp;sourceID=14","6.88e-05")</f>
        <v>6.88e-05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HYPERLINK("http://141.218.60.56/~jnz1568/getInfo.php?workbook=20_05.xlsx&amp;sheet=U0&amp;row=10287&amp;col=6&amp;number=3.3&amp;sourceID=14","3.3")</f>
        <v>3.3</v>
      </c>
      <c r="G10287" s="4" t="str">
        <f>HYPERLINK("http://141.218.60.56/~jnz1568/getInfo.php?workbook=20_05.xlsx&amp;sheet=U0&amp;row=10287&amp;col=7&amp;number=6.88e-05&amp;sourceID=14","6.88e-05")</f>
        <v>6.88e-05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HYPERLINK("http://141.218.60.56/~jnz1568/getInfo.php?workbook=20_05.xlsx&amp;sheet=U0&amp;row=10288&amp;col=6&amp;number=3.4&amp;sourceID=14","3.4")</f>
        <v>3.4</v>
      </c>
      <c r="G10288" s="4" t="str">
        <f>HYPERLINK("http://141.218.60.56/~jnz1568/getInfo.php?workbook=20_05.xlsx&amp;sheet=U0&amp;row=10288&amp;col=7&amp;number=6.88e-05&amp;sourceID=14","6.88e-05")</f>
        <v>6.88e-05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HYPERLINK("http://141.218.60.56/~jnz1568/getInfo.php?workbook=20_05.xlsx&amp;sheet=U0&amp;row=10289&amp;col=6&amp;number=3.5&amp;sourceID=14","3.5")</f>
        <v>3.5</v>
      </c>
      <c r="G10289" s="4" t="str">
        <f>HYPERLINK("http://141.218.60.56/~jnz1568/getInfo.php?workbook=20_05.xlsx&amp;sheet=U0&amp;row=10289&amp;col=7&amp;number=6.88e-05&amp;sourceID=14","6.88e-05")</f>
        <v>6.88e-05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HYPERLINK("http://141.218.60.56/~jnz1568/getInfo.php?workbook=20_05.xlsx&amp;sheet=U0&amp;row=10290&amp;col=6&amp;number=3.6&amp;sourceID=14","3.6")</f>
        <v>3.6</v>
      </c>
      <c r="G10290" s="4" t="str">
        <f>HYPERLINK("http://141.218.60.56/~jnz1568/getInfo.php?workbook=20_05.xlsx&amp;sheet=U0&amp;row=10290&amp;col=7&amp;number=6.88e-05&amp;sourceID=14","6.88e-05")</f>
        <v>6.88e-05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HYPERLINK("http://141.218.60.56/~jnz1568/getInfo.php?workbook=20_05.xlsx&amp;sheet=U0&amp;row=10291&amp;col=6&amp;number=3.7&amp;sourceID=14","3.7")</f>
        <v>3.7</v>
      </c>
      <c r="G10291" s="4" t="str">
        <f>HYPERLINK("http://141.218.60.56/~jnz1568/getInfo.php?workbook=20_05.xlsx&amp;sheet=U0&amp;row=10291&amp;col=7&amp;number=6.87e-05&amp;sourceID=14","6.87e-05")</f>
        <v>6.87e-05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HYPERLINK("http://141.218.60.56/~jnz1568/getInfo.php?workbook=20_05.xlsx&amp;sheet=U0&amp;row=10292&amp;col=6&amp;number=3.8&amp;sourceID=14","3.8")</f>
        <v>3.8</v>
      </c>
      <c r="G10292" s="4" t="str">
        <f>HYPERLINK("http://141.218.60.56/~jnz1568/getInfo.php?workbook=20_05.xlsx&amp;sheet=U0&amp;row=10292&amp;col=7&amp;number=6.87e-05&amp;sourceID=14","6.87e-05")</f>
        <v>6.87e-05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HYPERLINK("http://141.218.60.56/~jnz1568/getInfo.php?workbook=20_05.xlsx&amp;sheet=U0&amp;row=10293&amp;col=6&amp;number=3.9&amp;sourceID=14","3.9")</f>
        <v>3.9</v>
      </c>
      <c r="G10293" s="4" t="str">
        <f>HYPERLINK("http://141.218.60.56/~jnz1568/getInfo.php?workbook=20_05.xlsx&amp;sheet=U0&amp;row=10293&amp;col=7&amp;number=6.87e-05&amp;sourceID=14","6.87e-05")</f>
        <v>6.87e-05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HYPERLINK("http://141.218.60.56/~jnz1568/getInfo.php?workbook=20_05.xlsx&amp;sheet=U0&amp;row=10294&amp;col=6&amp;number=4&amp;sourceID=14","4")</f>
        <v>4</v>
      </c>
      <c r="G10294" s="4" t="str">
        <f>HYPERLINK("http://141.218.60.56/~jnz1568/getInfo.php?workbook=20_05.xlsx&amp;sheet=U0&amp;row=10294&amp;col=7&amp;number=6.86e-05&amp;sourceID=14","6.86e-05")</f>
        <v>6.86e-05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HYPERLINK("http://141.218.60.56/~jnz1568/getInfo.php?workbook=20_05.xlsx&amp;sheet=U0&amp;row=10295&amp;col=6&amp;number=4.1&amp;sourceID=14","4.1")</f>
        <v>4.1</v>
      </c>
      <c r="G10295" s="4" t="str">
        <f>HYPERLINK("http://141.218.60.56/~jnz1568/getInfo.php?workbook=20_05.xlsx&amp;sheet=U0&amp;row=10295&amp;col=7&amp;number=6.86e-05&amp;sourceID=14","6.86e-05")</f>
        <v>6.86e-05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HYPERLINK("http://141.218.60.56/~jnz1568/getInfo.php?workbook=20_05.xlsx&amp;sheet=U0&amp;row=10296&amp;col=6&amp;number=4.2&amp;sourceID=14","4.2")</f>
        <v>4.2</v>
      </c>
      <c r="G10296" s="4" t="str">
        <f>HYPERLINK("http://141.218.60.56/~jnz1568/getInfo.php?workbook=20_05.xlsx&amp;sheet=U0&amp;row=10296&amp;col=7&amp;number=6.85e-05&amp;sourceID=14","6.85e-05")</f>
        <v>6.85e-05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HYPERLINK("http://141.218.60.56/~jnz1568/getInfo.php?workbook=20_05.xlsx&amp;sheet=U0&amp;row=10297&amp;col=6&amp;number=4.3&amp;sourceID=14","4.3")</f>
        <v>4.3</v>
      </c>
      <c r="G10297" s="4" t="str">
        <f>HYPERLINK("http://141.218.60.56/~jnz1568/getInfo.php?workbook=20_05.xlsx&amp;sheet=U0&amp;row=10297&amp;col=7&amp;number=6.85e-05&amp;sourceID=14","6.85e-05")</f>
        <v>6.85e-05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HYPERLINK("http://141.218.60.56/~jnz1568/getInfo.php?workbook=20_05.xlsx&amp;sheet=U0&amp;row=10298&amp;col=6&amp;number=4.4&amp;sourceID=14","4.4")</f>
        <v>4.4</v>
      </c>
      <c r="G10298" s="4" t="str">
        <f>HYPERLINK("http://141.218.60.56/~jnz1568/getInfo.php?workbook=20_05.xlsx&amp;sheet=U0&amp;row=10298&amp;col=7&amp;number=6.84e-05&amp;sourceID=14","6.84e-05")</f>
        <v>6.84e-05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HYPERLINK("http://141.218.60.56/~jnz1568/getInfo.php?workbook=20_05.xlsx&amp;sheet=U0&amp;row=10299&amp;col=6&amp;number=4.5&amp;sourceID=14","4.5")</f>
        <v>4.5</v>
      </c>
      <c r="G10299" s="4" t="str">
        <f>HYPERLINK("http://141.218.60.56/~jnz1568/getInfo.php?workbook=20_05.xlsx&amp;sheet=U0&amp;row=10299&amp;col=7&amp;number=6.82e-05&amp;sourceID=14","6.82e-05")</f>
        <v>6.82e-05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HYPERLINK("http://141.218.60.56/~jnz1568/getInfo.php?workbook=20_05.xlsx&amp;sheet=U0&amp;row=10300&amp;col=6&amp;number=4.6&amp;sourceID=14","4.6")</f>
        <v>4.6</v>
      </c>
      <c r="G10300" s="4" t="str">
        <f>HYPERLINK("http://141.218.60.56/~jnz1568/getInfo.php?workbook=20_05.xlsx&amp;sheet=U0&amp;row=10300&amp;col=7&amp;number=6.81e-05&amp;sourceID=14","6.81e-05")</f>
        <v>6.81e-05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HYPERLINK("http://141.218.60.56/~jnz1568/getInfo.php?workbook=20_05.xlsx&amp;sheet=U0&amp;row=10301&amp;col=6&amp;number=4.7&amp;sourceID=14","4.7")</f>
        <v>4.7</v>
      </c>
      <c r="G10301" s="4" t="str">
        <f>HYPERLINK("http://141.218.60.56/~jnz1568/getInfo.php?workbook=20_05.xlsx&amp;sheet=U0&amp;row=10301&amp;col=7&amp;number=6.79e-05&amp;sourceID=14","6.79e-05")</f>
        <v>6.79e-05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HYPERLINK("http://141.218.60.56/~jnz1568/getInfo.php?workbook=20_05.xlsx&amp;sheet=U0&amp;row=10302&amp;col=6&amp;number=4.8&amp;sourceID=14","4.8")</f>
        <v>4.8</v>
      </c>
      <c r="G10302" s="4" t="str">
        <f>HYPERLINK("http://141.218.60.56/~jnz1568/getInfo.php?workbook=20_05.xlsx&amp;sheet=U0&amp;row=10302&amp;col=7&amp;number=6.77e-05&amp;sourceID=14","6.77e-05")</f>
        <v>6.77e-05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HYPERLINK("http://141.218.60.56/~jnz1568/getInfo.php?workbook=20_05.xlsx&amp;sheet=U0&amp;row=10303&amp;col=6&amp;number=4.9&amp;sourceID=14","4.9")</f>
        <v>4.9</v>
      </c>
      <c r="G10303" s="4" t="str">
        <f>HYPERLINK("http://141.218.60.56/~jnz1568/getInfo.php?workbook=20_05.xlsx&amp;sheet=U0&amp;row=10303&amp;col=7&amp;number=6.74e-05&amp;sourceID=14","6.74e-05")</f>
        <v>6.74e-05</v>
      </c>
    </row>
    <row r="10304" spans="1:7">
      <c r="A10304" s="3">
        <v>20</v>
      </c>
      <c r="B10304" s="3">
        <v>5</v>
      </c>
      <c r="C10304" s="3">
        <v>5</v>
      </c>
      <c r="D10304" s="3">
        <v>50</v>
      </c>
      <c r="E10304" s="3">
        <v>1</v>
      </c>
      <c r="F10304" s="4" t="str">
        <f>HYPERLINK("http://141.218.60.56/~jnz1568/getInfo.php?workbook=20_05.xlsx&amp;sheet=U0&amp;row=10304&amp;col=6&amp;number=3&amp;sourceID=14","3")</f>
        <v>3</v>
      </c>
      <c r="G10304" s="4" t="str">
        <f>HYPERLINK("http://141.218.60.56/~jnz1568/getInfo.php?workbook=20_05.xlsx&amp;sheet=U0&amp;row=10304&amp;col=7&amp;number=2.14e-05&amp;sourceID=14","2.14e-05")</f>
        <v>2.14e-05</v>
      </c>
    </row>
    <row r="10305" spans="1:7">
      <c r="A10305" s="3"/>
      <c r="B10305" s="3"/>
      <c r="C10305" s="3"/>
      <c r="D10305" s="3"/>
      <c r="E10305" s="3">
        <v>2</v>
      </c>
      <c r="F10305" s="4" t="str">
        <f>HYPERLINK("http://141.218.60.56/~jnz1568/getInfo.php?workbook=20_05.xlsx&amp;sheet=U0&amp;row=10305&amp;col=6&amp;number=3.1&amp;sourceID=14","3.1")</f>
        <v>3.1</v>
      </c>
      <c r="G10305" s="4" t="str">
        <f>HYPERLINK("http://141.218.60.56/~jnz1568/getInfo.php?workbook=20_05.xlsx&amp;sheet=U0&amp;row=10305&amp;col=7&amp;number=2.14e-05&amp;sourceID=14","2.14e-05")</f>
        <v>2.14e-05</v>
      </c>
    </row>
    <row r="10306" spans="1:7">
      <c r="A10306" s="3"/>
      <c r="B10306" s="3"/>
      <c r="C10306" s="3"/>
      <c r="D10306" s="3"/>
      <c r="E10306" s="3">
        <v>3</v>
      </c>
      <c r="F10306" s="4" t="str">
        <f>HYPERLINK("http://141.218.60.56/~jnz1568/getInfo.php?workbook=20_05.xlsx&amp;sheet=U0&amp;row=10306&amp;col=6&amp;number=3.2&amp;sourceID=14","3.2")</f>
        <v>3.2</v>
      </c>
      <c r="G10306" s="4" t="str">
        <f>HYPERLINK("http://141.218.60.56/~jnz1568/getInfo.php?workbook=20_05.xlsx&amp;sheet=U0&amp;row=10306&amp;col=7&amp;number=2.14e-05&amp;sourceID=14","2.14e-05")</f>
        <v>2.14e-05</v>
      </c>
    </row>
    <row r="10307" spans="1:7">
      <c r="A10307" s="3"/>
      <c r="B10307" s="3"/>
      <c r="C10307" s="3"/>
      <c r="D10307" s="3"/>
      <c r="E10307" s="3">
        <v>4</v>
      </c>
      <c r="F10307" s="4" t="str">
        <f>HYPERLINK("http://141.218.60.56/~jnz1568/getInfo.php?workbook=20_05.xlsx&amp;sheet=U0&amp;row=10307&amp;col=6&amp;number=3.3&amp;sourceID=14","3.3")</f>
        <v>3.3</v>
      </c>
      <c r="G10307" s="4" t="str">
        <f>HYPERLINK("http://141.218.60.56/~jnz1568/getInfo.php?workbook=20_05.xlsx&amp;sheet=U0&amp;row=10307&amp;col=7&amp;number=2.14e-05&amp;sourceID=14","2.14e-05")</f>
        <v>2.14e-05</v>
      </c>
    </row>
    <row r="10308" spans="1:7">
      <c r="A10308" s="3"/>
      <c r="B10308" s="3"/>
      <c r="C10308" s="3"/>
      <c r="D10308" s="3"/>
      <c r="E10308" s="3">
        <v>5</v>
      </c>
      <c r="F10308" s="4" t="str">
        <f>HYPERLINK("http://141.218.60.56/~jnz1568/getInfo.php?workbook=20_05.xlsx&amp;sheet=U0&amp;row=10308&amp;col=6&amp;number=3.4&amp;sourceID=14","3.4")</f>
        <v>3.4</v>
      </c>
      <c r="G10308" s="4" t="str">
        <f>HYPERLINK("http://141.218.60.56/~jnz1568/getInfo.php?workbook=20_05.xlsx&amp;sheet=U0&amp;row=10308&amp;col=7&amp;number=2.14e-05&amp;sourceID=14","2.14e-05")</f>
        <v>2.14e-05</v>
      </c>
    </row>
    <row r="10309" spans="1:7">
      <c r="A10309" s="3"/>
      <c r="B10309" s="3"/>
      <c r="C10309" s="3"/>
      <c r="D10309" s="3"/>
      <c r="E10309" s="3">
        <v>6</v>
      </c>
      <c r="F10309" s="4" t="str">
        <f>HYPERLINK("http://141.218.60.56/~jnz1568/getInfo.php?workbook=20_05.xlsx&amp;sheet=U0&amp;row=10309&amp;col=6&amp;number=3.5&amp;sourceID=14","3.5")</f>
        <v>3.5</v>
      </c>
      <c r="G10309" s="4" t="str">
        <f>HYPERLINK("http://141.218.60.56/~jnz1568/getInfo.php?workbook=20_05.xlsx&amp;sheet=U0&amp;row=10309&amp;col=7&amp;number=2.14e-05&amp;sourceID=14","2.14e-05")</f>
        <v>2.14e-05</v>
      </c>
    </row>
    <row r="10310" spans="1:7">
      <c r="A10310" s="3"/>
      <c r="B10310" s="3"/>
      <c r="C10310" s="3"/>
      <c r="D10310" s="3"/>
      <c r="E10310" s="3">
        <v>7</v>
      </c>
      <c r="F10310" s="4" t="str">
        <f>HYPERLINK("http://141.218.60.56/~jnz1568/getInfo.php?workbook=20_05.xlsx&amp;sheet=U0&amp;row=10310&amp;col=6&amp;number=3.6&amp;sourceID=14","3.6")</f>
        <v>3.6</v>
      </c>
      <c r="G10310" s="4" t="str">
        <f>HYPERLINK("http://141.218.60.56/~jnz1568/getInfo.php?workbook=20_05.xlsx&amp;sheet=U0&amp;row=10310&amp;col=7&amp;number=2.14e-05&amp;sourceID=14","2.14e-05")</f>
        <v>2.14e-05</v>
      </c>
    </row>
    <row r="10311" spans="1:7">
      <c r="A10311" s="3"/>
      <c r="B10311" s="3"/>
      <c r="C10311" s="3"/>
      <c r="D10311" s="3"/>
      <c r="E10311" s="3">
        <v>8</v>
      </c>
      <c r="F10311" s="4" t="str">
        <f>HYPERLINK("http://141.218.60.56/~jnz1568/getInfo.php?workbook=20_05.xlsx&amp;sheet=U0&amp;row=10311&amp;col=6&amp;number=3.7&amp;sourceID=14","3.7")</f>
        <v>3.7</v>
      </c>
      <c r="G10311" s="4" t="str">
        <f>HYPERLINK("http://141.218.60.56/~jnz1568/getInfo.php?workbook=20_05.xlsx&amp;sheet=U0&amp;row=10311&amp;col=7&amp;number=2.14e-05&amp;sourceID=14","2.14e-05")</f>
        <v>2.14e-05</v>
      </c>
    </row>
    <row r="10312" spans="1:7">
      <c r="A10312" s="3"/>
      <c r="B10312" s="3"/>
      <c r="C10312" s="3"/>
      <c r="D10312" s="3"/>
      <c r="E10312" s="3">
        <v>9</v>
      </c>
      <c r="F10312" s="4" t="str">
        <f>HYPERLINK("http://141.218.60.56/~jnz1568/getInfo.php?workbook=20_05.xlsx&amp;sheet=U0&amp;row=10312&amp;col=6&amp;number=3.8&amp;sourceID=14","3.8")</f>
        <v>3.8</v>
      </c>
      <c r="G10312" s="4" t="str">
        <f>HYPERLINK("http://141.218.60.56/~jnz1568/getInfo.php?workbook=20_05.xlsx&amp;sheet=U0&amp;row=10312&amp;col=7&amp;number=2.14e-05&amp;sourceID=14","2.14e-05")</f>
        <v>2.14e-05</v>
      </c>
    </row>
    <row r="10313" spans="1:7">
      <c r="A10313" s="3"/>
      <c r="B10313" s="3"/>
      <c r="C10313" s="3"/>
      <c r="D10313" s="3"/>
      <c r="E10313" s="3">
        <v>10</v>
      </c>
      <c r="F10313" s="4" t="str">
        <f>HYPERLINK("http://141.218.60.56/~jnz1568/getInfo.php?workbook=20_05.xlsx&amp;sheet=U0&amp;row=10313&amp;col=6&amp;number=3.9&amp;sourceID=14","3.9")</f>
        <v>3.9</v>
      </c>
      <c r="G10313" s="4" t="str">
        <f>HYPERLINK("http://141.218.60.56/~jnz1568/getInfo.php?workbook=20_05.xlsx&amp;sheet=U0&amp;row=10313&amp;col=7&amp;number=2.14e-05&amp;sourceID=14","2.14e-05")</f>
        <v>2.14e-05</v>
      </c>
    </row>
    <row r="10314" spans="1:7">
      <c r="A10314" s="3"/>
      <c r="B10314" s="3"/>
      <c r="C10314" s="3"/>
      <c r="D10314" s="3"/>
      <c r="E10314" s="3">
        <v>11</v>
      </c>
      <c r="F10314" s="4" t="str">
        <f>HYPERLINK("http://141.218.60.56/~jnz1568/getInfo.php?workbook=20_05.xlsx&amp;sheet=U0&amp;row=10314&amp;col=6&amp;number=4&amp;sourceID=14","4")</f>
        <v>4</v>
      </c>
      <c r="G10314" s="4" t="str">
        <f>HYPERLINK("http://141.218.60.56/~jnz1568/getInfo.php?workbook=20_05.xlsx&amp;sheet=U0&amp;row=10314&amp;col=7&amp;number=2.14e-05&amp;sourceID=14","2.14e-05")</f>
        <v>2.14e-05</v>
      </c>
    </row>
    <row r="10315" spans="1:7">
      <c r="A10315" s="3"/>
      <c r="B10315" s="3"/>
      <c r="C10315" s="3"/>
      <c r="D10315" s="3"/>
      <c r="E10315" s="3">
        <v>12</v>
      </c>
      <c r="F10315" s="4" t="str">
        <f>HYPERLINK("http://141.218.60.56/~jnz1568/getInfo.php?workbook=20_05.xlsx&amp;sheet=U0&amp;row=10315&amp;col=6&amp;number=4.1&amp;sourceID=14","4.1")</f>
        <v>4.1</v>
      </c>
      <c r="G10315" s="4" t="str">
        <f>HYPERLINK("http://141.218.60.56/~jnz1568/getInfo.php?workbook=20_05.xlsx&amp;sheet=U0&amp;row=10315&amp;col=7&amp;number=2.14e-05&amp;sourceID=14","2.14e-05")</f>
        <v>2.14e-05</v>
      </c>
    </row>
    <row r="10316" spans="1:7">
      <c r="A10316" s="3"/>
      <c r="B10316" s="3"/>
      <c r="C10316" s="3"/>
      <c r="D10316" s="3"/>
      <c r="E10316" s="3">
        <v>13</v>
      </c>
      <c r="F10316" s="4" t="str">
        <f>HYPERLINK("http://141.218.60.56/~jnz1568/getInfo.php?workbook=20_05.xlsx&amp;sheet=U0&amp;row=10316&amp;col=6&amp;number=4.2&amp;sourceID=14","4.2")</f>
        <v>4.2</v>
      </c>
      <c r="G10316" s="4" t="str">
        <f>HYPERLINK("http://141.218.60.56/~jnz1568/getInfo.php?workbook=20_05.xlsx&amp;sheet=U0&amp;row=10316&amp;col=7&amp;number=2.14e-05&amp;sourceID=14","2.14e-05")</f>
        <v>2.14e-05</v>
      </c>
    </row>
    <row r="10317" spans="1:7">
      <c r="A10317" s="3"/>
      <c r="B10317" s="3"/>
      <c r="C10317" s="3"/>
      <c r="D10317" s="3"/>
      <c r="E10317" s="3">
        <v>14</v>
      </c>
      <c r="F10317" s="4" t="str">
        <f>HYPERLINK("http://141.218.60.56/~jnz1568/getInfo.php?workbook=20_05.xlsx&amp;sheet=U0&amp;row=10317&amp;col=6&amp;number=4.3&amp;sourceID=14","4.3")</f>
        <v>4.3</v>
      </c>
      <c r="G10317" s="4" t="str">
        <f>HYPERLINK("http://141.218.60.56/~jnz1568/getInfo.php?workbook=20_05.xlsx&amp;sheet=U0&amp;row=10317&amp;col=7&amp;number=2.14e-05&amp;sourceID=14","2.14e-05")</f>
        <v>2.14e-05</v>
      </c>
    </row>
    <row r="10318" spans="1:7">
      <c r="A10318" s="3"/>
      <c r="B10318" s="3"/>
      <c r="C10318" s="3"/>
      <c r="D10318" s="3"/>
      <c r="E10318" s="3">
        <v>15</v>
      </c>
      <c r="F10318" s="4" t="str">
        <f>HYPERLINK("http://141.218.60.56/~jnz1568/getInfo.php?workbook=20_05.xlsx&amp;sheet=U0&amp;row=10318&amp;col=6&amp;number=4.4&amp;sourceID=14","4.4")</f>
        <v>4.4</v>
      </c>
      <c r="G10318" s="4" t="str">
        <f>HYPERLINK("http://141.218.60.56/~jnz1568/getInfo.php?workbook=20_05.xlsx&amp;sheet=U0&amp;row=10318&amp;col=7&amp;number=2.14e-05&amp;sourceID=14","2.14e-05")</f>
        <v>2.14e-05</v>
      </c>
    </row>
    <row r="10319" spans="1:7">
      <c r="A10319" s="3"/>
      <c r="B10319" s="3"/>
      <c r="C10319" s="3"/>
      <c r="D10319" s="3"/>
      <c r="E10319" s="3">
        <v>16</v>
      </c>
      <c r="F10319" s="4" t="str">
        <f>HYPERLINK("http://141.218.60.56/~jnz1568/getInfo.php?workbook=20_05.xlsx&amp;sheet=U0&amp;row=10319&amp;col=6&amp;number=4.5&amp;sourceID=14","4.5")</f>
        <v>4.5</v>
      </c>
      <c r="G10319" s="4" t="str">
        <f>HYPERLINK("http://141.218.60.56/~jnz1568/getInfo.php?workbook=20_05.xlsx&amp;sheet=U0&amp;row=10319&amp;col=7&amp;number=2.14e-05&amp;sourceID=14","2.14e-05")</f>
        <v>2.14e-05</v>
      </c>
    </row>
    <row r="10320" spans="1:7">
      <c r="A10320" s="3"/>
      <c r="B10320" s="3"/>
      <c r="C10320" s="3"/>
      <c r="D10320" s="3"/>
      <c r="E10320" s="3">
        <v>17</v>
      </c>
      <c r="F10320" s="4" t="str">
        <f>HYPERLINK("http://141.218.60.56/~jnz1568/getInfo.php?workbook=20_05.xlsx&amp;sheet=U0&amp;row=10320&amp;col=6&amp;number=4.6&amp;sourceID=14","4.6")</f>
        <v>4.6</v>
      </c>
      <c r="G10320" s="4" t="str">
        <f>HYPERLINK("http://141.218.60.56/~jnz1568/getInfo.php?workbook=20_05.xlsx&amp;sheet=U0&amp;row=10320&amp;col=7&amp;number=2.14e-05&amp;sourceID=14","2.14e-05")</f>
        <v>2.14e-05</v>
      </c>
    </row>
    <row r="10321" spans="1:7">
      <c r="A10321" s="3"/>
      <c r="B10321" s="3"/>
      <c r="C10321" s="3"/>
      <c r="D10321" s="3"/>
      <c r="E10321" s="3">
        <v>18</v>
      </c>
      <c r="F10321" s="4" t="str">
        <f>HYPERLINK("http://141.218.60.56/~jnz1568/getInfo.php?workbook=20_05.xlsx&amp;sheet=U0&amp;row=10321&amp;col=6&amp;number=4.7&amp;sourceID=14","4.7")</f>
        <v>4.7</v>
      </c>
      <c r="G10321" s="4" t="str">
        <f>HYPERLINK("http://141.218.60.56/~jnz1568/getInfo.php?workbook=20_05.xlsx&amp;sheet=U0&amp;row=10321&amp;col=7&amp;number=2.14e-05&amp;sourceID=14","2.14e-05")</f>
        <v>2.14e-05</v>
      </c>
    </row>
    <row r="10322" spans="1:7">
      <c r="A10322" s="3"/>
      <c r="B10322" s="3"/>
      <c r="C10322" s="3"/>
      <c r="D10322" s="3"/>
      <c r="E10322" s="3">
        <v>19</v>
      </c>
      <c r="F10322" s="4" t="str">
        <f>HYPERLINK("http://141.218.60.56/~jnz1568/getInfo.php?workbook=20_05.xlsx&amp;sheet=U0&amp;row=10322&amp;col=6&amp;number=4.8&amp;sourceID=14","4.8")</f>
        <v>4.8</v>
      </c>
      <c r="G10322" s="4" t="str">
        <f>HYPERLINK("http://141.218.60.56/~jnz1568/getInfo.php?workbook=20_05.xlsx&amp;sheet=U0&amp;row=10322&amp;col=7&amp;number=2.14e-05&amp;sourceID=14","2.14e-05")</f>
        <v>2.14e-05</v>
      </c>
    </row>
    <row r="10323" spans="1:7">
      <c r="A10323" s="3"/>
      <c r="B10323" s="3"/>
      <c r="C10323" s="3"/>
      <c r="D10323" s="3"/>
      <c r="E10323" s="3">
        <v>20</v>
      </c>
      <c r="F10323" s="4" t="str">
        <f>HYPERLINK("http://141.218.60.56/~jnz1568/getInfo.php?workbook=20_05.xlsx&amp;sheet=U0&amp;row=10323&amp;col=6&amp;number=4.9&amp;sourceID=14","4.9")</f>
        <v>4.9</v>
      </c>
      <c r="G10323" s="4" t="str">
        <f>HYPERLINK("http://141.218.60.56/~jnz1568/getInfo.php?workbook=20_05.xlsx&amp;sheet=U0&amp;row=10323&amp;col=7&amp;number=2.14e-05&amp;sourceID=14","2.14e-05")</f>
        <v>2.14e-05</v>
      </c>
    </row>
    <row r="10324" spans="1:7">
      <c r="A10324" s="3">
        <v>20</v>
      </c>
      <c r="B10324" s="3">
        <v>5</v>
      </c>
      <c r="C10324" s="3">
        <v>5</v>
      </c>
      <c r="D10324" s="3">
        <v>51</v>
      </c>
      <c r="E10324" s="3">
        <v>1</v>
      </c>
      <c r="F10324" s="4" t="str">
        <f>HYPERLINK("http://141.218.60.56/~jnz1568/getInfo.php?workbook=20_05.xlsx&amp;sheet=U0&amp;row=10324&amp;col=6&amp;number=3&amp;sourceID=14","3")</f>
        <v>3</v>
      </c>
      <c r="G10324" s="4" t="str">
        <f>HYPERLINK("http://141.218.60.56/~jnz1568/getInfo.php?workbook=20_05.xlsx&amp;sheet=U0&amp;row=10324&amp;col=7&amp;number=0.0123&amp;sourceID=14","0.0123")</f>
        <v>0.0123</v>
      </c>
    </row>
    <row r="10325" spans="1:7">
      <c r="A10325" s="3"/>
      <c r="B10325" s="3"/>
      <c r="C10325" s="3"/>
      <c r="D10325" s="3"/>
      <c r="E10325" s="3">
        <v>2</v>
      </c>
      <c r="F10325" s="4" t="str">
        <f>HYPERLINK("http://141.218.60.56/~jnz1568/getInfo.php?workbook=20_05.xlsx&amp;sheet=U0&amp;row=10325&amp;col=6&amp;number=3.1&amp;sourceID=14","3.1")</f>
        <v>3.1</v>
      </c>
      <c r="G10325" s="4" t="str">
        <f>HYPERLINK("http://141.218.60.56/~jnz1568/getInfo.php?workbook=20_05.xlsx&amp;sheet=U0&amp;row=10325&amp;col=7&amp;number=0.0123&amp;sourceID=14","0.0123")</f>
        <v>0.0123</v>
      </c>
    </row>
    <row r="10326" spans="1:7">
      <c r="A10326" s="3"/>
      <c r="B10326" s="3"/>
      <c r="C10326" s="3"/>
      <c r="D10326" s="3"/>
      <c r="E10326" s="3">
        <v>3</v>
      </c>
      <c r="F10326" s="4" t="str">
        <f>HYPERLINK("http://141.218.60.56/~jnz1568/getInfo.php?workbook=20_05.xlsx&amp;sheet=U0&amp;row=10326&amp;col=6&amp;number=3.2&amp;sourceID=14","3.2")</f>
        <v>3.2</v>
      </c>
      <c r="G10326" s="4" t="str">
        <f>HYPERLINK("http://141.218.60.56/~jnz1568/getInfo.php?workbook=20_05.xlsx&amp;sheet=U0&amp;row=10326&amp;col=7&amp;number=0.0123&amp;sourceID=14","0.0123")</f>
        <v>0.0123</v>
      </c>
    </row>
    <row r="10327" spans="1:7">
      <c r="A10327" s="3"/>
      <c r="B10327" s="3"/>
      <c r="C10327" s="3"/>
      <c r="D10327" s="3"/>
      <c r="E10327" s="3">
        <v>4</v>
      </c>
      <c r="F10327" s="4" t="str">
        <f>HYPERLINK("http://141.218.60.56/~jnz1568/getInfo.php?workbook=20_05.xlsx&amp;sheet=U0&amp;row=10327&amp;col=6&amp;number=3.3&amp;sourceID=14","3.3")</f>
        <v>3.3</v>
      </c>
      <c r="G10327" s="4" t="str">
        <f>HYPERLINK("http://141.218.60.56/~jnz1568/getInfo.php?workbook=20_05.xlsx&amp;sheet=U0&amp;row=10327&amp;col=7&amp;number=0.0123&amp;sourceID=14","0.0123")</f>
        <v>0.0123</v>
      </c>
    </row>
    <row r="10328" spans="1:7">
      <c r="A10328" s="3"/>
      <c r="B10328" s="3"/>
      <c r="C10328" s="3"/>
      <c r="D10328" s="3"/>
      <c r="E10328" s="3">
        <v>5</v>
      </c>
      <c r="F10328" s="4" t="str">
        <f>HYPERLINK("http://141.218.60.56/~jnz1568/getInfo.php?workbook=20_05.xlsx&amp;sheet=U0&amp;row=10328&amp;col=6&amp;number=3.4&amp;sourceID=14","3.4")</f>
        <v>3.4</v>
      </c>
      <c r="G10328" s="4" t="str">
        <f>HYPERLINK("http://141.218.60.56/~jnz1568/getInfo.php?workbook=20_05.xlsx&amp;sheet=U0&amp;row=10328&amp;col=7&amp;number=0.0123&amp;sourceID=14","0.0123")</f>
        <v>0.0123</v>
      </c>
    </row>
    <row r="10329" spans="1:7">
      <c r="A10329" s="3"/>
      <c r="B10329" s="3"/>
      <c r="C10329" s="3"/>
      <c r="D10329" s="3"/>
      <c r="E10329" s="3">
        <v>6</v>
      </c>
      <c r="F10329" s="4" t="str">
        <f>HYPERLINK("http://141.218.60.56/~jnz1568/getInfo.php?workbook=20_05.xlsx&amp;sheet=U0&amp;row=10329&amp;col=6&amp;number=3.5&amp;sourceID=14","3.5")</f>
        <v>3.5</v>
      </c>
      <c r="G10329" s="4" t="str">
        <f>HYPERLINK("http://141.218.60.56/~jnz1568/getInfo.php?workbook=20_05.xlsx&amp;sheet=U0&amp;row=10329&amp;col=7&amp;number=0.0123&amp;sourceID=14","0.0123")</f>
        <v>0.0123</v>
      </c>
    </row>
    <row r="10330" spans="1:7">
      <c r="A10330" s="3"/>
      <c r="B10330" s="3"/>
      <c r="C10330" s="3"/>
      <c r="D10330" s="3"/>
      <c r="E10330" s="3">
        <v>7</v>
      </c>
      <c r="F10330" s="4" t="str">
        <f>HYPERLINK("http://141.218.60.56/~jnz1568/getInfo.php?workbook=20_05.xlsx&amp;sheet=U0&amp;row=10330&amp;col=6&amp;number=3.6&amp;sourceID=14","3.6")</f>
        <v>3.6</v>
      </c>
      <c r="G10330" s="4" t="str">
        <f>HYPERLINK("http://141.218.60.56/~jnz1568/getInfo.php?workbook=20_05.xlsx&amp;sheet=U0&amp;row=10330&amp;col=7&amp;number=0.0123&amp;sourceID=14","0.0123")</f>
        <v>0.0123</v>
      </c>
    </row>
    <row r="10331" spans="1:7">
      <c r="A10331" s="3"/>
      <c r="B10331" s="3"/>
      <c r="C10331" s="3"/>
      <c r="D10331" s="3"/>
      <c r="E10331" s="3">
        <v>8</v>
      </c>
      <c r="F10331" s="4" t="str">
        <f>HYPERLINK("http://141.218.60.56/~jnz1568/getInfo.php?workbook=20_05.xlsx&amp;sheet=U0&amp;row=10331&amp;col=6&amp;number=3.7&amp;sourceID=14","3.7")</f>
        <v>3.7</v>
      </c>
      <c r="G10331" s="4" t="str">
        <f>HYPERLINK("http://141.218.60.56/~jnz1568/getInfo.php?workbook=20_05.xlsx&amp;sheet=U0&amp;row=10331&amp;col=7&amp;number=0.0123&amp;sourceID=14","0.0123")</f>
        <v>0.0123</v>
      </c>
    </row>
    <row r="10332" spans="1:7">
      <c r="A10332" s="3"/>
      <c r="B10332" s="3"/>
      <c r="C10332" s="3"/>
      <c r="D10332" s="3"/>
      <c r="E10332" s="3">
        <v>9</v>
      </c>
      <c r="F10332" s="4" t="str">
        <f>HYPERLINK("http://141.218.60.56/~jnz1568/getInfo.php?workbook=20_05.xlsx&amp;sheet=U0&amp;row=10332&amp;col=6&amp;number=3.8&amp;sourceID=14","3.8")</f>
        <v>3.8</v>
      </c>
      <c r="G10332" s="4" t="str">
        <f>HYPERLINK("http://141.218.60.56/~jnz1568/getInfo.php?workbook=20_05.xlsx&amp;sheet=U0&amp;row=10332&amp;col=7&amp;number=0.0123&amp;sourceID=14","0.0123")</f>
        <v>0.0123</v>
      </c>
    </row>
    <row r="10333" spans="1:7">
      <c r="A10333" s="3"/>
      <c r="B10333" s="3"/>
      <c r="C10333" s="3"/>
      <c r="D10333" s="3"/>
      <c r="E10333" s="3">
        <v>10</v>
      </c>
      <c r="F10333" s="4" t="str">
        <f>HYPERLINK("http://141.218.60.56/~jnz1568/getInfo.php?workbook=20_05.xlsx&amp;sheet=U0&amp;row=10333&amp;col=6&amp;number=3.9&amp;sourceID=14","3.9")</f>
        <v>3.9</v>
      </c>
      <c r="G10333" s="4" t="str">
        <f>HYPERLINK("http://141.218.60.56/~jnz1568/getInfo.php?workbook=20_05.xlsx&amp;sheet=U0&amp;row=10333&amp;col=7&amp;number=0.0123&amp;sourceID=14","0.0123")</f>
        <v>0.0123</v>
      </c>
    </row>
    <row r="10334" spans="1:7">
      <c r="A10334" s="3"/>
      <c r="B10334" s="3"/>
      <c r="C10334" s="3"/>
      <c r="D10334" s="3"/>
      <c r="E10334" s="3">
        <v>11</v>
      </c>
      <c r="F10334" s="4" t="str">
        <f>HYPERLINK("http://141.218.60.56/~jnz1568/getInfo.php?workbook=20_05.xlsx&amp;sheet=U0&amp;row=10334&amp;col=6&amp;number=4&amp;sourceID=14","4")</f>
        <v>4</v>
      </c>
      <c r="G10334" s="4" t="str">
        <f>HYPERLINK("http://141.218.60.56/~jnz1568/getInfo.php?workbook=20_05.xlsx&amp;sheet=U0&amp;row=10334&amp;col=7&amp;number=0.0123&amp;sourceID=14","0.0123")</f>
        <v>0.0123</v>
      </c>
    </row>
    <row r="10335" spans="1:7">
      <c r="A10335" s="3"/>
      <c r="B10335" s="3"/>
      <c r="C10335" s="3"/>
      <c r="D10335" s="3"/>
      <c r="E10335" s="3">
        <v>12</v>
      </c>
      <c r="F10335" s="4" t="str">
        <f>HYPERLINK("http://141.218.60.56/~jnz1568/getInfo.php?workbook=20_05.xlsx&amp;sheet=U0&amp;row=10335&amp;col=6&amp;number=4.1&amp;sourceID=14","4.1")</f>
        <v>4.1</v>
      </c>
      <c r="G10335" s="4" t="str">
        <f>HYPERLINK("http://141.218.60.56/~jnz1568/getInfo.php?workbook=20_05.xlsx&amp;sheet=U0&amp;row=10335&amp;col=7&amp;number=0.0123&amp;sourceID=14","0.0123")</f>
        <v>0.0123</v>
      </c>
    </row>
    <row r="10336" spans="1:7">
      <c r="A10336" s="3"/>
      <c r="B10336" s="3"/>
      <c r="C10336" s="3"/>
      <c r="D10336" s="3"/>
      <c r="E10336" s="3">
        <v>13</v>
      </c>
      <c r="F10336" s="4" t="str">
        <f>HYPERLINK("http://141.218.60.56/~jnz1568/getInfo.php?workbook=20_05.xlsx&amp;sheet=U0&amp;row=10336&amp;col=6&amp;number=4.2&amp;sourceID=14","4.2")</f>
        <v>4.2</v>
      </c>
      <c r="G10336" s="4" t="str">
        <f>HYPERLINK("http://141.218.60.56/~jnz1568/getInfo.php?workbook=20_05.xlsx&amp;sheet=U0&amp;row=10336&amp;col=7&amp;number=0.0123&amp;sourceID=14","0.0123")</f>
        <v>0.0123</v>
      </c>
    </row>
    <row r="10337" spans="1:7">
      <c r="A10337" s="3"/>
      <c r="B10337" s="3"/>
      <c r="C10337" s="3"/>
      <c r="D10337" s="3"/>
      <c r="E10337" s="3">
        <v>14</v>
      </c>
      <c r="F10337" s="4" t="str">
        <f>HYPERLINK("http://141.218.60.56/~jnz1568/getInfo.php?workbook=20_05.xlsx&amp;sheet=U0&amp;row=10337&amp;col=6&amp;number=4.3&amp;sourceID=14","4.3")</f>
        <v>4.3</v>
      </c>
      <c r="G10337" s="4" t="str">
        <f>HYPERLINK("http://141.218.60.56/~jnz1568/getInfo.php?workbook=20_05.xlsx&amp;sheet=U0&amp;row=10337&amp;col=7&amp;number=0.0123&amp;sourceID=14","0.0123")</f>
        <v>0.0123</v>
      </c>
    </row>
    <row r="10338" spans="1:7">
      <c r="A10338" s="3"/>
      <c r="B10338" s="3"/>
      <c r="C10338" s="3"/>
      <c r="D10338" s="3"/>
      <c r="E10338" s="3">
        <v>15</v>
      </c>
      <c r="F10338" s="4" t="str">
        <f>HYPERLINK("http://141.218.60.56/~jnz1568/getInfo.php?workbook=20_05.xlsx&amp;sheet=U0&amp;row=10338&amp;col=6&amp;number=4.4&amp;sourceID=14","4.4")</f>
        <v>4.4</v>
      </c>
      <c r="G10338" s="4" t="str">
        <f>HYPERLINK("http://141.218.60.56/~jnz1568/getInfo.php?workbook=20_05.xlsx&amp;sheet=U0&amp;row=10338&amp;col=7&amp;number=0.0123&amp;sourceID=14","0.0123")</f>
        <v>0.0123</v>
      </c>
    </row>
    <row r="10339" spans="1:7">
      <c r="A10339" s="3"/>
      <c r="B10339" s="3"/>
      <c r="C10339" s="3"/>
      <c r="D10339" s="3"/>
      <c r="E10339" s="3">
        <v>16</v>
      </c>
      <c r="F10339" s="4" t="str">
        <f>HYPERLINK("http://141.218.60.56/~jnz1568/getInfo.php?workbook=20_05.xlsx&amp;sheet=U0&amp;row=10339&amp;col=6&amp;number=4.5&amp;sourceID=14","4.5")</f>
        <v>4.5</v>
      </c>
      <c r="G10339" s="4" t="str">
        <f>HYPERLINK("http://141.218.60.56/~jnz1568/getInfo.php?workbook=20_05.xlsx&amp;sheet=U0&amp;row=10339&amp;col=7&amp;number=0.0123&amp;sourceID=14","0.0123")</f>
        <v>0.0123</v>
      </c>
    </row>
    <row r="10340" spans="1:7">
      <c r="A10340" s="3"/>
      <c r="B10340" s="3"/>
      <c r="C10340" s="3"/>
      <c r="D10340" s="3"/>
      <c r="E10340" s="3">
        <v>17</v>
      </c>
      <c r="F10340" s="4" t="str">
        <f>HYPERLINK("http://141.218.60.56/~jnz1568/getInfo.php?workbook=20_05.xlsx&amp;sheet=U0&amp;row=10340&amp;col=6&amp;number=4.6&amp;sourceID=14","4.6")</f>
        <v>4.6</v>
      </c>
      <c r="G10340" s="4" t="str">
        <f>HYPERLINK("http://141.218.60.56/~jnz1568/getInfo.php?workbook=20_05.xlsx&amp;sheet=U0&amp;row=10340&amp;col=7&amp;number=0.0123&amp;sourceID=14","0.0123")</f>
        <v>0.0123</v>
      </c>
    </row>
    <row r="10341" spans="1:7">
      <c r="A10341" s="3"/>
      <c r="B10341" s="3"/>
      <c r="C10341" s="3"/>
      <c r="D10341" s="3"/>
      <c r="E10341" s="3">
        <v>18</v>
      </c>
      <c r="F10341" s="4" t="str">
        <f>HYPERLINK("http://141.218.60.56/~jnz1568/getInfo.php?workbook=20_05.xlsx&amp;sheet=U0&amp;row=10341&amp;col=6&amp;number=4.7&amp;sourceID=14","4.7")</f>
        <v>4.7</v>
      </c>
      <c r="G10341" s="4" t="str">
        <f>HYPERLINK("http://141.218.60.56/~jnz1568/getInfo.php?workbook=20_05.xlsx&amp;sheet=U0&amp;row=10341&amp;col=7&amp;number=0.0123&amp;sourceID=14","0.0123")</f>
        <v>0.0123</v>
      </c>
    </row>
    <row r="10342" spans="1:7">
      <c r="A10342" s="3"/>
      <c r="B10342" s="3"/>
      <c r="C10342" s="3"/>
      <c r="D10342" s="3"/>
      <c r="E10342" s="3">
        <v>19</v>
      </c>
      <c r="F10342" s="4" t="str">
        <f>HYPERLINK("http://141.218.60.56/~jnz1568/getInfo.php?workbook=20_05.xlsx&amp;sheet=U0&amp;row=10342&amp;col=6&amp;number=4.8&amp;sourceID=14","4.8")</f>
        <v>4.8</v>
      </c>
      <c r="G10342" s="4" t="str">
        <f>HYPERLINK("http://141.218.60.56/~jnz1568/getInfo.php?workbook=20_05.xlsx&amp;sheet=U0&amp;row=10342&amp;col=7&amp;number=0.0123&amp;sourceID=14","0.0123")</f>
        <v>0.0123</v>
      </c>
    </row>
    <row r="10343" spans="1:7">
      <c r="A10343" s="3"/>
      <c r="B10343" s="3"/>
      <c r="C10343" s="3"/>
      <c r="D10343" s="3"/>
      <c r="E10343" s="3">
        <v>20</v>
      </c>
      <c r="F10343" s="4" t="str">
        <f>HYPERLINK("http://141.218.60.56/~jnz1568/getInfo.php?workbook=20_05.xlsx&amp;sheet=U0&amp;row=10343&amp;col=6&amp;number=4.9&amp;sourceID=14","4.9")</f>
        <v>4.9</v>
      </c>
      <c r="G10343" s="4" t="str">
        <f>HYPERLINK("http://141.218.60.56/~jnz1568/getInfo.php?workbook=20_05.xlsx&amp;sheet=U0&amp;row=10343&amp;col=7&amp;number=0.0122&amp;sourceID=14","0.0122")</f>
        <v>0.0122</v>
      </c>
    </row>
    <row r="10344" spans="1:7">
      <c r="A10344" s="3">
        <v>20</v>
      </c>
      <c r="B10344" s="3">
        <v>5</v>
      </c>
      <c r="C10344" s="3">
        <v>5</v>
      </c>
      <c r="D10344" s="3">
        <v>52</v>
      </c>
      <c r="E10344" s="3">
        <v>1</v>
      </c>
      <c r="F10344" s="4" t="str">
        <f>HYPERLINK("http://141.218.60.56/~jnz1568/getInfo.php?workbook=20_05.xlsx&amp;sheet=U0&amp;row=10344&amp;col=6&amp;number=3&amp;sourceID=14","3")</f>
        <v>3</v>
      </c>
      <c r="G10344" s="4" t="str">
        <f>HYPERLINK("http://141.218.60.56/~jnz1568/getInfo.php?workbook=20_05.xlsx&amp;sheet=U0&amp;row=10344&amp;col=7&amp;number=0.159&amp;sourceID=14","0.159")</f>
        <v>0.159</v>
      </c>
    </row>
    <row r="10345" spans="1:7">
      <c r="A10345" s="3"/>
      <c r="B10345" s="3"/>
      <c r="C10345" s="3"/>
      <c r="D10345" s="3"/>
      <c r="E10345" s="3">
        <v>2</v>
      </c>
      <c r="F10345" s="4" t="str">
        <f>HYPERLINK("http://141.218.60.56/~jnz1568/getInfo.php?workbook=20_05.xlsx&amp;sheet=U0&amp;row=10345&amp;col=6&amp;number=3.1&amp;sourceID=14","3.1")</f>
        <v>3.1</v>
      </c>
      <c r="G10345" s="4" t="str">
        <f>HYPERLINK("http://141.218.60.56/~jnz1568/getInfo.php?workbook=20_05.xlsx&amp;sheet=U0&amp;row=10345&amp;col=7&amp;number=0.159&amp;sourceID=14","0.159")</f>
        <v>0.159</v>
      </c>
    </row>
    <row r="10346" spans="1:7">
      <c r="A10346" s="3"/>
      <c r="B10346" s="3"/>
      <c r="C10346" s="3"/>
      <c r="D10346" s="3"/>
      <c r="E10346" s="3">
        <v>3</v>
      </c>
      <c r="F10346" s="4" t="str">
        <f>HYPERLINK("http://141.218.60.56/~jnz1568/getInfo.php?workbook=20_05.xlsx&amp;sheet=U0&amp;row=10346&amp;col=6&amp;number=3.2&amp;sourceID=14","3.2")</f>
        <v>3.2</v>
      </c>
      <c r="G10346" s="4" t="str">
        <f>HYPERLINK("http://141.218.60.56/~jnz1568/getInfo.php?workbook=20_05.xlsx&amp;sheet=U0&amp;row=10346&amp;col=7&amp;number=0.159&amp;sourceID=14","0.159")</f>
        <v>0.159</v>
      </c>
    </row>
    <row r="10347" spans="1:7">
      <c r="A10347" s="3"/>
      <c r="B10347" s="3"/>
      <c r="C10347" s="3"/>
      <c r="D10347" s="3"/>
      <c r="E10347" s="3">
        <v>4</v>
      </c>
      <c r="F10347" s="4" t="str">
        <f>HYPERLINK("http://141.218.60.56/~jnz1568/getInfo.php?workbook=20_05.xlsx&amp;sheet=U0&amp;row=10347&amp;col=6&amp;number=3.3&amp;sourceID=14","3.3")</f>
        <v>3.3</v>
      </c>
      <c r="G10347" s="4" t="str">
        <f>HYPERLINK("http://141.218.60.56/~jnz1568/getInfo.php?workbook=20_05.xlsx&amp;sheet=U0&amp;row=10347&amp;col=7&amp;number=0.159&amp;sourceID=14","0.159")</f>
        <v>0.159</v>
      </c>
    </row>
    <row r="10348" spans="1:7">
      <c r="A10348" s="3"/>
      <c r="B10348" s="3"/>
      <c r="C10348" s="3"/>
      <c r="D10348" s="3"/>
      <c r="E10348" s="3">
        <v>5</v>
      </c>
      <c r="F10348" s="4" t="str">
        <f>HYPERLINK("http://141.218.60.56/~jnz1568/getInfo.php?workbook=20_05.xlsx&amp;sheet=U0&amp;row=10348&amp;col=6&amp;number=3.4&amp;sourceID=14","3.4")</f>
        <v>3.4</v>
      </c>
      <c r="G10348" s="4" t="str">
        <f>HYPERLINK("http://141.218.60.56/~jnz1568/getInfo.php?workbook=20_05.xlsx&amp;sheet=U0&amp;row=10348&amp;col=7&amp;number=0.159&amp;sourceID=14","0.159")</f>
        <v>0.159</v>
      </c>
    </row>
    <row r="10349" spans="1:7">
      <c r="A10349" s="3"/>
      <c r="B10349" s="3"/>
      <c r="C10349" s="3"/>
      <c r="D10349" s="3"/>
      <c r="E10349" s="3">
        <v>6</v>
      </c>
      <c r="F10349" s="4" t="str">
        <f>HYPERLINK("http://141.218.60.56/~jnz1568/getInfo.php?workbook=20_05.xlsx&amp;sheet=U0&amp;row=10349&amp;col=6&amp;number=3.5&amp;sourceID=14","3.5")</f>
        <v>3.5</v>
      </c>
      <c r="G10349" s="4" t="str">
        <f>HYPERLINK("http://141.218.60.56/~jnz1568/getInfo.php?workbook=20_05.xlsx&amp;sheet=U0&amp;row=10349&amp;col=7&amp;number=0.159&amp;sourceID=14","0.159")</f>
        <v>0.159</v>
      </c>
    </row>
    <row r="10350" spans="1:7">
      <c r="A10350" s="3"/>
      <c r="B10350" s="3"/>
      <c r="C10350" s="3"/>
      <c r="D10350" s="3"/>
      <c r="E10350" s="3">
        <v>7</v>
      </c>
      <c r="F10350" s="4" t="str">
        <f>HYPERLINK("http://141.218.60.56/~jnz1568/getInfo.php?workbook=20_05.xlsx&amp;sheet=U0&amp;row=10350&amp;col=6&amp;number=3.6&amp;sourceID=14","3.6")</f>
        <v>3.6</v>
      </c>
      <c r="G10350" s="4" t="str">
        <f>HYPERLINK("http://141.218.60.56/~jnz1568/getInfo.php?workbook=20_05.xlsx&amp;sheet=U0&amp;row=10350&amp;col=7&amp;number=0.159&amp;sourceID=14","0.159")</f>
        <v>0.159</v>
      </c>
    </row>
    <row r="10351" spans="1:7">
      <c r="A10351" s="3"/>
      <c r="B10351" s="3"/>
      <c r="C10351" s="3"/>
      <c r="D10351" s="3"/>
      <c r="E10351" s="3">
        <v>8</v>
      </c>
      <c r="F10351" s="4" t="str">
        <f>HYPERLINK("http://141.218.60.56/~jnz1568/getInfo.php?workbook=20_05.xlsx&amp;sheet=U0&amp;row=10351&amp;col=6&amp;number=3.7&amp;sourceID=14","3.7")</f>
        <v>3.7</v>
      </c>
      <c r="G10351" s="4" t="str">
        <f>HYPERLINK("http://141.218.60.56/~jnz1568/getInfo.php?workbook=20_05.xlsx&amp;sheet=U0&amp;row=10351&amp;col=7&amp;number=0.159&amp;sourceID=14","0.159")</f>
        <v>0.159</v>
      </c>
    </row>
    <row r="10352" spans="1:7">
      <c r="A10352" s="3"/>
      <c r="B10352" s="3"/>
      <c r="C10352" s="3"/>
      <c r="D10352" s="3"/>
      <c r="E10352" s="3">
        <v>9</v>
      </c>
      <c r="F10352" s="4" t="str">
        <f>HYPERLINK("http://141.218.60.56/~jnz1568/getInfo.php?workbook=20_05.xlsx&amp;sheet=U0&amp;row=10352&amp;col=6&amp;number=3.8&amp;sourceID=14","3.8")</f>
        <v>3.8</v>
      </c>
      <c r="G10352" s="4" t="str">
        <f>HYPERLINK("http://141.218.60.56/~jnz1568/getInfo.php?workbook=20_05.xlsx&amp;sheet=U0&amp;row=10352&amp;col=7&amp;number=0.159&amp;sourceID=14","0.159")</f>
        <v>0.159</v>
      </c>
    </row>
    <row r="10353" spans="1:7">
      <c r="A10353" s="3"/>
      <c r="B10353" s="3"/>
      <c r="C10353" s="3"/>
      <c r="D10353" s="3"/>
      <c r="E10353" s="3">
        <v>10</v>
      </c>
      <c r="F10353" s="4" t="str">
        <f>HYPERLINK("http://141.218.60.56/~jnz1568/getInfo.php?workbook=20_05.xlsx&amp;sheet=U0&amp;row=10353&amp;col=6&amp;number=3.9&amp;sourceID=14","3.9")</f>
        <v>3.9</v>
      </c>
      <c r="G10353" s="4" t="str">
        <f>HYPERLINK("http://141.218.60.56/~jnz1568/getInfo.php?workbook=20_05.xlsx&amp;sheet=U0&amp;row=10353&amp;col=7&amp;number=0.159&amp;sourceID=14","0.159")</f>
        <v>0.159</v>
      </c>
    </row>
    <row r="10354" spans="1:7">
      <c r="A10354" s="3"/>
      <c r="B10354" s="3"/>
      <c r="C10354" s="3"/>
      <c r="D10354" s="3"/>
      <c r="E10354" s="3">
        <v>11</v>
      </c>
      <c r="F10354" s="4" t="str">
        <f>HYPERLINK("http://141.218.60.56/~jnz1568/getInfo.php?workbook=20_05.xlsx&amp;sheet=U0&amp;row=10354&amp;col=6&amp;number=4&amp;sourceID=14","4")</f>
        <v>4</v>
      </c>
      <c r="G10354" s="4" t="str">
        <f>HYPERLINK("http://141.218.60.56/~jnz1568/getInfo.php?workbook=20_05.xlsx&amp;sheet=U0&amp;row=10354&amp;col=7&amp;number=0.159&amp;sourceID=14","0.159")</f>
        <v>0.159</v>
      </c>
    </row>
    <row r="10355" spans="1:7">
      <c r="A10355" s="3"/>
      <c r="B10355" s="3"/>
      <c r="C10355" s="3"/>
      <c r="D10355" s="3"/>
      <c r="E10355" s="3">
        <v>12</v>
      </c>
      <c r="F10355" s="4" t="str">
        <f>HYPERLINK("http://141.218.60.56/~jnz1568/getInfo.php?workbook=20_05.xlsx&amp;sheet=U0&amp;row=10355&amp;col=6&amp;number=4.1&amp;sourceID=14","4.1")</f>
        <v>4.1</v>
      </c>
      <c r="G10355" s="4" t="str">
        <f>HYPERLINK("http://141.218.60.56/~jnz1568/getInfo.php?workbook=20_05.xlsx&amp;sheet=U0&amp;row=10355&amp;col=7&amp;number=0.159&amp;sourceID=14","0.159")</f>
        <v>0.159</v>
      </c>
    </row>
    <row r="10356" spans="1:7">
      <c r="A10356" s="3"/>
      <c r="B10356" s="3"/>
      <c r="C10356" s="3"/>
      <c r="D10356" s="3"/>
      <c r="E10356" s="3">
        <v>13</v>
      </c>
      <c r="F10356" s="4" t="str">
        <f>HYPERLINK("http://141.218.60.56/~jnz1568/getInfo.php?workbook=20_05.xlsx&amp;sheet=U0&amp;row=10356&amp;col=6&amp;number=4.2&amp;sourceID=14","4.2")</f>
        <v>4.2</v>
      </c>
      <c r="G10356" s="4" t="str">
        <f>HYPERLINK("http://141.218.60.56/~jnz1568/getInfo.php?workbook=20_05.xlsx&amp;sheet=U0&amp;row=10356&amp;col=7&amp;number=0.159&amp;sourceID=14","0.159")</f>
        <v>0.159</v>
      </c>
    </row>
    <row r="10357" spans="1:7">
      <c r="A10357" s="3"/>
      <c r="B10357" s="3"/>
      <c r="C10357" s="3"/>
      <c r="D10357" s="3"/>
      <c r="E10357" s="3">
        <v>14</v>
      </c>
      <c r="F10357" s="4" t="str">
        <f>HYPERLINK("http://141.218.60.56/~jnz1568/getInfo.php?workbook=20_05.xlsx&amp;sheet=U0&amp;row=10357&amp;col=6&amp;number=4.3&amp;sourceID=14","4.3")</f>
        <v>4.3</v>
      </c>
      <c r="G10357" s="4" t="str">
        <f>HYPERLINK("http://141.218.60.56/~jnz1568/getInfo.php?workbook=20_05.xlsx&amp;sheet=U0&amp;row=10357&amp;col=7&amp;number=0.159&amp;sourceID=14","0.159")</f>
        <v>0.159</v>
      </c>
    </row>
    <row r="10358" spans="1:7">
      <c r="A10358" s="3"/>
      <c r="B10358" s="3"/>
      <c r="C10358" s="3"/>
      <c r="D10358" s="3"/>
      <c r="E10358" s="3">
        <v>15</v>
      </c>
      <c r="F10358" s="4" t="str">
        <f>HYPERLINK("http://141.218.60.56/~jnz1568/getInfo.php?workbook=20_05.xlsx&amp;sheet=U0&amp;row=10358&amp;col=6&amp;number=4.4&amp;sourceID=14","4.4")</f>
        <v>4.4</v>
      </c>
      <c r="G10358" s="4" t="str">
        <f>HYPERLINK("http://141.218.60.56/~jnz1568/getInfo.php?workbook=20_05.xlsx&amp;sheet=U0&amp;row=10358&amp;col=7&amp;number=0.159&amp;sourceID=14","0.159")</f>
        <v>0.159</v>
      </c>
    </row>
    <row r="10359" spans="1:7">
      <c r="A10359" s="3"/>
      <c r="B10359" s="3"/>
      <c r="C10359" s="3"/>
      <c r="D10359" s="3"/>
      <c r="E10359" s="3">
        <v>16</v>
      </c>
      <c r="F10359" s="4" t="str">
        <f>HYPERLINK("http://141.218.60.56/~jnz1568/getInfo.php?workbook=20_05.xlsx&amp;sheet=U0&amp;row=10359&amp;col=6&amp;number=4.5&amp;sourceID=14","4.5")</f>
        <v>4.5</v>
      </c>
      <c r="G10359" s="4" t="str">
        <f>HYPERLINK("http://141.218.60.56/~jnz1568/getInfo.php?workbook=20_05.xlsx&amp;sheet=U0&amp;row=10359&amp;col=7&amp;number=0.159&amp;sourceID=14","0.159")</f>
        <v>0.159</v>
      </c>
    </row>
    <row r="10360" spans="1:7">
      <c r="A10360" s="3"/>
      <c r="B10360" s="3"/>
      <c r="C10360" s="3"/>
      <c r="D10360" s="3"/>
      <c r="E10360" s="3">
        <v>17</v>
      </c>
      <c r="F10360" s="4" t="str">
        <f>HYPERLINK("http://141.218.60.56/~jnz1568/getInfo.php?workbook=20_05.xlsx&amp;sheet=U0&amp;row=10360&amp;col=6&amp;number=4.6&amp;sourceID=14","4.6")</f>
        <v>4.6</v>
      </c>
      <c r="G10360" s="4" t="str">
        <f>HYPERLINK("http://141.218.60.56/~jnz1568/getInfo.php?workbook=20_05.xlsx&amp;sheet=U0&amp;row=10360&amp;col=7&amp;number=0.159&amp;sourceID=14","0.159")</f>
        <v>0.159</v>
      </c>
    </row>
    <row r="10361" spans="1:7">
      <c r="A10361" s="3"/>
      <c r="B10361" s="3"/>
      <c r="C10361" s="3"/>
      <c r="D10361" s="3"/>
      <c r="E10361" s="3">
        <v>18</v>
      </c>
      <c r="F10361" s="4" t="str">
        <f>HYPERLINK("http://141.218.60.56/~jnz1568/getInfo.php?workbook=20_05.xlsx&amp;sheet=U0&amp;row=10361&amp;col=6&amp;number=4.7&amp;sourceID=14","4.7")</f>
        <v>4.7</v>
      </c>
      <c r="G10361" s="4" t="str">
        <f>HYPERLINK("http://141.218.60.56/~jnz1568/getInfo.php?workbook=20_05.xlsx&amp;sheet=U0&amp;row=10361&amp;col=7&amp;number=0.159&amp;sourceID=14","0.159")</f>
        <v>0.159</v>
      </c>
    </row>
    <row r="10362" spans="1:7">
      <c r="A10362" s="3"/>
      <c r="B10362" s="3"/>
      <c r="C10362" s="3"/>
      <c r="D10362" s="3"/>
      <c r="E10362" s="3">
        <v>19</v>
      </c>
      <c r="F10362" s="4" t="str">
        <f>HYPERLINK("http://141.218.60.56/~jnz1568/getInfo.php?workbook=20_05.xlsx&amp;sheet=U0&amp;row=10362&amp;col=6&amp;number=4.8&amp;sourceID=14","4.8")</f>
        <v>4.8</v>
      </c>
      <c r="G10362" s="4" t="str">
        <f>HYPERLINK("http://141.218.60.56/~jnz1568/getInfo.php?workbook=20_05.xlsx&amp;sheet=U0&amp;row=10362&amp;col=7&amp;number=0.159&amp;sourceID=14","0.159")</f>
        <v>0.159</v>
      </c>
    </row>
    <row r="10363" spans="1:7">
      <c r="A10363" s="3"/>
      <c r="B10363" s="3"/>
      <c r="C10363" s="3"/>
      <c r="D10363" s="3"/>
      <c r="E10363" s="3">
        <v>20</v>
      </c>
      <c r="F10363" s="4" t="str">
        <f>HYPERLINK("http://141.218.60.56/~jnz1568/getInfo.php?workbook=20_05.xlsx&amp;sheet=U0&amp;row=10363&amp;col=6&amp;number=4.9&amp;sourceID=14","4.9")</f>
        <v>4.9</v>
      </c>
      <c r="G10363" s="4" t="str">
        <f>HYPERLINK("http://141.218.60.56/~jnz1568/getInfo.php?workbook=20_05.xlsx&amp;sheet=U0&amp;row=10363&amp;col=7&amp;number=0.159&amp;sourceID=14","0.159")</f>
        <v>0.159</v>
      </c>
    </row>
    <row r="10364" spans="1:7">
      <c r="A10364" s="3">
        <v>20</v>
      </c>
      <c r="B10364" s="3">
        <v>5</v>
      </c>
      <c r="C10364" s="3">
        <v>5</v>
      </c>
      <c r="D10364" s="3">
        <v>53</v>
      </c>
      <c r="E10364" s="3">
        <v>1</v>
      </c>
      <c r="F10364" s="4" t="str">
        <f>HYPERLINK("http://141.218.60.56/~jnz1568/getInfo.php?workbook=20_05.xlsx&amp;sheet=U0&amp;row=10364&amp;col=6&amp;number=3&amp;sourceID=14","3")</f>
        <v>3</v>
      </c>
      <c r="G10364" s="4" t="str">
        <f>HYPERLINK("http://141.218.60.56/~jnz1568/getInfo.php?workbook=20_05.xlsx&amp;sheet=U0&amp;row=10364&amp;col=7&amp;number=0.0169&amp;sourceID=14","0.0169")</f>
        <v>0.0169</v>
      </c>
    </row>
    <row r="10365" spans="1:7">
      <c r="A10365" s="3"/>
      <c r="B10365" s="3"/>
      <c r="C10365" s="3"/>
      <c r="D10365" s="3"/>
      <c r="E10365" s="3">
        <v>2</v>
      </c>
      <c r="F10365" s="4" t="str">
        <f>HYPERLINK("http://141.218.60.56/~jnz1568/getInfo.php?workbook=20_05.xlsx&amp;sheet=U0&amp;row=10365&amp;col=6&amp;number=3.1&amp;sourceID=14","3.1")</f>
        <v>3.1</v>
      </c>
      <c r="G10365" s="4" t="str">
        <f>HYPERLINK("http://141.218.60.56/~jnz1568/getInfo.php?workbook=20_05.xlsx&amp;sheet=U0&amp;row=10365&amp;col=7&amp;number=0.0169&amp;sourceID=14","0.0169")</f>
        <v>0.0169</v>
      </c>
    </row>
    <row r="10366" spans="1:7">
      <c r="A10366" s="3"/>
      <c r="B10366" s="3"/>
      <c r="C10366" s="3"/>
      <c r="D10366" s="3"/>
      <c r="E10366" s="3">
        <v>3</v>
      </c>
      <c r="F10366" s="4" t="str">
        <f>HYPERLINK("http://141.218.60.56/~jnz1568/getInfo.php?workbook=20_05.xlsx&amp;sheet=U0&amp;row=10366&amp;col=6&amp;number=3.2&amp;sourceID=14","3.2")</f>
        <v>3.2</v>
      </c>
      <c r="G10366" s="4" t="str">
        <f>HYPERLINK("http://141.218.60.56/~jnz1568/getInfo.php?workbook=20_05.xlsx&amp;sheet=U0&amp;row=10366&amp;col=7&amp;number=0.0169&amp;sourceID=14","0.0169")</f>
        <v>0.0169</v>
      </c>
    </row>
    <row r="10367" spans="1:7">
      <c r="A10367" s="3"/>
      <c r="B10367" s="3"/>
      <c r="C10367" s="3"/>
      <c r="D10367" s="3"/>
      <c r="E10367" s="3">
        <v>4</v>
      </c>
      <c r="F10367" s="4" t="str">
        <f>HYPERLINK("http://141.218.60.56/~jnz1568/getInfo.php?workbook=20_05.xlsx&amp;sheet=U0&amp;row=10367&amp;col=6&amp;number=3.3&amp;sourceID=14","3.3")</f>
        <v>3.3</v>
      </c>
      <c r="G10367" s="4" t="str">
        <f>HYPERLINK("http://141.218.60.56/~jnz1568/getInfo.php?workbook=20_05.xlsx&amp;sheet=U0&amp;row=10367&amp;col=7&amp;number=0.0169&amp;sourceID=14","0.0169")</f>
        <v>0.0169</v>
      </c>
    </row>
    <row r="10368" spans="1:7">
      <c r="A10368" s="3"/>
      <c r="B10368" s="3"/>
      <c r="C10368" s="3"/>
      <c r="D10368" s="3"/>
      <c r="E10368" s="3">
        <v>5</v>
      </c>
      <c r="F10368" s="4" t="str">
        <f>HYPERLINK("http://141.218.60.56/~jnz1568/getInfo.php?workbook=20_05.xlsx&amp;sheet=U0&amp;row=10368&amp;col=6&amp;number=3.4&amp;sourceID=14","3.4")</f>
        <v>3.4</v>
      </c>
      <c r="G10368" s="4" t="str">
        <f>HYPERLINK("http://141.218.60.56/~jnz1568/getInfo.php?workbook=20_05.xlsx&amp;sheet=U0&amp;row=10368&amp;col=7&amp;number=0.0169&amp;sourceID=14","0.0169")</f>
        <v>0.0169</v>
      </c>
    </row>
    <row r="10369" spans="1:7">
      <c r="A10369" s="3"/>
      <c r="B10369" s="3"/>
      <c r="C10369" s="3"/>
      <c r="D10369" s="3"/>
      <c r="E10369" s="3">
        <v>6</v>
      </c>
      <c r="F10369" s="4" t="str">
        <f>HYPERLINK("http://141.218.60.56/~jnz1568/getInfo.php?workbook=20_05.xlsx&amp;sheet=U0&amp;row=10369&amp;col=6&amp;number=3.5&amp;sourceID=14","3.5")</f>
        <v>3.5</v>
      </c>
      <c r="G10369" s="4" t="str">
        <f>HYPERLINK("http://141.218.60.56/~jnz1568/getInfo.php?workbook=20_05.xlsx&amp;sheet=U0&amp;row=10369&amp;col=7&amp;number=0.0169&amp;sourceID=14","0.0169")</f>
        <v>0.0169</v>
      </c>
    </row>
    <row r="10370" spans="1:7">
      <c r="A10370" s="3"/>
      <c r="B10370" s="3"/>
      <c r="C10370" s="3"/>
      <c r="D10370" s="3"/>
      <c r="E10370" s="3">
        <v>7</v>
      </c>
      <c r="F10370" s="4" t="str">
        <f>HYPERLINK("http://141.218.60.56/~jnz1568/getInfo.php?workbook=20_05.xlsx&amp;sheet=U0&amp;row=10370&amp;col=6&amp;number=3.6&amp;sourceID=14","3.6")</f>
        <v>3.6</v>
      </c>
      <c r="G10370" s="4" t="str">
        <f>HYPERLINK("http://141.218.60.56/~jnz1568/getInfo.php?workbook=20_05.xlsx&amp;sheet=U0&amp;row=10370&amp;col=7&amp;number=0.0169&amp;sourceID=14","0.0169")</f>
        <v>0.0169</v>
      </c>
    </row>
    <row r="10371" spans="1:7">
      <c r="A10371" s="3"/>
      <c r="B10371" s="3"/>
      <c r="C10371" s="3"/>
      <c r="D10371" s="3"/>
      <c r="E10371" s="3">
        <v>8</v>
      </c>
      <c r="F10371" s="4" t="str">
        <f>HYPERLINK("http://141.218.60.56/~jnz1568/getInfo.php?workbook=20_05.xlsx&amp;sheet=U0&amp;row=10371&amp;col=6&amp;number=3.7&amp;sourceID=14","3.7")</f>
        <v>3.7</v>
      </c>
      <c r="G10371" s="4" t="str">
        <f>HYPERLINK("http://141.218.60.56/~jnz1568/getInfo.php?workbook=20_05.xlsx&amp;sheet=U0&amp;row=10371&amp;col=7&amp;number=0.0169&amp;sourceID=14","0.0169")</f>
        <v>0.0169</v>
      </c>
    </row>
    <row r="10372" spans="1:7">
      <c r="A10372" s="3"/>
      <c r="B10372" s="3"/>
      <c r="C10372" s="3"/>
      <c r="D10372" s="3"/>
      <c r="E10372" s="3">
        <v>9</v>
      </c>
      <c r="F10372" s="4" t="str">
        <f>HYPERLINK("http://141.218.60.56/~jnz1568/getInfo.php?workbook=20_05.xlsx&amp;sheet=U0&amp;row=10372&amp;col=6&amp;number=3.8&amp;sourceID=14","3.8")</f>
        <v>3.8</v>
      </c>
      <c r="G10372" s="4" t="str">
        <f>HYPERLINK("http://141.218.60.56/~jnz1568/getInfo.php?workbook=20_05.xlsx&amp;sheet=U0&amp;row=10372&amp;col=7&amp;number=0.0169&amp;sourceID=14","0.0169")</f>
        <v>0.0169</v>
      </c>
    </row>
    <row r="10373" spans="1:7">
      <c r="A10373" s="3"/>
      <c r="B10373" s="3"/>
      <c r="C10373" s="3"/>
      <c r="D10373" s="3"/>
      <c r="E10373" s="3">
        <v>10</v>
      </c>
      <c r="F10373" s="4" t="str">
        <f>HYPERLINK("http://141.218.60.56/~jnz1568/getInfo.php?workbook=20_05.xlsx&amp;sheet=U0&amp;row=10373&amp;col=6&amp;number=3.9&amp;sourceID=14","3.9")</f>
        <v>3.9</v>
      </c>
      <c r="G10373" s="4" t="str">
        <f>HYPERLINK("http://141.218.60.56/~jnz1568/getInfo.php?workbook=20_05.xlsx&amp;sheet=U0&amp;row=10373&amp;col=7&amp;number=0.0169&amp;sourceID=14","0.0169")</f>
        <v>0.0169</v>
      </c>
    </row>
    <row r="10374" spans="1:7">
      <c r="A10374" s="3"/>
      <c r="B10374" s="3"/>
      <c r="C10374" s="3"/>
      <c r="D10374" s="3"/>
      <c r="E10374" s="3">
        <v>11</v>
      </c>
      <c r="F10374" s="4" t="str">
        <f>HYPERLINK("http://141.218.60.56/~jnz1568/getInfo.php?workbook=20_05.xlsx&amp;sheet=U0&amp;row=10374&amp;col=6&amp;number=4&amp;sourceID=14","4")</f>
        <v>4</v>
      </c>
      <c r="G10374" s="4" t="str">
        <f>HYPERLINK("http://141.218.60.56/~jnz1568/getInfo.php?workbook=20_05.xlsx&amp;sheet=U0&amp;row=10374&amp;col=7&amp;number=0.0169&amp;sourceID=14","0.0169")</f>
        <v>0.0169</v>
      </c>
    </row>
    <row r="10375" spans="1:7">
      <c r="A10375" s="3"/>
      <c r="B10375" s="3"/>
      <c r="C10375" s="3"/>
      <c r="D10375" s="3"/>
      <c r="E10375" s="3">
        <v>12</v>
      </c>
      <c r="F10375" s="4" t="str">
        <f>HYPERLINK("http://141.218.60.56/~jnz1568/getInfo.php?workbook=20_05.xlsx&amp;sheet=U0&amp;row=10375&amp;col=6&amp;number=4.1&amp;sourceID=14","4.1")</f>
        <v>4.1</v>
      </c>
      <c r="G10375" s="4" t="str">
        <f>HYPERLINK("http://141.218.60.56/~jnz1568/getInfo.php?workbook=20_05.xlsx&amp;sheet=U0&amp;row=10375&amp;col=7&amp;number=0.0169&amp;sourceID=14","0.0169")</f>
        <v>0.0169</v>
      </c>
    </row>
    <row r="10376" spans="1:7">
      <c r="A10376" s="3"/>
      <c r="B10376" s="3"/>
      <c r="C10376" s="3"/>
      <c r="D10376" s="3"/>
      <c r="E10376" s="3">
        <v>13</v>
      </c>
      <c r="F10376" s="4" t="str">
        <f>HYPERLINK("http://141.218.60.56/~jnz1568/getInfo.php?workbook=20_05.xlsx&amp;sheet=U0&amp;row=10376&amp;col=6&amp;number=4.2&amp;sourceID=14","4.2")</f>
        <v>4.2</v>
      </c>
      <c r="G10376" s="4" t="str">
        <f>HYPERLINK("http://141.218.60.56/~jnz1568/getInfo.php?workbook=20_05.xlsx&amp;sheet=U0&amp;row=10376&amp;col=7&amp;number=0.0169&amp;sourceID=14","0.0169")</f>
        <v>0.0169</v>
      </c>
    </row>
    <row r="10377" spans="1:7">
      <c r="A10377" s="3"/>
      <c r="B10377" s="3"/>
      <c r="C10377" s="3"/>
      <c r="D10377" s="3"/>
      <c r="E10377" s="3">
        <v>14</v>
      </c>
      <c r="F10377" s="4" t="str">
        <f>HYPERLINK("http://141.218.60.56/~jnz1568/getInfo.php?workbook=20_05.xlsx&amp;sheet=U0&amp;row=10377&amp;col=6&amp;number=4.3&amp;sourceID=14","4.3")</f>
        <v>4.3</v>
      </c>
      <c r="G10377" s="4" t="str">
        <f>HYPERLINK("http://141.218.60.56/~jnz1568/getInfo.php?workbook=20_05.xlsx&amp;sheet=U0&amp;row=10377&amp;col=7&amp;number=0.0169&amp;sourceID=14","0.0169")</f>
        <v>0.0169</v>
      </c>
    </row>
    <row r="10378" spans="1:7">
      <c r="A10378" s="3"/>
      <c r="B10378" s="3"/>
      <c r="C10378" s="3"/>
      <c r="D10378" s="3"/>
      <c r="E10378" s="3">
        <v>15</v>
      </c>
      <c r="F10378" s="4" t="str">
        <f>HYPERLINK("http://141.218.60.56/~jnz1568/getInfo.php?workbook=20_05.xlsx&amp;sheet=U0&amp;row=10378&amp;col=6&amp;number=4.4&amp;sourceID=14","4.4")</f>
        <v>4.4</v>
      </c>
      <c r="G10378" s="4" t="str">
        <f>HYPERLINK("http://141.218.60.56/~jnz1568/getInfo.php?workbook=20_05.xlsx&amp;sheet=U0&amp;row=10378&amp;col=7&amp;number=0.0169&amp;sourceID=14","0.0169")</f>
        <v>0.0169</v>
      </c>
    </row>
    <row r="10379" spans="1:7">
      <c r="A10379" s="3"/>
      <c r="B10379" s="3"/>
      <c r="C10379" s="3"/>
      <c r="D10379" s="3"/>
      <c r="E10379" s="3">
        <v>16</v>
      </c>
      <c r="F10379" s="4" t="str">
        <f>HYPERLINK("http://141.218.60.56/~jnz1568/getInfo.php?workbook=20_05.xlsx&amp;sheet=U0&amp;row=10379&amp;col=6&amp;number=4.5&amp;sourceID=14","4.5")</f>
        <v>4.5</v>
      </c>
      <c r="G10379" s="4" t="str">
        <f>HYPERLINK("http://141.218.60.56/~jnz1568/getInfo.php?workbook=20_05.xlsx&amp;sheet=U0&amp;row=10379&amp;col=7&amp;number=0.0169&amp;sourceID=14","0.0169")</f>
        <v>0.0169</v>
      </c>
    </row>
    <row r="10380" spans="1:7">
      <c r="A10380" s="3"/>
      <c r="B10380" s="3"/>
      <c r="C10380" s="3"/>
      <c r="D10380" s="3"/>
      <c r="E10380" s="3">
        <v>17</v>
      </c>
      <c r="F10380" s="4" t="str">
        <f>HYPERLINK("http://141.218.60.56/~jnz1568/getInfo.php?workbook=20_05.xlsx&amp;sheet=U0&amp;row=10380&amp;col=6&amp;number=4.6&amp;sourceID=14","4.6")</f>
        <v>4.6</v>
      </c>
      <c r="G10380" s="4" t="str">
        <f>HYPERLINK("http://141.218.60.56/~jnz1568/getInfo.php?workbook=20_05.xlsx&amp;sheet=U0&amp;row=10380&amp;col=7&amp;number=0.0169&amp;sourceID=14","0.0169")</f>
        <v>0.0169</v>
      </c>
    </row>
    <row r="10381" spans="1:7">
      <c r="A10381" s="3"/>
      <c r="B10381" s="3"/>
      <c r="C10381" s="3"/>
      <c r="D10381" s="3"/>
      <c r="E10381" s="3">
        <v>18</v>
      </c>
      <c r="F10381" s="4" t="str">
        <f>HYPERLINK("http://141.218.60.56/~jnz1568/getInfo.php?workbook=20_05.xlsx&amp;sheet=U0&amp;row=10381&amp;col=6&amp;number=4.7&amp;sourceID=14","4.7")</f>
        <v>4.7</v>
      </c>
      <c r="G10381" s="4" t="str">
        <f>HYPERLINK("http://141.218.60.56/~jnz1568/getInfo.php?workbook=20_05.xlsx&amp;sheet=U0&amp;row=10381&amp;col=7&amp;number=0.0169&amp;sourceID=14","0.0169")</f>
        <v>0.0169</v>
      </c>
    </row>
    <row r="10382" spans="1:7">
      <c r="A10382" s="3"/>
      <c r="B10382" s="3"/>
      <c r="C10382" s="3"/>
      <c r="D10382" s="3"/>
      <c r="E10382" s="3">
        <v>19</v>
      </c>
      <c r="F10382" s="4" t="str">
        <f>HYPERLINK("http://141.218.60.56/~jnz1568/getInfo.php?workbook=20_05.xlsx&amp;sheet=U0&amp;row=10382&amp;col=6&amp;number=4.8&amp;sourceID=14","4.8")</f>
        <v>4.8</v>
      </c>
      <c r="G10382" s="4" t="str">
        <f>HYPERLINK("http://141.218.60.56/~jnz1568/getInfo.php?workbook=20_05.xlsx&amp;sheet=U0&amp;row=10382&amp;col=7&amp;number=0.0168&amp;sourceID=14","0.0168")</f>
        <v>0.0168</v>
      </c>
    </row>
    <row r="10383" spans="1:7">
      <c r="A10383" s="3"/>
      <c r="B10383" s="3"/>
      <c r="C10383" s="3"/>
      <c r="D10383" s="3"/>
      <c r="E10383" s="3">
        <v>20</v>
      </c>
      <c r="F10383" s="4" t="str">
        <f>HYPERLINK("http://141.218.60.56/~jnz1568/getInfo.php?workbook=20_05.xlsx&amp;sheet=U0&amp;row=10383&amp;col=6&amp;number=4.9&amp;sourceID=14","4.9")</f>
        <v>4.9</v>
      </c>
      <c r="G10383" s="4" t="str">
        <f>HYPERLINK("http://141.218.60.56/~jnz1568/getInfo.php?workbook=20_05.xlsx&amp;sheet=U0&amp;row=10383&amp;col=7&amp;number=0.0168&amp;sourceID=14","0.0168")</f>
        <v>0.0168</v>
      </c>
    </row>
    <row r="10384" spans="1:7">
      <c r="A10384" s="3">
        <v>20</v>
      </c>
      <c r="B10384" s="3">
        <v>5</v>
      </c>
      <c r="C10384" s="3">
        <v>5</v>
      </c>
      <c r="D10384" s="3">
        <v>54</v>
      </c>
      <c r="E10384" s="3">
        <v>1</v>
      </c>
      <c r="F10384" s="4" t="str">
        <f>HYPERLINK("http://141.218.60.56/~jnz1568/getInfo.php?workbook=20_05.xlsx&amp;sheet=U0&amp;row=10384&amp;col=6&amp;number=3&amp;sourceID=14","3")</f>
        <v>3</v>
      </c>
      <c r="G10384" s="4" t="str">
        <f>HYPERLINK("http://141.218.60.56/~jnz1568/getInfo.php?workbook=20_05.xlsx&amp;sheet=U0&amp;row=10384&amp;col=7&amp;number=0.000487&amp;sourceID=14","0.000487")</f>
        <v>0.000487</v>
      </c>
    </row>
    <row r="10385" spans="1:7">
      <c r="A10385" s="3"/>
      <c r="B10385" s="3"/>
      <c r="C10385" s="3"/>
      <c r="D10385" s="3"/>
      <c r="E10385" s="3">
        <v>2</v>
      </c>
      <c r="F10385" s="4" t="str">
        <f>HYPERLINK("http://141.218.60.56/~jnz1568/getInfo.php?workbook=20_05.xlsx&amp;sheet=U0&amp;row=10385&amp;col=6&amp;number=3.1&amp;sourceID=14","3.1")</f>
        <v>3.1</v>
      </c>
      <c r="G10385" s="4" t="str">
        <f>HYPERLINK("http://141.218.60.56/~jnz1568/getInfo.php?workbook=20_05.xlsx&amp;sheet=U0&amp;row=10385&amp;col=7&amp;number=0.000487&amp;sourceID=14","0.000487")</f>
        <v>0.000487</v>
      </c>
    </row>
    <row r="10386" spans="1:7">
      <c r="A10386" s="3"/>
      <c r="B10386" s="3"/>
      <c r="C10386" s="3"/>
      <c r="D10386" s="3"/>
      <c r="E10386" s="3">
        <v>3</v>
      </c>
      <c r="F10386" s="4" t="str">
        <f>HYPERLINK("http://141.218.60.56/~jnz1568/getInfo.php?workbook=20_05.xlsx&amp;sheet=U0&amp;row=10386&amp;col=6&amp;number=3.2&amp;sourceID=14","3.2")</f>
        <v>3.2</v>
      </c>
      <c r="G10386" s="4" t="str">
        <f>HYPERLINK("http://141.218.60.56/~jnz1568/getInfo.php?workbook=20_05.xlsx&amp;sheet=U0&amp;row=10386&amp;col=7&amp;number=0.000487&amp;sourceID=14","0.000487")</f>
        <v>0.000487</v>
      </c>
    </row>
    <row r="10387" spans="1:7">
      <c r="A10387" s="3"/>
      <c r="B10387" s="3"/>
      <c r="C10387" s="3"/>
      <c r="D10387" s="3"/>
      <c r="E10387" s="3">
        <v>4</v>
      </c>
      <c r="F10387" s="4" t="str">
        <f>HYPERLINK("http://141.218.60.56/~jnz1568/getInfo.php?workbook=20_05.xlsx&amp;sheet=U0&amp;row=10387&amp;col=6&amp;number=3.3&amp;sourceID=14","3.3")</f>
        <v>3.3</v>
      </c>
      <c r="G10387" s="4" t="str">
        <f>HYPERLINK("http://141.218.60.56/~jnz1568/getInfo.php?workbook=20_05.xlsx&amp;sheet=U0&amp;row=10387&amp;col=7&amp;number=0.000487&amp;sourceID=14","0.000487")</f>
        <v>0.000487</v>
      </c>
    </row>
    <row r="10388" spans="1:7">
      <c r="A10388" s="3"/>
      <c r="B10388" s="3"/>
      <c r="C10388" s="3"/>
      <c r="D10388" s="3"/>
      <c r="E10388" s="3">
        <v>5</v>
      </c>
      <c r="F10388" s="4" t="str">
        <f>HYPERLINK("http://141.218.60.56/~jnz1568/getInfo.php?workbook=20_05.xlsx&amp;sheet=U0&amp;row=10388&amp;col=6&amp;number=3.4&amp;sourceID=14","3.4")</f>
        <v>3.4</v>
      </c>
      <c r="G10388" s="4" t="str">
        <f>HYPERLINK("http://141.218.60.56/~jnz1568/getInfo.php?workbook=20_05.xlsx&amp;sheet=U0&amp;row=10388&amp;col=7&amp;number=0.000487&amp;sourceID=14","0.000487")</f>
        <v>0.000487</v>
      </c>
    </row>
    <row r="10389" spans="1:7">
      <c r="A10389" s="3"/>
      <c r="B10389" s="3"/>
      <c r="C10389" s="3"/>
      <c r="D10389" s="3"/>
      <c r="E10389" s="3">
        <v>6</v>
      </c>
      <c r="F10389" s="4" t="str">
        <f>HYPERLINK("http://141.218.60.56/~jnz1568/getInfo.php?workbook=20_05.xlsx&amp;sheet=U0&amp;row=10389&amp;col=6&amp;number=3.5&amp;sourceID=14","3.5")</f>
        <v>3.5</v>
      </c>
      <c r="G10389" s="4" t="str">
        <f>HYPERLINK("http://141.218.60.56/~jnz1568/getInfo.php?workbook=20_05.xlsx&amp;sheet=U0&amp;row=10389&amp;col=7&amp;number=0.000486&amp;sourceID=14","0.000486")</f>
        <v>0.000486</v>
      </c>
    </row>
    <row r="10390" spans="1:7">
      <c r="A10390" s="3"/>
      <c r="B10390" s="3"/>
      <c r="C10390" s="3"/>
      <c r="D10390" s="3"/>
      <c r="E10390" s="3">
        <v>7</v>
      </c>
      <c r="F10390" s="4" t="str">
        <f>HYPERLINK("http://141.218.60.56/~jnz1568/getInfo.php?workbook=20_05.xlsx&amp;sheet=U0&amp;row=10390&amp;col=6&amp;number=3.6&amp;sourceID=14","3.6")</f>
        <v>3.6</v>
      </c>
      <c r="G10390" s="4" t="str">
        <f>HYPERLINK("http://141.218.60.56/~jnz1568/getInfo.php?workbook=20_05.xlsx&amp;sheet=U0&amp;row=10390&amp;col=7&amp;number=0.000486&amp;sourceID=14","0.000486")</f>
        <v>0.000486</v>
      </c>
    </row>
    <row r="10391" spans="1:7">
      <c r="A10391" s="3"/>
      <c r="B10391" s="3"/>
      <c r="C10391" s="3"/>
      <c r="D10391" s="3"/>
      <c r="E10391" s="3">
        <v>8</v>
      </c>
      <c r="F10391" s="4" t="str">
        <f>HYPERLINK("http://141.218.60.56/~jnz1568/getInfo.php?workbook=20_05.xlsx&amp;sheet=U0&amp;row=10391&amp;col=6&amp;number=3.7&amp;sourceID=14","3.7")</f>
        <v>3.7</v>
      </c>
      <c r="G10391" s="4" t="str">
        <f>HYPERLINK("http://141.218.60.56/~jnz1568/getInfo.php?workbook=20_05.xlsx&amp;sheet=U0&amp;row=10391&amp;col=7&amp;number=0.000486&amp;sourceID=14","0.000486")</f>
        <v>0.000486</v>
      </c>
    </row>
    <row r="10392" spans="1:7">
      <c r="A10392" s="3"/>
      <c r="B10392" s="3"/>
      <c r="C10392" s="3"/>
      <c r="D10392" s="3"/>
      <c r="E10392" s="3">
        <v>9</v>
      </c>
      <c r="F10392" s="4" t="str">
        <f>HYPERLINK("http://141.218.60.56/~jnz1568/getInfo.php?workbook=20_05.xlsx&amp;sheet=U0&amp;row=10392&amp;col=6&amp;number=3.8&amp;sourceID=14","3.8")</f>
        <v>3.8</v>
      </c>
      <c r="G10392" s="4" t="str">
        <f>HYPERLINK("http://141.218.60.56/~jnz1568/getInfo.php?workbook=20_05.xlsx&amp;sheet=U0&amp;row=10392&amp;col=7&amp;number=0.000486&amp;sourceID=14","0.000486")</f>
        <v>0.000486</v>
      </c>
    </row>
    <row r="10393" spans="1:7">
      <c r="A10393" s="3"/>
      <c r="B10393" s="3"/>
      <c r="C10393" s="3"/>
      <c r="D10393" s="3"/>
      <c r="E10393" s="3">
        <v>10</v>
      </c>
      <c r="F10393" s="4" t="str">
        <f>HYPERLINK("http://141.218.60.56/~jnz1568/getInfo.php?workbook=20_05.xlsx&amp;sheet=U0&amp;row=10393&amp;col=6&amp;number=3.9&amp;sourceID=14","3.9")</f>
        <v>3.9</v>
      </c>
      <c r="G10393" s="4" t="str">
        <f>HYPERLINK("http://141.218.60.56/~jnz1568/getInfo.php?workbook=20_05.xlsx&amp;sheet=U0&amp;row=10393&amp;col=7&amp;number=0.000486&amp;sourceID=14","0.000486")</f>
        <v>0.000486</v>
      </c>
    </row>
    <row r="10394" spans="1:7">
      <c r="A10394" s="3"/>
      <c r="B10394" s="3"/>
      <c r="C10394" s="3"/>
      <c r="D10394" s="3"/>
      <c r="E10394" s="3">
        <v>11</v>
      </c>
      <c r="F10394" s="4" t="str">
        <f>HYPERLINK("http://141.218.60.56/~jnz1568/getInfo.php?workbook=20_05.xlsx&amp;sheet=U0&amp;row=10394&amp;col=6&amp;number=4&amp;sourceID=14","4")</f>
        <v>4</v>
      </c>
      <c r="G10394" s="4" t="str">
        <f>HYPERLINK("http://141.218.60.56/~jnz1568/getInfo.php?workbook=20_05.xlsx&amp;sheet=U0&amp;row=10394&amp;col=7&amp;number=0.000486&amp;sourceID=14","0.000486")</f>
        <v>0.000486</v>
      </c>
    </row>
    <row r="10395" spans="1:7">
      <c r="A10395" s="3"/>
      <c r="B10395" s="3"/>
      <c r="C10395" s="3"/>
      <c r="D10395" s="3"/>
      <c r="E10395" s="3">
        <v>12</v>
      </c>
      <c r="F10395" s="4" t="str">
        <f>HYPERLINK("http://141.218.60.56/~jnz1568/getInfo.php?workbook=20_05.xlsx&amp;sheet=U0&amp;row=10395&amp;col=6&amp;number=4.1&amp;sourceID=14","4.1")</f>
        <v>4.1</v>
      </c>
      <c r="G10395" s="4" t="str">
        <f>HYPERLINK("http://141.218.60.56/~jnz1568/getInfo.php?workbook=20_05.xlsx&amp;sheet=U0&amp;row=10395&amp;col=7&amp;number=0.000486&amp;sourceID=14","0.000486")</f>
        <v>0.000486</v>
      </c>
    </row>
    <row r="10396" spans="1:7">
      <c r="A10396" s="3"/>
      <c r="B10396" s="3"/>
      <c r="C10396" s="3"/>
      <c r="D10396" s="3"/>
      <c r="E10396" s="3">
        <v>13</v>
      </c>
      <c r="F10396" s="4" t="str">
        <f>HYPERLINK("http://141.218.60.56/~jnz1568/getInfo.php?workbook=20_05.xlsx&amp;sheet=U0&amp;row=10396&amp;col=6&amp;number=4.2&amp;sourceID=14","4.2")</f>
        <v>4.2</v>
      </c>
      <c r="G10396" s="4" t="str">
        <f>HYPERLINK("http://141.218.60.56/~jnz1568/getInfo.php?workbook=20_05.xlsx&amp;sheet=U0&amp;row=10396&amp;col=7&amp;number=0.000486&amp;sourceID=14","0.000486")</f>
        <v>0.000486</v>
      </c>
    </row>
    <row r="10397" spans="1:7">
      <c r="A10397" s="3"/>
      <c r="B10397" s="3"/>
      <c r="C10397" s="3"/>
      <c r="D10397" s="3"/>
      <c r="E10397" s="3">
        <v>14</v>
      </c>
      <c r="F10397" s="4" t="str">
        <f>HYPERLINK("http://141.218.60.56/~jnz1568/getInfo.php?workbook=20_05.xlsx&amp;sheet=U0&amp;row=10397&amp;col=6&amp;number=4.3&amp;sourceID=14","4.3")</f>
        <v>4.3</v>
      </c>
      <c r="G10397" s="4" t="str">
        <f>HYPERLINK("http://141.218.60.56/~jnz1568/getInfo.php?workbook=20_05.xlsx&amp;sheet=U0&amp;row=10397&amp;col=7&amp;number=0.000486&amp;sourceID=14","0.000486")</f>
        <v>0.000486</v>
      </c>
    </row>
    <row r="10398" spans="1:7">
      <c r="A10398" s="3"/>
      <c r="B10398" s="3"/>
      <c r="C10398" s="3"/>
      <c r="D10398" s="3"/>
      <c r="E10398" s="3">
        <v>15</v>
      </c>
      <c r="F10398" s="4" t="str">
        <f>HYPERLINK("http://141.218.60.56/~jnz1568/getInfo.php?workbook=20_05.xlsx&amp;sheet=U0&amp;row=10398&amp;col=6&amp;number=4.4&amp;sourceID=14","4.4")</f>
        <v>4.4</v>
      </c>
      <c r="G10398" s="4" t="str">
        <f>HYPERLINK("http://141.218.60.56/~jnz1568/getInfo.php?workbook=20_05.xlsx&amp;sheet=U0&amp;row=10398&amp;col=7&amp;number=0.000486&amp;sourceID=14","0.000486")</f>
        <v>0.000486</v>
      </c>
    </row>
    <row r="10399" spans="1:7">
      <c r="A10399" s="3"/>
      <c r="B10399" s="3"/>
      <c r="C10399" s="3"/>
      <c r="D10399" s="3"/>
      <c r="E10399" s="3">
        <v>16</v>
      </c>
      <c r="F10399" s="4" t="str">
        <f>HYPERLINK("http://141.218.60.56/~jnz1568/getInfo.php?workbook=20_05.xlsx&amp;sheet=U0&amp;row=10399&amp;col=6&amp;number=4.5&amp;sourceID=14","4.5")</f>
        <v>4.5</v>
      </c>
      <c r="G10399" s="4" t="str">
        <f>HYPERLINK("http://141.218.60.56/~jnz1568/getInfo.php?workbook=20_05.xlsx&amp;sheet=U0&amp;row=10399&amp;col=7&amp;number=0.000485&amp;sourceID=14","0.000485")</f>
        <v>0.000485</v>
      </c>
    </row>
    <row r="10400" spans="1:7">
      <c r="A10400" s="3"/>
      <c r="B10400" s="3"/>
      <c r="C10400" s="3"/>
      <c r="D10400" s="3"/>
      <c r="E10400" s="3">
        <v>17</v>
      </c>
      <c r="F10400" s="4" t="str">
        <f>HYPERLINK("http://141.218.60.56/~jnz1568/getInfo.php?workbook=20_05.xlsx&amp;sheet=U0&amp;row=10400&amp;col=6&amp;number=4.6&amp;sourceID=14","4.6")</f>
        <v>4.6</v>
      </c>
      <c r="G10400" s="4" t="str">
        <f>HYPERLINK("http://141.218.60.56/~jnz1568/getInfo.php?workbook=20_05.xlsx&amp;sheet=U0&amp;row=10400&amp;col=7&amp;number=0.000485&amp;sourceID=14","0.000485")</f>
        <v>0.000485</v>
      </c>
    </row>
    <row r="10401" spans="1:7">
      <c r="A10401" s="3"/>
      <c r="B10401" s="3"/>
      <c r="C10401" s="3"/>
      <c r="D10401" s="3"/>
      <c r="E10401" s="3">
        <v>18</v>
      </c>
      <c r="F10401" s="4" t="str">
        <f>HYPERLINK("http://141.218.60.56/~jnz1568/getInfo.php?workbook=20_05.xlsx&amp;sheet=U0&amp;row=10401&amp;col=6&amp;number=4.7&amp;sourceID=14","4.7")</f>
        <v>4.7</v>
      </c>
      <c r="G10401" s="4" t="str">
        <f>HYPERLINK("http://141.218.60.56/~jnz1568/getInfo.php?workbook=20_05.xlsx&amp;sheet=U0&amp;row=10401&amp;col=7&amp;number=0.000485&amp;sourceID=14","0.000485")</f>
        <v>0.000485</v>
      </c>
    </row>
    <row r="10402" spans="1:7">
      <c r="A10402" s="3"/>
      <c r="B10402" s="3"/>
      <c r="C10402" s="3"/>
      <c r="D10402" s="3"/>
      <c r="E10402" s="3">
        <v>19</v>
      </c>
      <c r="F10402" s="4" t="str">
        <f>HYPERLINK("http://141.218.60.56/~jnz1568/getInfo.php?workbook=20_05.xlsx&amp;sheet=U0&amp;row=10402&amp;col=6&amp;number=4.8&amp;sourceID=14","4.8")</f>
        <v>4.8</v>
      </c>
      <c r="G10402" s="4" t="str">
        <f>HYPERLINK("http://141.218.60.56/~jnz1568/getInfo.php?workbook=20_05.xlsx&amp;sheet=U0&amp;row=10402&amp;col=7&amp;number=0.000484&amp;sourceID=14","0.000484")</f>
        <v>0.000484</v>
      </c>
    </row>
    <row r="10403" spans="1:7">
      <c r="A10403" s="3"/>
      <c r="B10403" s="3"/>
      <c r="C10403" s="3"/>
      <c r="D10403" s="3"/>
      <c r="E10403" s="3">
        <v>20</v>
      </c>
      <c r="F10403" s="4" t="str">
        <f>HYPERLINK("http://141.218.60.56/~jnz1568/getInfo.php?workbook=20_05.xlsx&amp;sheet=U0&amp;row=10403&amp;col=6&amp;number=4.9&amp;sourceID=14","4.9")</f>
        <v>4.9</v>
      </c>
      <c r="G10403" s="4" t="str">
        <f>HYPERLINK("http://141.218.60.56/~jnz1568/getInfo.php?workbook=20_05.xlsx&amp;sheet=U0&amp;row=10403&amp;col=7&amp;number=0.000484&amp;sourceID=14","0.000484")</f>
        <v>0.000484</v>
      </c>
    </row>
    <row r="10404" spans="1:7">
      <c r="A10404" s="3">
        <v>20</v>
      </c>
      <c r="B10404" s="3">
        <v>5</v>
      </c>
      <c r="C10404" s="3">
        <v>5</v>
      </c>
      <c r="D10404" s="3">
        <v>55</v>
      </c>
      <c r="E10404" s="3">
        <v>1</v>
      </c>
      <c r="F10404" s="4" t="str">
        <f>HYPERLINK("http://141.218.60.56/~jnz1568/getInfo.php?workbook=20_05.xlsx&amp;sheet=U0&amp;row=10404&amp;col=6&amp;number=3&amp;sourceID=14","3")</f>
        <v>3</v>
      </c>
      <c r="G10404" s="4" t="str">
        <f>HYPERLINK("http://141.218.60.56/~jnz1568/getInfo.php?workbook=20_05.xlsx&amp;sheet=U0&amp;row=10404&amp;col=7&amp;number=0.0566&amp;sourceID=14","0.0566")</f>
        <v>0.0566</v>
      </c>
    </row>
    <row r="10405" spans="1:7">
      <c r="A10405" s="3"/>
      <c r="B10405" s="3"/>
      <c r="C10405" s="3"/>
      <c r="D10405" s="3"/>
      <c r="E10405" s="3">
        <v>2</v>
      </c>
      <c r="F10405" s="4" t="str">
        <f>HYPERLINK("http://141.218.60.56/~jnz1568/getInfo.php?workbook=20_05.xlsx&amp;sheet=U0&amp;row=10405&amp;col=6&amp;number=3.1&amp;sourceID=14","3.1")</f>
        <v>3.1</v>
      </c>
      <c r="G10405" s="4" t="str">
        <f>HYPERLINK("http://141.218.60.56/~jnz1568/getInfo.php?workbook=20_05.xlsx&amp;sheet=U0&amp;row=10405&amp;col=7&amp;number=0.0566&amp;sourceID=14","0.0566")</f>
        <v>0.0566</v>
      </c>
    </row>
    <row r="10406" spans="1:7">
      <c r="A10406" s="3"/>
      <c r="B10406" s="3"/>
      <c r="C10406" s="3"/>
      <c r="D10406" s="3"/>
      <c r="E10406" s="3">
        <v>3</v>
      </c>
      <c r="F10406" s="4" t="str">
        <f>HYPERLINK("http://141.218.60.56/~jnz1568/getInfo.php?workbook=20_05.xlsx&amp;sheet=U0&amp;row=10406&amp;col=6&amp;number=3.2&amp;sourceID=14","3.2")</f>
        <v>3.2</v>
      </c>
      <c r="G10406" s="4" t="str">
        <f>HYPERLINK("http://141.218.60.56/~jnz1568/getInfo.php?workbook=20_05.xlsx&amp;sheet=U0&amp;row=10406&amp;col=7&amp;number=0.0566&amp;sourceID=14","0.0566")</f>
        <v>0.0566</v>
      </c>
    </row>
    <row r="10407" spans="1:7">
      <c r="A10407" s="3"/>
      <c r="B10407" s="3"/>
      <c r="C10407" s="3"/>
      <c r="D10407" s="3"/>
      <c r="E10407" s="3">
        <v>4</v>
      </c>
      <c r="F10407" s="4" t="str">
        <f>HYPERLINK("http://141.218.60.56/~jnz1568/getInfo.php?workbook=20_05.xlsx&amp;sheet=U0&amp;row=10407&amp;col=6&amp;number=3.3&amp;sourceID=14","3.3")</f>
        <v>3.3</v>
      </c>
      <c r="G10407" s="4" t="str">
        <f>HYPERLINK("http://141.218.60.56/~jnz1568/getInfo.php?workbook=20_05.xlsx&amp;sheet=U0&amp;row=10407&amp;col=7&amp;number=0.0566&amp;sourceID=14","0.0566")</f>
        <v>0.0566</v>
      </c>
    </row>
    <row r="10408" spans="1:7">
      <c r="A10408" s="3"/>
      <c r="B10408" s="3"/>
      <c r="C10408" s="3"/>
      <c r="D10408" s="3"/>
      <c r="E10408" s="3">
        <v>5</v>
      </c>
      <c r="F10408" s="4" t="str">
        <f>HYPERLINK("http://141.218.60.56/~jnz1568/getInfo.php?workbook=20_05.xlsx&amp;sheet=U0&amp;row=10408&amp;col=6&amp;number=3.4&amp;sourceID=14","3.4")</f>
        <v>3.4</v>
      </c>
      <c r="G10408" s="4" t="str">
        <f>HYPERLINK("http://141.218.60.56/~jnz1568/getInfo.php?workbook=20_05.xlsx&amp;sheet=U0&amp;row=10408&amp;col=7&amp;number=0.0566&amp;sourceID=14","0.0566")</f>
        <v>0.0566</v>
      </c>
    </row>
    <row r="10409" spans="1:7">
      <c r="A10409" s="3"/>
      <c r="B10409" s="3"/>
      <c r="C10409" s="3"/>
      <c r="D10409" s="3"/>
      <c r="E10409" s="3">
        <v>6</v>
      </c>
      <c r="F10409" s="4" t="str">
        <f>HYPERLINK("http://141.218.60.56/~jnz1568/getInfo.php?workbook=20_05.xlsx&amp;sheet=U0&amp;row=10409&amp;col=6&amp;number=3.5&amp;sourceID=14","3.5")</f>
        <v>3.5</v>
      </c>
      <c r="G10409" s="4" t="str">
        <f>HYPERLINK("http://141.218.60.56/~jnz1568/getInfo.php?workbook=20_05.xlsx&amp;sheet=U0&amp;row=10409&amp;col=7&amp;number=0.0566&amp;sourceID=14","0.0566")</f>
        <v>0.0566</v>
      </c>
    </row>
    <row r="10410" spans="1:7">
      <c r="A10410" s="3"/>
      <c r="B10410" s="3"/>
      <c r="C10410" s="3"/>
      <c r="D10410" s="3"/>
      <c r="E10410" s="3">
        <v>7</v>
      </c>
      <c r="F10410" s="4" t="str">
        <f>HYPERLINK("http://141.218.60.56/~jnz1568/getInfo.php?workbook=20_05.xlsx&amp;sheet=U0&amp;row=10410&amp;col=6&amp;number=3.6&amp;sourceID=14","3.6")</f>
        <v>3.6</v>
      </c>
      <c r="G10410" s="4" t="str">
        <f>HYPERLINK("http://141.218.60.56/~jnz1568/getInfo.php?workbook=20_05.xlsx&amp;sheet=U0&amp;row=10410&amp;col=7&amp;number=0.0566&amp;sourceID=14","0.0566")</f>
        <v>0.0566</v>
      </c>
    </row>
    <row r="10411" spans="1:7">
      <c r="A10411" s="3"/>
      <c r="B10411" s="3"/>
      <c r="C10411" s="3"/>
      <c r="D10411" s="3"/>
      <c r="E10411" s="3">
        <v>8</v>
      </c>
      <c r="F10411" s="4" t="str">
        <f>HYPERLINK("http://141.218.60.56/~jnz1568/getInfo.php?workbook=20_05.xlsx&amp;sheet=U0&amp;row=10411&amp;col=6&amp;number=3.7&amp;sourceID=14","3.7")</f>
        <v>3.7</v>
      </c>
      <c r="G10411" s="4" t="str">
        <f>HYPERLINK("http://141.218.60.56/~jnz1568/getInfo.php?workbook=20_05.xlsx&amp;sheet=U0&amp;row=10411&amp;col=7&amp;number=0.0566&amp;sourceID=14","0.0566")</f>
        <v>0.0566</v>
      </c>
    </row>
    <row r="10412" spans="1:7">
      <c r="A10412" s="3"/>
      <c r="B10412" s="3"/>
      <c r="C10412" s="3"/>
      <c r="D10412" s="3"/>
      <c r="E10412" s="3">
        <v>9</v>
      </c>
      <c r="F10412" s="4" t="str">
        <f>HYPERLINK("http://141.218.60.56/~jnz1568/getInfo.php?workbook=20_05.xlsx&amp;sheet=U0&amp;row=10412&amp;col=6&amp;number=3.8&amp;sourceID=14","3.8")</f>
        <v>3.8</v>
      </c>
      <c r="G10412" s="4" t="str">
        <f>HYPERLINK("http://141.218.60.56/~jnz1568/getInfo.php?workbook=20_05.xlsx&amp;sheet=U0&amp;row=10412&amp;col=7&amp;number=0.0566&amp;sourceID=14","0.0566")</f>
        <v>0.0566</v>
      </c>
    </row>
    <row r="10413" spans="1:7">
      <c r="A10413" s="3"/>
      <c r="B10413" s="3"/>
      <c r="C10413" s="3"/>
      <c r="D10413" s="3"/>
      <c r="E10413" s="3">
        <v>10</v>
      </c>
      <c r="F10413" s="4" t="str">
        <f>HYPERLINK("http://141.218.60.56/~jnz1568/getInfo.php?workbook=20_05.xlsx&amp;sheet=U0&amp;row=10413&amp;col=6&amp;number=3.9&amp;sourceID=14","3.9")</f>
        <v>3.9</v>
      </c>
      <c r="G10413" s="4" t="str">
        <f>HYPERLINK("http://141.218.60.56/~jnz1568/getInfo.php?workbook=20_05.xlsx&amp;sheet=U0&amp;row=10413&amp;col=7&amp;number=0.0566&amp;sourceID=14","0.0566")</f>
        <v>0.0566</v>
      </c>
    </row>
    <row r="10414" spans="1:7">
      <c r="A10414" s="3"/>
      <c r="B10414" s="3"/>
      <c r="C10414" s="3"/>
      <c r="D10414" s="3"/>
      <c r="E10414" s="3">
        <v>11</v>
      </c>
      <c r="F10414" s="4" t="str">
        <f>HYPERLINK("http://141.218.60.56/~jnz1568/getInfo.php?workbook=20_05.xlsx&amp;sheet=U0&amp;row=10414&amp;col=6&amp;number=4&amp;sourceID=14","4")</f>
        <v>4</v>
      </c>
      <c r="G10414" s="4" t="str">
        <f>HYPERLINK("http://141.218.60.56/~jnz1568/getInfo.php?workbook=20_05.xlsx&amp;sheet=U0&amp;row=10414&amp;col=7&amp;number=0.0566&amp;sourceID=14","0.0566")</f>
        <v>0.0566</v>
      </c>
    </row>
    <row r="10415" spans="1:7">
      <c r="A10415" s="3"/>
      <c r="B10415" s="3"/>
      <c r="C10415" s="3"/>
      <c r="D10415" s="3"/>
      <c r="E10415" s="3">
        <v>12</v>
      </c>
      <c r="F10415" s="4" t="str">
        <f>HYPERLINK("http://141.218.60.56/~jnz1568/getInfo.php?workbook=20_05.xlsx&amp;sheet=U0&amp;row=10415&amp;col=6&amp;number=4.1&amp;sourceID=14","4.1")</f>
        <v>4.1</v>
      </c>
      <c r="G10415" s="4" t="str">
        <f>HYPERLINK("http://141.218.60.56/~jnz1568/getInfo.php?workbook=20_05.xlsx&amp;sheet=U0&amp;row=10415&amp;col=7&amp;number=0.0567&amp;sourceID=14","0.0567")</f>
        <v>0.0567</v>
      </c>
    </row>
    <row r="10416" spans="1:7">
      <c r="A10416" s="3"/>
      <c r="B10416" s="3"/>
      <c r="C10416" s="3"/>
      <c r="D10416" s="3"/>
      <c r="E10416" s="3">
        <v>13</v>
      </c>
      <c r="F10416" s="4" t="str">
        <f>HYPERLINK("http://141.218.60.56/~jnz1568/getInfo.php?workbook=20_05.xlsx&amp;sheet=U0&amp;row=10416&amp;col=6&amp;number=4.2&amp;sourceID=14","4.2")</f>
        <v>4.2</v>
      </c>
      <c r="G10416" s="4" t="str">
        <f>HYPERLINK("http://141.218.60.56/~jnz1568/getInfo.php?workbook=20_05.xlsx&amp;sheet=U0&amp;row=10416&amp;col=7&amp;number=0.0567&amp;sourceID=14","0.0567")</f>
        <v>0.0567</v>
      </c>
    </row>
    <row r="10417" spans="1:7">
      <c r="A10417" s="3"/>
      <c r="B10417" s="3"/>
      <c r="C10417" s="3"/>
      <c r="D10417" s="3"/>
      <c r="E10417" s="3">
        <v>14</v>
      </c>
      <c r="F10417" s="4" t="str">
        <f>HYPERLINK("http://141.218.60.56/~jnz1568/getInfo.php?workbook=20_05.xlsx&amp;sheet=U0&amp;row=10417&amp;col=6&amp;number=4.3&amp;sourceID=14","4.3")</f>
        <v>4.3</v>
      </c>
      <c r="G10417" s="4" t="str">
        <f>HYPERLINK("http://141.218.60.56/~jnz1568/getInfo.php?workbook=20_05.xlsx&amp;sheet=U0&amp;row=10417&amp;col=7&amp;number=0.0567&amp;sourceID=14","0.0567")</f>
        <v>0.0567</v>
      </c>
    </row>
    <row r="10418" spans="1:7">
      <c r="A10418" s="3"/>
      <c r="B10418" s="3"/>
      <c r="C10418" s="3"/>
      <c r="D10418" s="3"/>
      <c r="E10418" s="3">
        <v>15</v>
      </c>
      <c r="F10418" s="4" t="str">
        <f>HYPERLINK("http://141.218.60.56/~jnz1568/getInfo.php?workbook=20_05.xlsx&amp;sheet=U0&amp;row=10418&amp;col=6&amp;number=4.4&amp;sourceID=14","4.4")</f>
        <v>4.4</v>
      </c>
      <c r="G10418" s="4" t="str">
        <f>HYPERLINK("http://141.218.60.56/~jnz1568/getInfo.php?workbook=20_05.xlsx&amp;sheet=U0&amp;row=10418&amp;col=7&amp;number=0.0567&amp;sourceID=14","0.0567")</f>
        <v>0.0567</v>
      </c>
    </row>
    <row r="10419" spans="1:7">
      <c r="A10419" s="3"/>
      <c r="B10419" s="3"/>
      <c r="C10419" s="3"/>
      <c r="D10419" s="3"/>
      <c r="E10419" s="3">
        <v>16</v>
      </c>
      <c r="F10419" s="4" t="str">
        <f>HYPERLINK("http://141.218.60.56/~jnz1568/getInfo.php?workbook=20_05.xlsx&amp;sheet=U0&amp;row=10419&amp;col=6&amp;number=4.5&amp;sourceID=14","4.5")</f>
        <v>4.5</v>
      </c>
      <c r="G10419" s="4" t="str">
        <f>HYPERLINK("http://141.218.60.56/~jnz1568/getInfo.php?workbook=20_05.xlsx&amp;sheet=U0&amp;row=10419&amp;col=7&amp;number=0.0567&amp;sourceID=14","0.0567")</f>
        <v>0.0567</v>
      </c>
    </row>
    <row r="10420" spans="1:7">
      <c r="A10420" s="3"/>
      <c r="B10420" s="3"/>
      <c r="C10420" s="3"/>
      <c r="D10420" s="3"/>
      <c r="E10420" s="3">
        <v>17</v>
      </c>
      <c r="F10420" s="4" t="str">
        <f>HYPERLINK("http://141.218.60.56/~jnz1568/getInfo.php?workbook=20_05.xlsx&amp;sheet=U0&amp;row=10420&amp;col=6&amp;number=4.6&amp;sourceID=14","4.6")</f>
        <v>4.6</v>
      </c>
      <c r="G10420" s="4" t="str">
        <f>HYPERLINK("http://141.218.60.56/~jnz1568/getInfo.php?workbook=20_05.xlsx&amp;sheet=U0&amp;row=10420&amp;col=7&amp;number=0.0567&amp;sourceID=14","0.0567")</f>
        <v>0.0567</v>
      </c>
    </row>
    <row r="10421" spans="1:7">
      <c r="A10421" s="3"/>
      <c r="B10421" s="3"/>
      <c r="C10421" s="3"/>
      <c r="D10421" s="3"/>
      <c r="E10421" s="3">
        <v>18</v>
      </c>
      <c r="F10421" s="4" t="str">
        <f>HYPERLINK("http://141.218.60.56/~jnz1568/getInfo.php?workbook=20_05.xlsx&amp;sheet=U0&amp;row=10421&amp;col=6&amp;number=4.7&amp;sourceID=14","4.7")</f>
        <v>4.7</v>
      </c>
      <c r="G10421" s="4" t="str">
        <f>HYPERLINK("http://141.218.60.56/~jnz1568/getInfo.php?workbook=20_05.xlsx&amp;sheet=U0&amp;row=10421&amp;col=7&amp;number=0.0567&amp;sourceID=14","0.0567")</f>
        <v>0.0567</v>
      </c>
    </row>
    <row r="10422" spans="1:7">
      <c r="A10422" s="3"/>
      <c r="B10422" s="3"/>
      <c r="C10422" s="3"/>
      <c r="D10422" s="3"/>
      <c r="E10422" s="3">
        <v>19</v>
      </c>
      <c r="F10422" s="4" t="str">
        <f>HYPERLINK("http://141.218.60.56/~jnz1568/getInfo.php?workbook=20_05.xlsx&amp;sheet=U0&amp;row=10422&amp;col=6&amp;number=4.8&amp;sourceID=14","4.8")</f>
        <v>4.8</v>
      </c>
      <c r="G10422" s="4" t="str">
        <f>HYPERLINK("http://141.218.60.56/~jnz1568/getInfo.php?workbook=20_05.xlsx&amp;sheet=U0&amp;row=10422&amp;col=7&amp;number=0.0568&amp;sourceID=14","0.0568")</f>
        <v>0.0568</v>
      </c>
    </row>
    <row r="10423" spans="1:7">
      <c r="A10423" s="3"/>
      <c r="B10423" s="3"/>
      <c r="C10423" s="3"/>
      <c r="D10423" s="3"/>
      <c r="E10423" s="3">
        <v>20</v>
      </c>
      <c r="F10423" s="4" t="str">
        <f>HYPERLINK("http://141.218.60.56/~jnz1568/getInfo.php?workbook=20_05.xlsx&amp;sheet=U0&amp;row=10423&amp;col=6&amp;number=4.9&amp;sourceID=14","4.9")</f>
        <v>4.9</v>
      </c>
      <c r="G10423" s="4" t="str">
        <f>HYPERLINK("http://141.218.60.56/~jnz1568/getInfo.php?workbook=20_05.xlsx&amp;sheet=U0&amp;row=10423&amp;col=7&amp;number=0.0568&amp;sourceID=14","0.0568")</f>
        <v>0.0568</v>
      </c>
    </row>
    <row r="10424" spans="1:7">
      <c r="A10424" s="3">
        <v>20</v>
      </c>
      <c r="B10424" s="3">
        <v>5</v>
      </c>
      <c r="C10424" s="3">
        <v>5</v>
      </c>
      <c r="D10424" s="3">
        <v>56</v>
      </c>
      <c r="E10424" s="3">
        <v>1</v>
      </c>
      <c r="F10424" s="4" t="str">
        <f>HYPERLINK("http://141.218.60.56/~jnz1568/getInfo.php?workbook=20_05.xlsx&amp;sheet=U0&amp;row=10424&amp;col=6&amp;number=3&amp;sourceID=14","3")</f>
        <v>3</v>
      </c>
      <c r="G10424" s="4" t="str">
        <f>HYPERLINK("http://141.218.60.56/~jnz1568/getInfo.php?workbook=20_05.xlsx&amp;sheet=U0&amp;row=10424&amp;col=7&amp;number=0.00057&amp;sourceID=14","0.00057")</f>
        <v>0.00057</v>
      </c>
    </row>
    <row r="10425" spans="1:7">
      <c r="A10425" s="3"/>
      <c r="B10425" s="3"/>
      <c r="C10425" s="3"/>
      <c r="D10425" s="3"/>
      <c r="E10425" s="3">
        <v>2</v>
      </c>
      <c r="F10425" s="4" t="str">
        <f>HYPERLINK("http://141.218.60.56/~jnz1568/getInfo.php?workbook=20_05.xlsx&amp;sheet=U0&amp;row=10425&amp;col=6&amp;number=3.1&amp;sourceID=14","3.1")</f>
        <v>3.1</v>
      </c>
      <c r="G10425" s="4" t="str">
        <f>HYPERLINK("http://141.218.60.56/~jnz1568/getInfo.php?workbook=20_05.xlsx&amp;sheet=U0&amp;row=10425&amp;col=7&amp;number=0.00057&amp;sourceID=14","0.00057")</f>
        <v>0.00057</v>
      </c>
    </row>
    <row r="10426" spans="1:7">
      <c r="A10426" s="3"/>
      <c r="B10426" s="3"/>
      <c r="C10426" s="3"/>
      <c r="D10426" s="3"/>
      <c r="E10426" s="3">
        <v>3</v>
      </c>
      <c r="F10426" s="4" t="str">
        <f>HYPERLINK("http://141.218.60.56/~jnz1568/getInfo.php?workbook=20_05.xlsx&amp;sheet=U0&amp;row=10426&amp;col=6&amp;number=3.2&amp;sourceID=14","3.2")</f>
        <v>3.2</v>
      </c>
      <c r="G10426" s="4" t="str">
        <f>HYPERLINK("http://141.218.60.56/~jnz1568/getInfo.php?workbook=20_05.xlsx&amp;sheet=U0&amp;row=10426&amp;col=7&amp;number=0.00057&amp;sourceID=14","0.00057")</f>
        <v>0.00057</v>
      </c>
    </row>
    <row r="10427" spans="1:7">
      <c r="A10427" s="3"/>
      <c r="B10427" s="3"/>
      <c r="C10427" s="3"/>
      <c r="D10427" s="3"/>
      <c r="E10427" s="3">
        <v>4</v>
      </c>
      <c r="F10427" s="4" t="str">
        <f>HYPERLINK("http://141.218.60.56/~jnz1568/getInfo.php?workbook=20_05.xlsx&amp;sheet=U0&amp;row=10427&amp;col=6&amp;number=3.3&amp;sourceID=14","3.3")</f>
        <v>3.3</v>
      </c>
      <c r="G10427" s="4" t="str">
        <f>HYPERLINK("http://141.218.60.56/~jnz1568/getInfo.php?workbook=20_05.xlsx&amp;sheet=U0&amp;row=10427&amp;col=7&amp;number=0.00057&amp;sourceID=14","0.00057")</f>
        <v>0.00057</v>
      </c>
    </row>
    <row r="10428" spans="1:7">
      <c r="A10428" s="3"/>
      <c r="B10428" s="3"/>
      <c r="C10428" s="3"/>
      <c r="D10428" s="3"/>
      <c r="E10428" s="3">
        <v>5</v>
      </c>
      <c r="F10428" s="4" t="str">
        <f>HYPERLINK("http://141.218.60.56/~jnz1568/getInfo.php?workbook=20_05.xlsx&amp;sheet=U0&amp;row=10428&amp;col=6&amp;number=3.4&amp;sourceID=14","3.4")</f>
        <v>3.4</v>
      </c>
      <c r="G10428" s="4" t="str">
        <f>HYPERLINK("http://141.218.60.56/~jnz1568/getInfo.php?workbook=20_05.xlsx&amp;sheet=U0&amp;row=10428&amp;col=7&amp;number=0.00057&amp;sourceID=14","0.00057")</f>
        <v>0.00057</v>
      </c>
    </row>
    <row r="10429" spans="1:7">
      <c r="A10429" s="3"/>
      <c r="B10429" s="3"/>
      <c r="C10429" s="3"/>
      <c r="D10429" s="3"/>
      <c r="E10429" s="3">
        <v>6</v>
      </c>
      <c r="F10429" s="4" t="str">
        <f>HYPERLINK("http://141.218.60.56/~jnz1568/getInfo.php?workbook=20_05.xlsx&amp;sheet=U0&amp;row=10429&amp;col=6&amp;number=3.5&amp;sourceID=14","3.5")</f>
        <v>3.5</v>
      </c>
      <c r="G10429" s="4" t="str">
        <f>HYPERLINK("http://141.218.60.56/~jnz1568/getInfo.php?workbook=20_05.xlsx&amp;sheet=U0&amp;row=10429&amp;col=7&amp;number=0.00057&amp;sourceID=14","0.00057")</f>
        <v>0.00057</v>
      </c>
    </row>
    <row r="10430" spans="1:7">
      <c r="A10430" s="3"/>
      <c r="B10430" s="3"/>
      <c r="C10430" s="3"/>
      <c r="D10430" s="3"/>
      <c r="E10430" s="3">
        <v>7</v>
      </c>
      <c r="F10430" s="4" t="str">
        <f>HYPERLINK("http://141.218.60.56/~jnz1568/getInfo.php?workbook=20_05.xlsx&amp;sheet=U0&amp;row=10430&amp;col=6&amp;number=3.6&amp;sourceID=14","3.6")</f>
        <v>3.6</v>
      </c>
      <c r="G10430" s="4" t="str">
        <f>HYPERLINK("http://141.218.60.56/~jnz1568/getInfo.php?workbook=20_05.xlsx&amp;sheet=U0&amp;row=10430&amp;col=7&amp;number=0.00057&amp;sourceID=14","0.00057")</f>
        <v>0.00057</v>
      </c>
    </row>
    <row r="10431" spans="1:7">
      <c r="A10431" s="3"/>
      <c r="B10431" s="3"/>
      <c r="C10431" s="3"/>
      <c r="D10431" s="3"/>
      <c r="E10431" s="3">
        <v>8</v>
      </c>
      <c r="F10431" s="4" t="str">
        <f>HYPERLINK("http://141.218.60.56/~jnz1568/getInfo.php?workbook=20_05.xlsx&amp;sheet=U0&amp;row=10431&amp;col=6&amp;number=3.7&amp;sourceID=14","3.7")</f>
        <v>3.7</v>
      </c>
      <c r="G10431" s="4" t="str">
        <f>HYPERLINK("http://141.218.60.56/~jnz1568/getInfo.php?workbook=20_05.xlsx&amp;sheet=U0&amp;row=10431&amp;col=7&amp;number=0.00057&amp;sourceID=14","0.00057")</f>
        <v>0.00057</v>
      </c>
    </row>
    <row r="10432" spans="1:7">
      <c r="A10432" s="3"/>
      <c r="B10432" s="3"/>
      <c r="C10432" s="3"/>
      <c r="D10432" s="3"/>
      <c r="E10432" s="3">
        <v>9</v>
      </c>
      <c r="F10432" s="4" t="str">
        <f>HYPERLINK("http://141.218.60.56/~jnz1568/getInfo.php?workbook=20_05.xlsx&amp;sheet=U0&amp;row=10432&amp;col=6&amp;number=3.8&amp;sourceID=14","3.8")</f>
        <v>3.8</v>
      </c>
      <c r="G10432" s="4" t="str">
        <f>HYPERLINK("http://141.218.60.56/~jnz1568/getInfo.php?workbook=20_05.xlsx&amp;sheet=U0&amp;row=10432&amp;col=7&amp;number=0.00057&amp;sourceID=14","0.00057")</f>
        <v>0.00057</v>
      </c>
    </row>
    <row r="10433" spans="1:7">
      <c r="A10433" s="3"/>
      <c r="B10433" s="3"/>
      <c r="C10433" s="3"/>
      <c r="D10433" s="3"/>
      <c r="E10433" s="3">
        <v>10</v>
      </c>
      <c r="F10433" s="4" t="str">
        <f>HYPERLINK("http://141.218.60.56/~jnz1568/getInfo.php?workbook=20_05.xlsx&amp;sheet=U0&amp;row=10433&amp;col=6&amp;number=3.9&amp;sourceID=14","3.9")</f>
        <v>3.9</v>
      </c>
      <c r="G10433" s="4" t="str">
        <f>HYPERLINK("http://141.218.60.56/~jnz1568/getInfo.php?workbook=20_05.xlsx&amp;sheet=U0&amp;row=10433&amp;col=7&amp;number=0.00057&amp;sourceID=14","0.00057")</f>
        <v>0.00057</v>
      </c>
    </row>
    <row r="10434" spans="1:7">
      <c r="A10434" s="3"/>
      <c r="B10434" s="3"/>
      <c r="C10434" s="3"/>
      <c r="D10434" s="3"/>
      <c r="E10434" s="3">
        <v>11</v>
      </c>
      <c r="F10434" s="4" t="str">
        <f>HYPERLINK("http://141.218.60.56/~jnz1568/getInfo.php?workbook=20_05.xlsx&amp;sheet=U0&amp;row=10434&amp;col=6&amp;number=4&amp;sourceID=14","4")</f>
        <v>4</v>
      </c>
      <c r="G10434" s="4" t="str">
        <f>HYPERLINK("http://141.218.60.56/~jnz1568/getInfo.php?workbook=20_05.xlsx&amp;sheet=U0&amp;row=10434&amp;col=7&amp;number=0.00057&amp;sourceID=14","0.00057")</f>
        <v>0.00057</v>
      </c>
    </row>
    <row r="10435" spans="1:7">
      <c r="A10435" s="3"/>
      <c r="B10435" s="3"/>
      <c r="C10435" s="3"/>
      <c r="D10435" s="3"/>
      <c r="E10435" s="3">
        <v>12</v>
      </c>
      <c r="F10435" s="4" t="str">
        <f>HYPERLINK("http://141.218.60.56/~jnz1568/getInfo.php?workbook=20_05.xlsx&amp;sheet=U0&amp;row=10435&amp;col=6&amp;number=4.1&amp;sourceID=14","4.1")</f>
        <v>4.1</v>
      </c>
      <c r="G10435" s="4" t="str">
        <f>HYPERLINK("http://141.218.60.56/~jnz1568/getInfo.php?workbook=20_05.xlsx&amp;sheet=U0&amp;row=10435&amp;col=7&amp;number=0.00057&amp;sourceID=14","0.00057")</f>
        <v>0.00057</v>
      </c>
    </row>
    <row r="10436" spans="1:7">
      <c r="A10436" s="3"/>
      <c r="B10436" s="3"/>
      <c r="C10436" s="3"/>
      <c r="D10436" s="3"/>
      <c r="E10436" s="3">
        <v>13</v>
      </c>
      <c r="F10436" s="4" t="str">
        <f>HYPERLINK("http://141.218.60.56/~jnz1568/getInfo.php?workbook=20_05.xlsx&amp;sheet=U0&amp;row=10436&amp;col=6&amp;number=4.2&amp;sourceID=14","4.2")</f>
        <v>4.2</v>
      </c>
      <c r="G10436" s="4" t="str">
        <f>HYPERLINK("http://141.218.60.56/~jnz1568/getInfo.php?workbook=20_05.xlsx&amp;sheet=U0&amp;row=10436&amp;col=7&amp;number=0.00057&amp;sourceID=14","0.00057")</f>
        <v>0.00057</v>
      </c>
    </row>
    <row r="10437" spans="1:7">
      <c r="A10437" s="3"/>
      <c r="B10437" s="3"/>
      <c r="C10437" s="3"/>
      <c r="D10437" s="3"/>
      <c r="E10437" s="3">
        <v>14</v>
      </c>
      <c r="F10437" s="4" t="str">
        <f>HYPERLINK("http://141.218.60.56/~jnz1568/getInfo.php?workbook=20_05.xlsx&amp;sheet=U0&amp;row=10437&amp;col=6&amp;number=4.3&amp;sourceID=14","4.3")</f>
        <v>4.3</v>
      </c>
      <c r="G10437" s="4" t="str">
        <f>HYPERLINK("http://141.218.60.56/~jnz1568/getInfo.php?workbook=20_05.xlsx&amp;sheet=U0&amp;row=10437&amp;col=7&amp;number=0.00057&amp;sourceID=14","0.00057")</f>
        <v>0.00057</v>
      </c>
    </row>
    <row r="10438" spans="1:7">
      <c r="A10438" s="3"/>
      <c r="B10438" s="3"/>
      <c r="C10438" s="3"/>
      <c r="D10438" s="3"/>
      <c r="E10438" s="3">
        <v>15</v>
      </c>
      <c r="F10438" s="4" t="str">
        <f>HYPERLINK("http://141.218.60.56/~jnz1568/getInfo.php?workbook=20_05.xlsx&amp;sheet=U0&amp;row=10438&amp;col=6&amp;number=4.4&amp;sourceID=14","4.4")</f>
        <v>4.4</v>
      </c>
      <c r="G10438" s="4" t="str">
        <f>HYPERLINK("http://141.218.60.56/~jnz1568/getInfo.php?workbook=20_05.xlsx&amp;sheet=U0&amp;row=10438&amp;col=7&amp;number=0.00057&amp;sourceID=14","0.00057")</f>
        <v>0.00057</v>
      </c>
    </row>
    <row r="10439" spans="1:7">
      <c r="A10439" s="3"/>
      <c r="B10439" s="3"/>
      <c r="C10439" s="3"/>
      <c r="D10439" s="3"/>
      <c r="E10439" s="3">
        <v>16</v>
      </c>
      <c r="F10439" s="4" t="str">
        <f>HYPERLINK("http://141.218.60.56/~jnz1568/getInfo.php?workbook=20_05.xlsx&amp;sheet=U0&amp;row=10439&amp;col=6&amp;number=4.5&amp;sourceID=14","4.5")</f>
        <v>4.5</v>
      </c>
      <c r="G10439" s="4" t="str">
        <f>HYPERLINK("http://141.218.60.56/~jnz1568/getInfo.php?workbook=20_05.xlsx&amp;sheet=U0&amp;row=10439&amp;col=7&amp;number=0.00057&amp;sourceID=14","0.00057")</f>
        <v>0.00057</v>
      </c>
    </row>
    <row r="10440" spans="1:7">
      <c r="A10440" s="3"/>
      <c r="B10440" s="3"/>
      <c r="C10440" s="3"/>
      <c r="D10440" s="3"/>
      <c r="E10440" s="3">
        <v>17</v>
      </c>
      <c r="F10440" s="4" t="str">
        <f>HYPERLINK("http://141.218.60.56/~jnz1568/getInfo.php?workbook=20_05.xlsx&amp;sheet=U0&amp;row=10440&amp;col=6&amp;number=4.6&amp;sourceID=14","4.6")</f>
        <v>4.6</v>
      </c>
      <c r="G10440" s="4" t="str">
        <f>HYPERLINK("http://141.218.60.56/~jnz1568/getInfo.php?workbook=20_05.xlsx&amp;sheet=U0&amp;row=10440&amp;col=7&amp;number=0.00057&amp;sourceID=14","0.00057")</f>
        <v>0.00057</v>
      </c>
    </row>
    <row r="10441" spans="1:7">
      <c r="A10441" s="3"/>
      <c r="B10441" s="3"/>
      <c r="C10441" s="3"/>
      <c r="D10441" s="3"/>
      <c r="E10441" s="3">
        <v>18</v>
      </c>
      <c r="F10441" s="4" t="str">
        <f>HYPERLINK("http://141.218.60.56/~jnz1568/getInfo.php?workbook=20_05.xlsx&amp;sheet=U0&amp;row=10441&amp;col=6&amp;number=4.7&amp;sourceID=14","4.7")</f>
        <v>4.7</v>
      </c>
      <c r="G10441" s="4" t="str">
        <f>HYPERLINK("http://141.218.60.56/~jnz1568/getInfo.php?workbook=20_05.xlsx&amp;sheet=U0&amp;row=10441&amp;col=7&amp;number=0.00057&amp;sourceID=14","0.00057")</f>
        <v>0.00057</v>
      </c>
    </row>
    <row r="10442" spans="1:7">
      <c r="A10442" s="3"/>
      <c r="B10442" s="3"/>
      <c r="C10442" s="3"/>
      <c r="D10442" s="3"/>
      <c r="E10442" s="3">
        <v>19</v>
      </c>
      <c r="F10442" s="4" t="str">
        <f>HYPERLINK("http://141.218.60.56/~jnz1568/getInfo.php?workbook=20_05.xlsx&amp;sheet=U0&amp;row=10442&amp;col=6&amp;number=4.8&amp;sourceID=14","4.8")</f>
        <v>4.8</v>
      </c>
      <c r="G10442" s="4" t="str">
        <f>HYPERLINK("http://141.218.60.56/~jnz1568/getInfo.php?workbook=20_05.xlsx&amp;sheet=U0&amp;row=10442&amp;col=7&amp;number=0.00057&amp;sourceID=14","0.00057")</f>
        <v>0.00057</v>
      </c>
    </row>
    <row r="10443" spans="1:7">
      <c r="A10443" s="3"/>
      <c r="B10443" s="3"/>
      <c r="C10443" s="3"/>
      <c r="D10443" s="3"/>
      <c r="E10443" s="3">
        <v>20</v>
      </c>
      <c r="F10443" s="4" t="str">
        <f>HYPERLINK("http://141.218.60.56/~jnz1568/getInfo.php?workbook=20_05.xlsx&amp;sheet=U0&amp;row=10443&amp;col=6&amp;number=4.9&amp;sourceID=14","4.9")</f>
        <v>4.9</v>
      </c>
      <c r="G10443" s="4" t="str">
        <f>HYPERLINK("http://141.218.60.56/~jnz1568/getInfo.php?workbook=20_05.xlsx&amp;sheet=U0&amp;row=10443&amp;col=7&amp;number=0.00057&amp;sourceID=14","0.00057")</f>
        <v>0.00057</v>
      </c>
    </row>
    <row r="10444" spans="1:7">
      <c r="A10444" s="3">
        <v>20</v>
      </c>
      <c r="B10444" s="3">
        <v>5</v>
      </c>
      <c r="C10444" s="3">
        <v>5</v>
      </c>
      <c r="D10444" s="3">
        <v>57</v>
      </c>
      <c r="E10444" s="3">
        <v>1</v>
      </c>
      <c r="F10444" s="4" t="str">
        <f>HYPERLINK("http://141.218.60.56/~jnz1568/getInfo.php?workbook=20_05.xlsx&amp;sheet=U0&amp;row=10444&amp;col=6&amp;number=3&amp;sourceID=14","3")</f>
        <v>3</v>
      </c>
      <c r="G10444" s="4" t="str">
        <f>HYPERLINK("http://141.218.60.56/~jnz1568/getInfo.php?workbook=20_05.xlsx&amp;sheet=U0&amp;row=10444&amp;col=7&amp;number=0.000683&amp;sourceID=14","0.000683")</f>
        <v>0.000683</v>
      </c>
    </row>
    <row r="10445" spans="1:7">
      <c r="A10445" s="3"/>
      <c r="B10445" s="3"/>
      <c r="C10445" s="3"/>
      <c r="D10445" s="3"/>
      <c r="E10445" s="3">
        <v>2</v>
      </c>
      <c r="F10445" s="4" t="str">
        <f>HYPERLINK("http://141.218.60.56/~jnz1568/getInfo.php?workbook=20_05.xlsx&amp;sheet=U0&amp;row=10445&amp;col=6&amp;number=3.1&amp;sourceID=14","3.1")</f>
        <v>3.1</v>
      </c>
      <c r="G10445" s="4" t="str">
        <f>HYPERLINK("http://141.218.60.56/~jnz1568/getInfo.php?workbook=20_05.xlsx&amp;sheet=U0&amp;row=10445&amp;col=7&amp;number=0.000683&amp;sourceID=14","0.000683")</f>
        <v>0.000683</v>
      </c>
    </row>
    <row r="10446" spans="1:7">
      <c r="A10446" s="3"/>
      <c r="B10446" s="3"/>
      <c r="C10446" s="3"/>
      <c r="D10446" s="3"/>
      <c r="E10446" s="3">
        <v>3</v>
      </c>
      <c r="F10446" s="4" t="str">
        <f>HYPERLINK("http://141.218.60.56/~jnz1568/getInfo.php?workbook=20_05.xlsx&amp;sheet=U0&amp;row=10446&amp;col=6&amp;number=3.2&amp;sourceID=14","3.2")</f>
        <v>3.2</v>
      </c>
      <c r="G10446" s="4" t="str">
        <f>HYPERLINK("http://141.218.60.56/~jnz1568/getInfo.php?workbook=20_05.xlsx&amp;sheet=U0&amp;row=10446&amp;col=7&amp;number=0.000683&amp;sourceID=14","0.000683")</f>
        <v>0.000683</v>
      </c>
    </row>
    <row r="10447" spans="1:7">
      <c r="A10447" s="3"/>
      <c r="B10447" s="3"/>
      <c r="C10447" s="3"/>
      <c r="D10447" s="3"/>
      <c r="E10447" s="3">
        <v>4</v>
      </c>
      <c r="F10447" s="4" t="str">
        <f>HYPERLINK("http://141.218.60.56/~jnz1568/getInfo.php?workbook=20_05.xlsx&amp;sheet=U0&amp;row=10447&amp;col=6&amp;number=3.3&amp;sourceID=14","3.3")</f>
        <v>3.3</v>
      </c>
      <c r="G10447" s="4" t="str">
        <f>HYPERLINK("http://141.218.60.56/~jnz1568/getInfo.php?workbook=20_05.xlsx&amp;sheet=U0&amp;row=10447&amp;col=7&amp;number=0.000683&amp;sourceID=14","0.000683")</f>
        <v>0.000683</v>
      </c>
    </row>
    <row r="10448" spans="1:7">
      <c r="A10448" s="3"/>
      <c r="B10448" s="3"/>
      <c r="C10448" s="3"/>
      <c r="D10448" s="3"/>
      <c r="E10448" s="3">
        <v>5</v>
      </c>
      <c r="F10448" s="4" t="str">
        <f>HYPERLINK("http://141.218.60.56/~jnz1568/getInfo.php?workbook=20_05.xlsx&amp;sheet=U0&amp;row=10448&amp;col=6&amp;number=3.4&amp;sourceID=14","3.4")</f>
        <v>3.4</v>
      </c>
      <c r="G10448" s="4" t="str">
        <f>HYPERLINK("http://141.218.60.56/~jnz1568/getInfo.php?workbook=20_05.xlsx&amp;sheet=U0&amp;row=10448&amp;col=7&amp;number=0.000683&amp;sourceID=14","0.000683")</f>
        <v>0.000683</v>
      </c>
    </row>
    <row r="10449" spans="1:7">
      <c r="A10449" s="3"/>
      <c r="B10449" s="3"/>
      <c r="C10449" s="3"/>
      <c r="D10449" s="3"/>
      <c r="E10449" s="3">
        <v>6</v>
      </c>
      <c r="F10449" s="4" t="str">
        <f>HYPERLINK("http://141.218.60.56/~jnz1568/getInfo.php?workbook=20_05.xlsx&amp;sheet=U0&amp;row=10449&amp;col=6&amp;number=3.5&amp;sourceID=14","3.5")</f>
        <v>3.5</v>
      </c>
      <c r="G10449" s="4" t="str">
        <f>HYPERLINK("http://141.218.60.56/~jnz1568/getInfo.php?workbook=20_05.xlsx&amp;sheet=U0&amp;row=10449&amp;col=7&amp;number=0.000683&amp;sourceID=14","0.000683")</f>
        <v>0.000683</v>
      </c>
    </row>
    <row r="10450" spans="1:7">
      <c r="A10450" s="3"/>
      <c r="B10450" s="3"/>
      <c r="C10450" s="3"/>
      <c r="D10450" s="3"/>
      <c r="E10450" s="3">
        <v>7</v>
      </c>
      <c r="F10450" s="4" t="str">
        <f>HYPERLINK("http://141.218.60.56/~jnz1568/getInfo.php?workbook=20_05.xlsx&amp;sheet=U0&amp;row=10450&amp;col=6&amp;number=3.6&amp;sourceID=14","3.6")</f>
        <v>3.6</v>
      </c>
      <c r="G10450" s="4" t="str">
        <f>HYPERLINK("http://141.218.60.56/~jnz1568/getInfo.php?workbook=20_05.xlsx&amp;sheet=U0&amp;row=10450&amp;col=7&amp;number=0.000683&amp;sourceID=14","0.000683")</f>
        <v>0.000683</v>
      </c>
    </row>
    <row r="10451" spans="1:7">
      <c r="A10451" s="3"/>
      <c r="B10451" s="3"/>
      <c r="C10451" s="3"/>
      <c r="D10451" s="3"/>
      <c r="E10451" s="3">
        <v>8</v>
      </c>
      <c r="F10451" s="4" t="str">
        <f>HYPERLINK("http://141.218.60.56/~jnz1568/getInfo.php?workbook=20_05.xlsx&amp;sheet=U0&amp;row=10451&amp;col=6&amp;number=3.7&amp;sourceID=14","3.7")</f>
        <v>3.7</v>
      </c>
      <c r="G10451" s="4" t="str">
        <f>HYPERLINK("http://141.218.60.56/~jnz1568/getInfo.php?workbook=20_05.xlsx&amp;sheet=U0&amp;row=10451&amp;col=7&amp;number=0.000683&amp;sourceID=14","0.000683")</f>
        <v>0.000683</v>
      </c>
    </row>
    <row r="10452" spans="1:7">
      <c r="A10452" s="3"/>
      <c r="B10452" s="3"/>
      <c r="C10452" s="3"/>
      <c r="D10452" s="3"/>
      <c r="E10452" s="3">
        <v>9</v>
      </c>
      <c r="F10452" s="4" t="str">
        <f>HYPERLINK("http://141.218.60.56/~jnz1568/getInfo.php?workbook=20_05.xlsx&amp;sheet=U0&amp;row=10452&amp;col=6&amp;number=3.8&amp;sourceID=14","3.8")</f>
        <v>3.8</v>
      </c>
      <c r="G10452" s="4" t="str">
        <f>HYPERLINK("http://141.218.60.56/~jnz1568/getInfo.php?workbook=20_05.xlsx&amp;sheet=U0&amp;row=10452&amp;col=7&amp;number=0.000683&amp;sourceID=14","0.000683")</f>
        <v>0.000683</v>
      </c>
    </row>
    <row r="10453" spans="1:7">
      <c r="A10453" s="3"/>
      <c r="B10453" s="3"/>
      <c r="C10453" s="3"/>
      <c r="D10453" s="3"/>
      <c r="E10453" s="3">
        <v>10</v>
      </c>
      <c r="F10453" s="4" t="str">
        <f>HYPERLINK("http://141.218.60.56/~jnz1568/getInfo.php?workbook=20_05.xlsx&amp;sheet=U0&amp;row=10453&amp;col=6&amp;number=3.9&amp;sourceID=14","3.9")</f>
        <v>3.9</v>
      </c>
      <c r="G10453" s="4" t="str">
        <f>HYPERLINK("http://141.218.60.56/~jnz1568/getInfo.php?workbook=20_05.xlsx&amp;sheet=U0&amp;row=10453&amp;col=7&amp;number=0.000683&amp;sourceID=14","0.000683")</f>
        <v>0.000683</v>
      </c>
    </row>
    <row r="10454" spans="1:7">
      <c r="A10454" s="3"/>
      <c r="B10454" s="3"/>
      <c r="C10454" s="3"/>
      <c r="D10454" s="3"/>
      <c r="E10454" s="3">
        <v>11</v>
      </c>
      <c r="F10454" s="4" t="str">
        <f>HYPERLINK("http://141.218.60.56/~jnz1568/getInfo.php?workbook=20_05.xlsx&amp;sheet=U0&amp;row=10454&amp;col=6&amp;number=4&amp;sourceID=14","4")</f>
        <v>4</v>
      </c>
      <c r="G10454" s="4" t="str">
        <f>HYPERLINK("http://141.218.60.56/~jnz1568/getInfo.php?workbook=20_05.xlsx&amp;sheet=U0&amp;row=10454&amp;col=7&amp;number=0.000683&amp;sourceID=14","0.000683")</f>
        <v>0.000683</v>
      </c>
    </row>
    <row r="10455" spans="1:7">
      <c r="A10455" s="3"/>
      <c r="B10455" s="3"/>
      <c r="C10455" s="3"/>
      <c r="D10455" s="3"/>
      <c r="E10455" s="3">
        <v>12</v>
      </c>
      <c r="F10455" s="4" t="str">
        <f>HYPERLINK("http://141.218.60.56/~jnz1568/getInfo.php?workbook=20_05.xlsx&amp;sheet=U0&amp;row=10455&amp;col=6&amp;number=4.1&amp;sourceID=14","4.1")</f>
        <v>4.1</v>
      </c>
      <c r="G10455" s="4" t="str">
        <f>HYPERLINK("http://141.218.60.56/~jnz1568/getInfo.php?workbook=20_05.xlsx&amp;sheet=U0&amp;row=10455&amp;col=7&amp;number=0.000683&amp;sourceID=14","0.000683")</f>
        <v>0.000683</v>
      </c>
    </row>
    <row r="10456" spans="1:7">
      <c r="A10456" s="3"/>
      <c r="B10456" s="3"/>
      <c r="C10456" s="3"/>
      <c r="D10456" s="3"/>
      <c r="E10456" s="3">
        <v>13</v>
      </c>
      <c r="F10456" s="4" t="str">
        <f>HYPERLINK("http://141.218.60.56/~jnz1568/getInfo.php?workbook=20_05.xlsx&amp;sheet=U0&amp;row=10456&amp;col=6&amp;number=4.2&amp;sourceID=14","4.2")</f>
        <v>4.2</v>
      </c>
      <c r="G10456" s="4" t="str">
        <f>HYPERLINK("http://141.218.60.56/~jnz1568/getInfo.php?workbook=20_05.xlsx&amp;sheet=U0&amp;row=10456&amp;col=7&amp;number=0.000683&amp;sourceID=14","0.000683")</f>
        <v>0.000683</v>
      </c>
    </row>
    <row r="10457" spans="1:7">
      <c r="A10457" s="3"/>
      <c r="B10457" s="3"/>
      <c r="C10457" s="3"/>
      <c r="D10457" s="3"/>
      <c r="E10457" s="3">
        <v>14</v>
      </c>
      <c r="F10457" s="4" t="str">
        <f>HYPERLINK("http://141.218.60.56/~jnz1568/getInfo.php?workbook=20_05.xlsx&amp;sheet=U0&amp;row=10457&amp;col=6&amp;number=4.3&amp;sourceID=14","4.3")</f>
        <v>4.3</v>
      </c>
      <c r="G10457" s="4" t="str">
        <f>HYPERLINK("http://141.218.60.56/~jnz1568/getInfo.php?workbook=20_05.xlsx&amp;sheet=U0&amp;row=10457&amp;col=7&amp;number=0.000683&amp;sourceID=14","0.000683")</f>
        <v>0.000683</v>
      </c>
    </row>
    <row r="10458" spans="1:7">
      <c r="A10458" s="3"/>
      <c r="B10458" s="3"/>
      <c r="C10458" s="3"/>
      <c r="D10458" s="3"/>
      <c r="E10458" s="3">
        <v>15</v>
      </c>
      <c r="F10458" s="4" t="str">
        <f>HYPERLINK("http://141.218.60.56/~jnz1568/getInfo.php?workbook=20_05.xlsx&amp;sheet=U0&amp;row=10458&amp;col=6&amp;number=4.4&amp;sourceID=14","4.4")</f>
        <v>4.4</v>
      </c>
      <c r="G10458" s="4" t="str">
        <f>HYPERLINK("http://141.218.60.56/~jnz1568/getInfo.php?workbook=20_05.xlsx&amp;sheet=U0&amp;row=10458&amp;col=7&amp;number=0.000683&amp;sourceID=14","0.000683")</f>
        <v>0.000683</v>
      </c>
    </row>
    <row r="10459" spans="1:7">
      <c r="A10459" s="3"/>
      <c r="B10459" s="3"/>
      <c r="C10459" s="3"/>
      <c r="D10459" s="3"/>
      <c r="E10459" s="3">
        <v>16</v>
      </c>
      <c r="F10459" s="4" t="str">
        <f>HYPERLINK("http://141.218.60.56/~jnz1568/getInfo.php?workbook=20_05.xlsx&amp;sheet=U0&amp;row=10459&amp;col=6&amp;number=4.5&amp;sourceID=14","4.5")</f>
        <v>4.5</v>
      </c>
      <c r="G10459" s="4" t="str">
        <f>HYPERLINK("http://141.218.60.56/~jnz1568/getInfo.php?workbook=20_05.xlsx&amp;sheet=U0&amp;row=10459&amp;col=7&amp;number=0.000683&amp;sourceID=14","0.000683")</f>
        <v>0.000683</v>
      </c>
    </row>
    <row r="10460" spans="1:7">
      <c r="A10460" s="3"/>
      <c r="B10460" s="3"/>
      <c r="C10460" s="3"/>
      <c r="D10460" s="3"/>
      <c r="E10460" s="3">
        <v>17</v>
      </c>
      <c r="F10460" s="4" t="str">
        <f>HYPERLINK("http://141.218.60.56/~jnz1568/getInfo.php?workbook=20_05.xlsx&amp;sheet=U0&amp;row=10460&amp;col=6&amp;number=4.6&amp;sourceID=14","4.6")</f>
        <v>4.6</v>
      </c>
      <c r="G10460" s="4" t="str">
        <f>HYPERLINK("http://141.218.60.56/~jnz1568/getInfo.php?workbook=20_05.xlsx&amp;sheet=U0&amp;row=10460&amp;col=7&amp;number=0.000683&amp;sourceID=14","0.000683")</f>
        <v>0.000683</v>
      </c>
    </row>
    <row r="10461" spans="1:7">
      <c r="A10461" s="3"/>
      <c r="B10461" s="3"/>
      <c r="C10461" s="3"/>
      <c r="D10461" s="3"/>
      <c r="E10461" s="3">
        <v>18</v>
      </c>
      <c r="F10461" s="4" t="str">
        <f>HYPERLINK("http://141.218.60.56/~jnz1568/getInfo.php?workbook=20_05.xlsx&amp;sheet=U0&amp;row=10461&amp;col=6&amp;number=4.7&amp;sourceID=14","4.7")</f>
        <v>4.7</v>
      </c>
      <c r="G10461" s="4" t="str">
        <f>HYPERLINK("http://141.218.60.56/~jnz1568/getInfo.php?workbook=20_05.xlsx&amp;sheet=U0&amp;row=10461&amp;col=7&amp;number=0.000683&amp;sourceID=14","0.000683")</f>
        <v>0.000683</v>
      </c>
    </row>
    <row r="10462" spans="1:7">
      <c r="A10462" s="3"/>
      <c r="B10462" s="3"/>
      <c r="C10462" s="3"/>
      <c r="D10462" s="3"/>
      <c r="E10462" s="3">
        <v>19</v>
      </c>
      <c r="F10462" s="4" t="str">
        <f>HYPERLINK("http://141.218.60.56/~jnz1568/getInfo.php?workbook=20_05.xlsx&amp;sheet=U0&amp;row=10462&amp;col=6&amp;number=4.8&amp;sourceID=14","4.8")</f>
        <v>4.8</v>
      </c>
      <c r="G10462" s="4" t="str">
        <f>HYPERLINK("http://141.218.60.56/~jnz1568/getInfo.php?workbook=20_05.xlsx&amp;sheet=U0&amp;row=10462&amp;col=7&amp;number=0.000683&amp;sourceID=14","0.000683")</f>
        <v>0.000683</v>
      </c>
    </row>
    <row r="10463" spans="1:7">
      <c r="A10463" s="3"/>
      <c r="B10463" s="3"/>
      <c r="C10463" s="3"/>
      <c r="D10463" s="3"/>
      <c r="E10463" s="3">
        <v>20</v>
      </c>
      <c r="F10463" s="4" t="str">
        <f>HYPERLINK("http://141.218.60.56/~jnz1568/getInfo.php?workbook=20_05.xlsx&amp;sheet=U0&amp;row=10463&amp;col=6&amp;number=4.9&amp;sourceID=14","4.9")</f>
        <v>4.9</v>
      </c>
      <c r="G10463" s="4" t="str">
        <f>HYPERLINK("http://141.218.60.56/~jnz1568/getInfo.php?workbook=20_05.xlsx&amp;sheet=U0&amp;row=10463&amp;col=7&amp;number=0.000683&amp;sourceID=14","0.000683")</f>
        <v>0.000683</v>
      </c>
    </row>
    <row r="10464" spans="1:7">
      <c r="A10464" s="3">
        <v>20</v>
      </c>
      <c r="B10464" s="3">
        <v>5</v>
      </c>
      <c r="C10464" s="3">
        <v>5</v>
      </c>
      <c r="D10464" s="3">
        <v>58</v>
      </c>
      <c r="E10464" s="3">
        <v>1</v>
      </c>
      <c r="F10464" s="4" t="str">
        <f>HYPERLINK("http://141.218.60.56/~jnz1568/getInfo.php?workbook=20_05.xlsx&amp;sheet=U0&amp;row=10464&amp;col=6&amp;number=3&amp;sourceID=14","3")</f>
        <v>3</v>
      </c>
      <c r="G10464" s="4" t="str">
        <f>HYPERLINK("http://141.218.60.56/~jnz1568/getInfo.php?workbook=20_05.xlsx&amp;sheet=U0&amp;row=10464&amp;col=7&amp;number=0.00661&amp;sourceID=14","0.00661")</f>
        <v>0.00661</v>
      </c>
    </row>
    <row r="10465" spans="1:7">
      <c r="A10465" s="3"/>
      <c r="B10465" s="3"/>
      <c r="C10465" s="3"/>
      <c r="D10465" s="3"/>
      <c r="E10465" s="3">
        <v>2</v>
      </c>
      <c r="F10465" s="4" t="str">
        <f>HYPERLINK("http://141.218.60.56/~jnz1568/getInfo.php?workbook=20_05.xlsx&amp;sheet=U0&amp;row=10465&amp;col=6&amp;number=3.1&amp;sourceID=14","3.1")</f>
        <v>3.1</v>
      </c>
      <c r="G10465" s="4" t="str">
        <f>HYPERLINK("http://141.218.60.56/~jnz1568/getInfo.php?workbook=20_05.xlsx&amp;sheet=U0&amp;row=10465&amp;col=7&amp;number=0.00661&amp;sourceID=14","0.00661")</f>
        <v>0.00661</v>
      </c>
    </row>
    <row r="10466" spans="1:7">
      <c r="A10466" s="3"/>
      <c r="B10466" s="3"/>
      <c r="C10466" s="3"/>
      <c r="D10466" s="3"/>
      <c r="E10466" s="3">
        <v>3</v>
      </c>
      <c r="F10466" s="4" t="str">
        <f>HYPERLINK("http://141.218.60.56/~jnz1568/getInfo.php?workbook=20_05.xlsx&amp;sheet=U0&amp;row=10466&amp;col=6&amp;number=3.2&amp;sourceID=14","3.2")</f>
        <v>3.2</v>
      </c>
      <c r="G10466" s="4" t="str">
        <f>HYPERLINK("http://141.218.60.56/~jnz1568/getInfo.php?workbook=20_05.xlsx&amp;sheet=U0&amp;row=10466&amp;col=7&amp;number=0.00661&amp;sourceID=14","0.00661")</f>
        <v>0.00661</v>
      </c>
    </row>
    <row r="10467" spans="1:7">
      <c r="A10467" s="3"/>
      <c r="B10467" s="3"/>
      <c r="C10467" s="3"/>
      <c r="D10467" s="3"/>
      <c r="E10467" s="3">
        <v>4</v>
      </c>
      <c r="F10467" s="4" t="str">
        <f>HYPERLINK("http://141.218.60.56/~jnz1568/getInfo.php?workbook=20_05.xlsx&amp;sheet=U0&amp;row=10467&amp;col=6&amp;number=3.3&amp;sourceID=14","3.3")</f>
        <v>3.3</v>
      </c>
      <c r="G10467" s="4" t="str">
        <f>HYPERLINK("http://141.218.60.56/~jnz1568/getInfo.php?workbook=20_05.xlsx&amp;sheet=U0&amp;row=10467&amp;col=7&amp;number=0.00661&amp;sourceID=14","0.00661")</f>
        <v>0.00661</v>
      </c>
    </row>
    <row r="10468" spans="1:7">
      <c r="A10468" s="3"/>
      <c r="B10468" s="3"/>
      <c r="C10468" s="3"/>
      <c r="D10468" s="3"/>
      <c r="E10468" s="3">
        <v>5</v>
      </c>
      <c r="F10468" s="4" t="str">
        <f>HYPERLINK("http://141.218.60.56/~jnz1568/getInfo.php?workbook=20_05.xlsx&amp;sheet=U0&amp;row=10468&amp;col=6&amp;number=3.4&amp;sourceID=14","3.4")</f>
        <v>3.4</v>
      </c>
      <c r="G10468" s="4" t="str">
        <f>HYPERLINK("http://141.218.60.56/~jnz1568/getInfo.php?workbook=20_05.xlsx&amp;sheet=U0&amp;row=10468&amp;col=7&amp;number=0.00661&amp;sourceID=14","0.00661")</f>
        <v>0.00661</v>
      </c>
    </row>
    <row r="10469" spans="1:7">
      <c r="A10469" s="3"/>
      <c r="B10469" s="3"/>
      <c r="C10469" s="3"/>
      <c r="D10469" s="3"/>
      <c r="E10469" s="3">
        <v>6</v>
      </c>
      <c r="F10469" s="4" t="str">
        <f>HYPERLINK("http://141.218.60.56/~jnz1568/getInfo.php?workbook=20_05.xlsx&amp;sheet=U0&amp;row=10469&amp;col=6&amp;number=3.5&amp;sourceID=14","3.5")</f>
        <v>3.5</v>
      </c>
      <c r="G10469" s="4" t="str">
        <f>HYPERLINK("http://141.218.60.56/~jnz1568/getInfo.php?workbook=20_05.xlsx&amp;sheet=U0&amp;row=10469&amp;col=7&amp;number=0.00661&amp;sourceID=14","0.00661")</f>
        <v>0.00661</v>
      </c>
    </row>
    <row r="10470" spans="1:7">
      <c r="A10470" s="3"/>
      <c r="B10470" s="3"/>
      <c r="C10470" s="3"/>
      <c r="D10470" s="3"/>
      <c r="E10470" s="3">
        <v>7</v>
      </c>
      <c r="F10470" s="4" t="str">
        <f>HYPERLINK("http://141.218.60.56/~jnz1568/getInfo.php?workbook=20_05.xlsx&amp;sheet=U0&amp;row=10470&amp;col=6&amp;number=3.6&amp;sourceID=14","3.6")</f>
        <v>3.6</v>
      </c>
      <c r="G10470" s="4" t="str">
        <f>HYPERLINK("http://141.218.60.56/~jnz1568/getInfo.php?workbook=20_05.xlsx&amp;sheet=U0&amp;row=10470&amp;col=7&amp;number=0.00661&amp;sourceID=14","0.00661")</f>
        <v>0.00661</v>
      </c>
    </row>
    <row r="10471" spans="1:7">
      <c r="A10471" s="3"/>
      <c r="B10471" s="3"/>
      <c r="C10471" s="3"/>
      <c r="D10471" s="3"/>
      <c r="E10471" s="3">
        <v>8</v>
      </c>
      <c r="F10471" s="4" t="str">
        <f>HYPERLINK("http://141.218.60.56/~jnz1568/getInfo.php?workbook=20_05.xlsx&amp;sheet=U0&amp;row=10471&amp;col=6&amp;number=3.7&amp;sourceID=14","3.7")</f>
        <v>3.7</v>
      </c>
      <c r="G10471" s="4" t="str">
        <f>HYPERLINK("http://141.218.60.56/~jnz1568/getInfo.php?workbook=20_05.xlsx&amp;sheet=U0&amp;row=10471&amp;col=7&amp;number=0.00661&amp;sourceID=14","0.00661")</f>
        <v>0.00661</v>
      </c>
    </row>
    <row r="10472" spans="1:7">
      <c r="A10472" s="3"/>
      <c r="B10472" s="3"/>
      <c r="C10472" s="3"/>
      <c r="D10472" s="3"/>
      <c r="E10472" s="3">
        <v>9</v>
      </c>
      <c r="F10472" s="4" t="str">
        <f>HYPERLINK("http://141.218.60.56/~jnz1568/getInfo.php?workbook=20_05.xlsx&amp;sheet=U0&amp;row=10472&amp;col=6&amp;number=3.8&amp;sourceID=14","3.8")</f>
        <v>3.8</v>
      </c>
      <c r="G10472" s="4" t="str">
        <f>HYPERLINK("http://141.218.60.56/~jnz1568/getInfo.php?workbook=20_05.xlsx&amp;sheet=U0&amp;row=10472&amp;col=7&amp;number=0.00661&amp;sourceID=14","0.00661")</f>
        <v>0.00661</v>
      </c>
    </row>
    <row r="10473" spans="1:7">
      <c r="A10473" s="3"/>
      <c r="B10473" s="3"/>
      <c r="C10473" s="3"/>
      <c r="D10473" s="3"/>
      <c r="E10473" s="3">
        <v>10</v>
      </c>
      <c r="F10473" s="4" t="str">
        <f>HYPERLINK("http://141.218.60.56/~jnz1568/getInfo.php?workbook=20_05.xlsx&amp;sheet=U0&amp;row=10473&amp;col=6&amp;number=3.9&amp;sourceID=14","3.9")</f>
        <v>3.9</v>
      </c>
      <c r="G10473" s="4" t="str">
        <f>HYPERLINK("http://141.218.60.56/~jnz1568/getInfo.php?workbook=20_05.xlsx&amp;sheet=U0&amp;row=10473&amp;col=7&amp;number=0.00661&amp;sourceID=14","0.00661")</f>
        <v>0.00661</v>
      </c>
    </row>
    <row r="10474" spans="1:7">
      <c r="A10474" s="3"/>
      <c r="B10474" s="3"/>
      <c r="C10474" s="3"/>
      <c r="D10474" s="3"/>
      <c r="E10474" s="3">
        <v>11</v>
      </c>
      <c r="F10474" s="4" t="str">
        <f>HYPERLINK("http://141.218.60.56/~jnz1568/getInfo.php?workbook=20_05.xlsx&amp;sheet=U0&amp;row=10474&amp;col=6&amp;number=4&amp;sourceID=14","4")</f>
        <v>4</v>
      </c>
      <c r="G10474" s="4" t="str">
        <f>HYPERLINK("http://141.218.60.56/~jnz1568/getInfo.php?workbook=20_05.xlsx&amp;sheet=U0&amp;row=10474&amp;col=7&amp;number=0.00661&amp;sourceID=14","0.00661")</f>
        <v>0.00661</v>
      </c>
    </row>
    <row r="10475" spans="1:7">
      <c r="A10475" s="3"/>
      <c r="B10475" s="3"/>
      <c r="C10475" s="3"/>
      <c r="D10475" s="3"/>
      <c r="E10475" s="3">
        <v>12</v>
      </c>
      <c r="F10475" s="4" t="str">
        <f>HYPERLINK("http://141.218.60.56/~jnz1568/getInfo.php?workbook=20_05.xlsx&amp;sheet=U0&amp;row=10475&amp;col=6&amp;number=4.1&amp;sourceID=14","4.1")</f>
        <v>4.1</v>
      </c>
      <c r="G10475" s="4" t="str">
        <f>HYPERLINK("http://141.218.60.56/~jnz1568/getInfo.php?workbook=20_05.xlsx&amp;sheet=U0&amp;row=10475&amp;col=7&amp;number=0.00661&amp;sourceID=14","0.00661")</f>
        <v>0.00661</v>
      </c>
    </row>
    <row r="10476" spans="1:7">
      <c r="A10476" s="3"/>
      <c r="B10476" s="3"/>
      <c r="C10476" s="3"/>
      <c r="D10476" s="3"/>
      <c r="E10476" s="3">
        <v>13</v>
      </c>
      <c r="F10476" s="4" t="str">
        <f>HYPERLINK("http://141.218.60.56/~jnz1568/getInfo.php?workbook=20_05.xlsx&amp;sheet=U0&amp;row=10476&amp;col=6&amp;number=4.2&amp;sourceID=14","4.2")</f>
        <v>4.2</v>
      </c>
      <c r="G10476" s="4" t="str">
        <f>HYPERLINK("http://141.218.60.56/~jnz1568/getInfo.php?workbook=20_05.xlsx&amp;sheet=U0&amp;row=10476&amp;col=7&amp;number=0.00662&amp;sourceID=14","0.00662")</f>
        <v>0.00662</v>
      </c>
    </row>
    <row r="10477" spans="1:7">
      <c r="A10477" s="3"/>
      <c r="B10477" s="3"/>
      <c r="C10477" s="3"/>
      <c r="D10477" s="3"/>
      <c r="E10477" s="3">
        <v>14</v>
      </c>
      <c r="F10477" s="4" t="str">
        <f>HYPERLINK("http://141.218.60.56/~jnz1568/getInfo.php?workbook=20_05.xlsx&amp;sheet=U0&amp;row=10477&amp;col=6&amp;number=4.3&amp;sourceID=14","4.3")</f>
        <v>4.3</v>
      </c>
      <c r="G10477" s="4" t="str">
        <f>HYPERLINK("http://141.218.60.56/~jnz1568/getInfo.php?workbook=20_05.xlsx&amp;sheet=U0&amp;row=10477&amp;col=7&amp;number=0.00662&amp;sourceID=14","0.00662")</f>
        <v>0.00662</v>
      </c>
    </row>
    <row r="10478" spans="1:7">
      <c r="A10478" s="3"/>
      <c r="B10478" s="3"/>
      <c r="C10478" s="3"/>
      <c r="D10478" s="3"/>
      <c r="E10478" s="3">
        <v>15</v>
      </c>
      <c r="F10478" s="4" t="str">
        <f>HYPERLINK("http://141.218.60.56/~jnz1568/getInfo.php?workbook=20_05.xlsx&amp;sheet=U0&amp;row=10478&amp;col=6&amp;number=4.4&amp;sourceID=14","4.4")</f>
        <v>4.4</v>
      </c>
      <c r="G10478" s="4" t="str">
        <f>HYPERLINK("http://141.218.60.56/~jnz1568/getInfo.php?workbook=20_05.xlsx&amp;sheet=U0&amp;row=10478&amp;col=7&amp;number=0.00662&amp;sourceID=14","0.00662")</f>
        <v>0.00662</v>
      </c>
    </row>
    <row r="10479" spans="1:7">
      <c r="A10479" s="3"/>
      <c r="B10479" s="3"/>
      <c r="C10479" s="3"/>
      <c r="D10479" s="3"/>
      <c r="E10479" s="3">
        <v>16</v>
      </c>
      <c r="F10479" s="4" t="str">
        <f>HYPERLINK("http://141.218.60.56/~jnz1568/getInfo.php?workbook=20_05.xlsx&amp;sheet=U0&amp;row=10479&amp;col=6&amp;number=4.5&amp;sourceID=14","4.5")</f>
        <v>4.5</v>
      </c>
      <c r="G10479" s="4" t="str">
        <f>HYPERLINK("http://141.218.60.56/~jnz1568/getInfo.php?workbook=20_05.xlsx&amp;sheet=U0&amp;row=10479&amp;col=7&amp;number=0.00662&amp;sourceID=14","0.00662")</f>
        <v>0.00662</v>
      </c>
    </row>
    <row r="10480" spans="1:7">
      <c r="A10480" s="3"/>
      <c r="B10480" s="3"/>
      <c r="C10480" s="3"/>
      <c r="D10480" s="3"/>
      <c r="E10480" s="3">
        <v>17</v>
      </c>
      <c r="F10480" s="4" t="str">
        <f>HYPERLINK("http://141.218.60.56/~jnz1568/getInfo.php?workbook=20_05.xlsx&amp;sheet=U0&amp;row=10480&amp;col=6&amp;number=4.6&amp;sourceID=14","4.6")</f>
        <v>4.6</v>
      </c>
      <c r="G10480" s="4" t="str">
        <f>HYPERLINK("http://141.218.60.56/~jnz1568/getInfo.php?workbook=20_05.xlsx&amp;sheet=U0&amp;row=10480&amp;col=7&amp;number=0.00663&amp;sourceID=14","0.00663")</f>
        <v>0.00663</v>
      </c>
    </row>
    <row r="10481" spans="1:7">
      <c r="A10481" s="3"/>
      <c r="B10481" s="3"/>
      <c r="C10481" s="3"/>
      <c r="D10481" s="3"/>
      <c r="E10481" s="3">
        <v>18</v>
      </c>
      <c r="F10481" s="4" t="str">
        <f>HYPERLINK("http://141.218.60.56/~jnz1568/getInfo.php?workbook=20_05.xlsx&amp;sheet=U0&amp;row=10481&amp;col=6&amp;number=4.7&amp;sourceID=14","4.7")</f>
        <v>4.7</v>
      </c>
      <c r="G10481" s="4" t="str">
        <f>HYPERLINK("http://141.218.60.56/~jnz1568/getInfo.php?workbook=20_05.xlsx&amp;sheet=U0&amp;row=10481&amp;col=7&amp;number=0.00663&amp;sourceID=14","0.00663")</f>
        <v>0.00663</v>
      </c>
    </row>
    <row r="10482" spans="1:7">
      <c r="A10482" s="3"/>
      <c r="B10482" s="3"/>
      <c r="C10482" s="3"/>
      <c r="D10482" s="3"/>
      <c r="E10482" s="3">
        <v>19</v>
      </c>
      <c r="F10482" s="4" t="str">
        <f>HYPERLINK("http://141.218.60.56/~jnz1568/getInfo.php?workbook=20_05.xlsx&amp;sheet=U0&amp;row=10482&amp;col=6&amp;number=4.8&amp;sourceID=14","4.8")</f>
        <v>4.8</v>
      </c>
      <c r="G10482" s="4" t="str">
        <f>HYPERLINK("http://141.218.60.56/~jnz1568/getInfo.php?workbook=20_05.xlsx&amp;sheet=U0&amp;row=10482&amp;col=7&amp;number=0.00664&amp;sourceID=14","0.00664")</f>
        <v>0.00664</v>
      </c>
    </row>
    <row r="10483" spans="1:7">
      <c r="A10483" s="3"/>
      <c r="B10483" s="3"/>
      <c r="C10483" s="3"/>
      <c r="D10483" s="3"/>
      <c r="E10483" s="3">
        <v>20</v>
      </c>
      <c r="F10483" s="4" t="str">
        <f>HYPERLINK("http://141.218.60.56/~jnz1568/getInfo.php?workbook=20_05.xlsx&amp;sheet=U0&amp;row=10483&amp;col=6&amp;number=4.9&amp;sourceID=14","4.9")</f>
        <v>4.9</v>
      </c>
      <c r="G10483" s="4" t="str">
        <f>HYPERLINK("http://141.218.60.56/~jnz1568/getInfo.php?workbook=20_05.xlsx&amp;sheet=U0&amp;row=10483&amp;col=7&amp;number=0.00664&amp;sourceID=14","0.00664")</f>
        <v>0.00664</v>
      </c>
    </row>
    <row r="10484" spans="1:7">
      <c r="A10484" s="3">
        <v>20</v>
      </c>
      <c r="B10484" s="3">
        <v>5</v>
      </c>
      <c r="C10484" s="3">
        <v>5</v>
      </c>
      <c r="D10484" s="3">
        <v>59</v>
      </c>
      <c r="E10484" s="3">
        <v>1</v>
      </c>
      <c r="F10484" s="4" t="str">
        <f>HYPERLINK("http://141.218.60.56/~jnz1568/getInfo.php?workbook=20_05.xlsx&amp;sheet=U0&amp;row=10484&amp;col=6&amp;number=3&amp;sourceID=14","3")</f>
        <v>3</v>
      </c>
      <c r="G10484" s="4" t="str">
        <f>HYPERLINK("http://141.218.60.56/~jnz1568/getInfo.php?workbook=20_05.xlsx&amp;sheet=U0&amp;row=10484&amp;col=7&amp;number=0.00158&amp;sourceID=14","0.00158")</f>
        <v>0.00158</v>
      </c>
    </row>
    <row r="10485" spans="1:7">
      <c r="A10485" s="3"/>
      <c r="B10485" s="3"/>
      <c r="C10485" s="3"/>
      <c r="D10485" s="3"/>
      <c r="E10485" s="3">
        <v>2</v>
      </c>
      <c r="F10485" s="4" t="str">
        <f>HYPERLINK("http://141.218.60.56/~jnz1568/getInfo.php?workbook=20_05.xlsx&amp;sheet=U0&amp;row=10485&amp;col=6&amp;number=3.1&amp;sourceID=14","3.1")</f>
        <v>3.1</v>
      </c>
      <c r="G10485" s="4" t="str">
        <f>HYPERLINK("http://141.218.60.56/~jnz1568/getInfo.php?workbook=20_05.xlsx&amp;sheet=U0&amp;row=10485&amp;col=7&amp;number=0.00158&amp;sourceID=14","0.00158")</f>
        <v>0.00158</v>
      </c>
    </row>
    <row r="10486" spans="1:7">
      <c r="A10486" s="3"/>
      <c r="B10486" s="3"/>
      <c r="C10486" s="3"/>
      <c r="D10486" s="3"/>
      <c r="E10486" s="3">
        <v>3</v>
      </c>
      <c r="F10486" s="4" t="str">
        <f>HYPERLINK("http://141.218.60.56/~jnz1568/getInfo.php?workbook=20_05.xlsx&amp;sheet=U0&amp;row=10486&amp;col=6&amp;number=3.2&amp;sourceID=14","3.2")</f>
        <v>3.2</v>
      </c>
      <c r="G10486" s="4" t="str">
        <f>HYPERLINK("http://141.218.60.56/~jnz1568/getInfo.php?workbook=20_05.xlsx&amp;sheet=U0&amp;row=10486&amp;col=7&amp;number=0.00158&amp;sourceID=14","0.00158")</f>
        <v>0.00158</v>
      </c>
    </row>
    <row r="10487" spans="1:7">
      <c r="A10487" s="3"/>
      <c r="B10487" s="3"/>
      <c r="C10487" s="3"/>
      <c r="D10487" s="3"/>
      <c r="E10487" s="3">
        <v>4</v>
      </c>
      <c r="F10487" s="4" t="str">
        <f>HYPERLINK("http://141.218.60.56/~jnz1568/getInfo.php?workbook=20_05.xlsx&amp;sheet=U0&amp;row=10487&amp;col=6&amp;number=3.3&amp;sourceID=14","3.3")</f>
        <v>3.3</v>
      </c>
      <c r="G10487" s="4" t="str">
        <f>HYPERLINK("http://141.218.60.56/~jnz1568/getInfo.php?workbook=20_05.xlsx&amp;sheet=U0&amp;row=10487&amp;col=7&amp;number=0.00158&amp;sourceID=14","0.00158")</f>
        <v>0.00158</v>
      </c>
    </row>
    <row r="10488" spans="1:7">
      <c r="A10488" s="3"/>
      <c r="B10488" s="3"/>
      <c r="C10488" s="3"/>
      <c r="D10488" s="3"/>
      <c r="E10488" s="3">
        <v>5</v>
      </c>
      <c r="F10488" s="4" t="str">
        <f>HYPERLINK("http://141.218.60.56/~jnz1568/getInfo.php?workbook=20_05.xlsx&amp;sheet=U0&amp;row=10488&amp;col=6&amp;number=3.4&amp;sourceID=14","3.4")</f>
        <v>3.4</v>
      </c>
      <c r="G10488" s="4" t="str">
        <f>HYPERLINK("http://141.218.60.56/~jnz1568/getInfo.php?workbook=20_05.xlsx&amp;sheet=U0&amp;row=10488&amp;col=7&amp;number=0.00158&amp;sourceID=14","0.00158")</f>
        <v>0.00158</v>
      </c>
    </row>
    <row r="10489" spans="1:7">
      <c r="A10489" s="3"/>
      <c r="B10489" s="3"/>
      <c r="C10489" s="3"/>
      <c r="D10489" s="3"/>
      <c r="E10489" s="3">
        <v>6</v>
      </c>
      <c r="F10489" s="4" t="str">
        <f>HYPERLINK("http://141.218.60.56/~jnz1568/getInfo.php?workbook=20_05.xlsx&amp;sheet=U0&amp;row=10489&amp;col=6&amp;number=3.5&amp;sourceID=14","3.5")</f>
        <v>3.5</v>
      </c>
      <c r="G10489" s="4" t="str">
        <f>HYPERLINK("http://141.218.60.56/~jnz1568/getInfo.php?workbook=20_05.xlsx&amp;sheet=U0&amp;row=10489&amp;col=7&amp;number=0.00158&amp;sourceID=14","0.00158")</f>
        <v>0.00158</v>
      </c>
    </row>
    <row r="10490" spans="1:7">
      <c r="A10490" s="3"/>
      <c r="B10490" s="3"/>
      <c r="C10490" s="3"/>
      <c r="D10490" s="3"/>
      <c r="E10490" s="3">
        <v>7</v>
      </c>
      <c r="F10490" s="4" t="str">
        <f>HYPERLINK("http://141.218.60.56/~jnz1568/getInfo.php?workbook=20_05.xlsx&amp;sheet=U0&amp;row=10490&amp;col=6&amp;number=3.6&amp;sourceID=14","3.6")</f>
        <v>3.6</v>
      </c>
      <c r="G10490" s="4" t="str">
        <f>HYPERLINK("http://141.218.60.56/~jnz1568/getInfo.php?workbook=20_05.xlsx&amp;sheet=U0&amp;row=10490&amp;col=7&amp;number=0.00158&amp;sourceID=14","0.00158")</f>
        <v>0.00158</v>
      </c>
    </row>
    <row r="10491" spans="1:7">
      <c r="A10491" s="3"/>
      <c r="B10491" s="3"/>
      <c r="C10491" s="3"/>
      <c r="D10491" s="3"/>
      <c r="E10491" s="3">
        <v>8</v>
      </c>
      <c r="F10491" s="4" t="str">
        <f>HYPERLINK("http://141.218.60.56/~jnz1568/getInfo.php?workbook=20_05.xlsx&amp;sheet=U0&amp;row=10491&amp;col=6&amp;number=3.7&amp;sourceID=14","3.7")</f>
        <v>3.7</v>
      </c>
      <c r="G10491" s="4" t="str">
        <f>HYPERLINK("http://141.218.60.56/~jnz1568/getInfo.php?workbook=20_05.xlsx&amp;sheet=U0&amp;row=10491&amp;col=7&amp;number=0.00158&amp;sourceID=14","0.00158")</f>
        <v>0.00158</v>
      </c>
    </row>
    <row r="10492" spans="1:7">
      <c r="A10492" s="3"/>
      <c r="B10492" s="3"/>
      <c r="C10492" s="3"/>
      <c r="D10492" s="3"/>
      <c r="E10492" s="3">
        <v>9</v>
      </c>
      <c r="F10492" s="4" t="str">
        <f>HYPERLINK("http://141.218.60.56/~jnz1568/getInfo.php?workbook=20_05.xlsx&amp;sheet=U0&amp;row=10492&amp;col=6&amp;number=3.8&amp;sourceID=14","3.8")</f>
        <v>3.8</v>
      </c>
      <c r="G10492" s="4" t="str">
        <f>HYPERLINK("http://141.218.60.56/~jnz1568/getInfo.php?workbook=20_05.xlsx&amp;sheet=U0&amp;row=10492&amp;col=7&amp;number=0.00158&amp;sourceID=14","0.00158")</f>
        <v>0.00158</v>
      </c>
    </row>
    <row r="10493" spans="1:7">
      <c r="A10493" s="3"/>
      <c r="B10493" s="3"/>
      <c r="C10493" s="3"/>
      <c r="D10493" s="3"/>
      <c r="E10493" s="3">
        <v>10</v>
      </c>
      <c r="F10493" s="4" t="str">
        <f>HYPERLINK("http://141.218.60.56/~jnz1568/getInfo.php?workbook=20_05.xlsx&amp;sheet=U0&amp;row=10493&amp;col=6&amp;number=3.9&amp;sourceID=14","3.9")</f>
        <v>3.9</v>
      </c>
      <c r="G10493" s="4" t="str">
        <f>HYPERLINK("http://141.218.60.56/~jnz1568/getInfo.php?workbook=20_05.xlsx&amp;sheet=U0&amp;row=10493&amp;col=7&amp;number=0.00158&amp;sourceID=14","0.00158")</f>
        <v>0.00158</v>
      </c>
    </row>
    <row r="10494" spans="1:7">
      <c r="A10494" s="3"/>
      <c r="B10494" s="3"/>
      <c r="C10494" s="3"/>
      <c r="D10494" s="3"/>
      <c r="E10494" s="3">
        <v>11</v>
      </c>
      <c r="F10494" s="4" t="str">
        <f>HYPERLINK("http://141.218.60.56/~jnz1568/getInfo.php?workbook=20_05.xlsx&amp;sheet=U0&amp;row=10494&amp;col=6&amp;number=4&amp;sourceID=14","4")</f>
        <v>4</v>
      </c>
      <c r="G10494" s="4" t="str">
        <f>HYPERLINK("http://141.218.60.56/~jnz1568/getInfo.php?workbook=20_05.xlsx&amp;sheet=U0&amp;row=10494&amp;col=7&amp;number=0.00158&amp;sourceID=14","0.00158")</f>
        <v>0.00158</v>
      </c>
    </row>
    <row r="10495" spans="1:7">
      <c r="A10495" s="3"/>
      <c r="B10495" s="3"/>
      <c r="C10495" s="3"/>
      <c r="D10495" s="3"/>
      <c r="E10495" s="3">
        <v>12</v>
      </c>
      <c r="F10495" s="4" t="str">
        <f>HYPERLINK("http://141.218.60.56/~jnz1568/getInfo.php?workbook=20_05.xlsx&amp;sheet=U0&amp;row=10495&amp;col=6&amp;number=4.1&amp;sourceID=14","4.1")</f>
        <v>4.1</v>
      </c>
      <c r="G10495" s="4" t="str">
        <f>HYPERLINK("http://141.218.60.56/~jnz1568/getInfo.php?workbook=20_05.xlsx&amp;sheet=U0&amp;row=10495&amp;col=7&amp;number=0.00158&amp;sourceID=14","0.00158")</f>
        <v>0.00158</v>
      </c>
    </row>
    <row r="10496" spans="1:7">
      <c r="A10496" s="3"/>
      <c r="B10496" s="3"/>
      <c r="C10496" s="3"/>
      <c r="D10496" s="3"/>
      <c r="E10496" s="3">
        <v>13</v>
      </c>
      <c r="F10496" s="4" t="str">
        <f>HYPERLINK("http://141.218.60.56/~jnz1568/getInfo.php?workbook=20_05.xlsx&amp;sheet=U0&amp;row=10496&amp;col=6&amp;number=4.2&amp;sourceID=14","4.2")</f>
        <v>4.2</v>
      </c>
      <c r="G10496" s="4" t="str">
        <f>HYPERLINK("http://141.218.60.56/~jnz1568/getInfo.php?workbook=20_05.xlsx&amp;sheet=U0&amp;row=10496&amp;col=7&amp;number=0.00158&amp;sourceID=14","0.00158")</f>
        <v>0.00158</v>
      </c>
    </row>
    <row r="10497" spans="1:7">
      <c r="A10497" s="3"/>
      <c r="B10497" s="3"/>
      <c r="C10497" s="3"/>
      <c r="D10497" s="3"/>
      <c r="E10497" s="3">
        <v>14</v>
      </c>
      <c r="F10497" s="4" t="str">
        <f>HYPERLINK("http://141.218.60.56/~jnz1568/getInfo.php?workbook=20_05.xlsx&amp;sheet=U0&amp;row=10497&amp;col=6&amp;number=4.3&amp;sourceID=14","4.3")</f>
        <v>4.3</v>
      </c>
      <c r="G10497" s="4" t="str">
        <f>HYPERLINK("http://141.218.60.56/~jnz1568/getInfo.php?workbook=20_05.xlsx&amp;sheet=U0&amp;row=10497&amp;col=7&amp;number=0.00158&amp;sourceID=14","0.00158")</f>
        <v>0.00158</v>
      </c>
    </row>
    <row r="10498" spans="1:7">
      <c r="A10498" s="3"/>
      <c r="B10498" s="3"/>
      <c r="C10498" s="3"/>
      <c r="D10498" s="3"/>
      <c r="E10498" s="3">
        <v>15</v>
      </c>
      <c r="F10498" s="4" t="str">
        <f>HYPERLINK("http://141.218.60.56/~jnz1568/getInfo.php?workbook=20_05.xlsx&amp;sheet=U0&amp;row=10498&amp;col=6&amp;number=4.4&amp;sourceID=14","4.4")</f>
        <v>4.4</v>
      </c>
      <c r="G10498" s="4" t="str">
        <f>HYPERLINK("http://141.218.60.56/~jnz1568/getInfo.php?workbook=20_05.xlsx&amp;sheet=U0&amp;row=10498&amp;col=7&amp;number=0.00158&amp;sourceID=14","0.00158")</f>
        <v>0.00158</v>
      </c>
    </row>
    <row r="10499" spans="1:7">
      <c r="A10499" s="3"/>
      <c r="B10499" s="3"/>
      <c r="C10499" s="3"/>
      <c r="D10499" s="3"/>
      <c r="E10499" s="3">
        <v>16</v>
      </c>
      <c r="F10499" s="4" t="str">
        <f>HYPERLINK("http://141.218.60.56/~jnz1568/getInfo.php?workbook=20_05.xlsx&amp;sheet=U0&amp;row=10499&amp;col=6&amp;number=4.5&amp;sourceID=14","4.5")</f>
        <v>4.5</v>
      </c>
      <c r="G10499" s="4" t="str">
        <f>HYPERLINK("http://141.218.60.56/~jnz1568/getInfo.php?workbook=20_05.xlsx&amp;sheet=U0&amp;row=10499&amp;col=7&amp;number=0.00158&amp;sourceID=14","0.00158")</f>
        <v>0.00158</v>
      </c>
    </row>
    <row r="10500" spans="1:7">
      <c r="A10500" s="3"/>
      <c r="B10500" s="3"/>
      <c r="C10500" s="3"/>
      <c r="D10500" s="3"/>
      <c r="E10500" s="3">
        <v>17</v>
      </c>
      <c r="F10500" s="4" t="str">
        <f>HYPERLINK("http://141.218.60.56/~jnz1568/getInfo.php?workbook=20_05.xlsx&amp;sheet=U0&amp;row=10500&amp;col=6&amp;number=4.6&amp;sourceID=14","4.6")</f>
        <v>4.6</v>
      </c>
      <c r="G10500" s="4" t="str">
        <f>HYPERLINK("http://141.218.60.56/~jnz1568/getInfo.php?workbook=20_05.xlsx&amp;sheet=U0&amp;row=10500&amp;col=7&amp;number=0.00158&amp;sourceID=14","0.00158")</f>
        <v>0.00158</v>
      </c>
    </row>
    <row r="10501" spans="1:7">
      <c r="A10501" s="3"/>
      <c r="B10501" s="3"/>
      <c r="C10501" s="3"/>
      <c r="D10501" s="3"/>
      <c r="E10501" s="3">
        <v>18</v>
      </c>
      <c r="F10501" s="4" t="str">
        <f>HYPERLINK("http://141.218.60.56/~jnz1568/getInfo.php?workbook=20_05.xlsx&amp;sheet=U0&amp;row=10501&amp;col=6&amp;number=4.7&amp;sourceID=14","4.7")</f>
        <v>4.7</v>
      </c>
      <c r="G10501" s="4" t="str">
        <f>HYPERLINK("http://141.218.60.56/~jnz1568/getInfo.php?workbook=20_05.xlsx&amp;sheet=U0&amp;row=10501&amp;col=7&amp;number=0.00158&amp;sourceID=14","0.00158")</f>
        <v>0.00158</v>
      </c>
    </row>
    <row r="10502" spans="1:7">
      <c r="A10502" s="3"/>
      <c r="B10502" s="3"/>
      <c r="C10502" s="3"/>
      <c r="D10502" s="3"/>
      <c r="E10502" s="3">
        <v>19</v>
      </c>
      <c r="F10502" s="4" t="str">
        <f>HYPERLINK("http://141.218.60.56/~jnz1568/getInfo.php?workbook=20_05.xlsx&amp;sheet=U0&amp;row=10502&amp;col=6&amp;number=4.8&amp;sourceID=14","4.8")</f>
        <v>4.8</v>
      </c>
      <c r="G10502" s="4" t="str">
        <f>HYPERLINK("http://141.218.60.56/~jnz1568/getInfo.php?workbook=20_05.xlsx&amp;sheet=U0&amp;row=10502&amp;col=7&amp;number=0.00158&amp;sourceID=14","0.00158")</f>
        <v>0.00158</v>
      </c>
    </row>
    <row r="10503" spans="1:7">
      <c r="A10503" s="3"/>
      <c r="B10503" s="3"/>
      <c r="C10503" s="3"/>
      <c r="D10503" s="3"/>
      <c r="E10503" s="3">
        <v>20</v>
      </c>
      <c r="F10503" s="4" t="str">
        <f>HYPERLINK("http://141.218.60.56/~jnz1568/getInfo.php?workbook=20_05.xlsx&amp;sheet=U0&amp;row=10503&amp;col=6&amp;number=4.9&amp;sourceID=14","4.9")</f>
        <v>4.9</v>
      </c>
      <c r="G10503" s="4" t="str">
        <f>HYPERLINK("http://141.218.60.56/~jnz1568/getInfo.php?workbook=20_05.xlsx&amp;sheet=U0&amp;row=10503&amp;col=7&amp;number=0.00158&amp;sourceID=14","0.00158")</f>
        <v>0.00158</v>
      </c>
    </row>
    <row r="10504" spans="1:7">
      <c r="A10504" s="3">
        <v>20</v>
      </c>
      <c r="B10504" s="3">
        <v>5</v>
      </c>
      <c r="C10504" s="3">
        <v>5</v>
      </c>
      <c r="D10504" s="3">
        <v>60</v>
      </c>
      <c r="E10504" s="3">
        <v>1</v>
      </c>
      <c r="F10504" s="4" t="str">
        <f>HYPERLINK("http://141.218.60.56/~jnz1568/getInfo.php?workbook=20_05.xlsx&amp;sheet=U0&amp;row=10504&amp;col=6&amp;number=3&amp;sourceID=14","3")</f>
        <v>3</v>
      </c>
      <c r="G10504" s="4" t="str">
        <f>HYPERLINK("http://141.218.60.56/~jnz1568/getInfo.php?workbook=20_05.xlsx&amp;sheet=U0&amp;row=10504&amp;col=7&amp;number=0.0131&amp;sourceID=14","0.0131")</f>
        <v>0.0131</v>
      </c>
    </row>
    <row r="10505" spans="1:7">
      <c r="A10505" s="3"/>
      <c r="B10505" s="3"/>
      <c r="C10505" s="3"/>
      <c r="D10505" s="3"/>
      <c r="E10505" s="3">
        <v>2</v>
      </c>
      <c r="F10505" s="4" t="str">
        <f>HYPERLINK("http://141.218.60.56/~jnz1568/getInfo.php?workbook=20_05.xlsx&amp;sheet=U0&amp;row=10505&amp;col=6&amp;number=3.1&amp;sourceID=14","3.1")</f>
        <v>3.1</v>
      </c>
      <c r="G10505" s="4" t="str">
        <f>HYPERLINK("http://141.218.60.56/~jnz1568/getInfo.php?workbook=20_05.xlsx&amp;sheet=U0&amp;row=10505&amp;col=7&amp;number=0.0131&amp;sourceID=14","0.0131")</f>
        <v>0.0131</v>
      </c>
    </row>
    <row r="10506" spans="1:7">
      <c r="A10506" s="3"/>
      <c r="B10506" s="3"/>
      <c r="C10506" s="3"/>
      <c r="D10506" s="3"/>
      <c r="E10506" s="3">
        <v>3</v>
      </c>
      <c r="F10506" s="4" t="str">
        <f>HYPERLINK("http://141.218.60.56/~jnz1568/getInfo.php?workbook=20_05.xlsx&amp;sheet=U0&amp;row=10506&amp;col=6&amp;number=3.2&amp;sourceID=14","3.2")</f>
        <v>3.2</v>
      </c>
      <c r="G10506" s="4" t="str">
        <f>HYPERLINK("http://141.218.60.56/~jnz1568/getInfo.php?workbook=20_05.xlsx&amp;sheet=U0&amp;row=10506&amp;col=7&amp;number=0.0131&amp;sourceID=14","0.0131")</f>
        <v>0.0131</v>
      </c>
    </row>
    <row r="10507" spans="1:7">
      <c r="A10507" s="3"/>
      <c r="B10507" s="3"/>
      <c r="C10507" s="3"/>
      <c r="D10507" s="3"/>
      <c r="E10507" s="3">
        <v>4</v>
      </c>
      <c r="F10507" s="4" t="str">
        <f>HYPERLINK("http://141.218.60.56/~jnz1568/getInfo.php?workbook=20_05.xlsx&amp;sheet=U0&amp;row=10507&amp;col=6&amp;number=3.3&amp;sourceID=14","3.3")</f>
        <v>3.3</v>
      </c>
      <c r="G10507" s="4" t="str">
        <f>HYPERLINK("http://141.218.60.56/~jnz1568/getInfo.php?workbook=20_05.xlsx&amp;sheet=U0&amp;row=10507&amp;col=7&amp;number=0.0131&amp;sourceID=14","0.0131")</f>
        <v>0.0131</v>
      </c>
    </row>
    <row r="10508" spans="1:7">
      <c r="A10508" s="3"/>
      <c r="B10508" s="3"/>
      <c r="C10508" s="3"/>
      <c r="D10508" s="3"/>
      <c r="E10508" s="3">
        <v>5</v>
      </c>
      <c r="F10508" s="4" t="str">
        <f>HYPERLINK("http://141.218.60.56/~jnz1568/getInfo.php?workbook=20_05.xlsx&amp;sheet=U0&amp;row=10508&amp;col=6&amp;number=3.4&amp;sourceID=14","3.4")</f>
        <v>3.4</v>
      </c>
      <c r="G10508" s="4" t="str">
        <f>HYPERLINK("http://141.218.60.56/~jnz1568/getInfo.php?workbook=20_05.xlsx&amp;sheet=U0&amp;row=10508&amp;col=7&amp;number=0.0131&amp;sourceID=14","0.0131")</f>
        <v>0.0131</v>
      </c>
    </row>
    <row r="10509" spans="1:7">
      <c r="A10509" s="3"/>
      <c r="B10509" s="3"/>
      <c r="C10509" s="3"/>
      <c r="D10509" s="3"/>
      <c r="E10509" s="3">
        <v>6</v>
      </c>
      <c r="F10509" s="4" t="str">
        <f>HYPERLINK("http://141.218.60.56/~jnz1568/getInfo.php?workbook=20_05.xlsx&amp;sheet=U0&amp;row=10509&amp;col=6&amp;number=3.5&amp;sourceID=14","3.5")</f>
        <v>3.5</v>
      </c>
      <c r="G10509" s="4" t="str">
        <f>HYPERLINK("http://141.218.60.56/~jnz1568/getInfo.php?workbook=20_05.xlsx&amp;sheet=U0&amp;row=10509&amp;col=7&amp;number=0.0131&amp;sourceID=14","0.0131")</f>
        <v>0.0131</v>
      </c>
    </row>
    <row r="10510" spans="1:7">
      <c r="A10510" s="3"/>
      <c r="B10510" s="3"/>
      <c r="C10510" s="3"/>
      <c r="D10510" s="3"/>
      <c r="E10510" s="3">
        <v>7</v>
      </c>
      <c r="F10510" s="4" t="str">
        <f>HYPERLINK("http://141.218.60.56/~jnz1568/getInfo.php?workbook=20_05.xlsx&amp;sheet=U0&amp;row=10510&amp;col=6&amp;number=3.6&amp;sourceID=14","3.6")</f>
        <v>3.6</v>
      </c>
      <c r="G10510" s="4" t="str">
        <f>HYPERLINK("http://141.218.60.56/~jnz1568/getInfo.php?workbook=20_05.xlsx&amp;sheet=U0&amp;row=10510&amp;col=7&amp;number=0.0131&amp;sourceID=14","0.0131")</f>
        <v>0.0131</v>
      </c>
    </row>
    <row r="10511" spans="1:7">
      <c r="A10511" s="3"/>
      <c r="B10511" s="3"/>
      <c r="C10511" s="3"/>
      <c r="D10511" s="3"/>
      <c r="E10511" s="3">
        <v>8</v>
      </c>
      <c r="F10511" s="4" t="str">
        <f>HYPERLINK("http://141.218.60.56/~jnz1568/getInfo.php?workbook=20_05.xlsx&amp;sheet=U0&amp;row=10511&amp;col=6&amp;number=3.7&amp;sourceID=14","3.7")</f>
        <v>3.7</v>
      </c>
      <c r="G10511" s="4" t="str">
        <f>HYPERLINK("http://141.218.60.56/~jnz1568/getInfo.php?workbook=20_05.xlsx&amp;sheet=U0&amp;row=10511&amp;col=7&amp;number=0.0131&amp;sourceID=14","0.0131")</f>
        <v>0.0131</v>
      </c>
    </row>
    <row r="10512" spans="1:7">
      <c r="A10512" s="3"/>
      <c r="B10512" s="3"/>
      <c r="C10512" s="3"/>
      <c r="D10512" s="3"/>
      <c r="E10512" s="3">
        <v>9</v>
      </c>
      <c r="F10512" s="4" t="str">
        <f>HYPERLINK("http://141.218.60.56/~jnz1568/getInfo.php?workbook=20_05.xlsx&amp;sheet=U0&amp;row=10512&amp;col=6&amp;number=3.8&amp;sourceID=14","3.8")</f>
        <v>3.8</v>
      </c>
      <c r="G10512" s="4" t="str">
        <f>HYPERLINK("http://141.218.60.56/~jnz1568/getInfo.php?workbook=20_05.xlsx&amp;sheet=U0&amp;row=10512&amp;col=7&amp;number=0.0131&amp;sourceID=14","0.0131")</f>
        <v>0.0131</v>
      </c>
    </row>
    <row r="10513" spans="1:7">
      <c r="A10513" s="3"/>
      <c r="B10513" s="3"/>
      <c r="C10513" s="3"/>
      <c r="D10513" s="3"/>
      <c r="E10513" s="3">
        <v>10</v>
      </c>
      <c r="F10513" s="4" t="str">
        <f>HYPERLINK("http://141.218.60.56/~jnz1568/getInfo.php?workbook=20_05.xlsx&amp;sheet=U0&amp;row=10513&amp;col=6&amp;number=3.9&amp;sourceID=14","3.9")</f>
        <v>3.9</v>
      </c>
      <c r="G10513" s="4" t="str">
        <f>HYPERLINK("http://141.218.60.56/~jnz1568/getInfo.php?workbook=20_05.xlsx&amp;sheet=U0&amp;row=10513&amp;col=7&amp;number=0.0131&amp;sourceID=14","0.0131")</f>
        <v>0.0131</v>
      </c>
    </row>
    <row r="10514" spans="1:7">
      <c r="A10514" s="3"/>
      <c r="B10514" s="3"/>
      <c r="C10514" s="3"/>
      <c r="D10514" s="3"/>
      <c r="E10514" s="3">
        <v>11</v>
      </c>
      <c r="F10514" s="4" t="str">
        <f>HYPERLINK("http://141.218.60.56/~jnz1568/getInfo.php?workbook=20_05.xlsx&amp;sheet=U0&amp;row=10514&amp;col=6&amp;number=4&amp;sourceID=14","4")</f>
        <v>4</v>
      </c>
      <c r="G10514" s="4" t="str">
        <f>HYPERLINK("http://141.218.60.56/~jnz1568/getInfo.php?workbook=20_05.xlsx&amp;sheet=U0&amp;row=10514&amp;col=7&amp;number=0.0131&amp;sourceID=14","0.0131")</f>
        <v>0.0131</v>
      </c>
    </row>
    <row r="10515" spans="1:7">
      <c r="A10515" s="3"/>
      <c r="B10515" s="3"/>
      <c r="C10515" s="3"/>
      <c r="D10515" s="3"/>
      <c r="E10515" s="3">
        <v>12</v>
      </c>
      <c r="F10515" s="4" t="str">
        <f>HYPERLINK("http://141.218.60.56/~jnz1568/getInfo.php?workbook=20_05.xlsx&amp;sheet=U0&amp;row=10515&amp;col=6&amp;number=4.1&amp;sourceID=14","4.1")</f>
        <v>4.1</v>
      </c>
      <c r="G10515" s="4" t="str">
        <f>HYPERLINK("http://141.218.60.56/~jnz1568/getInfo.php?workbook=20_05.xlsx&amp;sheet=U0&amp;row=10515&amp;col=7&amp;number=0.0131&amp;sourceID=14","0.0131")</f>
        <v>0.0131</v>
      </c>
    </row>
    <row r="10516" spans="1:7">
      <c r="A10516" s="3"/>
      <c r="B10516" s="3"/>
      <c r="C10516" s="3"/>
      <c r="D10516" s="3"/>
      <c r="E10516" s="3">
        <v>13</v>
      </c>
      <c r="F10516" s="4" t="str">
        <f>HYPERLINK("http://141.218.60.56/~jnz1568/getInfo.php?workbook=20_05.xlsx&amp;sheet=U0&amp;row=10516&amp;col=6&amp;number=4.2&amp;sourceID=14","4.2")</f>
        <v>4.2</v>
      </c>
      <c r="G10516" s="4" t="str">
        <f>HYPERLINK("http://141.218.60.56/~jnz1568/getInfo.php?workbook=20_05.xlsx&amp;sheet=U0&amp;row=10516&amp;col=7&amp;number=0.0132&amp;sourceID=14","0.0132")</f>
        <v>0.0132</v>
      </c>
    </row>
    <row r="10517" spans="1:7">
      <c r="A10517" s="3"/>
      <c r="B10517" s="3"/>
      <c r="C10517" s="3"/>
      <c r="D10517" s="3"/>
      <c r="E10517" s="3">
        <v>14</v>
      </c>
      <c r="F10517" s="4" t="str">
        <f>HYPERLINK("http://141.218.60.56/~jnz1568/getInfo.php?workbook=20_05.xlsx&amp;sheet=U0&amp;row=10517&amp;col=6&amp;number=4.3&amp;sourceID=14","4.3")</f>
        <v>4.3</v>
      </c>
      <c r="G10517" s="4" t="str">
        <f>HYPERLINK("http://141.218.60.56/~jnz1568/getInfo.php?workbook=20_05.xlsx&amp;sheet=U0&amp;row=10517&amp;col=7&amp;number=0.0132&amp;sourceID=14","0.0132")</f>
        <v>0.0132</v>
      </c>
    </row>
    <row r="10518" spans="1:7">
      <c r="A10518" s="3"/>
      <c r="B10518" s="3"/>
      <c r="C10518" s="3"/>
      <c r="D10518" s="3"/>
      <c r="E10518" s="3">
        <v>15</v>
      </c>
      <c r="F10518" s="4" t="str">
        <f>HYPERLINK("http://141.218.60.56/~jnz1568/getInfo.php?workbook=20_05.xlsx&amp;sheet=U0&amp;row=10518&amp;col=6&amp;number=4.4&amp;sourceID=14","4.4")</f>
        <v>4.4</v>
      </c>
      <c r="G10518" s="4" t="str">
        <f>HYPERLINK("http://141.218.60.56/~jnz1568/getInfo.php?workbook=20_05.xlsx&amp;sheet=U0&amp;row=10518&amp;col=7&amp;number=0.0132&amp;sourceID=14","0.0132")</f>
        <v>0.0132</v>
      </c>
    </row>
    <row r="10519" spans="1:7">
      <c r="A10519" s="3"/>
      <c r="B10519" s="3"/>
      <c r="C10519" s="3"/>
      <c r="D10519" s="3"/>
      <c r="E10519" s="3">
        <v>16</v>
      </c>
      <c r="F10519" s="4" t="str">
        <f>HYPERLINK("http://141.218.60.56/~jnz1568/getInfo.php?workbook=20_05.xlsx&amp;sheet=U0&amp;row=10519&amp;col=6&amp;number=4.5&amp;sourceID=14","4.5")</f>
        <v>4.5</v>
      </c>
      <c r="G10519" s="4" t="str">
        <f>HYPERLINK("http://141.218.60.56/~jnz1568/getInfo.php?workbook=20_05.xlsx&amp;sheet=U0&amp;row=10519&amp;col=7&amp;number=0.0132&amp;sourceID=14","0.0132")</f>
        <v>0.0132</v>
      </c>
    </row>
    <row r="10520" spans="1:7">
      <c r="A10520" s="3"/>
      <c r="B10520" s="3"/>
      <c r="C10520" s="3"/>
      <c r="D10520" s="3"/>
      <c r="E10520" s="3">
        <v>17</v>
      </c>
      <c r="F10520" s="4" t="str">
        <f>HYPERLINK("http://141.218.60.56/~jnz1568/getInfo.php?workbook=20_05.xlsx&amp;sheet=U0&amp;row=10520&amp;col=6&amp;number=4.6&amp;sourceID=14","4.6")</f>
        <v>4.6</v>
      </c>
      <c r="G10520" s="4" t="str">
        <f>HYPERLINK("http://141.218.60.56/~jnz1568/getInfo.php?workbook=20_05.xlsx&amp;sheet=U0&amp;row=10520&amp;col=7&amp;number=0.0132&amp;sourceID=14","0.0132")</f>
        <v>0.0132</v>
      </c>
    </row>
    <row r="10521" spans="1:7">
      <c r="A10521" s="3"/>
      <c r="B10521" s="3"/>
      <c r="C10521" s="3"/>
      <c r="D10521" s="3"/>
      <c r="E10521" s="3">
        <v>18</v>
      </c>
      <c r="F10521" s="4" t="str">
        <f>HYPERLINK("http://141.218.60.56/~jnz1568/getInfo.php?workbook=20_05.xlsx&amp;sheet=U0&amp;row=10521&amp;col=6&amp;number=4.7&amp;sourceID=14","4.7")</f>
        <v>4.7</v>
      </c>
      <c r="G10521" s="4" t="str">
        <f>HYPERLINK("http://141.218.60.56/~jnz1568/getInfo.php?workbook=20_05.xlsx&amp;sheet=U0&amp;row=10521&amp;col=7&amp;number=0.0132&amp;sourceID=14","0.0132")</f>
        <v>0.0132</v>
      </c>
    </row>
    <row r="10522" spans="1:7">
      <c r="A10522" s="3"/>
      <c r="B10522" s="3"/>
      <c r="C10522" s="3"/>
      <c r="D10522" s="3"/>
      <c r="E10522" s="3">
        <v>19</v>
      </c>
      <c r="F10522" s="4" t="str">
        <f>HYPERLINK("http://141.218.60.56/~jnz1568/getInfo.php?workbook=20_05.xlsx&amp;sheet=U0&amp;row=10522&amp;col=6&amp;number=4.8&amp;sourceID=14","4.8")</f>
        <v>4.8</v>
      </c>
      <c r="G10522" s="4" t="str">
        <f>HYPERLINK("http://141.218.60.56/~jnz1568/getInfo.php?workbook=20_05.xlsx&amp;sheet=U0&amp;row=10522&amp;col=7&amp;number=0.0132&amp;sourceID=14","0.0132")</f>
        <v>0.0132</v>
      </c>
    </row>
    <row r="10523" spans="1:7">
      <c r="A10523" s="3"/>
      <c r="B10523" s="3"/>
      <c r="C10523" s="3"/>
      <c r="D10523" s="3"/>
      <c r="E10523" s="3">
        <v>20</v>
      </c>
      <c r="F10523" s="4" t="str">
        <f>HYPERLINK("http://141.218.60.56/~jnz1568/getInfo.php?workbook=20_05.xlsx&amp;sheet=U0&amp;row=10523&amp;col=6&amp;number=4.9&amp;sourceID=14","4.9")</f>
        <v>4.9</v>
      </c>
      <c r="G10523" s="4" t="str">
        <f>HYPERLINK("http://141.218.60.56/~jnz1568/getInfo.php?workbook=20_05.xlsx&amp;sheet=U0&amp;row=10523&amp;col=7&amp;number=0.0132&amp;sourceID=14","0.0132")</f>
        <v>0.0132</v>
      </c>
    </row>
    <row r="10524" spans="1:7">
      <c r="A10524" s="3">
        <v>20</v>
      </c>
      <c r="B10524" s="3">
        <v>5</v>
      </c>
      <c r="C10524" s="3">
        <v>5</v>
      </c>
      <c r="D10524" s="3">
        <v>61</v>
      </c>
      <c r="E10524" s="3">
        <v>1</v>
      </c>
      <c r="F10524" s="4" t="str">
        <f>HYPERLINK("http://141.218.60.56/~jnz1568/getInfo.php?workbook=20_05.xlsx&amp;sheet=U0&amp;row=10524&amp;col=6&amp;number=3&amp;sourceID=14","3")</f>
        <v>3</v>
      </c>
      <c r="G10524" s="4" t="str">
        <f>HYPERLINK("http://141.218.60.56/~jnz1568/getInfo.php?workbook=20_05.xlsx&amp;sheet=U0&amp;row=10524&amp;col=7&amp;number=0.00311&amp;sourceID=14","0.00311")</f>
        <v>0.00311</v>
      </c>
    </row>
    <row r="10525" spans="1:7">
      <c r="A10525" s="3"/>
      <c r="B10525" s="3"/>
      <c r="C10525" s="3"/>
      <c r="D10525" s="3"/>
      <c r="E10525" s="3">
        <v>2</v>
      </c>
      <c r="F10525" s="4" t="str">
        <f>HYPERLINK("http://141.218.60.56/~jnz1568/getInfo.php?workbook=20_05.xlsx&amp;sheet=U0&amp;row=10525&amp;col=6&amp;number=3.1&amp;sourceID=14","3.1")</f>
        <v>3.1</v>
      </c>
      <c r="G10525" s="4" t="str">
        <f>HYPERLINK("http://141.218.60.56/~jnz1568/getInfo.php?workbook=20_05.xlsx&amp;sheet=U0&amp;row=10525&amp;col=7&amp;number=0.00311&amp;sourceID=14","0.00311")</f>
        <v>0.00311</v>
      </c>
    </row>
    <row r="10526" spans="1:7">
      <c r="A10526" s="3"/>
      <c r="B10526" s="3"/>
      <c r="C10526" s="3"/>
      <c r="D10526" s="3"/>
      <c r="E10526" s="3">
        <v>3</v>
      </c>
      <c r="F10526" s="4" t="str">
        <f>HYPERLINK("http://141.218.60.56/~jnz1568/getInfo.php?workbook=20_05.xlsx&amp;sheet=U0&amp;row=10526&amp;col=6&amp;number=3.2&amp;sourceID=14","3.2")</f>
        <v>3.2</v>
      </c>
      <c r="G10526" s="4" t="str">
        <f>HYPERLINK("http://141.218.60.56/~jnz1568/getInfo.php?workbook=20_05.xlsx&amp;sheet=U0&amp;row=10526&amp;col=7&amp;number=0.00311&amp;sourceID=14","0.00311")</f>
        <v>0.00311</v>
      </c>
    </row>
    <row r="10527" spans="1:7">
      <c r="A10527" s="3"/>
      <c r="B10527" s="3"/>
      <c r="C10527" s="3"/>
      <c r="D10527" s="3"/>
      <c r="E10527" s="3">
        <v>4</v>
      </c>
      <c r="F10527" s="4" t="str">
        <f>HYPERLINK("http://141.218.60.56/~jnz1568/getInfo.php?workbook=20_05.xlsx&amp;sheet=U0&amp;row=10527&amp;col=6&amp;number=3.3&amp;sourceID=14","3.3")</f>
        <v>3.3</v>
      </c>
      <c r="G10527" s="4" t="str">
        <f>HYPERLINK("http://141.218.60.56/~jnz1568/getInfo.php?workbook=20_05.xlsx&amp;sheet=U0&amp;row=10527&amp;col=7&amp;number=0.00311&amp;sourceID=14","0.00311")</f>
        <v>0.00311</v>
      </c>
    </row>
    <row r="10528" spans="1:7">
      <c r="A10528" s="3"/>
      <c r="B10528" s="3"/>
      <c r="C10528" s="3"/>
      <c r="D10528" s="3"/>
      <c r="E10528" s="3">
        <v>5</v>
      </c>
      <c r="F10528" s="4" t="str">
        <f>HYPERLINK("http://141.218.60.56/~jnz1568/getInfo.php?workbook=20_05.xlsx&amp;sheet=U0&amp;row=10528&amp;col=6&amp;number=3.4&amp;sourceID=14","3.4")</f>
        <v>3.4</v>
      </c>
      <c r="G10528" s="4" t="str">
        <f>HYPERLINK("http://141.218.60.56/~jnz1568/getInfo.php?workbook=20_05.xlsx&amp;sheet=U0&amp;row=10528&amp;col=7&amp;number=0.00311&amp;sourceID=14","0.00311")</f>
        <v>0.00311</v>
      </c>
    </row>
    <row r="10529" spans="1:7">
      <c r="A10529" s="3"/>
      <c r="B10529" s="3"/>
      <c r="C10529" s="3"/>
      <c r="D10529" s="3"/>
      <c r="E10529" s="3">
        <v>6</v>
      </c>
      <c r="F10529" s="4" t="str">
        <f>HYPERLINK("http://141.218.60.56/~jnz1568/getInfo.php?workbook=20_05.xlsx&amp;sheet=U0&amp;row=10529&amp;col=6&amp;number=3.5&amp;sourceID=14","3.5")</f>
        <v>3.5</v>
      </c>
      <c r="G10529" s="4" t="str">
        <f>HYPERLINK("http://141.218.60.56/~jnz1568/getInfo.php?workbook=20_05.xlsx&amp;sheet=U0&amp;row=10529&amp;col=7&amp;number=0.00311&amp;sourceID=14","0.00311")</f>
        <v>0.00311</v>
      </c>
    </row>
    <row r="10530" spans="1:7">
      <c r="A10530" s="3"/>
      <c r="B10530" s="3"/>
      <c r="C10530" s="3"/>
      <c r="D10530" s="3"/>
      <c r="E10530" s="3">
        <v>7</v>
      </c>
      <c r="F10530" s="4" t="str">
        <f>HYPERLINK("http://141.218.60.56/~jnz1568/getInfo.php?workbook=20_05.xlsx&amp;sheet=U0&amp;row=10530&amp;col=6&amp;number=3.6&amp;sourceID=14","3.6")</f>
        <v>3.6</v>
      </c>
      <c r="G10530" s="4" t="str">
        <f>HYPERLINK("http://141.218.60.56/~jnz1568/getInfo.php?workbook=20_05.xlsx&amp;sheet=U0&amp;row=10530&amp;col=7&amp;number=0.00311&amp;sourceID=14","0.00311")</f>
        <v>0.00311</v>
      </c>
    </row>
    <row r="10531" spans="1:7">
      <c r="A10531" s="3"/>
      <c r="B10531" s="3"/>
      <c r="C10531" s="3"/>
      <c r="D10531" s="3"/>
      <c r="E10531" s="3">
        <v>8</v>
      </c>
      <c r="F10531" s="4" t="str">
        <f>HYPERLINK("http://141.218.60.56/~jnz1568/getInfo.php?workbook=20_05.xlsx&amp;sheet=U0&amp;row=10531&amp;col=6&amp;number=3.7&amp;sourceID=14","3.7")</f>
        <v>3.7</v>
      </c>
      <c r="G10531" s="4" t="str">
        <f>HYPERLINK("http://141.218.60.56/~jnz1568/getInfo.php?workbook=20_05.xlsx&amp;sheet=U0&amp;row=10531&amp;col=7&amp;number=0.00311&amp;sourceID=14","0.00311")</f>
        <v>0.00311</v>
      </c>
    </row>
    <row r="10532" spans="1:7">
      <c r="A10532" s="3"/>
      <c r="B10532" s="3"/>
      <c r="C10532" s="3"/>
      <c r="D10532" s="3"/>
      <c r="E10532" s="3">
        <v>9</v>
      </c>
      <c r="F10532" s="4" t="str">
        <f>HYPERLINK("http://141.218.60.56/~jnz1568/getInfo.php?workbook=20_05.xlsx&amp;sheet=U0&amp;row=10532&amp;col=6&amp;number=3.8&amp;sourceID=14","3.8")</f>
        <v>3.8</v>
      </c>
      <c r="G10532" s="4" t="str">
        <f>HYPERLINK("http://141.218.60.56/~jnz1568/getInfo.php?workbook=20_05.xlsx&amp;sheet=U0&amp;row=10532&amp;col=7&amp;number=0.00311&amp;sourceID=14","0.00311")</f>
        <v>0.00311</v>
      </c>
    </row>
    <row r="10533" spans="1:7">
      <c r="A10533" s="3"/>
      <c r="B10533" s="3"/>
      <c r="C10533" s="3"/>
      <c r="D10533" s="3"/>
      <c r="E10533" s="3">
        <v>10</v>
      </c>
      <c r="F10533" s="4" t="str">
        <f>HYPERLINK("http://141.218.60.56/~jnz1568/getInfo.php?workbook=20_05.xlsx&amp;sheet=U0&amp;row=10533&amp;col=6&amp;number=3.9&amp;sourceID=14","3.9")</f>
        <v>3.9</v>
      </c>
      <c r="G10533" s="4" t="str">
        <f>HYPERLINK("http://141.218.60.56/~jnz1568/getInfo.php?workbook=20_05.xlsx&amp;sheet=U0&amp;row=10533&amp;col=7&amp;number=0.00311&amp;sourceID=14","0.00311")</f>
        <v>0.00311</v>
      </c>
    </row>
    <row r="10534" spans="1:7">
      <c r="A10534" s="3"/>
      <c r="B10534" s="3"/>
      <c r="C10534" s="3"/>
      <c r="D10534" s="3"/>
      <c r="E10534" s="3">
        <v>11</v>
      </c>
      <c r="F10534" s="4" t="str">
        <f>HYPERLINK("http://141.218.60.56/~jnz1568/getInfo.php?workbook=20_05.xlsx&amp;sheet=U0&amp;row=10534&amp;col=6&amp;number=4&amp;sourceID=14","4")</f>
        <v>4</v>
      </c>
      <c r="G10534" s="4" t="str">
        <f>HYPERLINK("http://141.218.60.56/~jnz1568/getInfo.php?workbook=20_05.xlsx&amp;sheet=U0&amp;row=10534&amp;col=7&amp;number=0.0031&amp;sourceID=14","0.0031")</f>
        <v>0.0031</v>
      </c>
    </row>
    <row r="10535" spans="1:7">
      <c r="A10535" s="3"/>
      <c r="B10535" s="3"/>
      <c r="C10535" s="3"/>
      <c r="D10535" s="3"/>
      <c r="E10535" s="3">
        <v>12</v>
      </c>
      <c r="F10535" s="4" t="str">
        <f>HYPERLINK("http://141.218.60.56/~jnz1568/getInfo.php?workbook=20_05.xlsx&amp;sheet=U0&amp;row=10535&amp;col=6&amp;number=4.1&amp;sourceID=14","4.1")</f>
        <v>4.1</v>
      </c>
      <c r="G10535" s="4" t="str">
        <f>HYPERLINK("http://141.218.60.56/~jnz1568/getInfo.php?workbook=20_05.xlsx&amp;sheet=U0&amp;row=10535&amp;col=7&amp;number=0.0031&amp;sourceID=14","0.0031")</f>
        <v>0.0031</v>
      </c>
    </row>
    <row r="10536" spans="1:7">
      <c r="A10536" s="3"/>
      <c r="B10536" s="3"/>
      <c r="C10536" s="3"/>
      <c r="D10536" s="3"/>
      <c r="E10536" s="3">
        <v>13</v>
      </c>
      <c r="F10536" s="4" t="str">
        <f>HYPERLINK("http://141.218.60.56/~jnz1568/getInfo.php?workbook=20_05.xlsx&amp;sheet=U0&amp;row=10536&amp;col=6&amp;number=4.2&amp;sourceID=14","4.2")</f>
        <v>4.2</v>
      </c>
      <c r="G10536" s="4" t="str">
        <f>HYPERLINK("http://141.218.60.56/~jnz1568/getInfo.php?workbook=20_05.xlsx&amp;sheet=U0&amp;row=10536&amp;col=7&amp;number=0.0031&amp;sourceID=14","0.0031")</f>
        <v>0.0031</v>
      </c>
    </row>
    <row r="10537" spans="1:7">
      <c r="A10537" s="3"/>
      <c r="B10537" s="3"/>
      <c r="C10537" s="3"/>
      <c r="D10537" s="3"/>
      <c r="E10537" s="3">
        <v>14</v>
      </c>
      <c r="F10537" s="4" t="str">
        <f>HYPERLINK("http://141.218.60.56/~jnz1568/getInfo.php?workbook=20_05.xlsx&amp;sheet=U0&amp;row=10537&amp;col=6&amp;number=4.3&amp;sourceID=14","4.3")</f>
        <v>4.3</v>
      </c>
      <c r="G10537" s="4" t="str">
        <f>HYPERLINK("http://141.218.60.56/~jnz1568/getInfo.php?workbook=20_05.xlsx&amp;sheet=U0&amp;row=10537&amp;col=7&amp;number=0.0031&amp;sourceID=14","0.0031")</f>
        <v>0.0031</v>
      </c>
    </row>
    <row r="10538" spans="1:7">
      <c r="A10538" s="3"/>
      <c r="B10538" s="3"/>
      <c r="C10538" s="3"/>
      <c r="D10538" s="3"/>
      <c r="E10538" s="3">
        <v>15</v>
      </c>
      <c r="F10538" s="4" t="str">
        <f>HYPERLINK("http://141.218.60.56/~jnz1568/getInfo.php?workbook=20_05.xlsx&amp;sheet=U0&amp;row=10538&amp;col=6&amp;number=4.4&amp;sourceID=14","4.4")</f>
        <v>4.4</v>
      </c>
      <c r="G10538" s="4" t="str">
        <f>HYPERLINK("http://141.218.60.56/~jnz1568/getInfo.php?workbook=20_05.xlsx&amp;sheet=U0&amp;row=10538&amp;col=7&amp;number=0.00309&amp;sourceID=14","0.00309")</f>
        <v>0.00309</v>
      </c>
    </row>
    <row r="10539" spans="1:7">
      <c r="A10539" s="3"/>
      <c r="B10539" s="3"/>
      <c r="C10539" s="3"/>
      <c r="D10539" s="3"/>
      <c r="E10539" s="3">
        <v>16</v>
      </c>
      <c r="F10539" s="4" t="str">
        <f>HYPERLINK("http://141.218.60.56/~jnz1568/getInfo.php?workbook=20_05.xlsx&amp;sheet=U0&amp;row=10539&amp;col=6&amp;number=4.5&amp;sourceID=14","4.5")</f>
        <v>4.5</v>
      </c>
      <c r="G10539" s="4" t="str">
        <f>HYPERLINK("http://141.218.60.56/~jnz1568/getInfo.php?workbook=20_05.xlsx&amp;sheet=U0&amp;row=10539&amp;col=7&amp;number=0.00309&amp;sourceID=14","0.00309")</f>
        <v>0.00309</v>
      </c>
    </row>
    <row r="10540" spans="1:7">
      <c r="A10540" s="3"/>
      <c r="B10540" s="3"/>
      <c r="C10540" s="3"/>
      <c r="D10540" s="3"/>
      <c r="E10540" s="3">
        <v>17</v>
      </c>
      <c r="F10540" s="4" t="str">
        <f>HYPERLINK("http://141.218.60.56/~jnz1568/getInfo.php?workbook=20_05.xlsx&amp;sheet=U0&amp;row=10540&amp;col=6&amp;number=4.6&amp;sourceID=14","4.6")</f>
        <v>4.6</v>
      </c>
      <c r="G10540" s="4" t="str">
        <f>HYPERLINK("http://141.218.60.56/~jnz1568/getInfo.php?workbook=20_05.xlsx&amp;sheet=U0&amp;row=10540&amp;col=7&amp;number=0.00308&amp;sourceID=14","0.00308")</f>
        <v>0.00308</v>
      </c>
    </row>
    <row r="10541" spans="1:7">
      <c r="A10541" s="3"/>
      <c r="B10541" s="3"/>
      <c r="C10541" s="3"/>
      <c r="D10541" s="3"/>
      <c r="E10541" s="3">
        <v>18</v>
      </c>
      <c r="F10541" s="4" t="str">
        <f>HYPERLINK("http://141.218.60.56/~jnz1568/getInfo.php?workbook=20_05.xlsx&amp;sheet=U0&amp;row=10541&amp;col=6&amp;number=4.7&amp;sourceID=14","4.7")</f>
        <v>4.7</v>
      </c>
      <c r="G10541" s="4" t="str">
        <f>HYPERLINK("http://141.218.60.56/~jnz1568/getInfo.php?workbook=20_05.xlsx&amp;sheet=U0&amp;row=10541&amp;col=7&amp;number=0.00307&amp;sourceID=14","0.00307")</f>
        <v>0.00307</v>
      </c>
    </row>
    <row r="10542" spans="1:7">
      <c r="A10542" s="3"/>
      <c r="B10542" s="3"/>
      <c r="C10542" s="3"/>
      <c r="D10542" s="3"/>
      <c r="E10542" s="3">
        <v>19</v>
      </c>
      <c r="F10542" s="4" t="str">
        <f>HYPERLINK("http://141.218.60.56/~jnz1568/getInfo.php?workbook=20_05.xlsx&amp;sheet=U0&amp;row=10542&amp;col=6&amp;number=4.8&amp;sourceID=14","4.8")</f>
        <v>4.8</v>
      </c>
      <c r="G10542" s="4" t="str">
        <f>HYPERLINK("http://141.218.60.56/~jnz1568/getInfo.php?workbook=20_05.xlsx&amp;sheet=U0&amp;row=10542&amp;col=7&amp;number=0.00306&amp;sourceID=14","0.00306")</f>
        <v>0.00306</v>
      </c>
    </row>
    <row r="10543" spans="1:7">
      <c r="A10543" s="3"/>
      <c r="B10543" s="3"/>
      <c r="C10543" s="3"/>
      <c r="D10543" s="3"/>
      <c r="E10543" s="3">
        <v>20</v>
      </c>
      <c r="F10543" s="4" t="str">
        <f>HYPERLINK("http://141.218.60.56/~jnz1568/getInfo.php?workbook=20_05.xlsx&amp;sheet=U0&amp;row=10543&amp;col=6&amp;number=4.9&amp;sourceID=14","4.9")</f>
        <v>4.9</v>
      </c>
      <c r="G10543" s="4" t="str">
        <f>HYPERLINK("http://141.218.60.56/~jnz1568/getInfo.php?workbook=20_05.xlsx&amp;sheet=U0&amp;row=10543&amp;col=7&amp;number=0.00305&amp;sourceID=14","0.00305")</f>
        <v>0.00305</v>
      </c>
    </row>
    <row r="10544" spans="1:7">
      <c r="A10544" s="3">
        <v>20</v>
      </c>
      <c r="B10544" s="3">
        <v>5</v>
      </c>
      <c r="C10544" s="3">
        <v>5</v>
      </c>
      <c r="D10544" s="3">
        <v>62</v>
      </c>
      <c r="E10544" s="3">
        <v>1</v>
      </c>
      <c r="F10544" s="4" t="str">
        <f>HYPERLINK("http://141.218.60.56/~jnz1568/getInfo.php?workbook=20_05.xlsx&amp;sheet=U0&amp;row=10544&amp;col=6&amp;number=3&amp;sourceID=14","3")</f>
        <v>3</v>
      </c>
      <c r="G10544" s="4" t="str">
        <f>HYPERLINK("http://141.218.60.56/~jnz1568/getInfo.php?workbook=20_05.xlsx&amp;sheet=U0&amp;row=10544&amp;col=7&amp;number=0.000261&amp;sourceID=14","0.000261")</f>
        <v>0.000261</v>
      </c>
    </row>
    <row r="10545" spans="1:7">
      <c r="A10545" s="3"/>
      <c r="B10545" s="3"/>
      <c r="C10545" s="3"/>
      <c r="D10545" s="3"/>
      <c r="E10545" s="3">
        <v>2</v>
      </c>
      <c r="F10545" s="4" t="str">
        <f>HYPERLINK("http://141.218.60.56/~jnz1568/getInfo.php?workbook=20_05.xlsx&amp;sheet=U0&amp;row=10545&amp;col=6&amp;number=3.1&amp;sourceID=14","3.1")</f>
        <v>3.1</v>
      </c>
      <c r="G10545" s="4" t="str">
        <f>HYPERLINK("http://141.218.60.56/~jnz1568/getInfo.php?workbook=20_05.xlsx&amp;sheet=U0&amp;row=10545&amp;col=7&amp;number=0.000261&amp;sourceID=14","0.000261")</f>
        <v>0.000261</v>
      </c>
    </row>
    <row r="10546" spans="1:7">
      <c r="A10546" s="3"/>
      <c r="B10546" s="3"/>
      <c r="C10546" s="3"/>
      <c r="D10546" s="3"/>
      <c r="E10546" s="3">
        <v>3</v>
      </c>
      <c r="F10546" s="4" t="str">
        <f>HYPERLINK("http://141.218.60.56/~jnz1568/getInfo.php?workbook=20_05.xlsx&amp;sheet=U0&amp;row=10546&amp;col=6&amp;number=3.2&amp;sourceID=14","3.2")</f>
        <v>3.2</v>
      </c>
      <c r="G10546" s="4" t="str">
        <f>HYPERLINK("http://141.218.60.56/~jnz1568/getInfo.php?workbook=20_05.xlsx&amp;sheet=U0&amp;row=10546&amp;col=7&amp;number=0.000261&amp;sourceID=14","0.000261")</f>
        <v>0.000261</v>
      </c>
    </row>
    <row r="10547" spans="1:7">
      <c r="A10547" s="3"/>
      <c r="B10547" s="3"/>
      <c r="C10547" s="3"/>
      <c r="D10547" s="3"/>
      <c r="E10547" s="3">
        <v>4</v>
      </c>
      <c r="F10547" s="4" t="str">
        <f>HYPERLINK("http://141.218.60.56/~jnz1568/getInfo.php?workbook=20_05.xlsx&amp;sheet=U0&amp;row=10547&amp;col=6&amp;number=3.3&amp;sourceID=14","3.3")</f>
        <v>3.3</v>
      </c>
      <c r="G10547" s="4" t="str">
        <f>HYPERLINK("http://141.218.60.56/~jnz1568/getInfo.php?workbook=20_05.xlsx&amp;sheet=U0&amp;row=10547&amp;col=7&amp;number=0.000261&amp;sourceID=14","0.000261")</f>
        <v>0.000261</v>
      </c>
    </row>
    <row r="10548" spans="1:7">
      <c r="A10548" s="3"/>
      <c r="B10548" s="3"/>
      <c r="C10548" s="3"/>
      <c r="D10548" s="3"/>
      <c r="E10548" s="3">
        <v>5</v>
      </c>
      <c r="F10548" s="4" t="str">
        <f>HYPERLINK("http://141.218.60.56/~jnz1568/getInfo.php?workbook=20_05.xlsx&amp;sheet=U0&amp;row=10548&amp;col=6&amp;number=3.4&amp;sourceID=14","3.4")</f>
        <v>3.4</v>
      </c>
      <c r="G10548" s="4" t="str">
        <f>HYPERLINK("http://141.218.60.56/~jnz1568/getInfo.php?workbook=20_05.xlsx&amp;sheet=U0&amp;row=10548&amp;col=7&amp;number=0.000261&amp;sourceID=14","0.000261")</f>
        <v>0.000261</v>
      </c>
    </row>
    <row r="10549" spans="1:7">
      <c r="A10549" s="3"/>
      <c r="B10549" s="3"/>
      <c r="C10549" s="3"/>
      <c r="D10549" s="3"/>
      <c r="E10549" s="3">
        <v>6</v>
      </c>
      <c r="F10549" s="4" t="str">
        <f>HYPERLINK("http://141.218.60.56/~jnz1568/getInfo.php?workbook=20_05.xlsx&amp;sheet=U0&amp;row=10549&amp;col=6&amp;number=3.5&amp;sourceID=14","3.5")</f>
        <v>3.5</v>
      </c>
      <c r="G10549" s="4" t="str">
        <f>HYPERLINK("http://141.218.60.56/~jnz1568/getInfo.php?workbook=20_05.xlsx&amp;sheet=U0&amp;row=10549&amp;col=7&amp;number=0.000261&amp;sourceID=14","0.000261")</f>
        <v>0.000261</v>
      </c>
    </row>
    <row r="10550" spans="1:7">
      <c r="A10550" s="3"/>
      <c r="B10550" s="3"/>
      <c r="C10550" s="3"/>
      <c r="D10550" s="3"/>
      <c r="E10550" s="3">
        <v>7</v>
      </c>
      <c r="F10550" s="4" t="str">
        <f>HYPERLINK("http://141.218.60.56/~jnz1568/getInfo.php?workbook=20_05.xlsx&amp;sheet=U0&amp;row=10550&amp;col=6&amp;number=3.6&amp;sourceID=14","3.6")</f>
        <v>3.6</v>
      </c>
      <c r="G10550" s="4" t="str">
        <f>HYPERLINK("http://141.218.60.56/~jnz1568/getInfo.php?workbook=20_05.xlsx&amp;sheet=U0&amp;row=10550&amp;col=7&amp;number=0.000261&amp;sourceID=14","0.000261")</f>
        <v>0.000261</v>
      </c>
    </row>
    <row r="10551" spans="1:7">
      <c r="A10551" s="3"/>
      <c r="B10551" s="3"/>
      <c r="C10551" s="3"/>
      <c r="D10551" s="3"/>
      <c r="E10551" s="3">
        <v>8</v>
      </c>
      <c r="F10551" s="4" t="str">
        <f>HYPERLINK("http://141.218.60.56/~jnz1568/getInfo.php?workbook=20_05.xlsx&amp;sheet=U0&amp;row=10551&amp;col=6&amp;number=3.7&amp;sourceID=14","3.7")</f>
        <v>3.7</v>
      </c>
      <c r="G10551" s="4" t="str">
        <f>HYPERLINK("http://141.218.60.56/~jnz1568/getInfo.php?workbook=20_05.xlsx&amp;sheet=U0&amp;row=10551&amp;col=7&amp;number=0.000261&amp;sourceID=14","0.000261")</f>
        <v>0.000261</v>
      </c>
    </row>
    <row r="10552" spans="1:7">
      <c r="A10552" s="3"/>
      <c r="B10552" s="3"/>
      <c r="C10552" s="3"/>
      <c r="D10552" s="3"/>
      <c r="E10552" s="3">
        <v>9</v>
      </c>
      <c r="F10552" s="4" t="str">
        <f>HYPERLINK("http://141.218.60.56/~jnz1568/getInfo.php?workbook=20_05.xlsx&amp;sheet=U0&amp;row=10552&amp;col=6&amp;number=3.8&amp;sourceID=14","3.8")</f>
        <v>3.8</v>
      </c>
      <c r="G10552" s="4" t="str">
        <f>HYPERLINK("http://141.218.60.56/~jnz1568/getInfo.php?workbook=20_05.xlsx&amp;sheet=U0&amp;row=10552&amp;col=7&amp;number=0.000261&amp;sourceID=14","0.000261")</f>
        <v>0.000261</v>
      </c>
    </row>
    <row r="10553" spans="1:7">
      <c r="A10553" s="3"/>
      <c r="B10553" s="3"/>
      <c r="C10553" s="3"/>
      <c r="D10553" s="3"/>
      <c r="E10553" s="3">
        <v>10</v>
      </c>
      <c r="F10553" s="4" t="str">
        <f>HYPERLINK("http://141.218.60.56/~jnz1568/getInfo.php?workbook=20_05.xlsx&amp;sheet=U0&amp;row=10553&amp;col=6&amp;number=3.9&amp;sourceID=14","3.9")</f>
        <v>3.9</v>
      </c>
      <c r="G10553" s="4" t="str">
        <f>HYPERLINK("http://141.218.60.56/~jnz1568/getInfo.php?workbook=20_05.xlsx&amp;sheet=U0&amp;row=10553&amp;col=7&amp;number=0.000261&amp;sourceID=14","0.000261")</f>
        <v>0.000261</v>
      </c>
    </row>
    <row r="10554" spans="1:7">
      <c r="A10554" s="3"/>
      <c r="B10554" s="3"/>
      <c r="C10554" s="3"/>
      <c r="D10554" s="3"/>
      <c r="E10554" s="3">
        <v>11</v>
      </c>
      <c r="F10554" s="4" t="str">
        <f>HYPERLINK("http://141.218.60.56/~jnz1568/getInfo.php?workbook=20_05.xlsx&amp;sheet=U0&amp;row=10554&amp;col=6&amp;number=4&amp;sourceID=14","4")</f>
        <v>4</v>
      </c>
      <c r="G10554" s="4" t="str">
        <f>HYPERLINK("http://141.218.60.56/~jnz1568/getInfo.php?workbook=20_05.xlsx&amp;sheet=U0&amp;row=10554&amp;col=7&amp;number=0.000261&amp;sourceID=14","0.000261")</f>
        <v>0.000261</v>
      </c>
    </row>
    <row r="10555" spans="1:7">
      <c r="A10555" s="3"/>
      <c r="B10555" s="3"/>
      <c r="C10555" s="3"/>
      <c r="D10555" s="3"/>
      <c r="E10555" s="3">
        <v>12</v>
      </c>
      <c r="F10555" s="4" t="str">
        <f>HYPERLINK("http://141.218.60.56/~jnz1568/getInfo.php?workbook=20_05.xlsx&amp;sheet=U0&amp;row=10555&amp;col=6&amp;number=4.1&amp;sourceID=14","4.1")</f>
        <v>4.1</v>
      </c>
      <c r="G10555" s="4" t="str">
        <f>HYPERLINK("http://141.218.60.56/~jnz1568/getInfo.php?workbook=20_05.xlsx&amp;sheet=U0&amp;row=10555&amp;col=7&amp;number=0.000261&amp;sourceID=14","0.000261")</f>
        <v>0.000261</v>
      </c>
    </row>
    <row r="10556" spans="1:7">
      <c r="A10556" s="3"/>
      <c r="B10556" s="3"/>
      <c r="C10556" s="3"/>
      <c r="D10556" s="3"/>
      <c r="E10556" s="3">
        <v>13</v>
      </c>
      <c r="F10556" s="4" t="str">
        <f>HYPERLINK("http://141.218.60.56/~jnz1568/getInfo.php?workbook=20_05.xlsx&amp;sheet=U0&amp;row=10556&amp;col=6&amp;number=4.2&amp;sourceID=14","4.2")</f>
        <v>4.2</v>
      </c>
      <c r="G10556" s="4" t="str">
        <f>HYPERLINK("http://141.218.60.56/~jnz1568/getInfo.php?workbook=20_05.xlsx&amp;sheet=U0&amp;row=10556&amp;col=7&amp;number=0.000261&amp;sourceID=14","0.000261")</f>
        <v>0.000261</v>
      </c>
    </row>
    <row r="10557" spans="1:7">
      <c r="A10557" s="3"/>
      <c r="B10557" s="3"/>
      <c r="C10557" s="3"/>
      <c r="D10557" s="3"/>
      <c r="E10557" s="3">
        <v>14</v>
      </c>
      <c r="F10557" s="4" t="str">
        <f>HYPERLINK("http://141.218.60.56/~jnz1568/getInfo.php?workbook=20_05.xlsx&amp;sheet=U0&amp;row=10557&amp;col=6&amp;number=4.3&amp;sourceID=14","4.3")</f>
        <v>4.3</v>
      </c>
      <c r="G10557" s="4" t="str">
        <f>HYPERLINK("http://141.218.60.56/~jnz1568/getInfo.php?workbook=20_05.xlsx&amp;sheet=U0&amp;row=10557&amp;col=7&amp;number=0.000261&amp;sourceID=14","0.000261")</f>
        <v>0.000261</v>
      </c>
    </row>
    <row r="10558" spans="1:7">
      <c r="A10558" s="3"/>
      <c r="B10558" s="3"/>
      <c r="C10558" s="3"/>
      <c r="D10558" s="3"/>
      <c r="E10558" s="3">
        <v>15</v>
      </c>
      <c r="F10558" s="4" t="str">
        <f>HYPERLINK("http://141.218.60.56/~jnz1568/getInfo.php?workbook=20_05.xlsx&amp;sheet=U0&amp;row=10558&amp;col=6&amp;number=4.4&amp;sourceID=14","4.4")</f>
        <v>4.4</v>
      </c>
      <c r="G10558" s="4" t="str">
        <f>HYPERLINK("http://141.218.60.56/~jnz1568/getInfo.php?workbook=20_05.xlsx&amp;sheet=U0&amp;row=10558&amp;col=7&amp;number=0.000261&amp;sourceID=14","0.000261")</f>
        <v>0.000261</v>
      </c>
    </row>
    <row r="10559" spans="1:7">
      <c r="A10559" s="3"/>
      <c r="B10559" s="3"/>
      <c r="C10559" s="3"/>
      <c r="D10559" s="3"/>
      <c r="E10559" s="3">
        <v>16</v>
      </c>
      <c r="F10559" s="4" t="str">
        <f>HYPERLINK("http://141.218.60.56/~jnz1568/getInfo.php?workbook=20_05.xlsx&amp;sheet=U0&amp;row=10559&amp;col=6&amp;number=4.5&amp;sourceID=14","4.5")</f>
        <v>4.5</v>
      </c>
      <c r="G10559" s="4" t="str">
        <f>HYPERLINK("http://141.218.60.56/~jnz1568/getInfo.php?workbook=20_05.xlsx&amp;sheet=U0&amp;row=10559&amp;col=7&amp;number=0.000261&amp;sourceID=14","0.000261")</f>
        <v>0.000261</v>
      </c>
    </row>
    <row r="10560" spans="1:7">
      <c r="A10560" s="3"/>
      <c r="B10560" s="3"/>
      <c r="C10560" s="3"/>
      <c r="D10560" s="3"/>
      <c r="E10560" s="3">
        <v>17</v>
      </c>
      <c r="F10560" s="4" t="str">
        <f>HYPERLINK("http://141.218.60.56/~jnz1568/getInfo.php?workbook=20_05.xlsx&amp;sheet=U0&amp;row=10560&amp;col=6&amp;number=4.6&amp;sourceID=14","4.6")</f>
        <v>4.6</v>
      </c>
      <c r="G10560" s="4" t="str">
        <f>HYPERLINK("http://141.218.60.56/~jnz1568/getInfo.php?workbook=20_05.xlsx&amp;sheet=U0&amp;row=10560&amp;col=7&amp;number=0.000261&amp;sourceID=14","0.000261")</f>
        <v>0.000261</v>
      </c>
    </row>
    <row r="10561" spans="1:7">
      <c r="A10561" s="3"/>
      <c r="B10561" s="3"/>
      <c r="C10561" s="3"/>
      <c r="D10561" s="3"/>
      <c r="E10561" s="3">
        <v>18</v>
      </c>
      <c r="F10561" s="4" t="str">
        <f>HYPERLINK("http://141.218.60.56/~jnz1568/getInfo.php?workbook=20_05.xlsx&amp;sheet=U0&amp;row=10561&amp;col=6&amp;number=4.7&amp;sourceID=14","4.7")</f>
        <v>4.7</v>
      </c>
      <c r="G10561" s="4" t="str">
        <f>HYPERLINK("http://141.218.60.56/~jnz1568/getInfo.php?workbook=20_05.xlsx&amp;sheet=U0&amp;row=10561&amp;col=7&amp;number=0.000261&amp;sourceID=14","0.000261")</f>
        <v>0.000261</v>
      </c>
    </row>
    <row r="10562" spans="1:7">
      <c r="A10562" s="3"/>
      <c r="B10562" s="3"/>
      <c r="C10562" s="3"/>
      <c r="D10562" s="3"/>
      <c r="E10562" s="3">
        <v>19</v>
      </c>
      <c r="F10562" s="4" t="str">
        <f>HYPERLINK("http://141.218.60.56/~jnz1568/getInfo.php?workbook=20_05.xlsx&amp;sheet=U0&amp;row=10562&amp;col=6&amp;number=4.8&amp;sourceID=14","4.8")</f>
        <v>4.8</v>
      </c>
      <c r="G10562" s="4" t="str">
        <f>HYPERLINK("http://141.218.60.56/~jnz1568/getInfo.php?workbook=20_05.xlsx&amp;sheet=U0&amp;row=10562&amp;col=7&amp;number=0.000261&amp;sourceID=14","0.000261")</f>
        <v>0.000261</v>
      </c>
    </row>
    <row r="10563" spans="1:7">
      <c r="A10563" s="3"/>
      <c r="B10563" s="3"/>
      <c r="C10563" s="3"/>
      <c r="D10563" s="3"/>
      <c r="E10563" s="3">
        <v>20</v>
      </c>
      <c r="F10563" s="4" t="str">
        <f>HYPERLINK("http://141.218.60.56/~jnz1568/getInfo.php?workbook=20_05.xlsx&amp;sheet=U0&amp;row=10563&amp;col=6&amp;number=4.9&amp;sourceID=14","4.9")</f>
        <v>4.9</v>
      </c>
      <c r="G10563" s="4" t="str">
        <f>HYPERLINK("http://141.218.60.56/~jnz1568/getInfo.php?workbook=20_05.xlsx&amp;sheet=U0&amp;row=10563&amp;col=7&amp;number=0.000261&amp;sourceID=14","0.000261")</f>
        <v>0.000261</v>
      </c>
    </row>
    <row r="10564" spans="1:7">
      <c r="A10564" s="3">
        <v>20</v>
      </c>
      <c r="B10564" s="3">
        <v>5</v>
      </c>
      <c r="C10564" s="3">
        <v>5</v>
      </c>
      <c r="D10564" s="3">
        <v>63</v>
      </c>
      <c r="E10564" s="3">
        <v>1</v>
      </c>
      <c r="F10564" s="4" t="str">
        <f>HYPERLINK("http://141.218.60.56/~jnz1568/getInfo.php?workbook=20_05.xlsx&amp;sheet=U0&amp;row=10564&amp;col=6&amp;number=3&amp;sourceID=14","3")</f>
        <v>3</v>
      </c>
      <c r="G10564" s="4" t="str">
        <f>HYPERLINK("http://141.218.60.56/~jnz1568/getInfo.php?workbook=20_05.xlsx&amp;sheet=U0&amp;row=10564&amp;col=7&amp;number=0.00214&amp;sourceID=14","0.00214")</f>
        <v>0.00214</v>
      </c>
    </row>
    <row r="10565" spans="1:7">
      <c r="A10565" s="3"/>
      <c r="B10565" s="3"/>
      <c r="C10565" s="3"/>
      <c r="D10565" s="3"/>
      <c r="E10565" s="3">
        <v>2</v>
      </c>
      <c r="F10565" s="4" t="str">
        <f>HYPERLINK("http://141.218.60.56/~jnz1568/getInfo.php?workbook=20_05.xlsx&amp;sheet=U0&amp;row=10565&amp;col=6&amp;number=3.1&amp;sourceID=14","3.1")</f>
        <v>3.1</v>
      </c>
      <c r="G10565" s="4" t="str">
        <f>HYPERLINK("http://141.218.60.56/~jnz1568/getInfo.php?workbook=20_05.xlsx&amp;sheet=U0&amp;row=10565&amp;col=7&amp;number=0.00214&amp;sourceID=14","0.00214")</f>
        <v>0.00214</v>
      </c>
    </row>
    <row r="10566" spans="1:7">
      <c r="A10566" s="3"/>
      <c r="B10566" s="3"/>
      <c r="C10566" s="3"/>
      <c r="D10566" s="3"/>
      <c r="E10566" s="3">
        <v>3</v>
      </c>
      <c r="F10566" s="4" t="str">
        <f>HYPERLINK("http://141.218.60.56/~jnz1568/getInfo.php?workbook=20_05.xlsx&amp;sheet=U0&amp;row=10566&amp;col=6&amp;number=3.2&amp;sourceID=14","3.2")</f>
        <v>3.2</v>
      </c>
      <c r="G10566" s="4" t="str">
        <f>HYPERLINK("http://141.218.60.56/~jnz1568/getInfo.php?workbook=20_05.xlsx&amp;sheet=U0&amp;row=10566&amp;col=7&amp;number=0.00214&amp;sourceID=14","0.00214")</f>
        <v>0.00214</v>
      </c>
    </row>
    <row r="10567" spans="1:7">
      <c r="A10567" s="3"/>
      <c r="B10567" s="3"/>
      <c r="C10567" s="3"/>
      <c r="D10567" s="3"/>
      <c r="E10567" s="3">
        <v>4</v>
      </c>
      <c r="F10567" s="4" t="str">
        <f>HYPERLINK("http://141.218.60.56/~jnz1568/getInfo.php?workbook=20_05.xlsx&amp;sheet=U0&amp;row=10567&amp;col=6&amp;number=3.3&amp;sourceID=14","3.3")</f>
        <v>3.3</v>
      </c>
      <c r="G10567" s="4" t="str">
        <f>HYPERLINK("http://141.218.60.56/~jnz1568/getInfo.php?workbook=20_05.xlsx&amp;sheet=U0&amp;row=10567&amp;col=7&amp;number=0.00214&amp;sourceID=14","0.00214")</f>
        <v>0.00214</v>
      </c>
    </row>
    <row r="10568" spans="1:7">
      <c r="A10568" s="3"/>
      <c r="B10568" s="3"/>
      <c r="C10568" s="3"/>
      <c r="D10568" s="3"/>
      <c r="E10568" s="3">
        <v>5</v>
      </c>
      <c r="F10568" s="4" t="str">
        <f>HYPERLINK("http://141.218.60.56/~jnz1568/getInfo.php?workbook=20_05.xlsx&amp;sheet=U0&amp;row=10568&amp;col=6&amp;number=3.4&amp;sourceID=14","3.4")</f>
        <v>3.4</v>
      </c>
      <c r="G10568" s="4" t="str">
        <f>HYPERLINK("http://141.218.60.56/~jnz1568/getInfo.php?workbook=20_05.xlsx&amp;sheet=U0&amp;row=10568&amp;col=7&amp;number=0.00214&amp;sourceID=14","0.00214")</f>
        <v>0.00214</v>
      </c>
    </row>
    <row r="10569" spans="1:7">
      <c r="A10569" s="3"/>
      <c r="B10569" s="3"/>
      <c r="C10569" s="3"/>
      <c r="D10569" s="3"/>
      <c r="E10569" s="3">
        <v>6</v>
      </c>
      <c r="F10569" s="4" t="str">
        <f>HYPERLINK("http://141.218.60.56/~jnz1568/getInfo.php?workbook=20_05.xlsx&amp;sheet=U0&amp;row=10569&amp;col=6&amp;number=3.5&amp;sourceID=14","3.5")</f>
        <v>3.5</v>
      </c>
      <c r="G10569" s="4" t="str">
        <f>HYPERLINK("http://141.218.60.56/~jnz1568/getInfo.php?workbook=20_05.xlsx&amp;sheet=U0&amp;row=10569&amp;col=7&amp;number=0.00214&amp;sourceID=14","0.00214")</f>
        <v>0.00214</v>
      </c>
    </row>
    <row r="10570" spans="1:7">
      <c r="A10570" s="3"/>
      <c r="B10570" s="3"/>
      <c r="C10570" s="3"/>
      <c r="D10570" s="3"/>
      <c r="E10570" s="3">
        <v>7</v>
      </c>
      <c r="F10570" s="4" t="str">
        <f>HYPERLINK("http://141.218.60.56/~jnz1568/getInfo.php?workbook=20_05.xlsx&amp;sheet=U0&amp;row=10570&amp;col=6&amp;number=3.6&amp;sourceID=14","3.6")</f>
        <v>3.6</v>
      </c>
      <c r="G10570" s="4" t="str">
        <f>HYPERLINK("http://141.218.60.56/~jnz1568/getInfo.php?workbook=20_05.xlsx&amp;sheet=U0&amp;row=10570&amp;col=7&amp;number=0.00214&amp;sourceID=14","0.00214")</f>
        <v>0.00214</v>
      </c>
    </row>
    <row r="10571" spans="1:7">
      <c r="A10571" s="3"/>
      <c r="B10571" s="3"/>
      <c r="C10571" s="3"/>
      <c r="D10571" s="3"/>
      <c r="E10571" s="3">
        <v>8</v>
      </c>
      <c r="F10571" s="4" t="str">
        <f>HYPERLINK("http://141.218.60.56/~jnz1568/getInfo.php?workbook=20_05.xlsx&amp;sheet=U0&amp;row=10571&amp;col=6&amp;number=3.7&amp;sourceID=14","3.7")</f>
        <v>3.7</v>
      </c>
      <c r="G10571" s="4" t="str">
        <f>HYPERLINK("http://141.218.60.56/~jnz1568/getInfo.php?workbook=20_05.xlsx&amp;sheet=U0&amp;row=10571&amp;col=7&amp;number=0.00214&amp;sourceID=14","0.00214")</f>
        <v>0.00214</v>
      </c>
    </row>
    <row r="10572" spans="1:7">
      <c r="A10572" s="3"/>
      <c r="B10572" s="3"/>
      <c r="C10572" s="3"/>
      <c r="D10572" s="3"/>
      <c r="E10572" s="3">
        <v>9</v>
      </c>
      <c r="F10572" s="4" t="str">
        <f>HYPERLINK("http://141.218.60.56/~jnz1568/getInfo.php?workbook=20_05.xlsx&amp;sheet=U0&amp;row=10572&amp;col=6&amp;number=3.8&amp;sourceID=14","3.8")</f>
        <v>3.8</v>
      </c>
      <c r="G10572" s="4" t="str">
        <f>HYPERLINK("http://141.218.60.56/~jnz1568/getInfo.php?workbook=20_05.xlsx&amp;sheet=U0&amp;row=10572&amp;col=7&amp;number=0.00214&amp;sourceID=14","0.00214")</f>
        <v>0.00214</v>
      </c>
    </row>
    <row r="10573" spans="1:7">
      <c r="A10573" s="3"/>
      <c r="B10573" s="3"/>
      <c r="C10573" s="3"/>
      <c r="D10573" s="3"/>
      <c r="E10573" s="3">
        <v>10</v>
      </c>
      <c r="F10573" s="4" t="str">
        <f>HYPERLINK("http://141.218.60.56/~jnz1568/getInfo.php?workbook=20_05.xlsx&amp;sheet=U0&amp;row=10573&amp;col=6&amp;number=3.9&amp;sourceID=14","3.9")</f>
        <v>3.9</v>
      </c>
      <c r="G10573" s="4" t="str">
        <f>HYPERLINK("http://141.218.60.56/~jnz1568/getInfo.php?workbook=20_05.xlsx&amp;sheet=U0&amp;row=10573&amp;col=7&amp;number=0.00214&amp;sourceID=14","0.00214")</f>
        <v>0.00214</v>
      </c>
    </row>
    <row r="10574" spans="1:7">
      <c r="A10574" s="3"/>
      <c r="B10574" s="3"/>
      <c r="C10574" s="3"/>
      <c r="D10574" s="3"/>
      <c r="E10574" s="3">
        <v>11</v>
      </c>
      <c r="F10574" s="4" t="str">
        <f>HYPERLINK("http://141.218.60.56/~jnz1568/getInfo.php?workbook=20_05.xlsx&amp;sheet=U0&amp;row=10574&amp;col=6&amp;number=4&amp;sourceID=14","4")</f>
        <v>4</v>
      </c>
      <c r="G10574" s="4" t="str">
        <f>HYPERLINK("http://141.218.60.56/~jnz1568/getInfo.php?workbook=20_05.xlsx&amp;sheet=U0&amp;row=10574&amp;col=7&amp;number=0.00214&amp;sourceID=14","0.00214")</f>
        <v>0.00214</v>
      </c>
    </row>
    <row r="10575" spans="1:7">
      <c r="A10575" s="3"/>
      <c r="B10575" s="3"/>
      <c r="C10575" s="3"/>
      <c r="D10575" s="3"/>
      <c r="E10575" s="3">
        <v>12</v>
      </c>
      <c r="F10575" s="4" t="str">
        <f>HYPERLINK("http://141.218.60.56/~jnz1568/getInfo.php?workbook=20_05.xlsx&amp;sheet=U0&amp;row=10575&amp;col=6&amp;number=4.1&amp;sourceID=14","4.1")</f>
        <v>4.1</v>
      </c>
      <c r="G10575" s="4" t="str">
        <f>HYPERLINK("http://141.218.60.56/~jnz1568/getInfo.php?workbook=20_05.xlsx&amp;sheet=U0&amp;row=10575&amp;col=7&amp;number=0.00214&amp;sourceID=14","0.00214")</f>
        <v>0.00214</v>
      </c>
    </row>
    <row r="10576" spans="1:7">
      <c r="A10576" s="3"/>
      <c r="B10576" s="3"/>
      <c r="C10576" s="3"/>
      <c r="D10576" s="3"/>
      <c r="E10576" s="3">
        <v>13</v>
      </c>
      <c r="F10576" s="4" t="str">
        <f>HYPERLINK("http://141.218.60.56/~jnz1568/getInfo.php?workbook=20_05.xlsx&amp;sheet=U0&amp;row=10576&amp;col=6&amp;number=4.2&amp;sourceID=14","4.2")</f>
        <v>4.2</v>
      </c>
      <c r="G10576" s="4" t="str">
        <f>HYPERLINK("http://141.218.60.56/~jnz1568/getInfo.php?workbook=20_05.xlsx&amp;sheet=U0&amp;row=10576&amp;col=7&amp;number=0.00213&amp;sourceID=14","0.00213")</f>
        <v>0.00213</v>
      </c>
    </row>
    <row r="10577" spans="1:7">
      <c r="A10577" s="3"/>
      <c r="B10577" s="3"/>
      <c r="C10577" s="3"/>
      <c r="D10577" s="3"/>
      <c r="E10577" s="3">
        <v>14</v>
      </c>
      <c r="F10577" s="4" t="str">
        <f>HYPERLINK("http://141.218.60.56/~jnz1568/getInfo.php?workbook=20_05.xlsx&amp;sheet=U0&amp;row=10577&amp;col=6&amp;number=4.3&amp;sourceID=14","4.3")</f>
        <v>4.3</v>
      </c>
      <c r="G10577" s="4" t="str">
        <f>HYPERLINK("http://141.218.60.56/~jnz1568/getInfo.php?workbook=20_05.xlsx&amp;sheet=U0&amp;row=10577&amp;col=7&amp;number=0.00213&amp;sourceID=14","0.00213")</f>
        <v>0.00213</v>
      </c>
    </row>
    <row r="10578" spans="1:7">
      <c r="A10578" s="3"/>
      <c r="B10578" s="3"/>
      <c r="C10578" s="3"/>
      <c r="D10578" s="3"/>
      <c r="E10578" s="3">
        <v>15</v>
      </c>
      <c r="F10578" s="4" t="str">
        <f>HYPERLINK("http://141.218.60.56/~jnz1568/getInfo.php?workbook=20_05.xlsx&amp;sheet=U0&amp;row=10578&amp;col=6&amp;number=4.4&amp;sourceID=14","4.4")</f>
        <v>4.4</v>
      </c>
      <c r="G10578" s="4" t="str">
        <f>HYPERLINK("http://141.218.60.56/~jnz1568/getInfo.php?workbook=20_05.xlsx&amp;sheet=U0&amp;row=10578&amp;col=7&amp;number=0.00213&amp;sourceID=14","0.00213")</f>
        <v>0.00213</v>
      </c>
    </row>
    <row r="10579" spans="1:7">
      <c r="A10579" s="3"/>
      <c r="B10579" s="3"/>
      <c r="C10579" s="3"/>
      <c r="D10579" s="3"/>
      <c r="E10579" s="3">
        <v>16</v>
      </c>
      <c r="F10579" s="4" t="str">
        <f>HYPERLINK("http://141.218.60.56/~jnz1568/getInfo.php?workbook=20_05.xlsx&amp;sheet=U0&amp;row=10579&amp;col=6&amp;number=4.5&amp;sourceID=14","4.5")</f>
        <v>4.5</v>
      </c>
      <c r="G10579" s="4" t="str">
        <f>HYPERLINK("http://141.218.60.56/~jnz1568/getInfo.php?workbook=20_05.xlsx&amp;sheet=U0&amp;row=10579&amp;col=7&amp;number=0.00213&amp;sourceID=14","0.00213")</f>
        <v>0.00213</v>
      </c>
    </row>
    <row r="10580" spans="1:7">
      <c r="A10580" s="3"/>
      <c r="B10580" s="3"/>
      <c r="C10580" s="3"/>
      <c r="D10580" s="3"/>
      <c r="E10580" s="3">
        <v>17</v>
      </c>
      <c r="F10580" s="4" t="str">
        <f>HYPERLINK("http://141.218.60.56/~jnz1568/getInfo.php?workbook=20_05.xlsx&amp;sheet=U0&amp;row=10580&amp;col=6&amp;number=4.6&amp;sourceID=14","4.6")</f>
        <v>4.6</v>
      </c>
      <c r="G10580" s="4" t="str">
        <f>HYPERLINK("http://141.218.60.56/~jnz1568/getInfo.php?workbook=20_05.xlsx&amp;sheet=U0&amp;row=10580&amp;col=7&amp;number=0.00212&amp;sourceID=14","0.00212")</f>
        <v>0.00212</v>
      </c>
    </row>
    <row r="10581" spans="1:7">
      <c r="A10581" s="3"/>
      <c r="B10581" s="3"/>
      <c r="C10581" s="3"/>
      <c r="D10581" s="3"/>
      <c r="E10581" s="3">
        <v>18</v>
      </c>
      <c r="F10581" s="4" t="str">
        <f>HYPERLINK("http://141.218.60.56/~jnz1568/getInfo.php?workbook=20_05.xlsx&amp;sheet=U0&amp;row=10581&amp;col=6&amp;number=4.7&amp;sourceID=14","4.7")</f>
        <v>4.7</v>
      </c>
      <c r="G10581" s="4" t="str">
        <f>HYPERLINK("http://141.218.60.56/~jnz1568/getInfo.php?workbook=20_05.xlsx&amp;sheet=U0&amp;row=10581&amp;col=7&amp;number=0.00211&amp;sourceID=14","0.00211")</f>
        <v>0.00211</v>
      </c>
    </row>
    <row r="10582" spans="1:7">
      <c r="A10582" s="3"/>
      <c r="B10582" s="3"/>
      <c r="C10582" s="3"/>
      <c r="D10582" s="3"/>
      <c r="E10582" s="3">
        <v>19</v>
      </c>
      <c r="F10582" s="4" t="str">
        <f>HYPERLINK("http://141.218.60.56/~jnz1568/getInfo.php?workbook=20_05.xlsx&amp;sheet=U0&amp;row=10582&amp;col=6&amp;number=4.8&amp;sourceID=14","4.8")</f>
        <v>4.8</v>
      </c>
      <c r="G10582" s="4" t="str">
        <f>HYPERLINK("http://141.218.60.56/~jnz1568/getInfo.php?workbook=20_05.xlsx&amp;sheet=U0&amp;row=10582&amp;col=7&amp;number=0.00211&amp;sourceID=14","0.00211")</f>
        <v>0.00211</v>
      </c>
    </row>
    <row r="10583" spans="1:7">
      <c r="A10583" s="3"/>
      <c r="B10583" s="3"/>
      <c r="C10583" s="3"/>
      <c r="D10583" s="3"/>
      <c r="E10583" s="3">
        <v>20</v>
      </c>
      <c r="F10583" s="4" t="str">
        <f>HYPERLINK("http://141.218.60.56/~jnz1568/getInfo.php?workbook=20_05.xlsx&amp;sheet=U0&amp;row=10583&amp;col=6&amp;number=4.9&amp;sourceID=14","4.9")</f>
        <v>4.9</v>
      </c>
      <c r="G10583" s="4" t="str">
        <f>HYPERLINK("http://141.218.60.56/~jnz1568/getInfo.php?workbook=20_05.xlsx&amp;sheet=U0&amp;row=10583&amp;col=7&amp;number=0.0021&amp;sourceID=14","0.0021")</f>
        <v>0.0021</v>
      </c>
    </row>
    <row r="10584" spans="1:7">
      <c r="A10584" s="3">
        <v>20</v>
      </c>
      <c r="B10584" s="3">
        <v>5</v>
      </c>
      <c r="C10584" s="3">
        <v>5</v>
      </c>
      <c r="D10584" s="3">
        <v>64</v>
      </c>
      <c r="E10584" s="3">
        <v>1</v>
      </c>
      <c r="F10584" s="4" t="str">
        <f>HYPERLINK("http://141.218.60.56/~jnz1568/getInfo.php?workbook=20_05.xlsx&amp;sheet=U0&amp;row=10584&amp;col=6&amp;number=3&amp;sourceID=14","3")</f>
        <v>3</v>
      </c>
      <c r="G10584" s="4" t="str">
        <f>HYPERLINK("http://141.218.60.56/~jnz1568/getInfo.php?workbook=20_05.xlsx&amp;sheet=U0&amp;row=10584&amp;col=7&amp;number=0.000131&amp;sourceID=14","0.000131")</f>
        <v>0.000131</v>
      </c>
    </row>
    <row r="10585" spans="1:7">
      <c r="A10585" s="3"/>
      <c r="B10585" s="3"/>
      <c r="C10585" s="3"/>
      <c r="D10585" s="3"/>
      <c r="E10585" s="3">
        <v>2</v>
      </c>
      <c r="F10585" s="4" t="str">
        <f>HYPERLINK("http://141.218.60.56/~jnz1568/getInfo.php?workbook=20_05.xlsx&amp;sheet=U0&amp;row=10585&amp;col=6&amp;number=3.1&amp;sourceID=14","3.1")</f>
        <v>3.1</v>
      </c>
      <c r="G10585" s="4" t="str">
        <f>HYPERLINK("http://141.218.60.56/~jnz1568/getInfo.php?workbook=20_05.xlsx&amp;sheet=U0&amp;row=10585&amp;col=7&amp;number=0.000131&amp;sourceID=14","0.000131")</f>
        <v>0.000131</v>
      </c>
    </row>
    <row r="10586" spans="1:7">
      <c r="A10586" s="3"/>
      <c r="B10586" s="3"/>
      <c r="C10586" s="3"/>
      <c r="D10586" s="3"/>
      <c r="E10586" s="3">
        <v>3</v>
      </c>
      <c r="F10586" s="4" t="str">
        <f>HYPERLINK("http://141.218.60.56/~jnz1568/getInfo.php?workbook=20_05.xlsx&amp;sheet=U0&amp;row=10586&amp;col=6&amp;number=3.2&amp;sourceID=14","3.2")</f>
        <v>3.2</v>
      </c>
      <c r="G10586" s="4" t="str">
        <f>HYPERLINK("http://141.218.60.56/~jnz1568/getInfo.php?workbook=20_05.xlsx&amp;sheet=U0&amp;row=10586&amp;col=7&amp;number=0.000131&amp;sourceID=14","0.000131")</f>
        <v>0.000131</v>
      </c>
    </row>
    <row r="10587" spans="1:7">
      <c r="A10587" s="3"/>
      <c r="B10587" s="3"/>
      <c r="C10587" s="3"/>
      <c r="D10587" s="3"/>
      <c r="E10587" s="3">
        <v>4</v>
      </c>
      <c r="F10587" s="4" t="str">
        <f>HYPERLINK("http://141.218.60.56/~jnz1568/getInfo.php?workbook=20_05.xlsx&amp;sheet=U0&amp;row=10587&amp;col=6&amp;number=3.3&amp;sourceID=14","3.3")</f>
        <v>3.3</v>
      </c>
      <c r="G10587" s="4" t="str">
        <f>HYPERLINK("http://141.218.60.56/~jnz1568/getInfo.php?workbook=20_05.xlsx&amp;sheet=U0&amp;row=10587&amp;col=7&amp;number=0.000131&amp;sourceID=14","0.000131")</f>
        <v>0.000131</v>
      </c>
    </row>
    <row r="10588" spans="1:7">
      <c r="A10588" s="3"/>
      <c r="B10588" s="3"/>
      <c r="C10588" s="3"/>
      <c r="D10588" s="3"/>
      <c r="E10588" s="3">
        <v>5</v>
      </c>
      <c r="F10588" s="4" t="str">
        <f>HYPERLINK("http://141.218.60.56/~jnz1568/getInfo.php?workbook=20_05.xlsx&amp;sheet=U0&amp;row=10588&amp;col=6&amp;number=3.4&amp;sourceID=14","3.4")</f>
        <v>3.4</v>
      </c>
      <c r="G10588" s="4" t="str">
        <f>HYPERLINK("http://141.218.60.56/~jnz1568/getInfo.php?workbook=20_05.xlsx&amp;sheet=U0&amp;row=10588&amp;col=7&amp;number=0.000131&amp;sourceID=14","0.000131")</f>
        <v>0.000131</v>
      </c>
    </row>
    <row r="10589" spans="1:7">
      <c r="A10589" s="3"/>
      <c r="B10589" s="3"/>
      <c r="C10589" s="3"/>
      <c r="D10589" s="3"/>
      <c r="E10589" s="3">
        <v>6</v>
      </c>
      <c r="F10589" s="4" t="str">
        <f>HYPERLINK("http://141.218.60.56/~jnz1568/getInfo.php?workbook=20_05.xlsx&amp;sheet=U0&amp;row=10589&amp;col=6&amp;number=3.5&amp;sourceID=14","3.5")</f>
        <v>3.5</v>
      </c>
      <c r="G10589" s="4" t="str">
        <f>HYPERLINK("http://141.218.60.56/~jnz1568/getInfo.php?workbook=20_05.xlsx&amp;sheet=U0&amp;row=10589&amp;col=7&amp;number=0.000131&amp;sourceID=14","0.000131")</f>
        <v>0.000131</v>
      </c>
    </row>
    <row r="10590" spans="1:7">
      <c r="A10590" s="3"/>
      <c r="B10590" s="3"/>
      <c r="C10590" s="3"/>
      <c r="D10590" s="3"/>
      <c r="E10590" s="3">
        <v>7</v>
      </c>
      <c r="F10590" s="4" t="str">
        <f>HYPERLINK("http://141.218.60.56/~jnz1568/getInfo.php?workbook=20_05.xlsx&amp;sheet=U0&amp;row=10590&amp;col=6&amp;number=3.6&amp;sourceID=14","3.6")</f>
        <v>3.6</v>
      </c>
      <c r="G10590" s="4" t="str">
        <f>HYPERLINK("http://141.218.60.56/~jnz1568/getInfo.php?workbook=20_05.xlsx&amp;sheet=U0&amp;row=10590&amp;col=7&amp;number=0.000131&amp;sourceID=14","0.000131")</f>
        <v>0.000131</v>
      </c>
    </row>
    <row r="10591" spans="1:7">
      <c r="A10591" s="3"/>
      <c r="B10591" s="3"/>
      <c r="C10591" s="3"/>
      <c r="D10591" s="3"/>
      <c r="E10591" s="3">
        <v>8</v>
      </c>
      <c r="F10591" s="4" t="str">
        <f>HYPERLINK("http://141.218.60.56/~jnz1568/getInfo.php?workbook=20_05.xlsx&amp;sheet=U0&amp;row=10591&amp;col=6&amp;number=3.7&amp;sourceID=14","3.7")</f>
        <v>3.7</v>
      </c>
      <c r="G10591" s="4" t="str">
        <f>HYPERLINK("http://141.218.60.56/~jnz1568/getInfo.php?workbook=20_05.xlsx&amp;sheet=U0&amp;row=10591&amp;col=7&amp;number=0.000131&amp;sourceID=14","0.000131")</f>
        <v>0.000131</v>
      </c>
    </row>
    <row r="10592" spans="1:7">
      <c r="A10592" s="3"/>
      <c r="B10592" s="3"/>
      <c r="C10592" s="3"/>
      <c r="D10592" s="3"/>
      <c r="E10592" s="3">
        <v>9</v>
      </c>
      <c r="F10592" s="4" t="str">
        <f>HYPERLINK("http://141.218.60.56/~jnz1568/getInfo.php?workbook=20_05.xlsx&amp;sheet=U0&amp;row=10592&amp;col=6&amp;number=3.8&amp;sourceID=14","3.8")</f>
        <v>3.8</v>
      </c>
      <c r="G10592" s="4" t="str">
        <f>HYPERLINK("http://141.218.60.56/~jnz1568/getInfo.php?workbook=20_05.xlsx&amp;sheet=U0&amp;row=10592&amp;col=7&amp;number=0.000131&amp;sourceID=14","0.000131")</f>
        <v>0.000131</v>
      </c>
    </row>
    <row r="10593" spans="1:7">
      <c r="A10593" s="3"/>
      <c r="B10593" s="3"/>
      <c r="C10593" s="3"/>
      <c r="D10593" s="3"/>
      <c r="E10593" s="3">
        <v>10</v>
      </c>
      <c r="F10593" s="4" t="str">
        <f>HYPERLINK("http://141.218.60.56/~jnz1568/getInfo.php?workbook=20_05.xlsx&amp;sheet=U0&amp;row=10593&amp;col=6&amp;number=3.9&amp;sourceID=14","3.9")</f>
        <v>3.9</v>
      </c>
      <c r="G10593" s="4" t="str">
        <f>HYPERLINK("http://141.218.60.56/~jnz1568/getInfo.php?workbook=20_05.xlsx&amp;sheet=U0&amp;row=10593&amp;col=7&amp;number=0.000131&amp;sourceID=14","0.000131")</f>
        <v>0.000131</v>
      </c>
    </row>
    <row r="10594" spans="1:7">
      <c r="A10594" s="3"/>
      <c r="B10594" s="3"/>
      <c r="C10594" s="3"/>
      <c r="D10594" s="3"/>
      <c r="E10594" s="3">
        <v>11</v>
      </c>
      <c r="F10594" s="4" t="str">
        <f>HYPERLINK("http://141.218.60.56/~jnz1568/getInfo.php?workbook=20_05.xlsx&amp;sheet=U0&amp;row=10594&amp;col=6&amp;number=4&amp;sourceID=14","4")</f>
        <v>4</v>
      </c>
      <c r="G10594" s="4" t="str">
        <f>HYPERLINK("http://141.218.60.56/~jnz1568/getInfo.php?workbook=20_05.xlsx&amp;sheet=U0&amp;row=10594&amp;col=7&amp;number=0.000131&amp;sourceID=14","0.000131")</f>
        <v>0.000131</v>
      </c>
    </row>
    <row r="10595" spans="1:7">
      <c r="A10595" s="3"/>
      <c r="B10595" s="3"/>
      <c r="C10595" s="3"/>
      <c r="D10595" s="3"/>
      <c r="E10595" s="3">
        <v>12</v>
      </c>
      <c r="F10595" s="4" t="str">
        <f>HYPERLINK("http://141.218.60.56/~jnz1568/getInfo.php?workbook=20_05.xlsx&amp;sheet=U0&amp;row=10595&amp;col=6&amp;number=4.1&amp;sourceID=14","4.1")</f>
        <v>4.1</v>
      </c>
      <c r="G10595" s="4" t="str">
        <f>HYPERLINK("http://141.218.60.56/~jnz1568/getInfo.php?workbook=20_05.xlsx&amp;sheet=U0&amp;row=10595&amp;col=7&amp;number=0.000131&amp;sourceID=14","0.000131")</f>
        <v>0.000131</v>
      </c>
    </row>
    <row r="10596" spans="1:7">
      <c r="A10596" s="3"/>
      <c r="B10596" s="3"/>
      <c r="C10596" s="3"/>
      <c r="D10596" s="3"/>
      <c r="E10596" s="3">
        <v>13</v>
      </c>
      <c r="F10596" s="4" t="str">
        <f>HYPERLINK("http://141.218.60.56/~jnz1568/getInfo.php?workbook=20_05.xlsx&amp;sheet=U0&amp;row=10596&amp;col=6&amp;number=4.2&amp;sourceID=14","4.2")</f>
        <v>4.2</v>
      </c>
      <c r="G10596" s="4" t="str">
        <f>HYPERLINK("http://141.218.60.56/~jnz1568/getInfo.php?workbook=20_05.xlsx&amp;sheet=U0&amp;row=10596&amp;col=7&amp;number=0.000131&amp;sourceID=14","0.000131")</f>
        <v>0.000131</v>
      </c>
    </row>
    <row r="10597" spans="1:7">
      <c r="A10597" s="3"/>
      <c r="B10597" s="3"/>
      <c r="C10597" s="3"/>
      <c r="D10597" s="3"/>
      <c r="E10597" s="3">
        <v>14</v>
      </c>
      <c r="F10597" s="4" t="str">
        <f>HYPERLINK("http://141.218.60.56/~jnz1568/getInfo.php?workbook=20_05.xlsx&amp;sheet=U0&amp;row=10597&amp;col=6&amp;number=4.3&amp;sourceID=14","4.3")</f>
        <v>4.3</v>
      </c>
      <c r="G10597" s="4" t="str">
        <f>HYPERLINK("http://141.218.60.56/~jnz1568/getInfo.php?workbook=20_05.xlsx&amp;sheet=U0&amp;row=10597&amp;col=7&amp;number=0.000131&amp;sourceID=14","0.000131")</f>
        <v>0.000131</v>
      </c>
    </row>
    <row r="10598" spans="1:7">
      <c r="A10598" s="3"/>
      <c r="B10598" s="3"/>
      <c r="C10598" s="3"/>
      <c r="D10598" s="3"/>
      <c r="E10598" s="3">
        <v>15</v>
      </c>
      <c r="F10598" s="4" t="str">
        <f>HYPERLINK("http://141.218.60.56/~jnz1568/getInfo.php?workbook=20_05.xlsx&amp;sheet=U0&amp;row=10598&amp;col=6&amp;number=4.4&amp;sourceID=14","4.4")</f>
        <v>4.4</v>
      </c>
      <c r="G10598" s="4" t="str">
        <f>HYPERLINK("http://141.218.60.56/~jnz1568/getInfo.php?workbook=20_05.xlsx&amp;sheet=U0&amp;row=10598&amp;col=7&amp;number=0.000131&amp;sourceID=14","0.000131")</f>
        <v>0.000131</v>
      </c>
    </row>
    <row r="10599" spans="1:7">
      <c r="A10599" s="3"/>
      <c r="B10599" s="3"/>
      <c r="C10599" s="3"/>
      <c r="D10599" s="3"/>
      <c r="E10599" s="3">
        <v>16</v>
      </c>
      <c r="F10599" s="4" t="str">
        <f>HYPERLINK("http://141.218.60.56/~jnz1568/getInfo.php?workbook=20_05.xlsx&amp;sheet=U0&amp;row=10599&amp;col=6&amp;number=4.5&amp;sourceID=14","4.5")</f>
        <v>4.5</v>
      </c>
      <c r="G10599" s="4" t="str">
        <f>HYPERLINK("http://141.218.60.56/~jnz1568/getInfo.php?workbook=20_05.xlsx&amp;sheet=U0&amp;row=10599&amp;col=7&amp;number=0.00013&amp;sourceID=14","0.00013")</f>
        <v>0.00013</v>
      </c>
    </row>
    <row r="10600" spans="1:7">
      <c r="A10600" s="3"/>
      <c r="B10600" s="3"/>
      <c r="C10600" s="3"/>
      <c r="D10600" s="3"/>
      <c r="E10600" s="3">
        <v>17</v>
      </c>
      <c r="F10600" s="4" t="str">
        <f>HYPERLINK("http://141.218.60.56/~jnz1568/getInfo.php?workbook=20_05.xlsx&amp;sheet=U0&amp;row=10600&amp;col=6&amp;number=4.6&amp;sourceID=14","4.6")</f>
        <v>4.6</v>
      </c>
      <c r="G10600" s="4" t="str">
        <f>HYPERLINK("http://141.218.60.56/~jnz1568/getInfo.php?workbook=20_05.xlsx&amp;sheet=U0&amp;row=10600&amp;col=7&amp;number=0.00013&amp;sourceID=14","0.00013")</f>
        <v>0.00013</v>
      </c>
    </row>
    <row r="10601" spans="1:7">
      <c r="A10601" s="3"/>
      <c r="B10601" s="3"/>
      <c r="C10601" s="3"/>
      <c r="D10601" s="3"/>
      <c r="E10601" s="3">
        <v>18</v>
      </c>
      <c r="F10601" s="4" t="str">
        <f>HYPERLINK("http://141.218.60.56/~jnz1568/getInfo.php?workbook=20_05.xlsx&amp;sheet=U0&amp;row=10601&amp;col=6&amp;number=4.7&amp;sourceID=14","4.7")</f>
        <v>4.7</v>
      </c>
      <c r="G10601" s="4" t="str">
        <f>HYPERLINK("http://141.218.60.56/~jnz1568/getInfo.php?workbook=20_05.xlsx&amp;sheet=U0&amp;row=10601&amp;col=7&amp;number=0.00013&amp;sourceID=14","0.00013")</f>
        <v>0.00013</v>
      </c>
    </row>
    <row r="10602" spans="1:7">
      <c r="A10602" s="3"/>
      <c r="B10602" s="3"/>
      <c r="C10602" s="3"/>
      <c r="D10602" s="3"/>
      <c r="E10602" s="3">
        <v>19</v>
      </c>
      <c r="F10602" s="4" t="str">
        <f>HYPERLINK("http://141.218.60.56/~jnz1568/getInfo.php?workbook=20_05.xlsx&amp;sheet=U0&amp;row=10602&amp;col=6&amp;number=4.8&amp;sourceID=14","4.8")</f>
        <v>4.8</v>
      </c>
      <c r="G10602" s="4" t="str">
        <f>HYPERLINK("http://141.218.60.56/~jnz1568/getInfo.php?workbook=20_05.xlsx&amp;sheet=U0&amp;row=10602&amp;col=7&amp;number=0.000129&amp;sourceID=14","0.000129")</f>
        <v>0.000129</v>
      </c>
    </row>
    <row r="10603" spans="1:7">
      <c r="A10603" s="3"/>
      <c r="B10603" s="3"/>
      <c r="C10603" s="3"/>
      <c r="D10603" s="3"/>
      <c r="E10603" s="3">
        <v>20</v>
      </c>
      <c r="F10603" s="4" t="str">
        <f>HYPERLINK("http://141.218.60.56/~jnz1568/getInfo.php?workbook=20_05.xlsx&amp;sheet=U0&amp;row=10603&amp;col=6&amp;number=4.9&amp;sourceID=14","4.9")</f>
        <v>4.9</v>
      </c>
      <c r="G10603" s="4" t="str">
        <f>HYPERLINK("http://141.218.60.56/~jnz1568/getInfo.php?workbook=20_05.xlsx&amp;sheet=U0&amp;row=10603&amp;col=7&amp;number=0.000129&amp;sourceID=14","0.000129")</f>
        <v>0.000129</v>
      </c>
    </row>
    <row r="10604" spans="1:7">
      <c r="A10604" s="3">
        <v>20</v>
      </c>
      <c r="B10604" s="3">
        <v>5</v>
      </c>
      <c r="C10604" s="3">
        <v>5</v>
      </c>
      <c r="D10604" s="3">
        <v>65</v>
      </c>
      <c r="E10604" s="3">
        <v>1</v>
      </c>
      <c r="F10604" s="4" t="str">
        <f>HYPERLINK("http://141.218.60.56/~jnz1568/getInfo.php?workbook=20_05.xlsx&amp;sheet=U0&amp;row=10604&amp;col=6&amp;number=3&amp;sourceID=14","3")</f>
        <v>3</v>
      </c>
      <c r="G10604" s="4" t="str">
        <f>HYPERLINK("http://141.218.60.56/~jnz1568/getInfo.php?workbook=20_05.xlsx&amp;sheet=U0&amp;row=10604&amp;col=7&amp;number=0.0142&amp;sourceID=14","0.0142")</f>
        <v>0.0142</v>
      </c>
    </row>
    <row r="10605" spans="1:7">
      <c r="A10605" s="3"/>
      <c r="B10605" s="3"/>
      <c r="C10605" s="3"/>
      <c r="D10605" s="3"/>
      <c r="E10605" s="3">
        <v>2</v>
      </c>
      <c r="F10605" s="4" t="str">
        <f>HYPERLINK("http://141.218.60.56/~jnz1568/getInfo.php?workbook=20_05.xlsx&amp;sheet=U0&amp;row=10605&amp;col=6&amp;number=3.1&amp;sourceID=14","3.1")</f>
        <v>3.1</v>
      </c>
      <c r="G10605" s="4" t="str">
        <f>HYPERLINK("http://141.218.60.56/~jnz1568/getInfo.php?workbook=20_05.xlsx&amp;sheet=U0&amp;row=10605&amp;col=7&amp;number=0.0142&amp;sourceID=14","0.0142")</f>
        <v>0.0142</v>
      </c>
    </row>
    <row r="10606" spans="1:7">
      <c r="A10606" s="3"/>
      <c r="B10606" s="3"/>
      <c r="C10606" s="3"/>
      <c r="D10606" s="3"/>
      <c r="E10606" s="3">
        <v>3</v>
      </c>
      <c r="F10606" s="4" t="str">
        <f>HYPERLINK("http://141.218.60.56/~jnz1568/getInfo.php?workbook=20_05.xlsx&amp;sheet=U0&amp;row=10606&amp;col=6&amp;number=3.2&amp;sourceID=14","3.2")</f>
        <v>3.2</v>
      </c>
      <c r="G10606" s="4" t="str">
        <f>HYPERLINK("http://141.218.60.56/~jnz1568/getInfo.php?workbook=20_05.xlsx&amp;sheet=U0&amp;row=10606&amp;col=7&amp;number=0.0142&amp;sourceID=14","0.0142")</f>
        <v>0.0142</v>
      </c>
    </row>
    <row r="10607" spans="1:7">
      <c r="A10607" s="3"/>
      <c r="B10607" s="3"/>
      <c r="C10607" s="3"/>
      <c r="D10607" s="3"/>
      <c r="E10607" s="3">
        <v>4</v>
      </c>
      <c r="F10607" s="4" t="str">
        <f>HYPERLINK("http://141.218.60.56/~jnz1568/getInfo.php?workbook=20_05.xlsx&amp;sheet=U0&amp;row=10607&amp;col=6&amp;number=3.3&amp;sourceID=14","3.3")</f>
        <v>3.3</v>
      </c>
      <c r="G10607" s="4" t="str">
        <f>HYPERLINK("http://141.218.60.56/~jnz1568/getInfo.php?workbook=20_05.xlsx&amp;sheet=U0&amp;row=10607&amp;col=7&amp;number=0.0142&amp;sourceID=14","0.0142")</f>
        <v>0.0142</v>
      </c>
    </row>
    <row r="10608" spans="1:7">
      <c r="A10608" s="3"/>
      <c r="B10608" s="3"/>
      <c r="C10608" s="3"/>
      <c r="D10608" s="3"/>
      <c r="E10608" s="3">
        <v>5</v>
      </c>
      <c r="F10608" s="4" t="str">
        <f>HYPERLINK("http://141.218.60.56/~jnz1568/getInfo.php?workbook=20_05.xlsx&amp;sheet=U0&amp;row=10608&amp;col=6&amp;number=3.4&amp;sourceID=14","3.4")</f>
        <v>3.4</v>
      </c>
      <c r="G10608" s="4" t="str">
        <f>HYPERLINK("http://141.218.60.56/~jnz1568/getInfo.php?workbook=20_05.xlsx&amp;sheet=U0&amp;row=10608&amp;col=7&amp;number=0.0142&amp;sourceID=14","0.0142")</f>
        <v>0.0142</v>
      </c>
    </row>
    <row r="10609" spans="1:7">
      <c r="A10609" s="3"/>
      <c r="B10609" s="3"/>
      <c r="C10609" s="3"/>
      <c r="D10609" s="3"/>
      <c r="E10609" s="3">
        <v>6</v>
      </c>
      <c r="F10609" s="4" t="str">
        <f>HYPERLINK("http://141.218.60.56/~jnz1568/getInfo.php?workbook=20_05.xlsx&amp;sheet=U0&amp;row=10609&amp;col=6&amp;number=3.5&amp;sourceID=14","3.5")</f>
        <v>3.5</v>
      </c>
      <c r="G10609" s="4" t="str">
        <f>HYPERLINK("http://141.218.60.56/~jnz1568/getInfo.php?workbook=20_05.xlsx&amp;sheet=U0&amp;row=10609&amp;col=7&amp;number=0.0142&amp;sourceID=14","0.0142")</f>
        <v>0.0142</v>
      </c>
    </row>
    <row r="10610" spans="1:7">
      <c r="A10610" s="3"/>
      <c r="B10610" s="3"/>
      <c r="C10610" s="3"/>
      <c r="D10610" s="3"/>
      <c r="E10610" s="3">
        <v>7</v>
      </c>
      <c r="F10610" s="4" t="str">
        <f>HYPERLINK("http://141.218.60.56/~jnz1568/getInfo.php?workbook=20_05.xlsx&amp;sheet=U0&amp;row=10610&amp;col=6&amp;number=3.6&amp;sourceID=14","3.6")</f>
        <v>3.6</v>
      </c>
      <c r="G10610" s="4" t="str">
        <f>HYPERLINK("http://141.218.60.56/~jnz1568/getInfo.php?workbook=20_05.xlsx&amp;sheet=U0&amp;row=10610&amp;col=7&amp;number=0.0142&amp;sourceID=14","0.0142")</f>
        <v>0.0142</v>
      </c>
    </row>
    <row r="10611" spans="1:7">
      <c r="A10611" s="3"/>
      <c r="B10611" s="3"/>
      <c r="C10611" s="3"/>
      <c r="D10611" s="3"/>
      <c r="E10611" s="3">
        <v>8</v>
      </c>
      <c r="F10611" s="4" t="str">
        <f>HYPERLINK("http://141.218.60.56/~jnz1568/getInfo.php?workbook=20_05.xlsx&amp;sheet=U0&amp;row=10611&amp;col=6&amp;number=3.7&amp;sourceID=14","3.7")</f>
        <v>3.7</v>
      </c>
      <c r="G10611" s="4" t="str">
        <f>HYPERLINK("http://141.218.60.56/~jnz1568/getInfo.php?workbook=20_05.xlsx&amp;sheet=U0&amp;row=10611&amp;col=7&amp;number=0.0142&amp;sourceID=14","0.0142")</f>
        <v>0.0142</v>
      </c>
    </row>
    <row r="10612" spans="1:7">
      <c r="A10612" s="3"/>
      <c r="B10612" s="3"/>
      <c r="C10612" s="3"/>
      <c r="D10612" s="3"/>
      <c r="E10612" s="3">
        <v>9</v>
      </c>
      <c r="F10612" s="4" t="str">
        <f>HYPERLINK("http://141.218.60.56/~jnz1568/getInfo.php?workbook=20_05.xlsx&amp;sheet=U0&amp;row=10612&amp;col=6&amp;number=3.8&amp;sourceID=14","3.8")</f>
        <v>3.8</v>
      </c>
      <c r="G10612" s="4" t="str">
        <f>HYPERLINK("http://141.218.60.56/~jnz1568/getInfo.php?workbook=20_05.xlsx&amp;sheet=U0&amp;row=10612&amp;col=7&amp;number=0.0142&amp;sourceID=14","0.0142")</f>
        <v>0.0142</v>
      </c>
    </row>
    <row r="10613" spans="1:7">
      <c r="A10613" s="3"/>
      <c r="B10613" s="3"/>
      <c r="C10613" s="3"/>
      <c r="D10613" s="3"/>
      <c r="E10613" s="3">
        <v>10</v>
      </c>
      <c r="F10613" s="4" t="str">
        <f>HYPERLINK("http://141.218.60.56/~jnz1568/getInfo.php?workbook=20_05.xlsx&amp;sheet=U0&amp;row=10613&amp;col=6&amp;number=3.9&amp;sourceID=14","3.9")</f>
        <v>3.9</v>
      </c>
      <c r="G10613" s="4" t="str">
        <f>HYPERLINK("http://141.218.60.56/~jnz1568/getInfo.php?workbook=20_05.xlsx&amp;sheet=U0&amp;row=10613&amp;col=7&amp;number=0.0142&amp;sourceID=14","0.0142")</f>
        <v>0.0142</v>
      </c>
    </row>
    <row r="10614" spans="1:7">
      <c r="A10614" s="3"/>
      <c r="B10614" s="3"/>
      <c r="C10614" s="3"/>
      <c r="D10614" s="3"/>
      <c r="E10614" s="3">
        <v>11</v>
      </c>
      <c r="F10614" s="4" t="str">
        <f>HYPERLINK("http://141.218.60.56/~jnz1568/getInfo.php?workbook=20_05.xlsx&amp;sheet=U0&amp;row=10614&amp;col=6&amp;number=4&amp;sourceID=14","4")</f>
        <v>4</v>
      </c>
      <c r="G10614" s="4" t="str">
        <f>HYPERLINK("http://141.218.60.56/~jnz1568/getInfo.php?workbook=20_05.xlsx&amp;sheet=U0&amp;row=10614&amp;col=7&amp;number=0.0142&amp;sourceID=14","0.0142")</f>
        <v>0.0142</v>
      </c>
    </row>
    <row r="10615" spans="1:7">
      <c r="A10615" s="3"/>
      <c r="B10615" s="3"/>
      <c r="C10615" s="3"/>
      <c r="D10615" s="3"/>
      <c r="E10615" s="3">
        <v>12</v>
      </c>
      <c r="F10615" s="4" t="str">
        <f>HYPERLINK("http://141.218.60.56/~jnz1568/getInfo.php?workbook=20_05.xlsx&amp;sheet=U0&amp;row=10615&amp;col=6&amp;number=4.1&amp;sourceID=14","4.1")</f>
        <v>4.1</v>
      </c>
      <c r="G10615" s="4" t="str">
        <f>HYPERLINK("http://141.218.60.56/~jnz1568/getInfo.php?workbook=20_05.xlsx&amp;sheet=U0&amp;row=10615&amp;col=7&amp;number=0.0142&amp;sourceID=14","0.0142")</f>
        <v>0.0142</v>
      </c>
    </row>
    <row r="10616" spans="1:7">
      <c r="A10616" s="3"/>
      <c r="B10616" s="3"/>
      <c r="C10616" s="3"/>
      <c r="D10616" s="3"/>
      <c r="E10616" s="3">
        <v>13</v>
      </c>
      <c r="F10616" s="4" t="str">
        <f>HYPERLINK("http://141.218.60.56/~jnz1568/getInfo.php?workbook=20_05.xlsx&amp;sheet=U0&amp;row=10616&amp;col=6&amp;number=4.2&amp;sourceID=14","4.2")</f>
        <v>4.2</v>
      </c>
      <c r="G10616" s="4" t="str">
        <f>HYPERLINK("http://141.218.60.56/~jnz1568/getInfo.php?workbook=20_05.xlsx&amp;sheet=U0&amp;row=10616&amp;col=7&amp;number=0.0142&amp;sourceID=14","0.0142")</f>
        <v>0.0142</v>
      </c>
    </row>
    <row r="10617" spans="1:7">
      <c r="A10617" s="3"/>
      <c r="B10617" s="3"/>
      <c r="C10617" s="3"/>
      <c r="D10617" s="3"/>
      <c r="E10617" s="3">
        <v>14</v>
      </c>
      <c r="F10617" s="4" t="str">
        <f>HYPERLINK("http://141.218.60.56/~jnz1568/getInfo.php?workbook=20_05.xlsx&amp;sheet=U0&amp;row=10617&amp;col=6&amp;number=4.3&amp;sourceID=14","4.3")</f>
        <v>4.3</v>
      </c>
      <c r="G10617" s="4" t="str">
        <f>HYPERLINK("http://141.218.60.56/~jnz1568/getInfo.php?workbook=20_05.xlsx&amp;sheet=U0&amp;row=10617&amp;col=7&amp;number=0.0142&amp;sourceID=14","0.0142")</f>
        <v>0.0142</v>
      </c>
    </row>
    <row r="10618" spans="1:7">
      <c r="A10618" s="3"/>
      <c r="B10618" s="3"/>
      <c r="C10618" s="3"/>
      <c r="D10618" s="3"/>
      <c r="E10618" s="3">
        <v>15</v>
      </c>
      <c r="F10618" s="4" t="str">
        <f>HYPERLINK("http://141.218.60.56/~jnz1568/getInfo.php?workbook=20_05.xlsx&amp;sheet=U0&amp;row=10618&amp;col=6&amp;number=4.4&amp;sourceID=14","4.4")</f>
        <v>4.4</v>
      </c>
      <c r="G10618" s="4" t="str">
        <f>HYPERLINK("http://141.218.60.56/~jnz1568/getInfo.php?workbook=20_05.xlsx&amp;sheet=U0&amp;row=10618&amp;col=7&amp;number=0.0142&amp;sourceID=14","0.0142")</f>
        <v>0.0142</v>
      </c>
    </row>
    <row r="10619" spans="1:7">
      <c r="A10619" s="3"/>
      <c r="B10619" s="3"/>
      <c r="C10619" s="3"/>
      <c r="D10619" s="3"/>
      <c r="E10619" s="3">
        <v>16</v>
      </c>
      <c r="F10619" s="4" t="str">
        <f>HYPERLINK("http://141.218.60.56/~jnz1568/getInfo.php?workbook=20_05.xlsx&amp;sheet=U0&amp;row=10619&amp;col=6&amp;number=4.5&amp;sourceID=14","4.5")</f>
        <v>4.5</v>
      </c>
      <c r="G10619" s="4" t="str">
        <f>HYPERLINK("http://141.218.60.56/~jnz1568/getInfo.php?workbook=20_05.xlsx&amp;sheet=U0&amp;row=10619&amp;col=7&amp;number=0.0141&amp;sourceID=14","0.0141")</f>
        <v>0.0141</v>
      </c>
    </row>
    <row r="10620" spans="1:7">
      <c r="A10620" s="3"/>
      <c r="B10620" s="3"/>
      <c r="C10620" s="3"/>
      <c r="D10620" s="3"/>
      <c r="E10620" s="3">
        <v>17</v>
      </c>
      <c r="F10620" s="4" t="str">
        <f>HYPERLINK("http://141.218.60.56/~jnz1568/getInfo.php?workbook=20_05.xlsx&amp;sheet=U0&amp;row=10620&amp;col=6&amp;number=4.6&amp;sourceID=14","4.6")</f>
        <v>4.6</v>
      </c>
      <c r="G10620" s="4" t="str">
        <f>HYPERLINK("http://141.218.60.56/~jnz1568/getInfo.php?workbook=20_05.xlsx&amp;sheet=U0&amp;row=10620&amp;col=7&amp;number=0.0141&amp;sourceID=14","0.0141")</f>
        <v>0.0141</v>
      </c>
    </row>
    <row r="10621" spans="1:7">
      <c r="A10621" s="3"/>
      <c r="B10621" s="3"/>
      <c r="C10621" s="3"/>
      <c r="D10621" s="3"/>
      <c r="E10621" s="3">
        <v>18</v>
      </c>
      <c r="F10621" s="4" t="str">
        <f>HYPERLINK("http://141.218.60.56/~jnz1568/getInfo.php?workbook=20_05.xlsx&amp;sheet=U0&amp;row=10621&amp;col=6&amp;number=4.7&amp;sourceID=14","4.7")</f>
        <v>4.7</v>
      </c>
      <c r="G10621" s="4" t="str">
        <f>HYPERLINK("http://141.218.60.56/~jnz1568/getInfo.php?workbook=20_05.xlsx&amp;sheet=U0&amp;row=10621&amp;col=7&amp;number=0.0141&amp;sourceID=14","0.0141")</f>
        <v>0.0141</v>
      </c>
    </row>
    <row r="10622" spans="1:7">
      <c r="A10622" s="3"/>
      <c r="B10622" s="3"/>
      <c r="C10622" s="3"/>
      <c r="D10622" s="3"/>
      <c r="E10622" s="3">
        <v>19</v>
      </c>
      <c r="F10622" s="4" t="str">
        <f>HYPERLINK("http://141.218.60.56/~jnz1568/getInfo.php?workbook=20_05.xlsx&amp;sheet=U0&amp;row=10622&amp;col=6&amp;number=4.8&amp;sourceID=14","4.8")</f>
        <v>4.8</v>
      </c>
      <c r="G10622" s="4" t="str">
        <f>HYPERLINK("http://141.218.60.56/~jnz1568/getInfo.php?workbook=20_05.xlsx&amp;sheet=U0&amp;row=10622&amp;col=7&amp;number=0.0141&amp;sourceID=14","0.0141")</f>
        <v>0.0141</v>
      </c>
    </row>
    <row r="10623" spans="1:7">
      <c r="A10623" s="3"/>
      <c r="B10623" s="3"/>
      <c r="C10623" s="3"/>
      <c r="D10623" s="3"/>
      <c r="E10623" s="3">
        <v>20</v>
      </c>
      <c r="F10623" s="4" t="str">
        <f>HYPERLINK("http://141.218.60.56/~jnz1568/getInfo.php?workbook=20_05.xlsx&amp;sheet=U0&amp;row=10623&amp;col=6&amp;number=4.9&amp;sourceID=14","4.9")</f>
        <v>4.9</v>
      </c>
      <c r="G10623" s="4" t="str">
        <f>HYPERLINK("http://141.218.60.56/~jnz1568/getInfo.php?workbook=20_05.xlsx&amp;sheet=U0&amp;row=10623&amp;col=7&amp;number=0.0141&amp;sourceID=14","0.0141")</f>
        <v>0.0141</v>
      </c>
    </row>
    <row r="10624" spans="1:7">
      <c r="A10624" s="3">
        <v>20</v>
      </c>
      <c r="B10624" s="3">
        <v>5</v>
      </c>
      <c r="C10624" s="3">
        <v>5</v>
      </c>
      <c r="D10624" s="3">
        <v>66</v>
      </c>
      <c r="E10624" s="3">
        <v>1</v>
      </c>
      <c r="F10624" s="4" t="str">
        <f>HYPERLINK("http://141.218.60.56/~jnz1568/getInfo.php?workbook=20_05.xlsx&amp;sheet=U0&amp;row=10624&amp;col=6&amp;number=3&amp;sourceID=14","3")</f>
        <v>3</v>
      </c>
      <c r="G10624" s="4" t="str">
        <f>HYPERLINK("http://141.218.60.56/~jnz1568/getInfo.php?workbook=20_05.xlsx&amp;sheet=U0&amp;row=10624&amp;col=7&amp;number=0.00511&amp;sourceID=14","0.00511")</f>
        <v>0.00511</v>
      </c>
    </row>
    <row r="10625" spans="1:7">
      <c r="A10625" s="3"/>
      <c r="B10625" s="3"/>
      <c r="C10625" s="3"/>
      <c r="D10625" s="3"/>
      <c r="E10625" s="3">
        <v>2</v>
      </c>
      <c r="F10625" s="4" t="str">
        <f>HYPERLINK("http://141.218.60.56/~jnz1568/getInfo.php?workbook=20_05.xlsx&amp;sheet=U0&amp;row=10625&amp;col=6&amp;number=3.1&amp;sourceID=14","3.1")</f>
        <v>3.1</v>
      </c>
      <c r="G10625" s="4" t="str">
        <f>HYPERLINK("http://141.218.60.56/~jnz1568/getInfo.php?workbook=20_05.xlsx&amp;sheet=U0&amp;row=10625&amp;col=7&amp;number=0.00511&amp;sourceID=14","0.00511")</f>
        <v>0.00511</v>
      </c>
    </row>
    <row r="10626" spans="1:7">
      <c r="A10626" s="3"/>
      <c r="B10626" s="3"/>
      <c r="C10626" s="3"/>
      <c r="D10626" s="3"/>
      <c r="E10626" s="3">
        <v>3</v>
      </c>
      <c r="F10626" s="4" t="str">
        <f>HYPERLINK("http://141.218.60.56/~jnz1568/getInfo.php?workbook=20_05.xlsx&amp;sheet=U0&amp;row=10626&amp;col=6&amp;number=3.2&amp;sourceID=14","3.2")</f>
        <v>3.2</v>
      </c>
      <c r="G10626" s="4" t="str">
        <f>HYPERLINK("http://141.218.60.56/~jnz1568/getInfo.php?workbook=20_05.xlsx&amp;sheet=U0&amp;row=10626&amp;col=7&amp;number=0.00511&amp;sourceID=14","0.00511")</f>
        <v>0.00511</v>
      </c>
    </row>
    <row r="10627" spans="1:7">
      <c r="A10627" s="3"/>
      <c r="B10627" s="3"/>
      <c r="C10627" s="3"/>
      <c r="D10627" s="3"/>
      <c r="E10627" s="3">
        <v>4</v>
      </c>
      <c r="F10627" s="4" t="str">
        <f>HYPERLINK("http://141.218.60.56/~jnz1568/getInfo.php?workbook=20_05.xlsx&amp;sheet=U0&amp;row=10627&amp;col=6&amp;number=3.3&amp;sourceID=14","3.3")</f>
        <v>3.3</v>
      </c>
      <c r="G10627" s="4" t="str">
        <f>HYPERLINK("http://141.218.60.56/~jnz1568/getInfo.php?workbook=20_05.xlsx&amp;sheet=U0&amp;row=10627&amp;col=7&amp;number=0.00511&amp;sourceID=14","0.00511")</f>
        <v>0.00511</v>
      </c>
    </row>
    <row r="10628" spans="1:7">
      <c r="A10628" s="3"/>
      <c r="B10628" s="3"/>
      <c r="C10628" s="3"/>
      <c r="D10628" s="3"/>
      <c r="E10628" s="3">
        <v>5</v>
      </c>
      <c r="F10628" s="4" t="str">
        <f>HYPERLINK("http://141.218.60.56/~jnz1568/getInfo.php?workbook=20_05.xlsx&amp;sheet=U0&amp;row=10628&amp;col=6&amp;number=3.4&amp;sourceID=14","3.4")</f>
        <v>3.4</v>
      </c>
      <c r="G10628" s="4" t="str">
        <f>HYPERLINK("http://141.218.60.56/~jnz1568/getInfo.php?workbook=20_05.xlsx&amp;sheet=U0&amp;row=10628&amp;col=7&amp;number=0.00511&amp;sourceID=14","0.00511")</f>
        <v>0.00511</v>
      </c>
    </row>
    <row r="10629" spans="1:7">
      <c r="A10629" s="3"/>
      <c r="B10629" s="3"/>
      <c r="C10629" s="3"/>
      <c r="D10629" s="3"/>
      <c r="E10629" s="3">
        <v>6</v>
      </c>
      <c r="F10629" s="4" t="str">
        <f>HYPERLINK("http://141.218.60.56/~jnz1568/getInfo.php?workbook=20_05.xlsx&amp;sheet=U0&amp;row=10629&amp;col=6&amp;number=3.5&amp;sourceID=14","3.5")</f>
        <v>3.5</v>
      </c>
      <c r="G10629" s="4" t="str">
        <f>HYPERLINK("http://141.218.60.56/~jnz1568/getInfo.php?workbook=20_05.xlsx&amp;sheet=U0&amp;row=10629&amp;col=7&amp;number=0.00511&amp;sourceID=14","0.00511")</f>
        <v>0.00511</v>
      </c>
    </row>
    <row r="10630" spans="1:7">
      <c r="A10630" s="3"/>
      <c r="B10630" s="3"/>
      <c r="C10630" s="3"/>
      <c r="D10630" s="3"/>
      <c r="E10630" s="3">
        <v>7</v>
      </c>
      <c r="F10630" s="4" t="str">
        <f>HYPERLINK("http://141.218.60.56/~jnz1568/getInfo.php?workbook=20_05.xlsx&amp;sheet=U0&amp;row=10630&amp;col=6&amp;number=3.6&amp;sourceID=14","3.6")</f>
        <v>3.6</v>
      </c>
      <c r="G10630" s="4" t="str">
        <f>HYPERLINK("http://141.218.60.56/~jnz1568/getInfo.php?workbook=20_05.xlsx&amp;sheet=U0&amp;row=10630&amp;col=7&amp;number=0.00511&amp;sourceID=14","0.00511")</f>
        <v>0.00511</v>
      </c>
    </row>
    <row r="10631" spans="1:7">
      <c r="A10631" s="3"/>
      <c r="B10631" s="3"/>
      <c r="C10631" s="3"/>
      <c r="D10631" s="3"/>
      <c r="E10631" s="3">
        <v>8</v>
      </c>
      <c r="F10631" s="4" t="str">
        <f>HYPERLINK("http://141.218.60.56/~jnz1568/getInfo.php?workbook=20_05.xlsx&amp;sheet=U0&amp;row=10631&amp;col=6&amp;number=3.7&amp;sourceID=14","3.7")</f>
        <v>3.7</v>
      </c>
      <c r="G10631" s="4" t="str">
        <f>HYPERLINK("http://141.218.60.56/~jnz1568/getInfo.php?workbook=20_05.xlsx&amp;sheet=U0&amp;row=10631&amp;col=7&amp;number=0.00511&amp;sourceID=14","0.00511")</f>
        <v>0.00511</v>
      </c>
    </row>
    <row r="10632" spans="1:7">
      <c r="A10632" s="3"/>
      <c r="B10632" s="3"/>
      <c r="C10632" s="3"/>
      <c r="D10632" s="3"/>
      <c r="E10632" s="3">
        <v>9</v>
      </c>
      <c r="F10632" s="4" t="str">
        <f>HYPERLINK("http://141.218.60.56/~jnz1568/getInfo.php?workbook=20_05.xlsx&amp;sheet=U0&amp;row=10632&amp;col=6&amp;number=3.8&amp;sourceID=14","3.8")</f>
        <v>3.8</v>
      </c>
      <c r="G10632" s="4" t="str">
        <f>HYPERLINK("http://141.218.60.56/~jnz1568/getInfo.php?workbook=20_05.xlsx&amp;sheet=U0&amp;row=10632&amp;col=7&amp;number=0.00511&amp;sourceID=14","0.00511")</f>
        <v>0.00511</v>
      </c>
    </row>
    <row r="10633" spans="1:7">
      <c r="A10633" s="3"/>
      <c r="B10633" s="3"/>
      <c r="C10633" s="3"/>
      <c r="D10633" s="3"/>
      <c r="E10633" s="3">
        <v>10</v>
      </c>
      <c r="F10633" s="4" t="str">
        <f>HYPERLINK("http://141.218.60.56/~jnz1568/getInfo.php?workbook=20_05.xlsx&amp;sheet=U0&amp;row=10633&amp;col=6&amp;number=3.9&amp;sourceID=14","3.9")</f>
        <v>3.9</v>
      </c>
      <c r="G10633" s="4" t="str">
        <f>HYPERLINK("http://141.218.60.56/~jnz1568/getInfo.php?workbook=20_05.xlsx&amp;sheet=U0&amp;row=10633&amp;col=7&amp;number=0.00511&amp;sourceID=14","0.00511")</f>
        <v>0.00511</v>
      </c>
    </row>
    <row r="10634" spans="1:7">
      <c r="A10634" s="3"/>
      <c r="B10634" s="3"/>
      <c r="C10634" s="3"/>
      <c r="D10634" s="3"/>
      <c r="E10634" s="3">
        <v>11</v>
      </c>
      <c r="F10634" s="4" t="str">
        <f>HYPERLINK("http://141.218.60.56/~jnz1568/getInfo.php?workbook=20_05.xlsx&amp;sheet=U0&amp;row=10634&amp;col=6&amp;number=4&amp;sourceID=14","4")</f>
        <v>4</v>
      </c>
      <c r="G10634" s="4" t="str">
        <f>HYPERLINK("http://141.218.60.56/~jnz1568/getInfo.php?workbook=20_05.xlsx&amp;sheet=U0&amp;row=10634&amp;col=7&amp;number=0.00512&amp;sourceID=14","0.00512")</f>
        <v>0.00512</v>
      </c>
    </row>
    <row r="10635" spans="1:7">
      <c r="A10635" s="3"/>
      <c r="B10635" s="3"/>
      <c r="C10635" s="3"/>
      <c r="D10635" s="3"/>
      <c r="E10635" s="3">
        <v>12</v>
      </c>
      <c r="F10635" s="4" t="str">
        <f>HYPERLINK("http://141.218.60.56/~jnz1568/getInfo.php?workbook=20_05.xlsx&amp;sheet=U0&amp;row=10635&amp;col=6&amp;number=4.1&amp;sourceID=14","4.1")</f>
        <v>4.1</v>
      </c>
      <c r="G10635" s="4" t="str">
        <f>HYPERLINK("http://141.218.60.56/~jnz1568/getInfo.php?workbook=20_05.xlsx&amp;sheet=U0&amp;row=10635&amp;col=7&amp;number=0.00512&amp;sourceID=14","0.00512")</f>
        <v>0.00512</v>
      </c>
    </row>
    <row r="10636" spans="1:7">
      <c r="A10636" s="3"/>
      <c r="B10636" s="3"/>
      <c r="C10636" s="3"/>
      <c r="D10636" s="3"/>
      <c r="E10636" s="3">
        <v>13</v>
      </c>
      <c r="F10636" s="4" t="str">
        <f>HYPERLINK("http://141.218.60.56/~jnz1568/getInfo.php?workbook=20_05.xlsx&amp;sheet=U0&amp;row=10636&amp;col=6&amp;number=4.2&amp;sourceID=14","4.2")</f>
        <v>4.2</v>
      </c>
      <c r="G10636" s="4" t="str">
        <f>HYPERLINK("http://141.218.60.56/~jnz1568/getInfo.php?workbook=20_05.xlsx&amp;sheet=U0&amp;row=10636&amp;col=7&amp;number=0.00512&amp;sourceID=14","0.00512")</f>
        <v>0.00512</v>
      </c>
    </row>
    <row r="10637" spans="1:7">
      <c r="A10637" s="3"/>
      <c r="B10637" s="3"/>
      <c r="C10637" s="3"/>
      <c r="D10637" s="3"/>
      <c r="E10637" s="3">
        <v>14</v>
      </c>
      <c r="F10637" s="4" t="str">
        <f>HYPERLINK("http://141.218.60.56/~jnz1568/getInfo.php?workbook=20_05.xlsx&amp;sheet=U0&amp;row=10637&amp;col=6&amp;number=4.3&amp;sourceID=14","4.3")</f>
        <v>4.3</v>
      </c>
      <c r="G10637" s="4" t="str">
        <f>HYPERLINK("http://141.218.60.56/~jnz1568/getInfo.php?workbook=20_05.xlsx&amp;sheet=U0&amp;row=10637&amp;col=7&amp;number=0.00512&amp;sourceID=14","0.00512")</f>
        <v>0.00512</v>
      </c>
    </row>
    <row r="10638" spans="1:7">
      <c r="A10638" s="3"/>
      <c r="B10638" s="3"/>
      <c r="C10638" s="3"/>
      <c r="D10638" s="3"/>
      <c r="E10638" s="3">
        <v>15</v>
      </c>
      <c r="F10638" s="4" t="str">
        <f>HYPERLINK("http://141.218.60.56/~jnz1568/getInfo.php?workbook=20_05.xlsx&amp;sheet=U0&amp;row=10638&amp;col=6&amp;number=4.4&amp;sourceID=14","4.4")</f>
        <v>4.4</v>
      </c>
      <c r="G10638" s="4" t="str">
        <f>HYPERLINK("http://141.218.60.56/~jnz1568/getInfo.php?workbook=20_05.xlsx&amp;sheet=U0&amp;row=10638&amp;col=7&amp;number=0.00512&amp;sourceID=14","0.00512")</f>
        <v>0.00512</v>
      </c>
    </row>
    <row r="10639" spans="1:7">
      <c r="A10639" s="3"/>
      <c r="B10639" s="3"/>
      <c r="C10639" s="3"/>
      <c r="D10639" s="3"/>
      <c r="E10639" s="3">
        <v>16</v>
      </c>
      <c r="F10639" s="4" t="str">
        <f>HYPERLINK("http://141.218.60.56/~jnz1568/getInfo.php?workbook=20_05.xlsx&amp;sheet=U0&amp;row=10639&amp;col=6&amp;number=4.5&amp;sourceID=14","4.5")</f>
        <v>4.5</v>
      </c>
      <c r="G10639" s="4" t="str">
        <f>HYPERLINK("http://141.218.60.56/~jnz1568/getInfo.php?workbook=20_05.xlsx&amp;sheet=U0&amp;row=10639&amp;col=7&amp;number=0.00512&amp;sourceID=14","0.00512")</f>
        <v>0.00512</v>
      </c>
    </row>
    <row r="10640" spans="1:7">
      <c r="A10640" s="3"/>
      <c r="B10640" s="3"/>
      <c r="C10640" s="3"/>
      <c r="D10640" s="3"/>
      <c r="E10640" s="3">
        <v>17</v>
      </c>
      <c r="F10640" s="4" t="str">
        <f>HYPERLINK("http://141.218.60.56/~jnz1568/getInfo.php?workbook=20_05.xlsx&amp;sheet=U0&amp;row=10640&amp;col=6&amp;number=4.6&amp;sourceID=14","4.6")</f>
        <v>4.6</v>
      </c>
      <c r="G10640" s="4" t="str">
        <f>HYPERLINK("http://141.218.60.56/~jnz1568/getInfo.php?workbook=20_05.xlsx&amp;sheet=U0&amp;row=10640&amp;col=7&amp;number=0.00512&amp;sourceID=14","0.00512")</f>
        <v>0.00512</v>
      </c>
    </row>
    <row r="10641" spans="1:7">
      <c r="A10641" s="3"/>
      <c r="B10641" s="3"/>
      <c r="C10641" s="3"/>
      <c r="D10641" s="3"/>
      <c r="E10641" s="3">
        <v>18</v>
      </c>
      <c r="F10641" s="4" t="str">
        <f>HYPERLINK("http://141.218.60.56/~jnz1568/getInfo.php?workbook=20_05.xlsx&amp;sheet=U0&amp;row=10641&amp;col=6&amp;number=4.7&amp;sourceID=14","4.7")</f>
        <v>4.7</v>
      </c>
      <c r="G10641" s="4" t="str">
        <f>HYPERLINK("http://141.218.60.56/~jnz1568/getInfo.php?workbook=20_05.xlsx&amp;sheet=U0&amp;row=10641&amp;col=7&amp;number=0.00513&amp;sourceID=14","0.00513")</f>
        <v>0.00513</v>
      </c>
    </row>
    <row r="10642" spans="1:7">
      <c r="A10642" s="3"/>
      <c r="B10642" s="3"/>
      <c r="C10642" s="3"/>
      <c r="D10642" s="3"/>
      <c r="E10642" s="3">
        <v>19</v>
      </c>
      <c r="F10642" s="4" t="str">
        <f>HYPERLINK("http://141.218.60.56/~jnz1568/getInfo.php?workbook=20_05.xlsx&amp;sheet=U0&amp;row=10642&amp;col=6&amp;number=4.8&amp;sourceID=14","4.8")</f>
        <v>4.8</v>
      </c>
      <c r="G10642" s="4" t="str">
        <f>HYPERLINK("http://141.218.60.56/~jnz1568/getInfo.php?workbook=20_05.xlsx&amp;sheet=U0&amp;row=10642&amp;col=7&amp;number=0.00513&amp;sourceID=14","0.00513")</f>
        <v>0.00513</v>
      </c>
    </row>
    <row r="10643" spans="1:7">
      <c r="A10643" s="3"/>
      <c r="B10643" s="3"/>
      <c r="C10643" s="3"/>
      <c r="D10643" s="3"/>
      <c r="E10643" s="3">
        <v>20</v>
      </c>
      <c r="F10643" s="4" t="str">
        <f>HYPERLINK("http://141.218.60.56/~jnz1568/getInfo.php?workbook=20_05.xlsx&amp;sheet=U0&amp;row=10643&amp;col=6&amp;number=4.9&amp;sourceID=14","4.9")</f>
        <v>4.9</v>
      </c>
      <c r="G10643" s="4" t="str">
        <f>HYPERLINK("http://141.218.60.56/~jnz1568/getInfo.php?workbook=20_05.xlsx&amp;sheet=U0&amp;row=10643&amp;col=7&amp;number=0.00514&amp;sourceID=14","0.00514")</f>
        <v>0.00514</v>
      </c>
    </row>
    <row r="10644" spans="1:7">
      <c r="A10644" s="3">
        <v>20</v>
      </c>
      <c r="B10644" s="3">
        <v>5</v>
      </c>
      <c r="C10644" s="3">
        <v>5</v>
      </c>
      <c r="D10644" s="3">
        <v>67</v>
      </c>
      <c r="E10644" s="3">
        <v>1</v>
      </c>
      <c r="F10644" s="4" t="str">
        <f>HYPERLINK("http://141.218.60.56/~jnz1568/getInfo.php?workbook=20_05.xlsx&amp;sheet=U0&amp;row=10644&amp;col=6&amp;number=3&amp;sourceID=14","3")</f>
        <v>3</v>
      </c>
      <c r="G10644" s="4" t="str">
        <f>HYPERLINK("http://141.218.60.56/~jnz1568/getInfo.php?workbook=20_05.xlsx&amp;sheet=U0&amp;row=10644&amp;col=7&amp;number=0.0191&amp;sourceID=14","0.0191")</f>
        <v>0.0191</v>
      </c>
    </row>
    <row r="10645" spans="1:7">
      <c r="A10645" s="3"/>
      <c r="B10645" s="3"/>
      <c r="C10645" s="3"/>
      <c r="D10645" s="3"/>
      <c r="E10645" s="3">
        <v>2</v>
      </c>
      <c r="F10645" s="4" t="str">
        <f>HYPERLINK("http://141.218.60.56/~jnz1568/getInfo.php?workbook=20_05.xlsx&amp;sheet=U0&amp;row=10645&amp;col=6&amp;number=3.1&amp;sourceID=14","3.1")</f>
        <v>3.1</v>
      </c>
      <c r="G10645" s="4" t="str">
        <f>HYPERLINK("http://141.218.60.56/~jnz1568/getInfo.php?workbook=20_05.xlsx&amp;sheet=U0&amp;row=10645&amp;col=7&amp;number=0.0191&amp;sourceID=14","0.0191")</f>
        <v>0.0191</v>
      </c>
    </row>
    <row r="10646" spans="1:7">
      <c r="A10646" s="3"/>
      <c r="B10646" s="3"/>
      <c r="C10646" s="3"/>
      <c r="D10646" s="3"/>
      <c r="E10646" s="3">
        <v>3</v>
      </c>
      <c r="F10646" s="4" t="str">
        <f>HYPERLINK("http://141.218.60.56/~jnz1568/getInfo.php?workbook=20_05.xlsx&amp;sheet=U0&amp;row=10646&amp;col=6&amp;number=3.2&amp;sourceID=14","3.2")</f>
        <v>3.2</v>
      </c>
      <c r="G10646" s="4" t="str">
        <f>HYPERLINK("http://141.218.60.56/~jnz1568/getInfo.php?workbook=20_05.xlsx&amp;sheet=U0&amp;row=10646&amp;col=7&amp;number=0.0191&amp;sourceID=14","0.0191")</f>
        <v>0.0191</v>
      </c>
    </row>
    <row r="10647" spans="1:7">
      <c r="A10647" s="3"/>
      <c r="B10647" s="3"/>
      <c r="C10647" s="3"/>
      <c r="D10647" s="3"/>
      <c r="E10647" s="3">
        <v>4</v>
      </c>
      <c r="F10647" s="4" t="str">
        <f>HYPERLINK("http://141.218.60.56/~jnz1568/getInfo.php?workbook=20_05.xlsx&amp;sheet=U0&amp;row=10647&amp;col=6&amp;number=3.3&amp;sourceID=14","3.3")</f>
        <v>3.3</v>
      </c>
      <c r="G10647" s="4" t="str">
        <f>HYPERLINK("http://141.218.60.56/~jnz1568/getInfo.php?workbook=20_05.xlsx&amp;sheet=U0&amp;row=10647&amp;col=7&amp;number=0.0191&amp;sourceID=14","0.0191")</f>
        <v>0.0191</v>
      </c>
    </row>
    <row r="10648" spans="1:7">
      <c r="A10648" s="3"/>
      <c r="B10648" s="3"/>
      <c r="C10648" s="3"/>
      <c r="D10648" s="3"/>
      <c r="E10648" s="3">
        <v>5</v>
      </c>
      <c r="F10648" s="4" t="str">
        <f>HYPERLINK("http://141.218.60.56/~jnz1568/getInfo.php?workbook=20_05.xlsx&amp;sheet=U0&amp;row=10648&amp;col=6&amp;number=3.4&amp;sourceID=14","3.4")</f>
        <v>3.4</v>
      </c>
      <c r="G10648" s="4" t="str">
        <f>HYPERLINK("http://141.218.60.56/~jnz1568/getInfo.php?workbook=20_05.xlsx&amp;sheet=U0&amp;row=10648&amp;col=7&amp;number=0.0191&amp;sourceID=14","0.0191")</f>
        <v>0.0191</v>
      </c>
    </row>
    <row r="10649" spans="1:7">
      <c r="A10649" s="3"/>
      <c r="B10649" s="3"/>
      <c r="C10649" s="3"/>
      <c r="D10649" s="3"/>
      <c r="E10649" s="3">
        <v>6</v>
      </c>
      <c r="F10649" s="4" t="str">
        <f>HYPERLINK("http://141.218.60.56/~jnz1568/getInfo.php?workbook=20_05.xlsx&amp;sheet=U0&amp;row=10649&amp;col=6&amp;number=3.5&amp;sourceID=14","3.5")</f>
        <v>3.5</v>
      </c>
      <c r="G10649" s="4" t="str">
        <f>HYPERLINK("http://141.218.60.56/~jnz1568/getInfo.php?workbook=20_05.xlsx&amp;sheet=U0&amp;row=10649&amp;col=7&amp;number=0.0191&amp;sourceID=14","0.0191")</f>
        <v>0.0191</v>
      </c>
    </row>
    <row r="10650" spans="1:7">
      <c r="A10650" s="3"/>
      <c r="B10650" s="3"/>
      <c r="C10650" s="3"/>
      <c r="D10650" s="3"/>
      <c r="E10650" s="3">
        <v>7</v>
      </c>
      <c r="F10650" s="4" t="str">
        <f>HYPERLINK("http://141.218.60.56/~jnz1568/getInfo.php?workbook=20_05.xlsx&amp;sheet=U0&amp;row=10650&amp;col=6&amp;number=3.6&amp;sourceID=14","3.6")</f>
        <v>3.6</v>
      </c>
      <c r="G10650" s="4" t="str">
        <f>HYPERLINK("http://141.218.60.56/~jnz1568/getInfo.php?workbook=20_05.xlsx&amp;sheet=U0&amp;row=10650&amp;col=7&amp;number=0.0191&amp;sourceID=14","0.0191")</f>
        <v>0.0191</v>
      </c>
    </row>
    <row r="10651" spans="1:7">
      <c r="A10651" s="3"/>
      <c r="B10651" s="3"/>
      <c r="C10651" s="3"/>
      <c r="D10651" s="3"/>
      <c r="E10651" s="3">
        <v>8</v>
      </c>
      <c r="F10651" s="4" t="str">
        <f>HYPERLINK("http://141.218.60.56/~jnz1568/getInfo.php?workbook=20_05.xlsx&amp;sheet=U0&amp;row=10651&amp;col=6&amp;number=3.7&amp;sourceID=14","3.7")</f>
        <v>3.7</v>
      </c>
      <c r="G10651" s="4" t="str">
        <f>HYPERLINK("http://141.218.60.56/~jnz1568/getInfo.php?workbook=20_05.xlsx&amp;sheet=U0&amp;row=10651&amp;col=7&amp;number=0.0191&amp;sourceID=14","0.0191")</f>
        <v>0.0191</v>
      </c>
    </row>
    <row r="10652" spans="1:7">
      <c r="A10652" s="3"/>
      <c r="B10652" s="3"/>
      <c r="C10652" s="3"/>
      <c r="D10652" s="3"/>
      <c r="E10652" s="3">
        <v>9</v>
      </c>
      <c r="F10652" s="4" t="str">
        <f>HYPERLINK("http://141.218.60.56/~jnz1568/getInfo.php?workbook=20_05.xlsx&amp;sheet=U0&amp;row=10652&amp;col=6&amp;number=3.8&amp;sourceID=14","3.8")</f>
        <v>3.8</v>
      </c>
      <c r="G10652" s="4" t="str">
        <f>HYPERLINK("http://141.218.60.56/~jnz1568/getInfo.php?workbook=20_05.xlsx&amp;sheet=U0&amp;row=10652&amp;col=7&amp;number=0.0191&amp;sourceID=14","0.0191")</f>
        <v>0.0191</v>
      </c>
    </row>
    <row r="10653" spans="1:7">
      <c r="A10653" s="3"/>
      <c r="B10653" s="3"/>
      <c r="C10653" s="3"/>
      <c r="D10653" s="3"/>
      <c r="E10653" s="3">
        <v>10</v>
      </c>
      <c r="F10653" s="4" t="str">
        <f>HYPERLINK("http://141.218.60.56/~jnz1568/getInfo.php?workbook=20_05.xlsx&amp;sheet=U0&amp;row=10653&amp;col=6&amp;number=3.9&amp;sourceID=14","3.9")</f>
        <v>3.9</v>
      </c>
      <c r="G10653" s="4" t="str">
        <f>HYPERLINK("http://141.218.60.56/~jnz1568/getInfo.php?workbook=20_05.xlsx&amp;sheet=U0&amp;row=10653&amp;col=7&amp;number=0.0191&amp;sourceID=14","0.0191")</f>
        <v>0.0191</v>
      </c>
    </row>
    <row r="10654" spans="1:7">
      <c r="A10654" s="3"/>
      <c r="B10654" s="3"/>
      <c r="C10654" s="3"/>
      <c r="D10654" s="3"/>
      <c r="E10654" s="3">
        <v>11</v>
      </c>
      <c r="F10654" s="4" t="str">
        <f>HYPERLINK("http://141.218.60.56/~jnz1568/getInfo.php?workbook=20_05.xlsx&amp;sheet=U0&amp;row=10654&amp;col=6&amp;number=4&amp;sourceID=14","4")</f>
        <v>4</v>
      </c>
      <c r="G10654" s="4" t="str">
        <f>HYPERLINK("http://141.218.60.56/~jnz1568/getInfo.php?workbook=20_05.xlsx&amp;sheet=U0&amp;row=10654&amp;col=7&amp;number=0.0192&amp;sourceID=14","0.0192")</f>
        <v>0.0192</v>
      </c>
    </row>
    <row r="10655" spans="1:7">
      <c r="A10655" s="3"/>
      <c r="B10655" s="3"/>
      <c r="C10655" s="3"/>
      <c r="D10655" s="3"/>
      <c r="E10655" s="3">
        <v>12</v>
      </c>
      <c r="F10655" s="4" t="str">
        <f>HYPERLINK("http://141.218.60.56/~jnz1568/getInfo.php?workbook=20_05.xlsx&amp;sheet=U0&amp;row=10655&amp;col=6&amp;number=4.1&amp;sourceID=14","4.1")</f>
        <v>4.1</v>
      </c>
      <c r="G10655" s="4" t="str">
        <f>HYPERLINK("http://141.218.60.56/~jnz1568/getInfo.php?workbook=20_05.xlsx&amp;sheet=U0&amp;row=10655&amp;col=7&amp;number=0.0192&amp;sourceID=14","0.0192")</f>
        <v>0.0192</v>
      </c>
    </row>
    <row r="10656" spans="1:7">
      <c r="A10656" s="3"/>
      <c r="B10656" s="3"/>
      <c r="C10656" s="3"/>
      <c r="D10656" s="3"/>
      <c r="E10656" s="3">
        <v>13</v>
      </c>
      <c r="F10656" s="4" t="str">
        <f>HYPERLINK("http://141.218.60.56/~jnz1568/getInfo.php?workbook=20_05.xlsx&amp;sheet=U0&amp;row=10656&amp;col=6&amp;number=4.2&amp;sourceID=14","4.2")</f>
        <v>4.2</v>
      </c>
      <c r="G10656" s="4" t="str">
        <f>HYPERLINK("http://141.218.60.56/~jnz1568/getInfo.php?workbook=20_05.xlsx&amp;sheet=U0&amp;row=10656&amp;col=7&amp;number=0.0192&amp;sourceID=14","0.0192")</f>
        <v>0.0192</v>
      </c>
    </row>
    <row r="10657" spans="1:7">
      <c r="A10657" s="3"/>
      <c r="B10657" s="3"/>
      <c r="C10657" s="3"/>
      <c r="D10657" s="3"/>
      <c r="E10657" s="3">
        <v>14</v>
      </c>
      <c r="F10657" s="4" t="str">
        <f>HYPERLINK("http://141.218.60.56/~jnz1568/getInfo.php?workbook=20_05.xlsx&amp;sheet=U0&amp;row=10657&amp;col=6&amp;number=4.3&amp;sourceID=14","4.3")</f>
        <v>4.3</v>
      </c>
      <c r="G10657" s="4" t="str">
        <f>HYPERLINK("http://141.218.60.56/~jnz1568/getInfo.php?workbook=20_05.xlsx&amp;sheet=U0&amp;row=10657&amp;col=7&amp;number=0.0192&amp;sourceID=14","0.0192")</f>
        <v>0.0192</v>
      </c>
    </row>
    <row r="10658" spans="1:7">
      <c r="A10658" s="3"/>
      <c r="B10658" s="3"/>
      <c r="C10658" s="3"/>
      <c r="D10658" s="3"/>
      <c r="E10658" s="3">
        <v>15</v>
      </c>
      <c r="F10658" s="4" t="str">
        <f>HYPERLINK("http://141.218.60.56/~jnz1568/getInfo.php?workbook=20_05.xlsx&amp;sheet=U0&amp;row=10658&amp;col=6&amp;number=4.4&amp;sourceID=14","4.4")</f>
        <v>4.4</v>
      </c>
      <c r="G10658" s="4" t="str">
        <f>HYPERLINK("http://141.218.60.56/~jnz1568/getInfo.php?workbook=20_05.xlsx&amp;sheet=U0&amp;row=10658&amp;col=7&amp;number=0.0192&amp;sourceID=14","0.0192")</f>
        <v>0.0192</v>
      </c>
    </row>
    <row r="10659" spans="1:7">
      <c r="A10659" s="3"/>
      <c r="B10659" s="3"/>
      <c r="C10659" s="3"/>
      <c r="D10659" s="3"/>
      <c r="E10659" s="3">
        <v>16</v>
      </c>
      <c r="F10659" s="4" t="str">
        <f>HYPERLINK("http://141.218.60.56/~jnz1568/getInfo.php?workbook=20_05.xlsx&amp;sheet=U0&amp;row=10659&amp;col=6&amp;number=4.5&amp;sourceID=14","4.5")</f>
        <v>4.5</v>
      </c>
      <c r="G10659" s="4" t="str">
        <f>HYPERLINK("http://141.218.60.56/~jnz1568/getInfo.php?workbook=20_05.xlsx&amp;sheet=U0&amp;row=10659&amp;col=7&amp;number=0.0192&amp;sourceID=14","0.0192")</f>
        <v>0.0192</v>
      </c>
    </row>
    <row r="10660" spans="1:7">
      <c r="A10660" s="3"/>
      <c r="B10660" s="3"/>
      <c r="C10660" s="3"/>
      <c r="D10660" s="3"/>
      <c r="E10660" s="3">
        <v>17</v>
      </c>
      <c r="F10660" s="4" t="str">
        <f>HYPERLINK("http://141.218.60.56/~jnz1568/getInfo.php?workbook=20_05.xlsx&amp;sheet=U0&amp;row=10660&amp;col=6&amp;number=4.6&amp;sourceID=14","4.6")</f>
        <v>4.6</v>
      </c>
      <c r="G10660" s="4" t="str">
        <f>HYPERLINK("http://141.218.60.56/~jnz1568/getInfo.php?workbook=20_05.xlsx&amp;sheet=U0&amp;row=10660&amp;col=7&amp;number=0.0192&amp;sourceID=14","0.0192")</f>
        <v>0.0192</v>
      </c>
    </row>
    <row r="10661" spans="1:7">
      <c r="A10661" s="3"/>
      <c r="B10661" s="3"/>
      <c r="C10661" s="3"/>
      <c r="D10661" s="3"/>
      <c r="E10661" s="3">
        <v>18</v>
      </c>
      <c r="F10661" s="4" t="str">
        <f>HYPERLINK("http://141.218.60.56/~jnz1568/getInfo.php?workbook=20_05.xlsx&amp;sheet=U0&amp;row=10661&amp;col=6&amp;number=4.7&amp;sourceID=14","4.7")</f>
        <v>4.7</v>
      </c>
      <c r="G10661" s="4" t="str">
        <f>HYPERLINK("http://141.218.60.56/~jnz1568/getInfo.php?workbook=20_05.xlsx&amp;sheet=U0&amp;row=10661&amp;col=7&amp;number=0.0192&amp;sourceID=14","0.0192")</f>
        <v>0.0192</v>
      </c>
    </row>
    <row r="10662" spans="1:7">
      <c r="A10662" s="3"/>
      <c r="B10662" s="3"/>
      <c r="C10662" s="3"/>
      <c r="D10662" s="3"/>
      <c r="E10662" s="3">
        <v>19</v>
      </c>
      <c r="F10662" s="4" t="str">
        <f>HYPERLINK("http://141.218.60.56/~jnz1568/getInfo.php?workbook=20_05.xlsx&amp;sheet=U0&amp;row=10662&amp;col=6&amp;number=4.8&amp;sourceID=14","4.8")</f>
        <v>4.8</v>
      </c>
      <c r="G10662" s="4" t="str">
        <f>HYPERLINK("http://141.218.60.56/~jnz1568/getInfo.php?workbook=20_05.xlsx&amp;sheet=U0&amp;row=10662&amp;col=7&amp;number=0.0193&amp;sourceID=14","0.0193")</f>
        <v>0.0193</v>
      </c>
    </row>
    <row r="10663" spans="1:7">
      <c r="A10663" s="3"/>
      <c r="B10663" s="3"/>
      <c r="C10663" s="3"/>
      <c r="D10663" s="3"/>
      <c r="E10663" s="3">
        <v>20</v>
      </c>
      <c r="F10663" s="4" t="str">
        <f>HYPERLINK("http://141.218.60.56/~jnz1568/getInfo.php?workbook=20_05.xlsx&amp;sheet=U0&amp;row=10663&amp;col=6&amp;number=4.9&amp;sourceID=14","4.9")</f>
        <v>4.9</v>
      </c>
      <c r="G10663" s="4" t="str">
        <f>HYPERLINK("http://141.218.60.56/~jnz1568/getInfo.php?workbook=20_05.xlsx&amp;sheet=U0&amp;row=10663&amp;col=7&amp;number=0.0193&amp;sourceID=14","0.0193")</f>
        <v>0.0193</v>
      </c>
    </row>
    <row r="10664" spans="1:7">
      <c r="A10664" s="3">
        <v>20</v>
      </c>
      <c r="B10664" s="3">
        <v>5</v>
      </c>
      <c r="C10664" s="3">
        <v>5</v>
      </c>
      <c r="D10664" s="3">
        <v>68</v>
      </c>
      <c r="E10664" s="3">
        <v>1</v>
      </c>
      <c r="F10664" s="4" t="str">
        <f>HYPERLINK("http://141.218.60.56/~jnz1568/getInfo.php?workbook=20_05.xlsx&amp;sheet=U0&amp;row=10664&amp;col=6&amp;number=3&amp;sourceID=14","3")</f>
        <v>3</v>
      </c>
      <c r="G10664" s="4" t="str">
        <f>HYPERLINK("http://141.218.60.56/~jnz1568/getInfo.php?workbook=20_05.xlsx&amp;sheet=U0&amp;row=10664&amp;col=7&amp;number=0.00971&amp;sourceID=14","0.00971")</f>
        <v>0.00971</v>
      </c>
    </row>
    <row r="10665" spans="1:7">
      <c r="A10665" s="3"/>
      <c r="B10665" s="3"/>
      <c r="C10665" s="3"/>
      <c r="D10665" s="3"/>
      <c r="E10665" s="3">
        <v>2</v>
      </c>
      <c r="F10665" s="4" t="str">
        <f>HYPERLINK("http://141.218.60.56/~jnz1568/getInfo.php?workbook=20_05.xlsx&amp;sheet=U0&amp;row=10665&amp;col=6&amp;number=3.1&amp;sourceID=14","3.1")</f>
        <v>3.1</v>
      </c>
      <c r="G10665" s="4" t="str">
        <f>HYPERLINK("http://141.218.60.56/~jnz1568/getInfo.php?workbook=20_05.xlsx&amp;sheet=U0&amp;row=10665&amp;col=7&amp;number=0.00971&amp;sourceID=14","0.00971")</f>
        <v>0.00971</v>
      </c>
    </row>
    <row r="10666" spans="1:7">
      <c r="A10666" s="3"/>
      <c r="B10666" s="3"/>
      <c r="C10666" s="3"/>
      <c r="D10666" s="3"/>
      <c r="E10666" s="3">
        <v>3</v>
      </c>
      <c r="F10666" s="4" t="str">
        <f>HYPERLINK("http://141.218.60.56/~jnz1568/getInfo.php?workbook=20_05.xlsx&amp;sheet=U0&amp;row=10666&amp;col=6&amp;number=3.2&amp;sourceID=14","3.2")</f>
        <v>3.2</v>
      </c>
      <c r="G10666" s="4" t="str">
        <f>HYPERLINK("http://141.218.60.56/~jnz1568/getInfo.php?workbook=20_05.xlsx&amp;sheet=U0&amp;row=10666&amp;col=7&amp;number=0.00971&amp;sourceID=14","0.00971")</f>
        <v>0.00971</v>
      </c>
    </row>
    <row r="10667" spans="1:7">
      <c r="A10667" s="3"/>
      <c r="B10667" s="3"/>
      <c r="C10667" s="3"/>
      <c r="D10667" s="3"/>
      <c r="E10667" s="3">
        <v>4</v>
      </c>
      <c r="F10667" s="4" t="str">
        <f>HYPERLINK("http://141.218.60.56/~jnz1568/getInfo.php?workbook=20_05.xlsx&amp;sheet=U0&amp;row=10667&amp;col=6&amp;number=3.3&amp;sourceID=14","3.3")</f>
        <v>3.3</v>
      </c>
      <c r="G10667" s="4" t="str">
        <f>HYPERLINK("http://141.218.60.56/~jnz1568/getInfo.php?workbook=20_05.xlsx&amp;sheet=U0&amp;row=10667&amp;col=7&amp;number=0.00971&amp;sourceID=14","0.00971")</f>
        <v>0.00971</v>
      </c>
    </row>
    <row r="10668" spans="1:7">
      <c r="A10668" s="3"/>
      <c r="B10668" s="3"/>
      <c r="C10668" s="3"/>
      <c r="D10668" s="3"/>
      <c r="E10668" s="3">
        <v>5</v>
      </c>
      <c r="F10668" s="4" t="str">
        <f>HYPERLINK("http://141.218.60.56/~jnz1568/getInfo.php?workbook=20_05.xlsx&amp;sheet=U0&amp;row=10668&amp;col=6&amp;number=3.4&amp;sourceID=14","3.4")</f>
        <v>3.4</v>
      </c>
      <c r="G10668" s="4" t="str">
        <f>HYPERLINK("http://141.218.60.56/~jnz1568/getInfo.php?workbook=20_05.xlsx&amp;sheet=U0&amp;row=10668&amp;col=7&amp;number=0.00971&amp;sourceID=14","0.00971")</f>
        <v>0.00971</v>
      </c>
    </row>
    <row r="10669" spans="1:7">
      <c r="A10669" s="3"/>
      <c r="B10669" s="3"/>
      <c r="C10669" s="3"/>
      <c r="D10669" s="3"/>
      <c r="E10669" s="3">
        <v>6</v>
      </c>
      <c r="F10669" s="4" t="str">
        <f>HYPERLINK("http://141.218.60.56/~jnz1568/getInfo.php?workbook=20_05.xlsx&amp;sheet=U0&amp;row=10669&amp;col=6&amp;number=3.5&amp;sourceID=14","3.5")</f>
        <v>3.5</v>
      </c>
      <c r="G10669" s="4" t="str">
        <f>HYPERLINK("http://141.218.60.56/~jnz1568/getInfo.php?workbook=20_05.xlsx&amp;sheet=U0&amp;row=10669&amp;col=7&amp;number=0.00971&amp;sourceID=14","0.00971")</f>
        <v>0.00971</v>
      </c>
    </row>
    <row r="10670" spans="1:7">
      <c r="A10670" s="3"/>
      <c r="B10670" s="3"/>
      <c r="C10670" s="3"/>
      <c r="D10670" s="3"/>
      <c r="E10670" s="3">
        <v>7</v>
      </c>
      <c r="F10670" s="4" t="str">
        <f>HYPERLINK("http://141.218.60.56/~jnz1568/getInfo.php?workbook=20_05.xlsx&amp;sheet=U0&amp;row=10670&amp;col=6&amp;number=3.6&amp;sourceID=14","3.6")</f>
        <v>3.6</v>
      </c>
      <c r="G10670" s="4" t="str">
        <f>HYPERLINK("http://141.218.60.56/~jnz1568/getInfo.php?workbook=20_05.xlsx&amp;sheet=U0&amp;row=10670&amp;col=7&amp;number=0.00971&amp;sourceID=14","0.00971")</f>
        <v>0.00971</v>
      </c>
    </row>
    <row r="10671" spans="1:7">
      <c r="A10671" s="3"/>
      <c r="B10671" s="3"/>
      <c r="C10671" s="3"/>
      <c r="D10671" s="3"/>
      <c r="E10671" s="3">
        <v>8</v>
      </c>
      <c r="F10671" s="4" t="str">
        <f>HYPERLINK("http://141.218.60.56/~jnz1568/getInfo.php?workbook=20_05.xlsx&amp;sheet=U0&amp;row=10671&amp;col=6&amp;number=3.7&amp;sourceID=14","3.7")</f>
        <v>3.7</v>
      </c>
      <c r="G10671" s="4" t="str">
        <f>HYPERLINK("http://141.218.60.56/~jnz1568/getInfo.php?workbook=20_05.xlsx&amp;sheet=U0&amp;row=10671&amp;col=7&amp;number=0.00971&amp;sourceID=14","0.00971")</f>
        <v>0.00971</v>
      </c>
    </row>
    <row r="10672" spans="1:7">
      <c r="A10672" s="3"/>
      <c r="B10672" s="3"/>
      <c r="C10672" s="3"/>
      <c r="D10672" s="3"/>
      <c r="E10672" s="3">
        <v>9</v>
      </c>
      <c r="F10672" s="4" t="str">
        <f>HYPERLINK("http://141.218.60.56/~jnz1568/getInfo.php?workbook=20_05.xlsx&amp;sheet=U0&amp;row=10672&amp;col=6&amp;number=3.8&amp;sourceID=14","3.8")</f>
        <v>3.8</v>
      </c>
      <c r="G10672" s="4" t="str">
        <f>HYPERLINK("http://141.218.60.56/~jnz1568/getInfo.php?workbook=20_05.xlsx&amp;sheet=U0&amp;row=10672&amp;col=7&amp;number=0.0097&amp;sourceID=14","0.0097")</f>
        <v>0.0097</v>
      </c>
    </row>
    <row r="10673" spans="1:7">
      <c r="A10673" s="3"/>
      <c r="B10673" s="3"/>
      <c r="C10673" s="3"/>
      <c r="D10673" s="3"/>
      <c r="E10673" s="3">
        <v>10</v>
      </c>
      <c r="F10673" s="4" t="str">
        <f>HYPERLINK("http://141.218.60.56/~jnz1568/getInfo.php?workbook=20_05.xlsx&amp;sheet=U0&amp;row=10673&amp;col=6&amp;number=3.9&amp;sourceID=14","3.9")</f>
        <v>3.9</v>
      </c>
      <c r="G10673" s="4" t="str">
        <f>HYPERLINK("http://141.218.60.56/~jnz1568/getInfo.php?workbook=20_05.xlsx&amp;sheet=U0&amp;row=10673&amp;col=7&amp;number=0.0097&amp;sourceID=14","0.0097")</f>
        <v>0.0097</v>
      </c>
    </row>
    <row r="10674" spans="1:7">
      <c r="A10674" s="3"/>
      <c r="B10674" s="3"/>
      <c r="C10674" s="3"/>
      <c r="D10674" s="3"/>
      <c r="E10674" s="3">
        <v>11</v>
      </c>
      <c r="F10674" s="4" t="str">
        <f>HYPERLINK("http://141.218.60.56/~jnz1568/getInfo.php?workbook=20_05.xlsx&amp;sheet=U0&amp;row=10674&amp;col=6&amp;number=4&amp;sourceID=14","4")</f>
        <v>4</v>
      </c>
      <c r="G10674" s="4" t="str">
        <f>HYPERLINK("http://141.218.60.56/~jnz1568/getInfo.php?workbook=20_05.xlsx&amp;sheet=U0&amp;row=10674&amp;col=7&amp;number=0.0097&amp;sourceID=14","0.0097")</f>
        <v>0.0097</v>
      </c>
    </row>
    <row r="10675" spans="1:7">
      <c r="A10675" s="3"/>
      <c r="B10675" s="3"/>
      <c r="C10675" s="3"/>
      <c r="D10675" s="3"/>
      <c r="E10675" s="3">
        <v>12</v>
      </c>
      <c r="F10675" s="4" t="str">
        <f>HYPERLINK("http://141.218.60.56/~jnz1568/getInfo.php?workbook=20_05.xlsx&amp;sheet=U0&amp;row=10675&amp;col=6&amp;number=4.1&amp;sourceID=14","4.1")</f>
        <v>4.1</v>
      </c>
      <c r="G10675" s="4" t="str">
        <f>HYPERLINK("http://141.218.60.56/~jnz1568/getInfo.php?workbook=20_05.xlsx&amp;sheet=U0&amp;row=10675&amp;col=7&amp;number=0.0097&amp;sourceID=14","0.0097")</f>
        <v>0.0097</v>
      </c>
    </row>
    <row r="10676" spans="1:7">
      <c r="A10676" s="3"/>
      <c r="B10676" s="3"/>
      <c r="C10676" s="3"/>
      <c r="D10676" s="3"/>
      <c r="E10676" s="3">
        <v>13</v>
      </c>
      <c r="F10676" s="4" t="str">
        <f>HYPERLINK("http://141.218.60.56/~jnz1568/getInfo.php?workbook=20_05.xlsx&amp;sheet=U0&amp;row=10676&amp;col=6&amp;number=4.2&amp;sourceID=14","4.2")</f>
        <v>4.2</v>
      </c>
      <c r="G10676" s="4" t="str">
        <f>HYPERLINK("http://141.218.60.56/~jnz1568/getInfo.php?workbook=20_05.xlsx&amp;sheet=U0&amp;row=10676&amp;col=7&amp;number=0.0097&amp;sourceID=14","0.0097")</f>
        <v>0.0097</v>
      </c>
    </row>
    <row r="10677" spans="1:7">
      <c r="A10677" s="3"/>
      <c r="B10677" s="3"/>
      <c r="C10677" s="3"/>
      <c r="D10677" s="3"/>
      <c r="E10677" s="3">
        <v>14</v>
      </c>
      <c r="F10677" s="4" t="str">
        <f>HYPERLINK("http://141.218.60.56/~jnz1568/getInfo.php?workbook=20_05.xlsx&amp;sheet=U0&amp;row=10677&amp;col=6&amp;number=4.3&amp;sourceID=14","4.3")</f>
        <v>4.3</v>
      </c>
      <c r="G10677" s="4" t="str">
        <f>HYPERLINK("http://141.218.60.56/~jnz1568/getInfo.php?workbook=20_05.xlsx&amp;sheet=U0&amp;row=10677&amp;col=7&amp;number=0.00969&amp;sourceID=14","0.00969")</f>
        <v>0.00969</v>
      </c>
    </row>
    <row r="10678" spans="1:7">
      <c r="A10678" s="3"/>
      <c r="B10678" s="3"/>
      <c r="C10678" s="3"/>
      <c r="D10678" s="3"/>
      <c r="E10678" s="3">
        <v>15</v>
      </c>
      <c r="F10678" s="4" t="str">
        <f>HYPERLINK("http://141.218.60.56/~jnz1568/getInfo.php?workbook=20_05.xlsx&amp;sheet=U0&amp;row=10678&amp;col=6&amp;number=4.4&amp;sourceID=14","4.4")</f>
        <v>4.4</v>
      </c>
      <c r="G10678" s="4" t="str">
        <f>HYPERLINK("http://141.218.60.56/~jnz1568/getInfo.php?workbook=20_05.xlsx&amp;sheet=U0&amp;row=10678&amp;col=7&amp;number=0.00969&amp;sourceID=14","0.00969")</f>
        <v>0.00969</v>
      </c>
    </row>
    <row r="10679" spans="1:7">
      <c r="A10679" s="3"/>
      <c r="B10679" s="3"/>
      <c r="C10679" s="3"/>
      <c r="D10679" s="3"/>
      <c r="E10679" s="3">
        <v>16</v>
      </c>
      <c r="F10679" s="4" t="str">
        <f>HYPERLINK("http://141.218.60.56/~jnz1568/getInfo.php?workbook=20_05.xlsx&amp;sheet=U0&amp;row=10679&amp;col=6&amp;number=4.5&amp;sourceID=14","4.5")</f>
        <v>4.5</v>
      </c>
      <c r="G10679" s="4" t="str">
        <f>HYPERLINK("http://141.218.60.56/~jnz1568/getInfo.php?workbook=20_05.xlsx&amp;sheet=U0&amp;row=10679&amp;col=7&amp;number=0.00969&amp;sourceID=14","0.00969")</f>
        <v>0.00969</v>
      </c>
    </row>
    <row r="10680" spans="1:7">
      <c r="A10680" s="3"/>
      <c r="B10680" s="3"/>
      <c r="C10680" s="3"/>
      <c r="D10680" s="3"/>
      <c r="E10680" s="3">
        <v>17</v>
      </c>
      <c r="F10680" s="4" t="str">
        <f>HYPERLINK("http://141.218.60.56/~jnz1568/getInfo.php?workbook=20_05.xlsx&amp;sheet=U0&amp;row=10680&amp;col=6&amp;number=4.6&amp;sourceID=14","4.6")</f>
        <v>4.6</v>
      </c>
      <c r="G10680" s="4" t="str">
        <f>HYPERLINK("http://141.218.60.56/~jnz1568/getInfo.php?workbook=20_05.xlsx&amp;sheet=U0&amp;row=10680&amp;col=7&amp;number=0.00968&amp;sourceID=14","0.00968")</f>
        <v>0.00968</v>
      </c>
    </row>
    <row r="10681" spans="1:7">
      <c r="A10681" s="3"/>
      <c r="B10681" s="3"/>
      <c r="C10681" s="3"/>
      <c r="D10681" s="3"/>
      <c r="E10681" s="3">
        <v>18</v>
      </c>
      <c r="F10681" s="4" t="str">
        <f>HYPERLINK("http://141.218.60.56/~jnz1568/getInfo.php?workbook=20_05.xlsx&amp;sheet=U0&amp;row=10681&amp;col=6&amp;number=4.7&amp;sourceID=14","4.7")</f>
        <v>4.7</v>
      </c>
      <c r="G10681" s="4" t="str">
        <f>HYPERLINK("http://141.218.60.56/~jnz1568/getInfo.php?workbook=20_05.xlsx&amp;sheet=U0&amp;row=10681&amp;col=7&amp;number=0.00967&amp;sourceID=14","0.00967")</f>
        <v>0.00967</v>
      </c>
    </row>
    <row r="10682" spans="1:7">
      <c r="A10682" s="3"/>
      <c r="B10682" s="3"/>
      <c r="C10682" s="3"/>
      <c r="D10682" s="3"/>
      <c r="E10682" s="3">
        <v>19</v>
      </c>
      <c r="F10682" s="4" t="str">
        <f>HYPERLINK("http://141.218.60.56/~jnz1568/getInfo.php?workbook=20_05.xlsx&amp;sheet=U0&amp;row=10682&amp;col=6&amp;number=4.8&amp;sourceID=14","4.8")</f>
        <v>4.8</v>
      </c>
      <c r="G10682" s="4" t="str">
        <f>HYPERLINK("http://141.218.60.56/~jnz1568/getInfo.php?workbook=20_05.xlsx&amp;sheet=U0&amp;row=10682&amp;col=7&amp;number=0.00966&amp;sourceID=14","0.00966")</f>
        <v>0.00966</v>
      </c>
    </row>
    <row r="10683" spans="1:7">
      <c r="A10683" s="3"/>
      <c r="B10683" s="3"/>
      <c r="C10683" s="3"/>
      <c r="D10683" s="3"/>
      <c r="E10683" s="3">
        <v>20</v>
      </c>
      <c r="F10683" s="4" t="str">
        <f>HYPERLINK("http://141.218.60.56/~jnz1568/getInfo.php?workbook=20_05.xlsx&amp;sheet=U0&amp;row=10683&amp;col=6&amp;number=4.9&amp;sourceID=14","4.9")</f>
        <v>4.9</v>
      </c>
      <c r="G10683" s="4" t="str">
        <f>HYPERLINK("http://141.218.60.56/~jnz1568/getInfo.php?workbook=20_05.xlsx&amp;sheet=U0&amp;row=10683&amp;col=7&amp;number=0.00965&amp;sourceID=14","0.00965")</f>
        <v>0.00965</v>
      </c>
    </row>
    <row r="10684" spans="1:7">
      <c r="A10684" s="3">
        <v>20</v>
      </c>
      <c r="B10684" s="3">
        <v>5</v>
      </c>
      <c r="C10684" s="3">
        <v>5</v>
      </c>
      <c r="D10684" s="3">
        <v>69</v>
      </c>
      <c r="E10684" s="3">
        <v>1</v>
      </c>
      <c r="F10684" s="4" t="str">
        <f>HYPERLINK("http://141.218.60.56/~jnz1568/getInfo.php?workbook=20_05.xlsx&amp;sheet=U0&amp;row=10684&amp;col=6&amp;number=3&amp;sourceID=14","3")</f>
        <v>3</v>
      </c>
      <c r="G10684" s="4" t="str">
        <f>HYPERLINK("http://141.218.60.56/~jnz1568/getInfo.php?workbook=20_05.xlsx&amp;sheet=U0&amp;row=10684&amp;col=7&amp;number=1.02e-05&amp;sourceID=14","1.02e-05")</f>
        <v>1.02e-05</v>
      </c>
    </row>
    <row r="10685" spans="1:7">
      <c r="A10685" s="3"/>
      <c r="B10685" s="3"/>
      <c r="C10685" s="3"/>
      <c r="D10685" s="3"/>
      <c r="E10685" s="3">
        <v>2</v>
      </c>
      <c r="F10685" s="4" t="str">
        <f>HYPERLINK("http://141.218.60.56/~jnz1568/getInfo.php?workbook=20_05.xlsx&amp;sheet=U0&amp;row=10685&amp;col=6&amp;number=3.1&amp;sourceID=14","3.1")</f>
        <v>3.1</v>
      </c>
      <c r="G10685" s="4" t="str">
        <f>HYPERLINK("http://141.218.60.56/~jnz1568/getInfo.php?workbook=20_05.xlsx&amp;sheet=U0&amp;row=10685&amp;col=7&amp;number=1.02e-05&amp;sourceID=14","1.02e-05")</f>
        <v>1.02e-05</v>
      </c>
    </row>
    <row r="10686" spans="1:7">
      <c r="A10686" s="3"/>
      <c r="B10686" s="3"/>
      <c r="C10686" s="3"/>
      <c r="D10686" s="3"/>
      <c r="E10686" s="3">
        <v>3</v>
      </c>
      <c r="F10686" s="4" t="str">
        <f>HYPERLINK("http://141.218.60.56/~jnz1568/getInfo.php?workbook=20_05.xlsx&amp;sheet=U0&amp;row=10686&amp;col=6&amp;number=3.2&amp;sourceID=14","3.2")</f>
        <v>3.2</v>
      </c>
      <c r="G10686" s="4" t="str">
        <f>HYPERLINK("http://141.218.60.56/~jnz1568/getInfo.php?workbook=20_05.xlsx&amp;sheet=U0&amp;row=10686&amp;col=7&amp;number=1.02e-05&amp;sourceID=14","1.02e-05")</f>
        <v>1.02e-05</v>
      </c>
    </row>
    <row r="10687" spans="1:7">
      <c r="A10687" s="3"/>
      <c r="B10687" s="3"/>
      <c r="C10687" s="3"/>
      <c r="D10687" s="3"/>
      <c r="E10687" s="3">
        <v>4</v>
      </c>
      <c r="F10687" s="4" t="str">
        <f>HYPERLINK("http://141.218.60.56/~jnz1568/getInfo.php?workbook=20_05.xlsx&amp;sheet=U0&amp;row=10687&amp;col=6&amp;number=3.3&amp;sourceID=14","3.3")</f>
        <v>3.3</v>
      </c>
      <c r="G10687" s="4" t="str">
        <f>HYPERLINK("http://141.218.60.56/~jnz1568/getInfo.php?workbook=20_05.xlsx&amp;sheet=U0&amp;row=10687&amp;col=7&amp;number=1.02e-05&amp;sourceID=14","1.02e-05")</f>
        <v>1.02e-05</v>
      </c>
    </row>
    <row r="10688" spans="1:7">
      <c r="A10688" s="3"/>
      <c r="B10688" s="3"/>
      <c r="C10688" s="3"/>
      <c r="D10688" s="3"/>
      <c r="E10688" s="3">
        <v>5</v>
      </c>
      <c r="F10688" s="4" t="str">
        <f>HYPERLINK("http://141.218.60.56/~jnz1568/getInfo.php?workbook=20_05.xlsx&amp;sheet=U0&amp;row=10688&amp;col=6&amp;number=3.4&amp;sourceID=14","3.4")</f>
        <v>3.4</v>
      </c>
      <c r="G10688" s="4" t="str">
        <f>HYPERLINK("http://141.218.60.56/~jnz1568/getInfo.php?workbook=20_05.xlsx&amp;sheet=U0&amp;row=10688&amp;col=7&amp;number=1.02e-05&amp;sourceID=14","1.02e-05")</f>
        <v>1.02e-05</v>
      </c>
    </row>
    <row r="10689" spans="1:7">
      <c r="A10689" s="3"/>
      <c r="B10689" s="3"/>
      <c r="C10689" s="3"/>
      <c r="D10689" s="3"/>
      <c r="E10689" s="3">
        <v>6</v>
      </c>
      <c r="F10689" s="4" t="str">
        <f>HYPERLINK("http://141.218.60.56/~jnz1568/getInfo.php?workbook=20_05.xlsx&amp;sheet=U0&amp;row=10689&amp;col=6&amp;number=3.5&amp;sourceID=14","3.5")</f>
        <v>3.5</v>
      </c>
      <c r="G10689" s="4" t="str">
        <f>HYPERLINK("http://141.218.60.56/~jnz1568/getInfo.php?workbook=20_05.xlsx&amp;sheet=U0&amp;row=10689&amp;col=7&amp;number=1.02e-05&amp;sourceID=14","1.02e-05")</f>
        <v>1.02e-05</v>
      </c>
    </row>
    <row r="10690" spans="1:7">
      <c r="A10690" s="3"/>
      <c r="B10690" s="3"/>
      <c r="C10690" s="3"/>
      <c r="D10690" s="3"/>
      <c r="E10690" s="3">
        <v>7</v>
      </c>
      <c r="F10690" s="4" t="str">
        <f>HYPERLINK("http://141.218.60.56/~jnz1568/getInfo.php?workbook=20_05.xlsx&amp;sheet=U0&amp;row=10690&amp;col=6&amp;number=3.6&amp;sourceID=14","3.6")</f>
        <v>3.6</v>
      </c>
      <c r="G10690" s="4" t="str">
        <f>HYPERLINK("http://141.218.60.56/~jnz1568/getInfo.php?workbook=20_05.xlsx&amp;sheet=U0&amp;row=10690&amp;col=7&amp;number=1.02e-05&amp;sourceID=14","1.02e-05")</f>
        <v>1.02e-05</v>
      </c>
    </row>
    <row r="10691" spans="1:7">
      <c r="A10691" s="3"/>
      <c r="B10691" s="3"/>
      <c r="C10691" s="3"/>
      <c r="D10691" s="3"/>
      <c r="E10691" s="3">
        <v>8</v>
      </c>
      <c r="F10691" s="4" t="str">
        <f>HYPERLINK("http://141.218.60.56/~jnz1568/getInfo.php?workbook=20_05.xlsx&amp;sheet=U0&amp;row=10691&amp;col=6&amp;number=3.7&amp;sourceID=14","3.7")</f>
        <v>3.7</v>
      </c>
      <c r="G10691" s="4" t="str">
        <f>HYPERLINK("http://141.218.60.56/~jnz1568/getInfo.php?workbook=20_05.xlsx&amp;sheet=U0&amp;row=10691&amp;col=7&amp;number=1.02e-05&amp;sourceID=14","1.02e-05")</f>
        <v>1.02e-05</v>
      </c>
    </row>
    <row r="10692" spans="1:7">
      <c r="A10692" s="3"/>
      <c r="B10692" s="3"/>
      <c r="C10692" s="3"/>
      <c r="D10692" s="3"/>
      <c r="E10692" s="3">
        <v>9</v>
      </c>
      <c r="F10692" s="4" t="str">
        <f>HYPERLINK("http://141.218.60.56/~jnz1568/getInfo.php?workbook=20_05.xlsx&amp;sheet=U0&amp;row=10692&amp;col=6&amp;number=3.8&amp;sourceID=14","3.8")</f>
        <v>3.8</v>
      </c>
      <c r="G10692" s="4" t="str">
        <f>HYPERLINK("http://141.218.60.56/~jnz1568/getInfo.php?workbook=20_05.xlsx&amp;sheet=U0&amp;row=10692&amp;col=7&amp;number=1.02e-05&amp;sourceID=14","1.02e-05")</f>
        <v>1.02e-05</v>
      </c>
    </row>
    <row r="10693" spans="1:7">
      <c r="A10693" s="3"/>
      <c r="B10693" s="3"/>
      <c r="C10693" s="3"/>
      <c r="D10693" s="3"/>
      <c r="E10693" s="3">
        <v>10</v>
      </c>
      <c r="F10693" s="4" t="str">
        <f>HYPERLINK("http://141.218.60.56/~jnz1568/getInfo.php?workbook=20_05.xlsx&amp;sheet=U0&amp;row=10693&amp;col=6&amp;number=3.9&amp;sourceID=14","3.9")</f>
        <v>3.9</v>
      </c>
      <c r="G10693" s="4" t="str">
        <f>HYPERLINK("http://141.218.60.56/~jnz1568/getInfo.php?workbook=20_05.xlsx&amp;sheet=U0&amp;row=10693&amp;col=7&amp;number=1.02e-05&amp;sourceID=14","1.02e-05")</f>
        <v>1.02e-05</v>
      </c>
    </row>
    <row r="10694" spans="1:7">
      <c r="A10694" s="3"/>
      <c r="B10694" s="3"/>
      <c r="C10694" s="3"/>
      <c r="D10694" s="3"/>
      <c r="E10694" s="3">
        <v>11</v>
      </c>
      <c r="F10694" s="4" t="str">
        <f>HYPERLINK("http://141.218.60.56/~jnz1568/getInfo.php?workbook=20_05.xlsx&amp;sheet=U0&amp;row=10694&amp;col=6&amp;number=4&amp;sourceID=14","4")</f>
        <v>4</v>
      </c>
      <c r="G10694" s="4" t="str">
        <f>HYPERLINK("http://141.218.60.56/~jnz1568/getInfo.php?workbook=20_05.xlsx&amp;sheet=U0&amp;row=10694&amp;col=7&amp;number=1.02e-05&amp;sourceID=14","1.02e-05")</f>
        <v>1.02e-05</v>
      </c>
    </row>
    <row r="10695" spans="1:7">
      <c r="A10695" s="3"/>
      <c r="B10695" s="3"/>
      <c r="C10695" s="3"/>
      <c r="D10695" s="3"/>
      <c r="E10695" s="3">
        <v>12</v>
      </c>
      <c r="F10695" s="4" t="str">
        <f>HYPERLINK("http://141.218.60.56/~jnz1568/getInfo.php?workbook=20_05.xlsx&amp;sheet=U0&amp;row=10695&amp;col=6&amp;number=4.1&amp;sourceID=14","4.1")</f>
        <v>4.1</v>
      </c>
      <c r="G10695" s="4" t="str">
        <f>HYPERLINK("http://141.218.60.56/~jnz1568/getInfo.php?workbook=20_05.xlsx&amp;sheet=U0&amp;row=10695&amp;col=7&amp;number=1.02e-05&amp;sourceID=14","1.02e-05")</f>
        <v>1.02e-05</v>
      </c>
    </row>
    <row r="10696" spans="1:7">
      <c r="A10696" s="3"/>
      <c r="B10696" s="3"/>
      <c r="C10696" s="3"/>
      <c r="D10696" s="3"/>
      <c r="E10696" s="3">
        <v>13</v>
      </c>
      <c r="F10696" s="4" t="str">
        <f>HYPERLINK("http://141.218.60.56/~jnz1568/getInfo.php?workbook=20_05.xlsx&amp;sheet=U0&amp;row=10696&amp;col=6&amp;number=4.2&amp;sourceID=14","4.2")</f>
        <v>4.2</v>
      </c>
      <c r="G10696" s="4" t="str">
        <f>HYPERLINK("http://141.218.60.56/~jnz1568/getInfo.php?workbook=20_05.xlsx&amp;sheet=U0&amp;row=10696&amp;col=7&amp;number=1.02e-05&amp;sourceID=14","1.02e-05")</f>
        <v>1.02e-05</v>
      </c>
    </row>
    <row r="10697" spans="1:7">
      <c r="A10697" s="3"/>
      <c r="B10697" s="3"/>
      <c r="C10697" s="3"/>
      <c r="D10697" s="3"/>
      <c r="E10697" s="3">
        <v>14</v>
      </c>
      <c r="F10697" s="4" t="str">
        <f>HYPERLINK("http://141.218.60.56/~jnz1568/getInfo.php?workbook=20_05.xlsx&amp;sheet=U0&amp;row=10697&amp;col=6&amp;number=4.3&amp;sourceID=14","4.3")</f>
        <v>4.3</v>
      </c>
      <c r="G10697" s="4" t="str">
        <f>HYPERLINK("http://141.218.60.56/~jnz1568/getInfo.php?workbook=20_05.xlsx&amp;sheet=U0&amp;row=10697&amp;col=7&amp;number=1.02e-05&amp;sourceID=14","1.02e-05")</f>
        <v>1.02e-05</v>
      </c>
    </row>
    <row r="10698" spans="1:7">
      <c r="A10698" s="3"/>
      <c r="B10698" s="3"/>
      <c r="C10698" s="3"/>
      <c r="D10698" s="3"/>
      <c r="E10698" s="3">
        <v>15</v>
      </c>
      <c r="F10698" s="4" t="str">
        <f>HYPERLINK("http://141.218.60.56/~jnz1568/getInfo.php?workbook=20_05.xlsx&amp;sheet=U0&amp;row=10698&amp;col=6&amp;number=4.4&amp;sourceID=14","4.4")</f>
        <v>4.4</v>
      </c>
      <c r="G10698" s="4" t="str">
        <f>HYPERLINK("http://141.218.60.56/~jnz1568/getInfo.php?workbook=20_05.xlsx&amp;sheet=U0&amp;row=10698&amp;col=7&amp;number=1.01e-05&amp;sourceID=14","1.01e-05")</f>
        <v>1.01e-05</v>
      </c>
    </row>
    <row r="10699" spans="1:7">
      <c r="A10699" s="3"/>
      <c r="B10699" s="3"/>
      <c r="C10699" s="3"/>
      <c r="D10699" s="3"/>
      <c r="E10699" s="3">
        <v>16</v>
      </c>
      <c r="F10699" s="4" t="str">
        <f>HYPERLINK("http://141.218.60.56/~jnz1568/getInfo.php?workbook=20_05.xlsx&amp;sheet=U0&amp;row=10699&amp;col=6&amp;number=4.5&amp;sourceID=14","4.5")</f>
        <v>4.5</v>
      </c>
      <c r="G10699" s="4" t="str">
        <f>HYPERLINK("http://141.218.60.56/~jnz1568/getInfo.php?workbook=20_05.xlsx&amp;sheet=U0&amp;row=10699&amp;col=7&amp;number=1.01e-05&amp;sourceID=14","1.01e-05")</f>
        <v>1.01e-05</v>
      </c>
    </row>
    <row r="10700" spans="1:7">
      <c r="A10700" s="3"/>
      <c r="B10700" s="3"/>
      <c r="C10700" s="3"/>
      <c r="D10700" s="3"/>
      <c r="E10700" s="3">
        <v>17</v>
      </c>
      <c r="F10700" s="4" t="str">
        <f>HYPERLINK("http://141.218.60.56/~jnz1568/getInfo.php?workbook=20_05.xlsx&amp;sheet=U0&amp;row=10700&amp;col=6&amp;number=4.6&amp;sourceID=14","4.6")</f>
        <v>4.6</v>
      </c>
      <c r="G10700" s="4" t="str">
        <f>HYPERLINK("http://141.218.60.56/~jnz1568/getInfo.php?workbook=20_05.xlsx&amp;sheet=U0&amp;row=10700&amp;col=7&amp;number=1.01e-05&amp;sourceID=14","1.01e-05")</f>
        <v>1.01e-05</v>
      </c>
    </row>
    <row r="10701" spans="1:7">
      <c r="A10701" s="3"/>
      <c r="B10701" s="3"/>
      <c r="C10701" s="3"/>
      <c r="D10701" s="3"/>
      <c r="E10701" s="3">
        <v>18</v>
      </c>
      <c r="F10701" s="4" t="str">
        <f>HYPERLINK("http://141.218.60.56/~jnz1568/getInfo.php?workbook=20_05.xlsx&amp;sheet=U0&amp;row=10701&amp;col=6&amp;number=4.7&amp;sourceID=14","4.7")</f>
        <v>4.7</v>
      </c>
      <c r="G10701" s="4" t="str">
        <f>HYPERLINK("http://141.218.60.56/~jnz1568/getInfo.php?workbook=20_05.xlsx&amp;sheet=U0&amp;row=10701&amp;col=7&amp;number=1.01e-05&amp;sourceID=14","1.01e-05")</f>
        <v>1.01e-05</v>
      </c>
    </row>
    <row r="10702" spans="1:7">
      <c r="A10702" s="3"/>
      <c r="B10702" s="3"/>
      <c r="C10702" s="3"/>
      <c r="D10702" s="3"/>
      <c r="E10702" s="3">
        <v>19</v>
      </c>
      <c r="F10702" s="4" t="str">
        <f>HYPERLINK("http://141.218.60.56/~jnz1568/getInfo.php?workbook=20_05.xlsx&amp;sheet=U0&amp;row=10702&amp;col=6&amp;number=4.8&amp;sourceID=14","4.8")</f>
        <v>4.8</v>
      </c>
      <c r="G10702" s="4" t="str">
        <f>HYPERLINK("http://141.218.60.56/~jnz1568/getInfo.php?workbook=20_05.xlsx&amp;sheet=U0&amp;row=10702&amp;col=7&amp;number=1.01e-05&amp;sourceID=14","1.01e-05")</f>
        <v>1.01e-05</v>
      </c>
    </row>
    <row r="10703" spans="1:7">
      <c r="A10703" s="3"/>
      <c r="B10703" s="3"/>
      <c r="C10703" s="3"/>
      <c r="D10703" s="3"/>
      <c r="E10703" s="3">
        <v>20</v>
      </c>
      <c r="F10703" s="4" t="str">
        <f>HYPERLINK("http://141.218.60.56/~jnz1568/getInfo.php?workbook=20_05.xlsx&amp;sheet=U0&amp;row=10703&amp;col=6&amp;number=4.9&amp;sourceID=14","4.9")</f>
        <v>4.9</v>
      </c>
      <c r="G10703" s="4" t="str">
        <f>HYPERLINK("http://141.218.60.56/~jnz1568/getInfo.php?workbook=20_05.xlsx&amp;sheet=U0&amp;row=10703&amp;col=7&amp;number=1e-05&amp;sourceID=14","1e-05")</f>
        <v>1e-05</v>
      </c>
    </row>
    <row r="10704" spans="1:7">
      <c r="A10704" s="3">
        <v>20</v>
      </c>
      <c r="B10704" s="3">
        <v>5</v>
      </c>
      <c r="C10704" s="3">
        <v>5</v>
      </c>
      <c r="D10704" s="3">
        <v>70</v>
      </c>
      <c r="E10704" s="3">
        <v>1</v>
      </c>
      <c r="F10704" s="4" t="str">
        <f>HYPERLINK("http://141.218.60.56/~jnz1568/getInfo.php?workbook=20_05.xlsx&amp;sheet=U0&amp;row=10704&amp;col=6&amp;number=3&amp;sourceID=14","3")</f>
        <v>3</v>
      </c>
      <c r="G10704" s="4" t="str">
        <f>HYPERLINK("http://141.218.60.56/~jnz1568/getInfo.php?workbook=20_05.xlsx&amp;sheet=U0&amp;row=10704&amp;col=7&amp;number=0.00336&amp;sourceID=14","0.00336")</f>
        <v>0.00336</v>
      </c>
    </row>
    <row r="10705" spans="1:7">
      <c r="A10705" s="3"/>
      <c r="B10705" s="3"/>
      <c r="C10705" s="3"/>
      <c r="D10705" s="3"/>
      <c r="E10705" s="3">
        <v>2</v>
      </c>
      <c r="F10705" s="4" t="str">
        <f>HYPERLINK("http://141.218.60.56/~jnz1568/getInfo.php?workbook=20_05.xlsx&amp;sheet=U0&amp;row=10705&amp;col=6&amp;number=3.1&amp;sourceID=14","3.1")</f>
        <v>3.1</v>
      </c>
      <c r="G10705" s="4" t="str">
        <f>HYPERLINK("http://141.218.60.56/~jnz1568/getInfo.php?workbook=20_05.xlsx&amp;sheet=U0&amp;row=10705&amp;col=7&amp;number=0.00336&amp;sourceID=14","0.00336")</f>
        <v>0.00336</v>
      </c>
    </row>
    <row r="10706" spans="1:7">
      <c r="A10706" s="3"/>
      <c r="B10706" s="3"/>
      <c r="C10706" s="3"/>
      <c r="D10706" s="3"/>
      <c r="E10706" s="3">
        <v>3</v>
      </c>
      <c r="F10706" s="4" t="str">
        <f>HYPERLINK("http://141.218.60.56/~jnz1568/getInfo.php?workbook=20_05.xlsx&amp;sheet=U0&amp;row=10706&amp;col=6&amp;number=3.2&amp;sourceID=14","3.2")</f>
        <v>3.2</v>
      </c>
      <c r="G10706" s="4" t="str">
        <f>HYPERLINK("http://141.218.60.56/~jnz1568/getInfo.php?workbook=20_05.xlsx&amp;sheet=U0&amp;row=10706&amp;col=7&amp;number=0.00336&amp;sourceID=14","0.00336")</f>
        <v>0.00336</v>
      </c>
    </row>
    <row r="10707" spans="1:7">
      <c r="A10707" s="3"/>
      <c r="B10707" s="3"/>
      <c r="C10707" s="3"/>
      <c r="D10707" s="3"/>
      <c r="E10707" s="3">
        <v>4</v>
      </c>
      <c r="F10707" s="4" t="str">
        <f>HYPERLINK("http://141.218.60.56/~jnz1568/getInfo.php?workbook=20_05.xlsx&amp;sheet=U0&amp;row=10707&amp;col=6&amp;number=3.3&amp;sourceID=14","3.3")</f>
        <v>3.3</v>
      </c>
      <c r="G10707" s="4" t="str">
        <f>HYPERLINK("http://141.218.60.56/~jnz1568/getInfo.php?workbook=20_05.xlsx&amp;sheet=U0&amp;row=10707&amp;col=7&amp;number=0.00336&amp;sourceID=14","0.00336")</f>
        <v>0.00336</v>
      </c>
    </row>
    <row r="10708" spans="1:7">
      <c r="A10708" s="3"/>
      <c r="B10708" s="3"/>
      <c r="C10708" s="3"/>
      <c r="D10708" s="3"/>
      <c r="E10708" s="3">
        <v>5</v>
      </c>
      <c r="F10708" s="4" t="str">
        <f>HYPERLINK("http://141.218.60.56/~jnz1568/getInfo.php?workbook=20_05.xlsx&amp;sheet=U0&amp;row=10708&amp;col=6&amp;number=3.4&amp;sourceID=14","3.4")</f>
        <v>3.4</v>
      </c>
      <c r="G10708" s="4" t="str">
        <f>HYPERLINK("http://141.218.60.56/~jnz1568/getInfo.php?workbook=20_05.xlsx&amp;sheet=U0&amp;row=10708&amp;col=7&amp;number=0.00336&amp;sourceID=14","0.00336")</f>
        <v>0.00336</v>
      </c>
    </row>
    <row r="10709" spans="1:7">
      <c r="A10709" s="3"/>
      <c r="B10709" s="3"/>
      <c r="C10709" s="3"/>
      <c r="D10709" s="3"/>
      <c r="E10709" s="3">
        <v>6</v>
      </c>
      <c r="F10709" s="4" t="str">
        <f>HYPERLINK("http://141.218.60.56/~jnz1568/getInfo.php?workbook=20_05.xlsx&amp;sheet=U0&amp;row=10709&amp;col=6&amp;number=3.5&amp;sourceID=14","3.5")</f>
        <v>3.5</v>
      </c>
      <c r="G10709" s="4" t="str">
        <f>HYPERLINK("http://141.218.60.56/~jnz1568/getInfo.php?workbook=20_05.xlsx&amp;sheet=U0&amp;row=10709&amp;col=7&amp;number=0.00336&amp;sourceID=14","0.00336")</f>
        <v>0.00336</v>
      </c>
    </row>
    <row r="10710" spans="1:7">
      <c r="A10710" s="3"/>
      <c r="B10710" s="3"/>
      <c r="C10710" s="3"/>
      <c r="D10710" s="3"/>
      <c r="E10710" s="3">
        <v>7</v>
      </c>
      <c r="F10710" s="4" t="str">
        <f>HYPERLINK("http://141.218.60.56/~jnz1568/getInfo.php?workbook=20_05.xlsx&amp;sheet=U0&amp;row=10710&amp;col=6&amp;number=3.6&amp;sourceID=14","3.6")</f>
        <v>3.6</v>
      </c>
      <c r="G10710" s="4" t="str">
        <f>HYPERLINK("http://141.218.60.56/~jnz1568/getInfo.php?workbook=20_05.xlsx&amp;sheet=U0&amp;row=10710&amp;col=7&amp;number=0.00335&amp;sourceID=14","0.00335")</f>
        <v>0.00335</v>
      </c>
    </row>
    <row r="10711" spans="1:7">
      <c r="A10711" s="3"/>
      <c r="B10711" s="3"/>
      <c r="C10711" s="3"/>
      <c r="D10711" s="3"/>
      <c r="E10711" s="3">
        <v>8</v>
      </c>
      <c r="F10711" s="4" t="str">
        <f>HYPERLINK("http://141.218.60.56/~jnz1568/getInfo.php?workbook=20_05.xlsx&amp;sheet=U0&amp;row=10711&amp;col=6&amp;number=3.7&amp;sourceID=14","3.7")</f>
        <v>3.7</v>
      </c>
      <c r="G10711" s="4" t="str">
        <f>HYPERLINK("http://141.218.60.56/~jnz1568/getInfo.php?workbook=20_05.xlsx&amp;sheet=U0&amp;row=10711&amp;col=7&amp;number=0.00335&amp;sourceID=14","0.00335")</f>
        <v>0.00335</v>
      </c>
    </row>
    <row r="10712" spans="1:7">
      <c r="A10712" s="3"/>
      <c r="B10712" s="3"/>
      <c r="C10712" s="3"/>
      <c r="D10712" s="3"/>
      <c r="E10712" s="3">
        <v>9</v>
      </c>
      <c r="F10712" s="4" t="str">
        <f>HYPERLINK("http://141.218.60.56/~jnz1568/getInfo.php?workbook=20_05.xlsx&amp;sheet=U0&amp;row=10712&amp;col=6&amp;number=3.8&amp;sourceID=14","3.8")</f>
        <v>3.8</v>
      </c>
      <c r="G10712" s="4" t="str">
        <f>HYPERLINK("http://141.218.60.56/~jnz1568/getInfo.php?workbook=20_05.xlsx&amp;sheet=U0&amp;row=10712&amp;col=7&amp;number=0.00335&amp;sourceID=14","0.00335")</f>
        <v>0.00335</v>
      </c>
    </row>
    <row r="10713" spans="1:7">
      <c r="A10713" s="3"/>
      <c r="B10713" s="3"/>
      <c r="C10713" s="3"/>
      <c r="D10713" s="3"/>
      <c r="E10713" s="3">
        <v>10</v>
      </c>
      <c r="F10713" s="4" t="str">
        <f>HYPERLINK("http://141.218.60.56/~jnz1568/getInfo.php?workbook=20_05.xlsx&amp;sheet=U0&amp;row=10713&amp;col=6&amp;number=3.9&amp;sourceID=14","3.9")</f>
        <v>3.9</v>
      </c>
      <c r="G10713" s="4" t="str">
        <f>HYPERLINK("http://141.218.60.56/~jnz1568/getInfo.php?workbook=20_05.xlsx&amp;sheet=U0&amp;row=10713&amp;col=7&amp;number=0.00335&amp;sourceID=14","0.00335")</f>
        <v>0.00335</v>
      </c>
    </row>
    <row r="10714" spans="1:7">
      <c r="A10714" s="3"/>
      <c r="B10714" s="3"/>
      <c r="C10714" s="3"/>
      <c r="D10714" s="3"/>
      <c r="E10714" s="3">
        <v>11</v>
      </c>
      <c r="F10714" s="4" t="str">
        <f>HYPERLINK("http://141.218.60.56/~jnz1568/getInfo.php?workbook=20_05.xlsx&amp;sheet=U0&amp;row=10714&amp;col=6&amp;number=4&amp;sourceID=14","4")</f>
        <v>4</v>
      </c>
      <c r="G10714" s="4" t="str">
        <f>HYPERLINK("http://141.218.60.56/~jnz1568/getInfo.php?workbook=20_05.xlsx&amp;sheet=U0&amp;row=10714&amp;col=7&amp;number=0.00335&amp;sourceID=14","0.00335")</f>
        <v>0.00335</v>
      </c>
    </row>
    <row r="10715" spans="1:7">
      <c r="A10715" s="3"/>
      <c r="B10715" s="3"/>
      <c r="C10715" s="3"/>
      <c r="D10715" s="3"/>
      <c r="E10715" s="3">
        <v>12</v>
      </c>
      <c r="F10715" s="4" t="str">
        <f>HYPERLINK("http://141.218.60.56/~jnz1568/getInfo.php?workbook=20_05.xlsx&amp;sheet=U0&amp;row=10715&amp;col=6&amp;number=4.1&amp;sourceID=14","4.1")</f>
        <v>4.1</v>
      </c>
      <c r="G10715" s="4" t="str">
        <f>HYPERLINK("http://141.218.60.56/~jnz1568/getInfo.php?workbook=20_05.xlsx&amp;sheet=U0&amp;row=10715&amp;col=7&amp;number=0.00335&amp;sourceID=14","0.00335")</f>
        <v>0.00335</v>
      </c>
    </row>
    <row r="10716" spans="1:7">
      <c r="A10716" s="3"/>
      <c r="B10716" s="3"/>
      <c r="C10716" s="3"/>
      <c r="D10716" s="3"/>
      <c r="E10716" s="3">
        <v>13</v>
      </c>
      <c r="F10716" s="4" t="str">
        <f>HYPERLINK("http://141.218.60.56/~jnz1568/getInfo.php?workbook=20_05.xlsx&amp;sheet=U0&amp;row=10716&amp;col=6&amp;number=4.2&amp;sourceID=14","4.2")</f>
        <v>4.2</v>
      </c>
      <c r="G10716" s="4" t="str">
        <f>HYPERLINK("http://141.218.60.56/~jnz1568/getInfo.php?workbook=20_05.xlsx&amp;sheet=U0&amp;row=10716&amp;col=7&amp;number=0.00334&amp;sourceID=14","0.00334")</f>
        <v>0.00334</v>
      </c>
    </row>
    <row r="10717" spans="1:7">
      <c r="A10717" s="3"/>
      <c r="B10717" s="3"/>
      <c r="C10717" s="3"/>
      <c r="D10717" s="3"/>
      <c r="E10717" s="3">
        <v>14</v>
      </c>
      <c r="F10717" s="4" t="str">
        <f>HYPERLINK("http://141.218.60.56/~jnz1568/getInfo.php?workbook=20_05.xlsx&amp;sheet=U0&amp;row=10717&amp;col=6&amp;number=4.3&amp;sourceID=14","4.3")</f>
        <v>4.3</v>
      </c>
      <c r="G10717" s="4" t="str">
        <f>HYPERLINK("http://141.218.60.56/~jnz1568/getInfo.php?workbook=20_05.xlsx&amp;sheet=U0&amp;row=10717&amp;col=7&amp;number=0.00334&amp;sourceID=14","0.00334")</f>
        <v>0.00334</v>
      </c>
    </row>
    <row r="10718" spans="1:7">
      <c r="A10718" s="3"/>
      <c r="B10718" s="3"/>
      <c r="C10718" s="3"/>
      <c r="D10718" s="3"/>
      <c r="E10718" s="3">
        <v>15</v>
      </c>
      <c r="F10718" s="4" t="str">
        <f>HYPERLINK("http://141.218.60.56/~jnz1568/getInfo.php?workbook=20_05.xlsx&amp;sheet=U0&amp;row=10718&amp;col=6&amp;number=4.4&amp;sourceID=14","4.4")</f>
        <v>4.4</v>
      </c>
      <c r="G10718" s="4" t="str">
        <f>HYPERLINK("http://141.218.60.56/~jnz1568/getInfo.php?workbook=20_05.xlsx&amp;sheet=U0&amp;row=10718&amp;col=7&amp;number=0.00334&amp;sourceID=14","0.00334")</f>
        <v>0.00334</v>
      </c>
    </row>
    <row r="10719" spans="1:7">
      <c r="A10719" s="3"/>
      <c r="B10719" s="3"/>
      <c r="C10719" s="3"/>
      <c r="D10719" s="3"/>
      <c r="E10719" s="3">
        <v>16</v>
      </c>
      <c r="F10719" s="4" t="str">
        <f>HYPERLINK("http://141.218.60.56/~jnz1568/getInfo.php?workbook=20_05.xlsx&amp;sheet=U0&amp;row=10719&amp;col=6&amp;number=4.5&amp;sourceID=14","4.5")</f>
        <v>4.5</v>
      </c>
      <c r="G10719" s="4" t="str">
        <f>HYPERLINK("http://141.218.60.56/~jnz1568/getInfo.php?workbook=20_05.xlsx&amp;sheet=U0&amp;row=10719&amp;col=7&amp;number=0.00333&amp;sourceID=14","0.00333")</f>
        <v>0.00333</v>
      </c>
    </row>
    <row r="10720" spans="1:7">
      <c r="A10720" s="3"/>
      <c r="B10720" s="3"/>
      <c r="C10720" s="3"/>
      <c r="D10720" s="3"/>
      <c r="E10720" s="3">
        <v>17</v>
      </c>
      <c r="F10720" s="4" t="str">
        <f>HYPERLINK("http://141.218.60.56/~jnz1568/getInfo.php?workbook=20_05.xlsx&amp;sheet=U0&amp;row=10720&amp;col=6&amp;number=4.6&amp;sourceID=14","4.6")</f>
        <v>4.6</v>
      </c>
      <c r="G10720" s="4" t="str">
        <f>HYPERLINK("http://141.218.60.56/~jnz1568/getInfo.php?workbook=20_05.xlsx&amp;sheet=U0&amp;row=10720&amp;col=7&amp;number=0.00332&amp;sourceID=14","0.00332")</f>
        <v>0.00332</v>
      </c>
    </row>
    <row r="10721" spans="1:7">
      <c r="A10721" s="3"/>
      <c r="B10721" s="3"/>
      <c r="C10721" s="3"/>
      <c r="D10721" s="3"/>
      <c r="E10721" s="3">
        <v>18</v>
      </c>
      <c r="F10721" s="4" t="str">
        <f>HYPERLINK("http://141.218.60.56/~jnz1568/getInfo.php?workbook=20_05.xlsx&amp;sheet=U0&amp;row=10721&amp;col=6&amp;number=4.7&amp;sourceID=14","4.7")</f>
        <v>4.7</v>
      </c>
      <c r="G10721" s="4" t="str">
        <f>HYPERLINK("http://141.218.60.56/~jnz1568/getInfo.php?workbook=20_05.xlsx&amp;sheet=U0&amp;row=10721&amp;col=7&amp;number=0.00331&amp;sourceID=14","0.00331")</f>
        <v>0.00331</v>
      </c>
    </row>
    <row r="10722" spans="1:7">
      <c r="A10722" s="3"/>
      <c r="B10722" s="3"/>
      <c r="C10722" s="3"/>
      <c r="D10722" s="3"/>
      <c r="E10722" s="3">
        <v>19</v>
      </c>
      <c r="F10722" s="4" t="str">
        <f>HYPERLINK("http://141.218.60.56/~jnz1568/getInfo.php?workbook=20_05.xlsx&amp;sheet=U0&amp;row=10722&amp;col=6&amp;number=4.8&amp;sourceID=14","4.8")</f>
        <v>4.8</v>
      </c>
      <c r="G10722" s="4" t="str">
        <f>HYPERLINK("http://141.218.60.56/~jnz1568/getInfo.php?workbook=20_05.xlsx&amp;sheet=U0&amp;row=10722&amp;col=7&amp;number=0.0033&amp;sourceID=14","0.0033")</f>
        <v>0.0033</v>
      </c>
    </row>
    <row r="10723" spans="1:7">
      <c r="A10723" s="3"/>
      <c r="B10723" s="3"/>
      <c r="C10723" s="3"/>
      <c r="D10723" s="3"/>
      <c r="E10723" s="3">
        <v>20</v>
      </c>
      <c r="F10723" s="4" t="str">
        <f>HYPERLINK("http://141.218.60.56/~jnz1568/getInfo.php?workbook=20_05.xlsx&amp;sheet=U0&amp;row=10723&amp;col=6&amp;number=4.9&amp;sourceID=14","4.9")</f>
        <v>4.9</v>
      </c>
      <c r="G10723" s="4" t="str">
        <f>HYPERLINK("http://141.218.60.56/~jnz1568/getInfo.php?workbook=20_05.xlsx&amp;sheet=U0&amp;row=10723&amp;col=7&amp;number=0.00329&amp;sourceID=14","0.00329")</f>
        <v>0.00329</v>
      </c>
    </row>
    <row r="10724" spans="1:7">
      <c r="A10724" s="3">
        <v>20</v>
      </c>
      <c r="B10724" s="3">
        <v>5</v>
      </c>
      <c r="C10724" s="3">
        <v>5</v>
      </c>
      <c r="D10724" s="3">
        <v>71</v>
      </c>
      <c r="E10724" s="3">
        <v>1</v>
      </c>
      <c r="F10724" s="4" t="str">
        <f>HYPERLINK("http://141.218.60.56/~jnz1568/getInfo.php?workbook=20_05.xlsx&amp;sheet=U0&amp;row=10724&amp;col=6&amp;number=3&amp;sourceID=14","3")</f>
        <v>3</v>
      </c>
      <c r="G10724" s="4" t="str">
        <f>HYPERLINK("http://141.218.60.56/~jnz1568/getInfo.php?workbook=20_05.xlsx&amp;sheet=U0&amp;row=10724&amp;col=7&amp;number=0.035&amp;sourceID=14","0.035")</f>
        <v>0.035</v>
      </c>
    </row>
    <row r="10725" spans="1:7">
      <c r="A10725" s="3"/>
      <c r="B10725" s="3"/>
      <c r="C10725" s="3"/>
      <c r="D10725" s="3"/>
      <c r="E10725" s="3">
        <v>2</v>
      </c>
      <c r="F10725" s="4" t="str">
        <f>HYPERLINK("http://141.218.60.56/~jnz1568/getInfo.php?workbook=20_05.xlsx&amp;sheet=U0&amp;row=10725&amp;col=6&amp;number=3.1&amp;sourceID=14","3.1")</f>
        <v>3.1</v>
      </c>
      <c r="G10725" s="4" t="str">
        <f>HYPERLINK("http://141.218.60.56/~jnz1568/getInfo.php?workbook=20_05.xlsx&amp;sheet=U0&amp;row=10725&amp;col=7&amp;number=0.035&amp;sourceID=14","0.035")</f>
        <v>0.035</v>
      </c>
    </row>
    <row r="10726" spans="1:7">
      <c r="A10726" s="3"/>
      <c r="B10726" s="3"/>
      <c r="C10726" s="3"/>
      <c r="D10726" s="3"/>
      <c r="E10726" s="3">
        <v>3</v>
      </c>
      <c r="F10726" s="4" t="str">
        <f>HYPERLINK("http://141.218.60.56/~jnz1568/getInfo.php?workbook=20_05.xlsx&amp;sheet=U0&amp;row=10726&amp;col=6&amp;number=3.2&amp;sourceID=14","3.2")</f>
        <v>3.2</v>
      </c>
      <c r="G10726" s="4" t="str">
        <f>HYPERLINK("http://141.218.60.56/~jnz1568/getInfo.php?workbook=20_05.xlsx&amp;sheet=U0&amp;row=10726&amp;col=7&amp;number=0.035&amp;sourceID=14","0.035")</f>
        <v>0.035</v>
      </c>
    </row>
    <row r="10727" spans="1:7">
      <c r="A10727" s="3"/>
      <c r="B10727" s="3"/>
      <c r="C10727" s="3"/>
      <c r="D10727" s="3"/>
      <c r="E10727" s="3">
        <v>4</v>
      </c>
      <c r="F10727" s="4" t="str">
        <f>HYPERLINK("http://141.218.60.56/~jnz1568/getInfo.php?workbook=20_05.xlsx&amp;sheet=U0&amp;row=10727&amp;col=6&amp;number=3.3&amp;sourceID=14","3.3")</f>
        <v>3.3</v>
      </c>
      <c r="G10727" s="4" t="str">
        <f>HYPERLINK("http://141.218.60.56/~jnz1568/getInfo.php?workbook=20_05.xlsx&amp;sheet=U0&amp;row=10727&amp;col=7&amp;number=0.035&amp;sourceID=14","0.035")</f>
        <v>0.035</v>
      </c>
    </row>
    <row r="10728" spans="1:7">
      <c r="A10728" s="3"/>
      <c r="B10728" s="3"/>
      <c r="C10728" s="3"/>
      <c r="D10728" s="3"/>
      <c r="E10728" s="3">
        <v>5</v>
      </c>
      <c r="F10728" s="4" t="str">
        <f>HYPERLINK("http://141.218.60.56/~jnz1568/getInfo.php?workbook=20_05.xlsx&amp;sheet=U0&amp;row=10728&amp;col=6&amp;number=3.4&amp;sourceID=14","3.4")</f>
        <v>3.4</v>
      </c>
      <c r="G10728" s="4" t="str">
        <f>HYPERLINK("http://141.218.60.56/~jnz1568/getInfo.php?workbook=20_05.xlsx&amp;sheet=U0&amp;row=10728&amp;col=7&amp;number=0.035&amp;sourceID=14","0.035")</f>
        <v>0.035</v>
      </c>
    </row>
    <row r="10729" spans="1:7">
      <c r="A10729" s="3"/>
      <c r="B10729" s="3"/>
      <c r="C10729" s="3"/>
      <c r="D10729" s="3"/>
      <c r="E10729" s="3">
        <v>6</v>
      </c>
      <c r="F10729" s="4" t="str">
        <f>HYPERLINK("http://141.218.60.56/~jnz1568/getInfo.php?workbook=20_05.xlsx&amp;sheet=U0&amp;row=10729&amp;col=6&amp;number=3.5&amp;sourceID=14","3.5")</f>
        <v>3.5</v>
      </c>
      <c r="G10729" s="4" t="str">
        <f>HYPERLINK("http://141.218.60.56/~jnz1568/getInfo.php?workbook=20_05.xlsx&amp;sheet=U0&amp;row=10729&amp;col=7&amp;number=0.035&amp;sourceID=14","0.035")</f>
        <v>0.035</v>
      </c>
    </row>
    <row r="10730" spans="1:7">
      <c r="A10730" s="3"/>
      <c r="B10730" s="3"/>
      <c r="C10730" s="3"/>
      <c r="D10730" s="3"/>
      <c r="E10730" s="3">
        <v>7</v>
      </c>
      <c r="F10730" s="4" t="str">
        <f>HYPERLINK("http://141.218.60.56/~jnz1568/getInfo.php?workbook=20_05.xlsx&amp;sheet=U0&amp;row=10730&amp;col=6&amp;number=3.6&amp;sourceID=14","3.6")</f>
        <v>3.6</v>
      </c>
      <c r="G10730" s="4" t="str">
        <f>HYPERLINK("http://141.218.60.56/~jnz1568/getInfo.php?workbook=20_05.xlsx&amp;sheet=U0&amp;row=10730&amp;col=7&amp;number=0.035&amp;sourceID=14","0.035")</f>
        <v>0.035</v>
      </c>
    </row>
    <row r="10731" spans="1:7">
      <c r="A10731" s="3"/>
      <c r="B10731" s="3"/>
      <c r="C10731" s="3"/>
      <c r="D10731" s="3"/>
      <c r="E10731" s="3">
        <v>8</v>
      </c>
      <c r="F10731" s="4" t="str">
        <f>HYPERLINK("http://141.218.60.56/~jnz1568/getInfo.php?workbook=20_05.xlsx&amp;sheet=U0&amp;row=10731&amp;col=6&amp;number=3.7&amp;sourceID=14","3.7")</f>
        <v>3.7</v>
      </c>
      <c r="G10731" s="4" t="str">
        <f>HYPERLINK("http://141.218.60.56/~jnz1568/getInfo.php?workbook=20_05.xlsx&amp;sheet=U0&amp;row=10731&amp;col=7&amp;number=0.035&amp;sourceID=14","0.035")</f>
        <v>0.035</v>
      </c>
    </row>
    <row r="10732" spans="1:7">
      <c r="A10732" s="3"/>
      <c r="B10732" s="3"/>
      <c r="C10732" s="3"/>
      <c r="D10732" s="3"/>
      <c r="E10732" s="3">
        <v>9</v>
      </c>
      <c r="F10732" s="4" t="str">
        <f>HYPERLINK("http://141.218.60.56/~jnz1568/getInfo.php?workbook=20_05.xlsx&amp;sheet=U0&amp;row=10732&amp;col=6&amp;number=3.8&amp;sourceID=14","3.8")</f>
        <v>3.8</v>
      </c>
      <c r="G10732" s="4" t="str">
        <f>HYPERLINK("http://141.218.60.56/~jnz1568/getInfo.php?workbook=20_05.xlsx&amp;sheet=U0&amp;row=10732&amp;col=7&amp;number=0.035&amp;sourceID=14","0.035")</f>
        <v>0.035</v>
      </c>
    </row>
    <row r="10733" spans="1:7">
      <c r="A10733" s="3"/>
      <c r="B10733" s="3"/>
      <c r="C10733" s="3"/>
      <c r="D10733" s="3"/>
      <c r="E10733" s="3">
        <v>10</v>
      </c>
      <c r="F10733" s="4" t="str">
        <f>HYPERLINK("http://141.218.60.56/~jnz1568/getInfo.php?workbook=20_05.xlsx&amp;sheet=U0&amp;row=10733&amp;col=6&amp;number=3.9&amp;sourceID=14","3.9")</f>
        <v>3.9</v>
      </c>
      <c r="G10733" s="4" t="str">
        <f>HYPERLINK("http://141.218.60.56/~jnz1568/getInfo.php?workbook=20_05.xlsx&amp;sheet=U0&amp;row=10733&amp;col=7&amp;number=0.035&amp;sourceID=14","0.035")</f>
        <v>0.035</v>
      </c>
    </row>
    <row r="10734" spans="1:7">
      <c r="A10734" s="3"/>
      <c r="B10734" s="3"/>
      <c r="C10734" s="3"/>
      <c r="D10734" s="3"/>
      <c r="E10734" s="3">
        <v>11</v>
      </c>
      <c r="F10734" s="4" t="str">
        <f>HYPERLINK("http://141.218.60.56/~jnz1568/getInfo.php?workbook=20_05.xlsx&amp;sheet=U0&amp;row=10734&amp;col=6&amp;number=4&amp;sourceID=14","4")</f>
        <v>4</v>
      </c>
      <c r="G10734" s="4" t="str">
        <f>HYPERLINK("http://141.218.60.56/~jnz1568/getInfo.php?workbook=20_05.xlsx&amp;sheet=U0&amp;row=10734&amp;col=7&amp;number=0.035&amp;sourceID=14","0.035")</f>
        <v>0.035</v>
      </c>
    </row>
    <row r="10735" spans="1:7">
      <c r="A10735" s="3"/>
      <c r="B10735" s="3"/>
      <c r="C10735" s="3"/>
      <c r="D10735" s="3"/>
      <c r="E10735" s="3">
        <v>12</v>
      </c>
      <c r="F10735" s="4" t="str">
        <f>HYPERLINK("http://141.218.60.56/~jnz1568/getInfo.php?workbook=20_05.xlsx&amp;sheet=U0&amp;row=10735&amp;col=6&amp;number=4.1&amp;sourceID=14","4.1")</f>
        <v>4.1</v>
      </c>
      <c r="G10735" s="4" t="str">
        <f>HYPERLINK("http://141.218.60.56/~jnz1568/getInfo.php?workbook=20_05.xlsx&amp;sheet=U0&amp;row=10735&amp;col=7&amp;number=0.035&amp;sourceID=14","0.035")</f>
        <v>0.035</v>
      </c>
    </row>
    <row r="10736" spans="1:7">
      <c r="A10736" s="3"/>
      <c r="B10736" s="3"/>
      <c r="C10736" s="3"/>
      <c r="D10736" s="3"/>
      <c r="E10736" s="3">
        <v>13</v>
      </c>
      <c r="F10736" s="4" t="str">
        <f>HYPERLINK("http://141.218.60.56/~jnz1568/getInfo.php?workbook=20_05.xlsx&amp;sheet=U0&amp;row=10736&amp;col=6&amp;number=4.2&amp;sourceID=14","4.2")</f>
        <v>4.2</v>
      </c>
      <c r="G10736" s="4" t="str">
        <f>HYPERLINK("http://141.218.60.56/~jnz1568/getInfo.php?workbook=20_05.xlsx&amp;sheet=U0&amp;row=10736&amp;col=7&amp;number=0.035&amp;sourceID=14","0.035")</f>
        <v>0.035</v>
      </c>
    </row>
    <row r="10737" spans="1:7">
      <c r="A10737" s="3"/>
      <c r="B10737" s="3"/>
      <c r="C10737" s="3"/>
      <c r="D10737" s="3"/>
      <c r="E10737" s="3">
        <v>14</v>
      </c>
      <c r="F10737" s="4" t="str">
        <f>HYPERLINK("http://141.218.60.56/~jnz1568/getInfo.php?workbook=20_05.xlsx&amp;sheet=U0&amp;row=10737&amp;col=6&amp;number=4.3&amp;sourceID=14","4.3")</f>
        <v>4.3</v>
      </c>
      <c r="G10737" s="4" t="str">
        <f>HYPERLINK("http://141.218.60.56/~jnz1568/getInfo.php?workbook=20_05.xlsx&amp;sheet=U0&amp;row=10737&amp;col=7&amp;number=0.035&amp;sourceID=14","0.035")</f>
        <v>0.035</v>
      </c>
    </row>
    <row r="10738" spans="1:7">
      <c r="A10738" s="3"/>
      <c r="B10738" s="3"/>
      <c r="C10738" s="3"/>
      <c r="D10738" s="3"/>
      <c r="E10738" s="3">
        <v>15</v>
      </c>
      <c r="F10738" s="4" t="str">
        <f>HYPERLINK("http://141.218.60.56/~jnz1568/getInfo.php?workbook=20_05.xlsx&amp;sheet=U0&amp;row=10738&amp;col=6&amp;number=4.4&amp;sourceID=14","4.4")</f>
        <v>4.4</v>
      </c>
      <c r="G10738" s="4" t="str">
        <f>HYPERLINK("http://141.218.60.56/~jnz1568/getInfo.php?workbook=20_05.xlsx&amp;sheet=U0&amp;row=10738&amp;col=7&amp;number=0.0351&amp;sourceID=14","0.0351")</f>
        <v>0.0351</v>
      </c>
    </row>
    <row r="10739" spans="1:7">
      <c r="A10739" s="3"/>
      <c r="B10739" s="3"/>
      <c r="C10739" s="3"/>
      <c r="D10739" s="3"/>
      <c r="E10739" s="3">
        <v>16</v>
      </c>
      <c r="F10739" s="4" t="str">
        <f>HYPERLINK("http://141.218.60.56/~jnz1568/getInfo.php?workbook=20_05.xlsx&amp;sheet=U0&amp;row=10739&amp;col=6&amp;number=4.5&amp;sourceID=14","4.5")</f>
        <v>4.5</v>
      </c>
      <c r="G10739" s="4" t="str">
        <f>HYPERLINK("http://141.218.60.56/~jnz1568/getInfo.php?workbook=20_05.xlsx&amp;sheet=U0&amp;row=10739&amp;col=7&amp;number=0.0351&amp;sourceID=14","0.0351")</f>
        <v>0.0351</v>
      </c>
    </row>
    <row r="10740" spans="1:7">
      <c r="A10740" s="3"/>
      <c r="B10740" s="3"/>
      <c r="C10740" s="3"/>
      <c r="D10740" s="3"/>
      <c r="E10740" s="3">
        <v>17</v>
      </c>
      <c r="F10740" s="4" t="str">
        <f>HYPERLINK("http://141.218.60.56/~jnz1568/getInfo.php?workbook=20_05.xlsx&amp;sheet=U0&amp;row=10740&amp;col=6&amp;number=4.6&amp;sourceID=14","4.6")</f>
        <v>4.6</v>
      </c>
      <c r="G10740" s="4" t="str">
        <f>HYPERLINK("http://141.218.60.56/~jnz1568/getInfo.php?workbook=20_05.xlsx&amp;sheet=U0&amp;row=10740&amp;col=7&amp;number=0.0351&amp;sourceID=14","0.0351")</f>
        <v>0.0351</v>
      </c>
    </row>
    <row r="10741" spans="1:7">
      <c r="A10741" s="3"/>
      <c r="B10741" s="3"/>
      <c r="C10741" s="3"/>
      <c r="D10741" s="3"/>
      <c r="E10741" s="3">
        <v>18</v>
      </c>
      <c r="F10741" s="4" t="str">
        <f>HYPERLINK("http://141.218.60.56/~jnz1568/getInfo.php?workbook=20_05.xlsx&amp;sheet=U0&amp;row=10741&amp;col=6&amp;number=4.7&amp;sourceID=14","4.7")</f>
        <v>4.7</v>
      </c>
      <c r="G10741" s="4" t="str">
        <f>HYPERLINK("http://141.218.60.56/~jnz1568/getInfo.php?workbook=20_05.xlsx&amp;sheet=U0&amp;row=10741&amp;col=7&amp;number=0.0352&amp;sourceID=14","0.0352")</f>
        <v>0.0352</v>
      </c>
    </row>
    <row r="10742" spans="1:7">
      <c r="A10742" s="3"/>
      <c r="B10742" s="3"/>
      <c r="C10742" s="3"/>
      <c r="D10742" s="3"/>
      <c r="E10742" s="3">
        <v>19</v>
      </c>
      <c r="F10742" s="4" t="str">
        <f>HYPERLINK("http://141.218.60.56/~jnz1568/getInfo.php?workbook=20_05.xlsx&amp;sheet=U0&amp;row=10742&amp;col=6&amp;number=4.8&amp;sourceID=14","4.8")</f>
        <v>4.8</v>
      </c>
      <c r="G10742" s="4" t="str">
        <f>HYPERLINK("http://141.218.60.56/~jnz1568/getInfo.php?workbook=20_05.xlsx&amp;sheet=U0&amp;row=10742&amp;col=7&amp;number=0.0352&amp;sourceID=14","0.0352")</f>
        <v>0.0352</v>
      </c>
    </row>
    <row r="10743" spans="1:7">
      <c r="A10743" s="3"/>
      <c r="B10743" s="3"/>
      <c r="C10743" s="3"/>
      <c r="D10743" s="3"/>
      <c r="E10743" s="3">
        <v>20</v>
      </c>
      <c r="F10743" s="4" t="str">
        <f>HYPERLINK("http://141.218.60.56/~jnz1568/getInfo.php?workbook=20_05.xlsx&amp;sheet=U0&amp;row=10743&amp;col=6&amp;number=4.9&amp;sourceID=14","4.9")</f>
        <v>4.9</v>
      </c>
      <c r="G10743" s="4" t="str">
        <f>HYPERLINK("http://141.218.60.56/~jnz1568/getInfo.php?workbook=20_05.xlsx&amp;sheet=U0&amp;row=10743&amp;col=7&amp;number=0.0353&amp;sourceID=14","0.0353")</f>
        <v>0.0353</v>
      </c>
    </row>
    <row r="10744" spans="1:7">
      <c r="A10744" s="3">
        <v>20</v>
      </c>
      <c r="B10744" s="3">
        <v>5</v>
      </c>
      <c r="C10744" s="3">
        <v>5</v>
      </c>
      <c r="D10744" s="3">
        <v>72</v>
      </c>
      <c r="E10744" s="3">
        <v>1</v>
      </c>
      <c r="F10744" s="4" t="str">
        <f>HYPERLINK("http://141.218.60.56/~jnz1568/getInfo.php?workbook=20_05.xlsx&amp;sheet=U0&amp;row=10744&amp;col=6&amp;number=3&amp;sourceID=14","3")</f>
        <v>3</v>
      </c>
      <c r="G10744" s="4" t="str">
        <f>HYPERLINK("http://141.218.60.56/~jnz1568/getInfo.php?workbook=20_05.xlsx&amp;sheet=U0&amp;row=10744&amp;col=7&amp;number=0.000305&amp;sourceID=14","0.000305")</f>
        <v>0.000305</v>
      </c>
    </row>
    <row r="10745" spans="1:7">
      <c r="A10745" s="3"/>
      <c r="B10745" s="3"/>
      <c r="C10745" s="3"/>
      <c r="D10745" s="3"/>
      <c r="E10745" s="3">
        <v>2</v>
      </c>
      <c r="F10745" s="4" t="str">
        <f>HYPERLINK("http://141.218.60.56/~jnz1568/getInfo.php?workbook=20_05.xlsx&amp;sheet=U0&amp;row=10745&amp;col=6&amp;number=3.1&amp;sourceID=14","3.1")</f>
        <v>3.1</v>
      </c>
      <c r="G10745" s="4" t="str">
        <f>HYPERLINK("http://141.218.60.56/~jnz1568/getInfo.php?workbook=20_05.xlsx&amp;sheet=U0&amp;row=10745&amp;col=7&amp;number=0.000305&amp;sourceID=14","0.000305")</f>
        <v>0.000305</v>
      </c>
    </row>
    <row r="10746" spans="1:7">
      <c r="A10746" s="3"/>
      <c r="B10746" s="3"/>
      <c r="C10746" s="3"/>
      <c r="D10746" s="3"/>
      <c r="E10746" s="3">
        <v>3</v>
      </c>
      <c r="F10746" s="4" t="str">
        <f>HYPERLINK("http://141.218.60.56/~jnz1568/getInfo.php?workbook=20_05.xlsx&amp;sheet=U0&amp;row=10746&amp;col=6&amp;number=3.2&amp;sourceID=14","3.2")</f>
        <v>3.2</v>
      </c>
      <c r="G10746" s="4" t="str">
        <f>HYPERLINK("http://141.218.60.56/~jnz1568/getInfo.php?workbook=20_05.xlsx&amp;sheet=U0&amp;row=10746&amp;col=7&amp;number=0.000305&amp;sourceID=14","0.000305")</f>
        <v>0.000305</v>
      </c>
    </row>
    <row r="10747" spans="1:7">
      <c r="A10747" s="3"/>
      <c r="B10747" s="3"/>
      <c r="C10747" s="3"/>
      <c r="D10747" s="3"/>
      <c r="E10747" s="3">
        <v>4</v>
      </c>
      <c r="F10747" s="4" t="str">
        <f>HYPERLINK("http://141.218.60.56/~jnz1568/getInfo.php?workbook=20_05.xlsx&amp;sheet=U0&amp;row=10747&amp;col=6&amp;number=3.3&amp;sourceID=14","3.3")</f>
        <v>3.3</v>
      </c>
      <c r="G10747" s="4" t="str">
        <f>HYPERLINK("http://141.218.60.56/~jnz1568/getInfo.php?workbook=20_05.xlsx&amp;sheet=U0&amp;row=10747&amp;col=7&amp;number=0.000305&amp;sourceID=14","0.000305")</f>
        <v>0.000305</v>
      </c>
    </row>
    <row r="10748" spans="1:7">
      <c r="A10748" s="3"/>
      <c r="B10748" s="3"/>
      <c r="C10748" s="3"/>
      <c r="D10748" s="3"/>
      <c r="E10748" s="3">
        <v>5</v>
      </c>
      <c r="F10748" s="4" t="str">
        <f>HYPERLINK("http://141.218.60.56/~jnz1568/getInfo.php?workbook=20_05.xlsx&amp;sheet=U0&amp;row=10748&amp;col=6&amp;number=3.4&amp;sourceID=14","3.4")</f>
        <v>3.4</v>
      </c>
      <c r="G10748" s="4" t="str">
        <f>HYPERLINK("http://141.218.60.56/~jnz1568/getInfo.php?workbook=20_05.xlsx&amp;sheet=U0&amp;row=10748&amp;col=7&amp;number=0.000305&amp;sourceID=14","0.000305")</f>
        <v>0.000305</v>
      </c>
    </row>
    <row r="10749" spans="1:7">
      <c r="A10749" s="3"/>
      <c r="B10749" s="3"/>
      <c r="C10749" s="3"/>
      <c r="D10749" s="3"/>
      <c r="E10749" s="3">
        <v>6</v>
      </c>
      <c r="F10749" s="4" t="str">
        <f>HYPERLINK("http://141.218.60.56/~jnz1568/getInfo.php?workbook=20_05.xlsx&amp;sheet=U0&amp;row=10749&amp;col=6&amp;number=3.5&amp;sourceID=14","3.5")</f>
        <v>3.5</v>
      </c>
      <c r="G10749" s="4" t="str">
        <f>HYPERLINK("http://141.218.60.56/~jnz1568/getInfo.php?workbook=20_05.xlsx&amp;sheet=U0&amp;row=10749&amp;col=7&amp;number=0.000305&amp;sourceID=14","0.000305")</f>
        <v>0.000305</v>
      </c>
    </row>
    <row r="10750" spans="1:7">
      <c r="A10750" s="3"/>
      <c r="B10750" s="3"/>
      <c r="C10750" s="3"/>
      <c r="D10750" s="3"/>
      <c r="E10750" s="3">
        <v>7</v>
      </c>
      <c r="F10750" s="4" t="str">
        <f>HYPERLINK("http://141.218.60.56/~jnz1568/getInfo.php?workbook=20_05.xlsx&amp;sheet=U0&amp;row=10750&amp;col=6&amp;number=3.6&amp;sourceID=14","3.6")</f>
        <v>3.6</v>
      </c>
      <c r="G10750" s="4" t="str">
        <f>HYPERLINK("http://141.218.60.56/~jnz1568/getInfo.php?workbook=20_05.xlsx&amp;sheet=U0&amp;row=10750&amp;col=7&amp;number=0.000305&amp;sourceID=14","0.000305")</f>
        <v>0.000305</v>
      </c>
    </row>
    <row r="10751" spans="1:7">
      <c r="A10751" s="3"/>
      <c r="B10751" s="3"/>
      <c r="C10751" s="3"/>
      <c r="D10751" s="3"/>
      <c r="E10751" s="3">
        <v>8</v>
      </c>
      <c r="F10751" s="4" t="str">
        <f>HYPERLINK("http://141.218.60.56/~jnz1568/getInfo.php?workbook=20_05.xlsx&amp;sheet=U0&amp;row=10751&amp;col=6&amp;number=3.7&amp;sourceID=14","3.7")</f>
        <v>3.7</v>
      </c>
      <c r="G10751" s="4" t="str">
        <f>HYPERLINK("http://141.218.60.56/~jnz1568/getInfo.php?workbook=20_05.xlsx&amp;sheet=U0&amp;row=10751&amp;col=7&amp;number=0.000305&amp;sourceID=14","0.000305")</f>
        <v>0.000305</v>
      </c>
    </row>
    <row r="10752" spans="1:7">
      <c r="A10752" s="3"/>
      <c r="B10752" s="3"/>
      <c r="C10752" s="3"/>
      <c r="D10752" s="3"/>
      <c r="E10752" s="3">
        <v>9</v>
      </c>
      <c r="F10752" s="4" t="str">
        <f>HYPERLINK("http://141.218.60.56/~jnz1568/getInfo.php?workbook=20_05.xlsx&amp;sheet=U0&amp;row=10752&amp;col=6&amp;number=3.8&amp;sourceID=14","3.8")</f>
        <v>3.8</v>
      </c>
      <c r="G10752" s="4" t="str">
        <f>HYPERLINK("http://141.218.60.56/~jnz1568/getInfo.php?workbook=20_05.xlsx&amp;sheet=U0&amp;row=10752&amp;col=7&amp;number=0.000305&amp;sourceID=14","0.000305")</f>
        <v>0.000305</v>
      </c>
    </row>
    <row r="10753" spans="1:7">
      <c r="A10753" s="3"/>
      <c r="B10753" s="3"/>
      <c r="C10753" s="3"/>
      <c r="D10753" s="3"/>
      <c r="E10753" s="3">
        <v>10</v>
      </c>
      <c r="F10753" s="4" t="str">
        <f>HYPERLINK("http://141.218.60.56/~jnz1568/getInfo.php?workbook=20_05.xlsx&amp;sheet=U0&amp;row=10753&amp;col=6&amp;number=3.9&amp;sourceID=14","3.9")</f>
        <v>3.9</v>
      </c>
      <c r="G10753" s="4" t="str">
        <f>HYPERLINK("http://141.218.60.56/~jnz1568/getInfo.php?workbook=20_05.xlsx&amp;sheet=U0&amp;row=10753&amp;col=7&amp;number=0.000305&amp;sourceID=14","0.000305")</f>
        <v>0.000305</v>
      </c>
    </row>
    <row r="10754" spans="1:7">
      <c r="A10754" s="3"/>
      <c r="B10754" s="3"/>
      <c r="C10754" s="3"/>
      <c r="D10754" s="3"/>
      <c r="E10754" s="3">
        <v>11</v>
      </c>
      <c r="F10754" s="4" t="str">
        <f>HYPERLINK("http://141.218.60.56/~jnz1568/getInfo.php?workbook=20_05.xlsx&amp;sheet=U0&amp;row=10754&amp;col=6&amp;number=4&amp;sourceID=14","4")</f>
        <v>4</v>
      </c>
      <c r="G10754" s="4" t="str">
        <f>HYPERLINK("http://141.218.60.56/~jnz1568/getInfo.php?workbook=20_05.xlsx&amp;sheet=U0&amp;row=10754&amp;col=7&amp;number=0.000305&amp;sourceID=14","0.000305")</f>
        <v>0.000305</v>
      </c>
    </row>
    <row r="10755" spans="1:7">
      <c r="A10755" s="3"/>
      <c r="B10755" s="3"/>
      <c r="C10755" s="3"/>
      <c r="D10755" s="3"/>
      <c r="E10755" s="3">
        <v>12</v>
      </c>
      <c r="F10755" s="4" t="str">
        <f>HYPERLINK("http://141.218.60.56/~jnz1568/getInfo.php?workbook=20_05.xlsx&amp;sheet=U0&amp;row=10755&amp;col=6&amp;number=4.1&amp;sourceID=14","4.1")</f>
        <v>4.1</v>
      </c>
      <c r="G10755" s="4" t="str">
        <f>HYPERLINK("http://141.218.60.56/~jnz1568/getInfo.php?workbook=20_05.xlsx&amp;sheet=U0&amp;row=10755&amp;col=7&amp;number=0.000305&amp;sourceID=14","0.000305")</f>
        <v>0.000305</v>
      </c>
    </row>
    <row r="10756" spans="1:7">
      <c r="A10756" s="3"/>
      <c r="B10756" s="3"/>
      <c r="C10756" s="3"/>
      <c r="D10756" s="3"/>
      <c r="E10756" s="3">
        <v>13</v>
      </c>
      <c r="F10756" s="4" t="str">
        <f>HYPERLINK("http://141.218.60.56/~jnz1568/getInfo.php?workbook=20_05.xlsx&amp;sheet=U0&amp;row=10756&amp;col=6&amp;number=4.2&amp;sourceID=14","4.2")</f>
        <v>4.2</v>
      </c>
      <c r="G10756" s="4" t="str">
        <f>HYPERLINK("http://141.218.60.56/~jnz1568/getInfo.php?workbook=20_05.xlsx&amp;sheet=U0&amp;row=10756&amp;col=7&amp;number=0.000305&amp;sourceID=14","0.000305")</f>
        <v>0.000305</v>
      </c>
    </row>
    <row r="10757" spans="1:7">
      <c r="A10757" s="3"/>
      <c r="B10757" s="3"/>
      <c r="C10757" s="3"/>
      <c r="D10757" s="3"/>
      <c r="E10757" s="3">
        <v>14</v>
      </c>
      <c r="F10757" s="4" t="str">
        <f>HYPERLINK("http://141.218.60.56/~jnz1568/getInfo.php?workbook=20_05.xlsx&amp;sheet=U0&amp;row=10757&amp;col=6&amp;number=4.3&amp;sourceID=14","4.3")</f>
        <v>4.3</v>
      </c>
      <c r="G10757" s="4" t="str">
        <f>HYPERLINK("http://141.218.60.56/~jnz1568/getInfo.php?workbook=20_05.xlsx&amp;sheet=U0&amp;row=10757&amp;col=7&amp;number=0.000305&amp;sourceID=14","0.000305")</f>
        <v>0.000305</v>
      </c>
    </row>
    <row r="10758" spans="1:7">
      <c r="A10758" s="3"/>
      <c r="B10758" s="3"/>
      <c r="C10758" s="3"/>
      <c r="D10758" s="3"/>
      <c r="E10758" s="3">
        <v>15</v>
      </c>
      <c r="F10758" s="4" t="str">
        <f>HYPERLINK("http://141.218.60.56/~jnz1568/getInfo.php?workbook=20_05.xlsx&amp;sheet=U0&amp;row=10758&amp;col=6&amp;number=4.4&amp;sourceID=14","4.4")</f>
        <v>4.4</v>
      </c>
      <c r="G10758" s="4" t="str">
        <f>HYPERLINK("http://141.218.60.56/~jnz1568/getInfo.php?workbook=20_05.xlsx&amp;sheet=U0&amp;row=10758&amp;col=7&amp;number=0.000305&amp;sourceID=14","0.000305")</f>
        <v>0.000305</v>
      </c>
    </row>
    <row r="10759" spans="1:7">
      <c r="A10759" s="3"/>
      <c r="B10759" s="3"/>
      <c r="C10759" s="3"/>
      <c r="D10759" s="3"/>
      <c r="E10759" s="3">
        <v>16</v>
      </c>
      <c r="F10759" s="4" t="str">
        <f>HYPERLINK("http://141.218.60.56/~jnz1568/getInfo.php?workbook=20_05.xlsx&amp;sheet=U0&amp;row=10759&amp;col=6&amp;number=4.5&amp;sourceID=14","4.5")</f>
        <v>4.5</v>
      </c>
      <c r="G10759" s="4" t="str">
        <f>HYPERLINK("http://141.218.60.56/~jnz1568/getInfo.php?workbook=20_05.xlsx&amp;sheet=U0&amp;row=10759&amp;col=7&amp;number=0.000306&amp;sourceID=14","0.000306")</f>
        <v>0.000306</v>
      </c>
    </row>
    <row r="10760" spans="1:7">
      <c r="A10760" s="3"/>
      <c r="B10760" s="3"/>
      <c r="C10760" s="3"/>
      <c r="D10760" s="3"/>
      <c r="E10760" s="3">
        <v>17</v>
      </c>
      <c r="F10760" s="4" t="str">
        <f>HYPERLINK("http://141.218.60.56/~jnz1568/getInfo.php?workbook=20_05.xlsx&amp;sheet=U0&amp;row=10760&amp;col=6&amp;number=4.6&amp;sourceID=14","4.6")</f>
        <v>4.6</v>
      </c>
      <c r="G10760" s="4" t="str">
        <f>HYPERLINK("http://141.218.60.56/~jnz1568/getInfo.php?workbook=20_05.xlsx&amp;sheet=U0&amp;row=10760&amp;col=7&amp;number=0.000306&amp;sourceID=14","0.000306")</f>
        <v>0.000306</v>
      </c>
    </row>
    <row r="10761" spans="1:7">
      <c r="A10761" s="3"/>
      <c r="B10761" s="3"/>
      <c r="C10761" s="3"/>
      <c r="D10761" s="3"/>
      <c r="E10761" s="3">
        <v>18</v>
      </c>
      <c r="F10761" s="4" t="str">
        <f>HYPERLINK("http://141.218.60.56/~jnz1568/getInfo.php?workbook=20_05.xlsx&amp;sheet=U0&amp;row=10761&amp;col=6&amp;number=4.7&amp;sourceID=14","4.7")</f>
        <v>4.7</v>
      </c>
      <c r="G10761" s="4" t="str">
        <f>HYPERLINK("http://141.218.60.56/~jnz1568/getInfo.php?workbook=20_05.xlsx&amp;sheet=U0&amp;row=10761&amp;col=7&amp;number=0.000306&amp;sourceID=14","0.000306")</f>
        <v>0.000306</v>
      </c>
    </row>
    <row r="10762" spans="1:7">
      <c r="A10762" s="3"/>
      <c r="B10762" s="3"/>
      <c r="C10762" s="3"/>
      <c r="D10762" s="3"/>
      <c r="E10762" s="3">
        <v>19</v>
      </c>
      <c r="F10762" s="4" t="str">
        <f>HYPERLINK("http://141.218.60.56/~jnz1568/getInfo.php?workbook=20_05.xlsx&amp;sheet=U0&amp;row=10762&amp;col=6&amp;number=4.8&amp;sourceID=14","4.8")</f>
        <v>4.8</v>
      </c>
      <c r="G10762" s="4" t="str">
        <f>HYPERLINK("http://141.218.60.56/~jnz1568/getInfo.php?workbook=20_05.xlsx&amp;sheet=U0&amp;row=10762&amp;col=7&amp;number=0.000307&amp;sourceID=14","0.000307")</f>
        <v>0.000307</v>
      </c>
    </row>
    <row r="10763" spans="1:7">
      <c r="A10763" s="3"/>
      <c r="B10763" s="3"/>
      <c r="C10763" s="3"/>
      <c r="D10763" s="3"/>
      <c r="E10763" s="3">
        <v>20</v>
      </c>
      <c r="F10763" s="4" t="str">
        <f>HYPERLINK("http://141.218.60.56/~jnz1568/getInfo.php?workbook=20_05.xlsx&amp;sheet=U0&amp;row=10763&amp;col=6&amp;number=4.9&amp;sourceID=14","4.9")</f>
        <v>4.9</v>
      </c>
      <c r="G10763" s="4" t="str">
        <f>HYPERLINK("http://141.218.60.56/~jnz1568/getInfo.php?workbook=20_05.xlsx&amp;sheet=U0&amp;row=10763&amp;col=7&amp;number=0.000307&amp;sourceID=14","0.000307")</f>
        <v>0.000307</v>
      </c>
    </row>
    <row r="10764" spans="1:7">
      <c r="A10764" s="3">
        <v>20</v>
      </c>
      <c r="B10764" s="3">
        <v>5</v>
      </c>
      <c r="C10764" s="3">
        <v>5</v>
      </c>
      <c r="D10764" s="3">
        <v>73</v>
      </c>
      <c r="E10764" s="3">
        <v>1</v>
      </c>
      <c r="F10764" s="4" t="str">
        <f>HYPERLINK("http://141.218.60.56/~jnz1568/getInfo.php?workbook=20_05.xlsx&amp;sheet=U0&amp;row=10764&amp;col=6&amp;number=3&amp;sourceID=14","3")</f>
        <v>3</v>
      </c>
      <c r="G10764" s="4" t="str">
        <f>HYPERLINK("http://141.218.60.56/~jnz1568/getInfo.php?workbook=20_05.xlsx&amp;sheet=U0&amp;row=10764&amp;col=7&amp;number=2.16e-05&amp;sourceID=14","2.16e-05")</f>
        <v>2.16e-05</v>
      </c>
    </row>
    <row r="10765" spans="1:7">
      <c r="A10765" s="3"/>
      <c r="B10765" s="3"/>
      <c r="C10765" s="3"/>
      <c r="D10765" s="3"/>
      <c r="E10765" s="3">
        <v>2</v>
      </c>
      <c r="F10765" s="4" t="str">
        <f>HYPERLINK("http://141.218.60.56/~jnz1568/getInfo.php?workbook=20_05.xlsx&amp;sheet=U0&amp;row=10765&amp;col=6&amp;number=3.1&amp;sourceID=14","3.1")</f>
        <v>3.1</v>
      </c>
      <c r="G10765" s="4" t="str">
        <f>HYPERLINK("http://141.218.60.56/~jnz1568/getInfo.php?workbook=20_05.xlsx&amp;sheet=U0&amp;row=10765&amp;col=7&amp;number=2.16e-05&amp;sourceID=14","2.16e-05")</f>
        <v>2.16e-05</v>
      </c>
    </row>
    <row r="10766" spans="1:7">
      <c r="A10766" s="3"/>
      <c r="B10766" s="3"/>
      <c r="C10766" s="3"/>
      <c r="D10766" s="3"/>
      <c r="E10766" s="3">
        <v>3</v>
      </c>
      <c r="F10766" s="4" t="str">
        <f>HYPERLINK("http://141.218.60.56/~jnz1568/getInfo.php?workbook=20_05.xlsx&amp;sheet=U0&amp;row=10766&amp;col=6&amp;number=3.2&amp;sourceID=14","3.2")</f>
        <v>3.2</v>
      </c>
      <c r="G10766" s="4" t="str">
        <f>HYPERLINK("http://141.218.60.56/~jnz1568/getInfo.php?workbook=20_05.xlsx&amp;sheet=U0&amp;row=10766&amp;col=7&amp;number=2.16e-05&amp;sourceID=14","2.16e-05")</f>
        <v>2.16e-05</v>
      </c>
    </row>
    <row r="10767" spans="1:7">
      <c r="A10767" s="3"/>
      <c r="B10767" s="3"/>
      <c r="C10767" s="3"/>
      <c r="D10767" s="3"/>
      <c r="E10767" s="3">
        <v>4</v>
      </c>
      <c r="F10767" s="4" t="str">
        <f>HYPERLINK("http://141.218.60.56/~jnz1568/getInfo.php?workbook=20_05.xlsx&amp;sheet=U0&amp;row=10767&amp;col=6&amp;number=3.3&amp;sourceID=14","3.3")</f>
        <v>3.3</v>
      </c>
      <c r="G10767" s="4" t="str">
        <f>HYPERLINK("http://141.218.60.56/~jnz1568/getInfo.php?workbook=20_05.xlsx&amp;sheet=U0&amp;row=10767&amp;col=7&amp;number=2.16e-05&amp;sourceID=14","2.16e-05")</f>
        <v>2.16e-05</v>
      </c>
    </row>
    <row r="10768" spans="1:7">
      <c r="A10768" s="3"/>
      <c r="B10768" s="3"/>
      <c r="C10768" s="3"/>
      <c r="D10768" s="3"/>
      <c r="E10768" s="3">
        <v>5</v>
      </c>
      <c r="F10768" s="4" t="str">
        <f>HYPERLINK("http://141.218.60.56/~jnz1568/getInfo.php?workbook=20_05.xlsx&amp;sheet=U0&amp;row=10768&amp;col=6&amp;number=3.4&amp;sourceID=14","3.4")</f>
        <v>3.4</v>
      </c>
      <c r="G10768" s="4" t="str">
        <f>HYPERLINK("http://141.218.60.56/~jnz1568/getInfo.php?workbook=20_05.xlsx&amp;sheet=U0&amp;row=10768&amp;col=7&amp;number=2.16e-05&amp;sourceID=14","2.16e-05")</f>
        <v>2.16e-05</v>
      </c>
    </row>
    <row r="10769" spans="1:7">
      <c r="A10769" s="3"/>
      <c r="B10769" s="3"/>
      <c r="C10769" s="3"/>
      <c r="D10769" s="3"/>
      <c r="E10769" s="3">
        <v>6</v>
      </c>
      <c r="F10769" s="4" t="str">
        <f>HYPERLINK("http://141.218.60.56/~jnz1568/getInfo.php?workbook=20_05.xlsx&amp;sheet=U0&amp;row=10769&amp;col=6&amp;number=3.5&amp;sourceID=14","3.5")</f>
        <v>3.5</v>
      </c>
      <c r="G10769" s="4" t="str">
        <f>HYPERLINK("http://141.218.60.56/~jnz1568/getInfo.php?workbook=20_05.xlsx&amp;sheet=U0&amp;row=10769&amp;col=7&amp;number=2.16e-05&amp;sourceID=14","2.16e-05")</f>
        <v>2.16e-05</v>
      </c>
    </row>
    <row r="10770" spans="1:7">
      <c r="A10770" s="3"/>
      <c r="B10770" s="3"/>
      <c r="C10770" s="3"/>
      <c r="D10770" s="3"/>
      <c r="E10770" s="3">
        <v>7</v>
      </c>
      <c r="F10770" s="4" t="str">
        <f>HYPERLINK("http://141.218.60.56/~jnz1568/getInfo.php?workbook=20_05.xlsx&amp;sheet=U0&amp;row=10770&amp;col=6&amp;number=3.6&amp;sourceID=14","3.6")</f>
        <v>3.6</v>
      </c>
      <c r="G10770" s="4" t="str">
        <f>HYPERLINK("http://141.218.60.56/~jnz1568/getInfo.php?workbook=20_05.xlsx&amp;sheet=U0&amp;row=10770&amp;col=7&amp;number=2.16e-05&amp;sourceID=14","2.16e-05")</f>
        <v>2.16e-05</v>
      </c>
    </row>
    <row r="10771" spans="1:7">
      <c r="A10771" s="3"/>
      <c r="B10771" s="3"/>
      <c r="C10771" s="3"/>
      <c r="D10771" s="3"/>
      <c r="E10771" s="3">
        <v>8</v>
      </c>
      <c r="F10771" s="4" t="str">
        <f>HYPERLINK("http://141.218.60.56/~jnz1568/getInfo.php?workbook=20_05.xlsx&amp;sheet=U0&amp;row=10771&amp;col=6&amp;number=3.7&amp;sourceID=14","3.7")</f>
        <v>3.7</v>
      </c>
      <c r="G10771" s="4" t="str">
        <f>HYPERLINK("http://141.218.60.56/~jnz1568/getInfo.php?workbook=20_05.xlsx&amp;sheet=U0&amp;row=10771&amp;col=7&amp;number=2.16e-05&amp;sourceID=14","2.16e-05")</f>
        <v>2.16e-05</v>
      </c>
    </row>
    <row r="10772" spans="1:7">
      <c r="A10772" s="3"/>
      <c r="B10772" s="3"/>
      <c r="C10772" s="3"/>
      <c r="D10772" s="3"/>
      <c r="E10772" s="3">
        <v>9</v>
      </c>
      <c r="F10772" s="4" t="str">
        <f>HYPERLINK("http://141.218.60.56/~jnz1568/getInfo.php?workbook=20_05.xlsx&amp;sheet=U0&amp;row=10772&amp;col=6&amp;number=3.8&amp;sourceID=14","3.8")</f>
        <v>3.8</v>
      </c>
      <c r="G10772" s="4" t="str">
        <f>HYPERLINK("http://141.218.60.56/~jnz1568/getInfo.php?workbook=20_05.xlsx&amp;sheet=U0&amp;row=10772&amp;col=7&amp;number=2.16e-05&amp;sourceID=14","2.16e-05")</f>
        <v>2.16e-05</v>
      </c>
    </row>
    <row r="10773" spans="1:7">
      <c r="A10773" s="3"/>
      <c r="B10773" s="3"/>
      <c r="C10773" s="3"/>
      <c r="D10773" s="3"/>
      <c r="E10773" s="3">
        <v>10</v>
      </c>
      <c r="F10773" s="4" t="str">
        <f>HYPERLINK("http://141.218.60.56/~jnz1568/getInfo.php?workbook=20_05.xlsx&amp;sheet=U0&amp;row=10773&amp;col=6&amp;number=3.9&amp;sourceID=14","3.9")</f>
        <v>3.9</v>
      </c>
      <c r="G10773" s="4" t="str">
        <f>HYPERLINK("http://141.218.60.56/~jnz1568/getInfo.php?workbook=20_05.xlsx&amp;sheet=U0&amp;row=10773&amp;col=7&amp;number=2.16e-05&amp;sourceID=14","2.16e-05")</f>
        <v>2.16e-05</v>
      </c>
    </row>
    <row r="10774" spans="1:7">
      <c r="A10774" s="3"/>
      <c r="B10774" s="3"/>
      <c r="C10774" s="3"/>
      <c r="D10774" s="3"/>
      <c r="E10774" s="3">
        <v>11</v>
      </c>
      <c r="F10774" s="4" t="str">
        <f>HYPERLINK("http://141.218.60.56/~jnz1568/getInfo.php?workbook=20_05.xlsx&amp;sheet=U0&amp;row=10774&amp;col=6&amp;number=4&amp;sourceID=14","4")</f>
        <v>4</v>
      </c>
      <c r="G10774" s="4" t="str">
        <f>HYPERLINK("http://141.218.60.56/~jnz1568/getInfo.php?workbook=20_05.xlsx&amp;sheet=U0&amp;row=10774&amp;col=7&amp;number=2.16e-05&amp;sourceID=14","2.16e-05")</f>
        <v>2.16e-05</v>
      </c>
    </row>
    <row r="10775" spans="1:7">
      <c r="A10775" s="3"/>
      <c r="B10775" s="3"/>
      <c r="C10775" s="3"/>
      <c r="D10775" s="3"/>
      <c r="E10775" s="3">
        <v>12</v>
      </c>
      <c r="F10775" s="4" t="str">
        <f>HYPERLINK("http://141.218.60.56/~jnz1568/getInfo.php?workbook=20_05.xlsx&amp;sheet=U0&amp;row=10775&amp;col=6&amp;number=4.1&amp;sourceID=14","4.1")</f>
        <v>4.1</v>
      </c>
      <c r="G10775" s="4" t="str">
        <f>HYPERLINK("http://141.218.60.56/~jnz1568/getInfo.php?workbook=20_05.xlsx&amp;sheet=U0&amp;row=10775&amp;col=7&amp;number=2.16e-05&amp;sourceID=14","2.16e-05")</f>
        <v>2.16e-05</v>
      </c>
    </row>
    <row r="10776" spans="1:7">
      <c r="A10776" s="3"/>
      <c r="B10776" s="3"/>
      <c r="C10776" s="3"/>
      <c r="D10776" s="3"/>
      <c r="E10776" s="3">
        <v>13</v>
      </c>
      <c r="F10776" s="4" t="str">
        <f>HYPERLINK("http://141.218.60.56/~jnz1568/getInfo.php?workbook=20_05.xlsx&amp;sheet=U0&amp;row=10776&amp;col=6&amp;number=4.2&amp;sourceID=14","4.2")</f>
        <v>4.2</v>
      </c>
      <c r="G10776" s="4" t="str">
        <f>HYPERLINK("http://141.218.60.56/~jnz1568/getInfo.php?workbook=20_05.xlsx&amp;sheet=U0&amp;row=10776&amp;col=7&amp;number=2.16e-05&amp;sourceID=14","2.16e-05")</f>
        <v>2.16e-05</v>
      </c>
    </row>
    <row r="10777" spans="1:7">
      <c r="A10777" s="3"/>
      <c r="B10777" s="3"/>
      <c r="C10777" s="3"/>
      <c r="D10777" s="3"/>
      <c r="E10777" s="3">
        <v>14</v>
      </c>
      <c r="F10777" s="4" t="str">
        <f>HYPERLINK("http://141.218.60.56/~jnz1568/getInfo.php?workbook=20_05.xlsx&amp;sheet=U0&amp;row=10777&amp;col=6&amp;number=4.3&amp;sourceID=14","4.3")</f>
        <v>4.3</v>
      </c>
      <c r="G10777" s="4" t="str">
        <f>HYPERLINK("http://141.218.60.56/~jnz1568/getInfo.php?workbook=20_05.xlsx&amp;sheet=U0&amp;row=10777&amp;col=7&amp;number=2.15e-05&amp;sourceID=14","2.15e-05")</f>
        <v>2.15e-05</v>
      </c>
    </row>
    <row r="10778" spans="1:7">
      <c r="A10778" s="3"/>
      <c r="B10778" s="3"/>
      <c r="C10778" s="3"/>
      <c r="D10778" s="3"/>
      <c r="E10778" s="3">
        <v>15</v>
      </c>
      <c r="F10778" s="4" t="str">
        <f>HYPERLINK("http://141.218.60.56/~jnz1568/getInfo.php?workbook=20_05.xlsx&amp;sheet=U0&amp;row=10778&amp;col=6&amp;number=4.4&amp;sourceID=14","4.4")</f>
        <v>4.4</v>
      </c>
      <c r="G10778" s="4" t="str">
        <f>HYPERLINK("http://141.218.60.56/~jnz1568/getInfo.php?workbook=20_05.xlsx&amp;sheet=U0&amp;row=10778&amp;col=7&amp;number=2.15e-05&amp;sourceID=14","2.15e-05")</f>
        <v>2.15e-05</v>
      </c>
    </row>
    <row r="10779" spans="1:7">
      <c r="A10779" s="3"/>
      <c r="B10779" s="3"/>
      <c r="C10779" s="3"/>
      <c r="D10779" s="3"/>
      <c r="E10779" s="3">
        <v>16</v>
      </c>
      <c r="F10779" s="4" t="str">
        <f>HYPERLINK("http://141.218.60.56/~jnz1568/getInfo.php?workbook=20_05.xlsx&amp;sheet=U0&amp;row=10779&amp;col=6&amp;number=4.5&amp;sourceID=14","4.5")</f>
        <v>4.5</v>
      </c>
      <c r="G10779" s="4" t="str">
        <f>HYPERLINK("http://141.218.60.56/~jnz1568/getInfo.php?workbook=20_05.xlsx&amp;sheet=U0&amp;row=10779&amp;col=7&amp;number=2.15e-05&amp;sourceID=14","2.15e-05")</f>
        <v>2.15e-05</v>
      </c>
    </row>
    <row r="10780" spans="1:7">
      <c r="A10780" s="3"/>
      <c r="B10780" s="3"/>
      <c r="C10780" s="3"/>
      <c r="D10780" s="3"/>
      <c r="E10780" s="3">
        <v>17</v>
      </c>
      <c r="F10780" s="4" t="str">
        <f>HYPERLINK("http://141.218.60.56/~jnz1568/getInfo.php?workbook=20_05.xlsx&amp;sheet=U0&amp;row=10780&amp;col=6&amp;number=4.6&amp;sourceID=14","4.6")</f>
        <v>4.6</v>
      </c>
      <c r="G10780" s="4" t="str">
        <f>HYPERLINK("http://141.218.60.56/~jnz1568/getInfo.php?workbook=20_05.xlsx&amp;sheet=U0&amp;row=10780&amp;col=7&amp;number=2.14e-05&amp;sourceID=14","2.14e-05")</f>
        <v>2.14e-05</v>
      </c>
    </row>
    <row r="10781" spans="1:7">
      <c r="A10781" s="3"/>
      <c r="B10781" s="3"/>
      <c r="C10781" s="3"/>
      <c r="D10781" s="3"/>
      <c r="E10781" s="3">
        <v>18</v>
      </c>
      <c r="F10781" s="4" t="str">
        <f>HYPERLINK("http://141.218.60.56/~jnz1568/getInfo.php?workbook=20_05.xlsx&amp;sheet=U0&amp;row=10781&amp;col=6&amp;number=4.7&amp;sourceID=14","4.7")</f>
        <v>4.7</v>
      </c>
      <c r="G10781" s="4" t="str">
        <f>HYPERLINK("http://141.218.60.56/~jnz1568/getInfo.php?workbook=20_05.xlsx&amp;sheet=U0&amp;row=10781&amp;col=7&amp;number=2.14e-05&amp;sourceID=14","2.14e-05")</f>
        <v>2.14e-05</v>
      </c>
    </row>
    <row r="10782" spans="1:7">
      <c r="A10782" s="3"/>
      <c r="B10782" s="3"/>
      <c r="C10782" s="3"/>
      <c r="D10782" s="3"/>
      <c r="E10782" s="3">
        <v>19</v>
      </c>
      <c r="F10782" s="4" t="str">
        <f>HYPERLINK("http://141.218.60.56/~jnz1568/getInfo.php?workbook=20_05.xlsx&amp;sheet=U0&amp;row=10782&amp;col=6&amp;number=4.8&amp;sourceID=14","4.8")</f>
        <v>4.8</v>
      </c>
      <c r="G10782" s="4" t="str">
        <f>HYPERLINK("http://141.218.60.56/~jnz1568/getInfo.php?workbook=20_05.xlsx&amp;sheet=U0&amp;row=10782&amp;col=7&amp;number=2.13e-05&amp;sourceID=14","2.13e-05")</f>
        <v>2.13e-05</v>
      </c>
    </row>
    <row r="10783" spans="1:7">
      <c r="A10783" s="3"/>
      <c r="B10783" s="3"/>
      <c r="C10783" s="3"/>
      <c r="D10783" s="3"/>
      <c r="E10783" s="3">
        <v>20</v>
      </c>
      <c r="F10783" s="4" t="str">
        <f>HYPERLINK("http://141.218.60.56/~jnz1568/getInfo.php?workbook=20_05.xlsx&amp;sheet=U0&amp;row=10783&amp;col=6&amp;number=4.9&amp;sourceID=14","4.9")</f>
        <v>4.9</v>
      </c>
      <c r="G10783" s="4" t="str">
        <f>HYPERLINK("http://141.218.60.56/~jnz1568/getInfo.php?workbook=20_05.xlsx&amp;sheet=U0&amp;row=10783&amp;col=7&amp;number=2.13e-05&amp;sourceID=14","2.13e-05")</f>
        <v>2.13e-05</v>
      </c>
    </row>
    <row r="10784" spans="1:7">
      <c r="A10784" s="3">
        <v>20</v>
      </c>
      <c r="B10784" s="3">
        <v>5</v>
      </c>
      <c r="C10784" s="3">
        <v>5</v>
      </c>
      <c r="D10784" s="3">
        <v>74</v>
      </c>
      <c r="E10784" s="3">
        <v>1</v>
      </c>
      <c r="F10784" s="4" t="str">
        <f>HYPERLINK("http://141.218.60.56/~jnz1568/getInfo.php?workbook=20_05.xlsx&amp;sheet=U0&amp;row=10784&amp;col=6&amp;number=3&amp;sourceID=14","3")</f>
        <v>3</v>
      </c>
      <c r="G10784" s="4" t="str">
        <f>HYPERLINK("http://141.218.60.56/~jnz1568/getInfo.php?workbook=20_05.xlsx&amp;sheet=U0&amp;row=10784&amp;col=7&amp;number=0.000304&amp;sourceID=14","0.000304")</f>
        <v>0.000304</v>
      </c>
    </row>
    <row r="10785" spans="1:7">
      <c r="A10785" s="3"/>
      <c r="B10785" s="3"/>
      <c r="C10785" s="3"/>
      <c r="D10785" s="3"/>
      <c r="E10785" s="3">
        <v>2</v>
      </c>
      <c r="F10785" s="4" t="str">
        <f>HYPERLINK("http://141.218.60.56/~jnz1568/getInfo.php?workbook=20_05.xlsx&amp;sheet=U0&amp;row=10785&amp;col=6&amp;number=3.1&amp;sourceID=14","3.1")</f>
        <v>3.1</v>
      </c>
      <c r="G10785" s="4" t="str">
        <f>HYPERLINK("http://141.218.60.56/~jnz1568/getInfo.php?workbook=20_05.xlsx&amp;sheet=U0&amp;row=10785&amp;col=7&amp;number=0.000304&amp;sourceID=14","0.000304")</f>
        <v>0.000304</v>
      </c>
    </row>
    <row r="10786" spans="1:7">
      <c r="A10786" s="3"/>
      <c r="B10786" s="3"/>
      <c r="C10786" s="3"/>
      <c r="D10786" s="3"/>
      <c r="E10786" s="3">
        <v>3</v>
      </c>
      <c r="F10786" s="4" t="str">
        <f>HYPERLINK("http://141.218.60.56/~jnz1568/getInfo.php?workbook=20_05.xlsx&amp;sheet=U0&amp;row=10786&amp;col=6&amp;number=3.2&amp;sourceID=14","3.2")</f>
        <v>3.2</v>
      </c>
      <c r="G10786" s="4" t="str">
        <f>HYPERLINK("http://141.218.60.56/~jnz1568/getInfo.php?workbook=20_05.xlsx&amp;sheet=U0&amp;row=10786&amp;col=7&amp;number=0.000304&amp;sourceID=14","0.000304")</f>
        <v>0.000304</v>
      </c>
    </row>
    <row r="10787" spans="1:7">
      <c r="A10787" s="3"/>
      <c r="B10787" s="3"/>
      <c r="C10787" s="3"/>
      <c r="D10787" s="3"/>
      <c r="E10787" s="3">
        <v>4</v>
      </c>
      <c r="F10787" s="4" t="str">
        <f>HYPERLINK("http://141.218.60.56/~jnz1568/getInfo.php?workbook=20_05.xlsx&amp;sheet=U0&amp;row=10787&amp;col=6&amp;number=3.3&amp;sourceID=14","3.3")</f>
        <v>3.3</v>
      </c>
      <c r="G10787" s="4" t="str">
        <f>HYPERLINK("http://141.218.60.56/~jnz1568/getInfo.php?workbook=20_05.xlsx&amp;sheet=U0&amp;row=10787&amp;col=7&amp;number=0.000304&amp;sourceID=14","0.000304")</f>
        <v>0.000304</v>
      </c>
    </row>
    <row r="10788" spans="1:7">
      <c r="A10788" s="3"/>
      <c r="B10788" s="3"/>
      <c r="C10788" s="3"/>
      <c r="D10788" s="3"/>
      <c r="E10788" s="3">
        <v>5</v>
      </c>
      <c r="F10788" s="4" t="str">
        <f>HYPERLINK("http://141.218.60.56/~jnz1568/getInfo.php?workbook=20_05.xlsx&amp;sheet=U0&amp;row=10788&amp;col=6&amp;number=3.4&amp;sourceID=14","3.4")</f>
        <v>3.4</v>
      </c>
      <c r="G10788" s="4" t="str">
        <f>HYPERLINK("http://141.218.60.56/~jnz1568/getInfo.php?workbook=20_05.xlsx&amp;sheet=U0&amp;row=10788&amp;col=7&amp;number=0.000304&amp;sourceID=14","0.000304")</f>
        <v>0.000304</v>
      </c>
    </row>
    <row r="10789" spans="1:7">
      <c r="A10789" s="3"/>
      <c r="B10789" s="3"/>
      <c r="C10789" s="3"/>
      <c r="D10789" s="3"/>
      <c r="E10789" s="3">
        <v>6</v>
      </c>
      <c r="F10789" s="4" t="str">
        <f>HYPERLINK("http://141.218.60.56/~jnz1568/getInfo.php?workbook=20_05.xlsx&amp;sheet=U0&amp;row=10789&amp;col=6&amp;number=3.5&amp;sourceID=14","3.5")</f>
        <v>3.5</v>
      </c>
      <c r="G10789" s="4" t="str">
        <f>HYPERLINK("http://141.218.60.56/~jnz1568/getInfo.php?workbook=20_05.xlsx&amp;sheet=U0&amp;row=10789&amp;col=7&amp;number=0.000304&amp;sourceID=14","0.000304")</f>
        <v>0.000304</v>
      </c>
    </row>
    <row r="10790" spans="1:7">
      <c r="A10790" s="3"/>
      <c r="B10790" s="3"/>
      <c r="C10790" s="3"/>
      <c r="D10790" s="3"/>
      <c r="E10790" s="3">
        <v>7</v>
      </c>
      <c r="F10790" s="4" t="str">
        <f>HYPERLINK("http://141.218.60.56/~jnz1568/getInfo.php?workbook=20_05.xlsx&amp;sheet=U0&amp;row=10790&amp;col=6&amp;number=3.6&amp;sourceID=14","3.6")</f>
        <v>3.6</v>
      </c>
      <c r="G10790" s="4" t="str">
        <f>HYPERLINK("http://141.218.60.56/~jnz1568/getInfo.php?workbook=20_05.xlsx&amp;sheet=U0&amp;row=10790&amp;col=7&amp;number=0.000304&amp;sourceID=14","0.000304")</f>
        <v>0.000304</v>
      </c>
    </row>
    <row r="10791" spans="1:7">
      <c r="A10791" s="3"/>
      <c r="B10791" s="3"/>
      <c r="C10791" s="3"/>
      <c r="D10791" s="3"/>
      <c r="E10791" s="3">
        <v>8</v>
      </c>
      <c r="F10791" s="4" t="str">
        <f>HYPERLINK("http://141.218.60.56/~jnz1568/getInfo.php?workbook=20_05.xlsx&amp;sheet=U0&amp;row=10791&amp;col=6&amp;number=3.7&amp;sourceID=14","3.7")</f>
        <v>3.7</v>
      </c>
      <c r="G10791" s="4" t="str">
        <f>HYPERLINK("http://141.218.60.56/~jnz1568/getInfo.php?workbook=20_05.xlsx&amp;sheet=U0&amp;row=10791&amp;col=7&amp;number=0.000304&amp;sourceID=14","0.000304")</f>
        <v>0.000304</v>
      </c>
    </row>
    <row r="10792" spans="1:7">
      <c r="A10792" s="3"/>
      <c r="B10792" s="3"/>
      <c r="C10792" s="3"/>
      <c r="D10792" s="3"/>
      <c r="E10792" s="3">
        <v>9</v>
      </c>
      <c r="F10792" s="4" t="str">
        <f>HYPERLINK("http://141.218.60.56/~jnz1568/getInfo.php?workbook=20_05.xlsx&amp;sheet=U0&amp;row=10792&amp;col=6&amp;number=3.8&amp;sourceID=14","3.8")</f>
        <v>3.8</v>
      </c>
      <c r="G10792" s="4" t="str">
        <f>HYPERLINK("http://141.218.60.56/~jnz1568/getInfo.php?workbook=20_05.xlsx&amp;sheet=U0&amp;row=10792&amp;col=7&amp;number=0.000304&amp;sourceID=14","0.000304")</f>
        <v>0.000304</v>
      </c>
    </row>
    <row r="10793" spans="1:7">
      <c r="A10793" s="3"/>
      <c r="B10793" s="3"/>
      <c r="C10793" s="3"/>
      <c r="D10793" s="3"/>
      <c r="E10793" s="3">
        <v>10</v>
      </c>
      <c r="F10793" s="4" t="str">
        <f>HYPERLINK("http://141.218.60.56/~jnz1568/getInfo.php?workbook=20_05.xlsx&amp;sheet=U0&amp;row=10793&amp;col=6&amp;number=3.9&amp;sourceID=14","3.9")</f>
        <v>3.9</v>
      </c>
      <c r="G10793" s="4" t="str">
        <f>HYPERLINK("http://141.218.60.56/~jnz1568/getInfo.php?workbook=20_05.xlsx&amp;sheet=U0&amp;row=10793&amp;col=7&amp;number=0.000304&amp;sourceID=14","0.000304")</f>
        <v>0.000304</v>
      </c>
    </row>
    <row r="10794" spans="1:7">
      <c r="A10794" s="3"/>
      <c r="B10794" s="3"/>
      <c r="C10794" s="3"/>
      <c r="D10794" s="3"/>
      <c r="E10794" s="3">
        <v>11</v>
      </c>
      <c r="F10794" s="4" t="str">
        <f>HYPERLINK("http://141.218.60.56/~jnz1568/getInfo.php?workbook=20_05.xlsx&amp;sheet=U0&amp;row=10794&amp;col=6&amp;number=4&amp;sourceID=14","4")</f>
        <v>4</v>
      </c>
      <c r="G10794" s="4" t="str">
        <f>HYPERLINK("http://141.218.60.56/~jnz1568/getInfo.php?workbook=20_05.xlsx&amp;sheet=U0&amp;row=10794&amp;col=7&amp;number=0.000304&amp;sourceID=14","0.000304")</f>
        <v>0.000304</v>
      </c>
    </row>
    <row r="10795" spans="1:7">
      <c r="A10795" s="3"/>
      <c r="B10795" s="3"/>
      <c r="C10795" s="3"/>
      <c r="D10795" s="3"/>
      <c r="E10795" s="3">
        <v>12</v>
      </c>
      <c r="F10795" s="4" t="str">
        <f>HYPERLINK("http://141.218.60.56/~jnz1568/getInfo.php?workbook=20_05.xlsx&amp;sheet=U0&amp;row=10795&amp;col=6&amp;number=4.1&amp;sourceID=14","4.1")</f>
        <v>4.1</v>
      </c>
      <c r="G10795" s="4" t="str">
        <f>HYPERLINK("http://141.218.60.56/~jnz1568/getInfo.php?workbook=20_05.xlsx&amp;sheet=U0&amp;row=10795&amp;col=7&amp;number=0.000303&amp;sourceID=14","0.000303")</f>
        <v>0.000303</v>
      </c>
    </row>
    <row r="10796" spans="1:7">
      <c r="A10796" s="3"/>
      <c r="B10796" s="3"/>
      <c r="C10796" s="3"/>
      <c r="D10796" s="3"/>
      <c r="E10796" s="3">
        <v>13</v>
      </c>
      <c r="F10796" s="4" t="str">
        <f>HYPERLINK("http://141.218.60.56/~jnz1568/getInfo.php?workbook=20_05.xlsx&amp;sheet=U0&amp;row=10796&amp;col=6&amp;number=4.2&amp;sourceID=14","4.2")</f>
        <v>4.2</v>
      </c>
      <c r="G10796" s="4" t="str">
        <f>HYPERLINK("http://141.218.60.56/~jnz1568/getInfo.php?workbook=20_05.xlsx&amp;sheet=U0&amp;row=10796&amp;col=7&amp;number=0.000303&amp;sourceID=14","0.000303")</f>
        <v>0.000303</v>
      </c>
    </row>
    <row r="10797" spans="1:7">
      <c r="A10797" s="3"/>
      <c r="B10797" s="3"/>
      <c r="C10797" s="3"/>
      <c r="D10797" s="3"/>
      <c r="E10797" s="3">
        <v>14</v>
      </c>
      <c r="F10797" s="4" t="str">
        <f>HYPERLINK("http://141.218.60.56/~jnz1568/getInfo.php?workbook=20_05.xlsx&amp;sheet=U0&amp;row=10797&amp;col=6&amp;number=4.3&amp;sourceID=14","4.3")</f>
        <v>4.3</v>
      </c>
      <c r="G10797" s="4" t="str">
        <f>HYPERLINK("http://141.218.60.56/~jnz1568/getInfo.php?workbook=20_05.xlsx&amp;sheet=U0&amp;row=10797&amp;col=7&amp;number=0.000303&amp;sourceID=14","0.000303")</f>
        <v>0.000303</v>
      </c>
    </row>
    <row r="10798" spans="1:7">
      <c r="A10798" s="3"/>
      <c r="B10798" s="3"/>
      <c r="C10798" s="3"/>
      <c r="D10798" s="3"/>
      <c r="E10798" s="3">
        <v>15</v>
      </c>
      <c r="F10798" s="4" t="str">
        <f>HYPERLINK("http://141.218.60.56/~jnz1568/getInfo.php?workbook=20_05.xlsx&amp;sheet=U0&amp;row=10798&amp;col=6&amp;number=4.4&amp;sourceID=14","4.4")</f>
        <v>4.4</v>
      </c>
      <c r="G10798" s="4" t="str">
        <f>HYPERLINK("http://141.218.60.56/~jnz1568/getInfo.php?workbook=20_05.xlsx&amp;sheet=U0&amp;row=10798&amp;col=7&amp;number=0.000302&amp;sourceID=14","0.000302")</f>
        <v>0.000302</v>
      </c>
    </row>
    <row r="10799" spans="1:7">
      <c r="A10799" s="3"/>
      <c r="B10799" s="3"/>
      <c r="C10799" s="3"/>
      <c r="D10799" s="3"/>
      <c r="E10799" s="3">
        <v>16</v>
      </c>
      <c r="F10799" s="4" t="str">
        <f>HYPERLINK("http://141.218.60.56/~jnz1568/getInfo.php?workbook=20_05.xlsx&amp;sheet=U0&amp;row=10799&amp;col=6&amp;number=4.5&amp;sourceID=14","4.5")</f>
        <v>4.5</v>
      </c>
      <c r="G10799" s="4" t="str">
        <f>HYPERLINK("http://141.218.60.56/~jnz1568/getInfo.php?workbook=20_05.xlsx&amp;sheet=U0&amp;row=10799&amp;col=7&amp;number=0.000302&amp;sourceID=14","0.000302")</f>
        <v>0.000302</v>
      </c>
    </row>
    <row r="10800" spans="1:7">
      <c r="A10800" s="3"/>
      <c r="B10800" s="3"/>
      <c r="C10800" s="3"/>
      <c r="D10800" s="3"/>
      <c r="E10800" s="3">
        <v>17</v>
      </c>
      <c r="F10800" s="4" t="str">
        <f>HYPERLINK("http://141.218.60.56/~jnz1568/getInfo.php?workbook=20_05.xlsx&amp;sheet=U0&amp;row=10800&amp;col=6&amp;number=4.6&amp;sourceID=14","4.6")</f>
        <v>4.6</v>
      </c>
      <c r="G10800" s="4" t="str">
        <f>HYPERLINK("http://141.218.60.56/~jnz1568/getInfo.php?workbook=20_05.xlsx&amp;sheet=U0&amp;row=10800&amp;col=7&amp;number=0.000301&amp;sourceID=14","0.000301")</f>
        <v>0.000301</v>
      </c>
    </row>
    <row r="10801" spans="1:7">
      <c r="A10801" s="3"/>
      <c r="B10801" s="3"/>
      <c r="C10801" s="3"/>
      <c r="D10801" s="3"/>
      <c r="E10801" s="3">
        <v>18</v>
      </c>
      <c r="F10801" s="4" t="str">
        <f>HYPERLINK("http://141.218.60.56/~jnz1568/getInfo.php?workbook=20_05.xlsx&amp;sheet=U0&amp;row=10801&amp;col=6&amp;number=4.7&amp;sourceID=14","4.7")</f>
        <v>4.7</v>
      </c>
      <c r="G10801" s="4" t="str">
        <f>HYPERLINK("http://141.218.60.56/~jnz1568/getInfo.php?workbook=20_05.xlsx&amp;sheet=U0&amp;row=10801&amp;col=7&amp;number=0.000301&amp;sourceID=14","0.000301")</f>
        <v>0.000301</v>
      </c>
    </row>
    <row r="10802" spans="1:7">
      <c r="A10802" s="3"/>
      <c r="B10802" s="3"/>
      <c r="C10802" s="3"/>
      <c r="D10802" s="3"/>
      <c r="E10802" s="3">
        <v>19</v>
      </c>
      <c r="F10802" s="4" t="str">
        <f>HYPERLINK("http://141.218.60.56/~jnz1568/getInfo.php?workbook=20_05.xlsx&amp;sheet=U0&amp;row=10802&amp;col=6&amp;number=4.8&amp;sourceID=14","4.8")</f>
        <v>4.8</v>
      </c>
      <c r="G10802" s="4" t="str">
        <f>HYPERLINK("http://141.218.60.56/~jnz1568/getInfo.php?workbook=20_05.xlsx&amp;sheet=U0&amp;row=10802&amp;col=7&amp;number=0.0003&amp;sourceID=14","0.0003")</f>
        <v>0.0003</v>
      </c>
    </row>
    <row r="10803" spans="1:7">
      <c r="A10803" s="3"/>
      <c r="B10803" s="3"/>
      <c r="C10803" s="3"/>
      <c r="D10803" s="3"/>
      <c r="E10803" s="3">
        <v>20</v>
      </c>
      <c r="F10803" s="4" t="str">
        <f>HYPERLINK("http://141.218.60.56/~jnz1568/getInfo.php?workbook=20_05.xlsx&amp;sheet=U0&amp;row=10803&amp;col=6&amp;number=4.9&amp;sourceID=14","4.9")</f>
        <v>4.9</v>
      </c>
      <c r="G10803" s="4" t="str">
        <f>HYPERLINK("http://141.218.60.56/~jnz1568/getInfo.php?workbook=20_05.xlsx&amp;sheet=U0&amp;row=10803&amp;col=7&amp;number=0.000299&amp;sourceID=14","0.000299")</f>
        <v>0.000299</v>
      </c>
    </row>
    <row r="10804" spans="1:7">
      <c r="A10804" s="3">
        <v>20</v>
      </c>
      <c r="B10804" s="3">
        <v>5</v>
      </c>
      <c r="C10804" s="3">
        <v>5</v>
      </c>
      <c r="D10804" s="3">
        <v>75</v>
      </c>
      <c r="E10804" s="3">
        <v>1</v>
      </c>
      <c r="F10804" s="4" t="str">
        <f>HYPERLINK("http://141.218.60.56/~jnz1568/getInfo.php?workbook=20_05.xlsx&amp;sheet=U0&amp;row=10804&amp;col=6&amp;number=3&amp;sourceID=14","3")</f>
        <v>3</v>
      </c>
      <c r="G10804" s="4" t="str">
        <f>HYPERLINK("http://141.218.60.56/~jnz1568/getInfo.php?workbook=20_05.xlsx&amp;sheet=U0&amp;row=10804&amp;col=7&amp;number=0.000785&amp;sourceID=14","0.000785")</f>
        <v>0.000785</v>
      </c>
    </row>
    <row r="10805" spans="1:7">
      <c r="A10805" s="3"/>
      <c r="B10805" s="3"/>
      <c r="C10805" s="3"/>
      <c r="D10805" s="3"/>
      <c r="E10805" s="3">
        <v>2</v>
      </c>
      <c r="F10805" s="4" t="str">
        <f>HYPERLINK("http://141.218.60.56/~jnz1568/getInfo.php?workbook=20_05.xlsx&amp;sheet=U0&amp;row=10805&amp;col=6&amp;number=3.1&amp;sourceID=14","3.1")</f>
        <v>3.1</v>
      </c>
      <c r="G10805" s="4" t="str">
        <f>HYPERLINK("http://141.218.60.56/~jnz1568/getInfo.php?workbook=20_05.xlsx&amp;sheet=U0&amp;row=10805&amp;col=7&amp;number=0.000785&amp;sourceID=14","0.000785")</f>
        <v>0.000785</v>
      </c>
    </row>
    <row r="10806" spans="1:7">
      <c r="A10806" s="3"/>
      <c r="B10806" s="3"/>
      <c r="C10806" s="3"/>
      <c r="D10806" s="3"/>
      <c r="E10806" s="3">
        <v>3</v>
      </c>
      <c r="F10806" s="4" t="str">
        <f>HYPERLINK("http://141.218.60.56/~jnz1568/getInfo.php?workbook=20_05.xlsx&amp;sheet=U0&amp;row=10806&amp;col=6&amp;number=3.2&amp;sourceID=14","3.2")</f>
        <v>3.2</v>
      </c>
      <c r="G10806" s="4" t="str">
        <f>HYPERLINK("http://141.218.60.56/~jnz1568/getInfo.php?workbook=20_05.xlsx&amp;sheet=U0&amp;row=10806&amp;col=7&amp;number=0.000785&amp;sourceID=14","0.000785")</f>
        <v>0.000785</v>
      </c>
    </row>
    <row r="10807" spans="1:7">
      <c r="A10807" s="3"/>
      <c r="B10807" s="3"/>
      <c r="C10807" s="3"/>
      <c r="D10807" s="3"/>
      <c r="E10807" s="3">
        <v>4</v>
      </c>
      <c r="F10807" s="4" t="str">
        <f>HYPERLINK("http://141.218.60.56/~jnz1568/getInfo.php?workbook=20_05.xlsx&amp;sheet=U0&amp;row=10807&amp;col=6&amp;number=3.3&amp;sourceID=14","3.3")</f>
        <v>3.3</v>
      </c>
      <c r="G10807" s="4" t="str">
        <f>HYPERLINK("http://141.218.60.56/~jnz1568/getInfo.php?workbook=20_05.xlsx&amp;sheet=U0&amp;row=10807&amp;col=7&amp;number=0.000784&amp;sourceID=14","0.000784")</f>
        <v>0.000784</v>
      </c>
    </row>
    <row r="10808" spans="1:7">
      <c r="A10808" s="3"/>
      <c r="B10808" s="3"/>
      <c r="C10808" s="3"/>
      <c r="D10808" s="3"/>
      <c r="E10808" s="3">
        <v>5</v>
      </c>
      <c r="F10808" s="4" t="str">
        <f>HYPERLINK("http://141.218.60.56/~jnz1568/getInfo.php?workbook=20_05.xlsx&amp;sheet=U0&amp;row=10808&amp;col=6&amp;number=3.4&amp;sourceID=14","3.4")</f>
        <v>3.4</v>
      </c>
      <c r="G10808" s="4" t="str">
        <f>HYPERLINK("http://141.218.60.56/~jnz1568/getInfo.php?workbook=20_05.xlsx&amp;sheet=U0&amp;row=10808&amp;col=7&amp;number=0.000784&amp;sourceID=14","0.000784")</f>
        <v>0.000784</v>
      </c>
    </row>
    <row r="10809" spans="1:7">
      <c r="A10809" s="3"/>
      <c r="B10809" s="3"/>
      <c r="C10809" s="3"/>
      <c r="D10809" s="3"/>
      <c r="E10809" s="3">
        <v>6</v>
      </c>
      <c r="F10809" s="4" t="str">
        <f>HYPERLINK("http://141.218.60.56/~jnz1568/getInfo.php?workbook=20_05.xlsx&amp;sheet=U0&amp;row=10809&amp;col=6&amp;number=3.5&amp;sourceID=14","3.5")</f>
        <v>3.5</v>
      </c>
      <c r="G10809" s="4" t="str">
        <f>HYPERLINK("http://141.218.60.56/~jnz1568/getInfo.php?workbook=20_05.xlsx&amp;sheet=U0&amp;row=10809&amp;col=7&amp;number=0.000784&amp;sourceID=14","0.000784")</f>
        <v>0.000784</v>
      </c>
    </row>
    <row r="10810" spans="1:7">
      <c r="A10810" s="3"/>
      <c r="B10810" s="3"/>
      <c r="C10810" s="3"/>
      <c r="D10810" s="3"/>
      <c r="E10810" s="3">
        <v>7</v>
      </c>
      <c r="F10810" s="4" t="str">
        <f>HYPERLINK("http://141.218.60.56/~jnz1568/getInfo.php?workbook=20_05.xlsx&amp;sheet=U0&amp;row=10810&amp;col=6&amp;number=3.6&amp;sourceID=14","3.6")</f>
        <v>3.6</v>
      </c>
      <c r="G10810" s="4" t="str">
        <f>HYPERLINK("http://141.218.60.56/~jnz1568/getInfo.php?workbook=20_05.xlsx&amp;sheet=U0&amp;row=10810&amp;col=7&amp;number=0.000784&amp;sourceID=14","0.000784")</f>
        <v>0.000784</v>
      </c>
    </row>
    <row r="10811" spans="1:7">
      <c r="A10811" s="3"/>
      <c r="B10811" s="3"/>
      <c r="C10811" s="3"/>
      <c r="D10811" s="3"/>
      <c r="E10811" s="3">
        <v>8</v>
      </c>
      <c r="F10811" s="4" t="str">
        <f>HYPERLINK("http://141.218.60.56/~jnz1568/getInfo.php?workbook=20_05.xlsx&amp;sheet=U0&amp;row=10811&amp;col=6&amp;number=3.7&amp;sourceID=14","3.7")</f>
        <v>3.7</v>
      </c>
      <c r="G10811" s="4" t="str">
        <f>HYPERLINK("http://141.218.60.56/~jnz1568/getInfo.php?workbook=20_05.xlsx&amp;sheet=U0&amp;row=10811&amp;col=7&amp;number=0.000784&amp;sourceID=14","0.000784")</f>
        <v>0.000784</v>
      </c>
    </row>
    <row r="10812" spans="1:7">
      <c r="A10812" s="3"/>
      <c r="B10812" s="3"/>
      <c r="C10812" s="3"/>
      <c r="D10812" s="3"/>
      <c r="E10812" s="3">
        <v>9</v>
      </c>
      <c r="F10812" s="4" t="str">
        <f>HYPERLINK("http://141.218.60.56/~jnz1568/getInfo.php?workbook=20_05.xlsx&amp;sheet=U0&amp;row=10812&amp;col=6&amp;number=3.8&amp;sourceID=14","3.8")</f>
        <v>3.8</v>
      </c>
      <c r="G10812" s="4" t="str">
        <f>HYPERLINK("http://141.218.60.56/~jnz1568/getInfo.php?workbook=20_05.xlsx&amp;sheet=U0&amp;row=10812&amp;col=7&amp;number=0.000784&amp;sourceID=14","0.000784")</f>
        <v>0.000784</v>
      </c>
    </row>
    <row r="10813" spans="1:7">
      <c r="A10813" s="3"/>
      <c r="B10813" s="3"/>
      <c r="C10813" s="3"/>
      <c r="D10813" s="3"/>
      <c r="E10813" s="3">
        <v>10</v>
      </c>
      <c r="F10813" s="4" t="str">
        <f>HYPERLINK("http://141.218.60.56/~jnz1568/getInfo.php?workbook=20_05.xlsx&amp;sheet=U0&amp;row=10813&amp;col=6&amp;number=3.9&amp;sourceID=14","3.9")</f>
        <v>3.9</v>
      </c>
      <c r="G10813" s="4" t="str">
        <f>HYPERLINK("http://141.218.60.56/~jnz1568/getInfo.php?workbook=20_05.xlsx&amp;sheet=U0&amp;row=10813&amp;col=7&amp;number=0.000783&amp;sourceID=14","0.000783")</f>
        <v>0.000783</v>
      </c>
    </row>
    <row r="10814" spans="1:7">
      <c r="A10814" s="3"/>
      <c r="B10814" s="3"/>
      <c r="C10814" s="3"/>
      <c r="D10814" s="3"/>
      <c r="E10814" s="3">
        <v>11</v>
      </c>
      <c r="F10814" s="4" t="str">
        <f>HYPERLINK("http://141.218.60.56/~jnz1568/getInfo.php?workbook=20_05.xlsx&amp;sheet=U0&amp;row=10814&amp;col=6&amp;number=4&amp;sourceID=14","4")</f>
        <v>4</v>
      </c>
      <c r="G10814" s="4" t="str">
        <f>HYPERLINK("http://141.218.60.56/~jnz1568/getInfo.php?workbook=20_05.xlsx&amp;sheet=U0&amp;row=10814&amp;col=7&amp;number=0.000783&amp;sourceID=14","0.000783")</f>
        <v>0.000783</v>
      </c>
    </row>
    <row r="10815" spans="1:7">
      <c r="A10815" s="3"/>
      <c r="B10815" s="3"/>
      <c r="C10815" s="3"/>
      <c r="D10815" s="3"/>
      <c r="E10815" s="3">
        <v>12</v>
      </c>
      <c r="F10815" s="4" t="str">
        <f>HYPERLINK("http://141.218.60.56/~jnz1568/getInfo.php?workbook=20_05.xlsx&amp;sheet=U0&amp;row=10815&amp;col=6&amp;number=4.1&amp;sourceID=14","4.1")</f>
        <v>4.1</v>
      </c>
      <c r="G10815" s="4" t="str">
        <f>HYPERLINK("http://141.218.60.56/~jnz1568/getInfo.php?workbook=20_05.xlsx&amp;sheet=U0&amp;row=10815&amp;col=7&amp;number=0.000783&amp;sourceID=14","0.000783")</f>
        <v>0.000783</v>
      </c>
    </row>
    <row r="10816" spans="1:7">
      <c r="A10816" s="3"/>
      <c r="B10816" s="3"/>
      <c r="C10816" s="3"/>
      <c r="D10816" s="3"/>
      <c r="E10816" s="3">
        <v>13</v>
      </c>
      <c r="F10816" s="4" t="str">
        <f>HYPERLINK("http://141.218.60.56/~jnz1568/getInfo.php?workbook=20_05.xlsx&amp;sheet=U0&amp;row=10816&amp;col=6&amp;number=4.2&amp;sourceID=14","4.2")</f>
        <v>4.2</v>
      </c>
      <c r="G10816" s="4" t="str">
        <f>HYPERLINK("http://141.218.60.56/~jnz1568/getInfo.php?workbook=20_05.xlsx&amp;sheet=U0&amp;row=10816&amp;col=7&amp;number=0.000782&amp;sourceID=14","0.000782")</f>
        <v>0.000782</v>
      </c>
    </row>
    <row r="10817" spans="1:7">
      <c r="A10817" s="3"/>
      <c r="B10817" s="3"/>
      <c r="C10817" s="3"/>
      <c r="D10817" s="3"/>
      <c r="E10817" s="3">
        <v>14</v>
      </c>
      <c r="F10817" s="4" t="str">
        <f>HYPERLINK("http://141.218.60.56/~jnz1568/getInfo.php?workbook=20_05.xlsx&amp;sheet=U0&amp;row=10817&amp;col=6&amp;number=4.3&amp;sourceID=14","4.3")</f>
        <v>4.3</v>
      </c>
      <c r="G10817" s="4" t="str">
        <f>HYPERLINK("http://141.218.60.56/~jnz1568/getInfo.php?workbook=20_05.xlsx&amp;sheet=U0&amp;row=10817&amp;col=7&amp;number=0.000781&amp;sourceID=14","0.000781")</f>
        <v>0.000781</v>
      </c>
    </row>
    <row r="10818" spans="1:7">
      <c r="A10818" s="3"/>
      <c r="B10818" s="3"/>
      <c r="C10818" s="3"/>
      <c r="D10818" s="3"/>
      <c r="E10818" s="3">
        <v>15</v>
      </c>
      <c r="F10818" s="4" t="str">
        <f>HYPERLINK("http://141.218.60.56/~jnz1568/getInfo.php?workbook=20_05.xlsx&amp;sheet=U0&amp;row=10818&amp;col=6&amp;number=4.4&amp;sourceID=14","4.4")</f>
        <v>4.4</v>
      </c>
      <c r="G10818" s="4" t="str">
        <f>HYPERLINK("http://141.218.60.56/~jnz1568/getInfo.php?workbook=20_05.xlsx&amp;sheet=U0&amp;row=10818&amp;col=7&amp;number=0.000781&amp;sourceID=14","0.000781")</f>
        <v>0.000781</v>
      </c>
    </row>
    <row r="10819" spans="1:7">
      <c r="A10819" s="3"/>
      <c r="B10819" s="3"/>
      <c r="C10819" s="3"/>
      <c r="D10819" s="3"/>
      <c r="E10819" s="3">
        <v>16</v>
      </c>
      <c r="F10819" s="4" t="str">
        <f>HYPERLINK("http://141.218.60.56/~jnz1568/getInfo.php?workbook=20_05.xlsx&amp;sheet=U0&amp;row=10819&amp;col=6&amp;number=4.5&amp;sourceID=14","4.5")</f>
        <v>4.5</v>
      </c>
      <c r="G10819" s="4" t="str">
        <f>HYPERLINK("http://141.218.60.56/~jnz1568/getInfo.php?workbook=20_05.xlsx&amp;sheet=U0&amp;row=10819&amp;col=7&amp;number=0.000779&amp;sourceID=14","0.000779")</f>
        <v>0.000779</v>
      </c>
    </row>
    <row r="10820" spans="1:7">
      <c r="A10820" s="3"/>
      <c r="B10820" s="3"/>
      <c r="C10820" s="3"/>
      <c r="D10820" s="3"/>
      <c r="E10820" s="3">
        <v>17</v>
      </c>
      <c r="F10820" s="4" t="str">
        <f>HYPERLINK("http://141.218.60.56/~jnz1568/getInfo.php?workbook=20_05.xlsx&amp;sheet=U0&amp;row=10820&amp;col=6&amp;number=4.6&amp;sourceID=14","4.6")</f>
        <v>4.6</v>
      </c>
      <c r="G10820" s="4" t="str">
        <f>HYPERLINK("http://141.218.60.56/~jnz1568/getInfo.php?workbook=20_05.xlsx&amp;sheet=U0&amp;row=10820&amp;col=7&amp;number=0.000778&amp;sourceID=14","0.000778")</f>
        <v>0.000778</v>
      </c>
    </row>
    <row r="10821" spans="1:7">
      <c r="A10821" s="3"/>
      <c r="B10821" s="3"/>
      <c r="C10821" s="3"/>
      <c r="D10821" s="3"/>
      <c r="E10821" s="3">
        <v>18</v>
      </c>
      <c r="F10821" s="4" t="str">
        <f>HYPERLINK("http://141.218.60.56/~jnz1568/getInfo.php?workbook=20_05.xlsx&amp;sheet=U0&amp;row=10821&amp;col=6&amp;number=4.7&amp;sourceID=14","4.7")</f>
        <v>4.7</v>
      </c>
      <c r="G10821" s="4" t="str">
        <f>HYPERLINK("http://141.218.60.56/~jnz1568/getInfo.php?workbook=20_05.xlsx&amp;sheet=U0&amp;row=10821&amp;col=7&amp;number=0.000776&amp;sourceID=14","0.000776")</f>
        <v>0.000776</v>
      </c>
    </row>
    <row r="10822" spans="1:7">
      <c r="A10822" s="3"/>
      <c r="B10822" s="3"/>
      <c r="C10822" s="3"/>
      <c r="D10822" s="3"/>
      <c r="E10822" s="3">
        <v>19</v>
      </c>
      <c r="F10822" s="4" t="str">
        <f>HYPERLINK("http://141.218.60.56/~jnz1568/getInfo.php?workbook=20_05.xlsx&amp;sheet=U0&amp;row=10822&amp;col=6&amp;number=4.8&amp;sourceID=14","4.8")</f>
        <v>4.8</v>
      </c>
      <c r="G10822" s="4" t="str">
        <f>HYPERLINK("http://141.218.60.56/~jnz1568/getInfo.php?workbook=20_05.xlsx&amp;sheet=U0&amp;row=10822&amp;col=7&amp;number=0.000774&amp;sourceID=14","0.000774")</f>
        <v>0.000774</v>
      </c>
    </row>
    <row r="10823" spans="1:7">
      <c r="A10823" s="3"/>
      <c r="B10823" s="3"/>
      <c r="C10823" s="3"/>
      <c r="D10823" s="3"/>
      <c r="E10823" s="3">
        <v>20</v>
      </c>
      <c r="F10823" s="4" t="str">
        <f>HYPERLINK("http://141.218.60.56/~jnz1568/getInfo.php?workbook=20_05.xlsx&amp;sheet=U0&amp;row=10823&amp;col=6&amp;number=4.9&amp;sourceID=14","4.9")</f>
        <v>4.9</v>
      </c>
      <c r="G10823" s="4" t="str">
        <f>HYPERLINK("http://141.218.60.56/~jnz1568/getInfo.php?workbook=20_05.xlsx&amp;sheet=U0&amp;row=10823&amp;col=7&amp;number=0.000771&amp;sourceID=14","0.000771")</f>
        <v>0.000771</v>
      </c>
    </row>
    <row r="10824" spans="1:7">
      <c r="A10824" s="3">
        <v>20</v>
      </c>
      <c r="B10824" s="3">
        <v>5</v>
      </c>
      <c r="C10824" s="3">
        <v>5</v>
      </c>
      <c r="D10824" s="3">
        <v>76</v>
      </c>
      <c r="E10824" s="3">
        <v>1</v>
      </c>
      <c r="F10824" s="4" t="str">
        <f>HYPERLINK("http://141.218.60.56/~jnz1568/getInfo.php?workbook=20_05.xlsx&amp;sheet=U0&amp;row=10824&amp;col=6&amp;number=3&amp;sourceID=14","3")</f>
        <v>3</v>
      </c>
      <c r="G10824" s="4" t="str">
        <f>HYPERLINK("http://141.218.60.56/~jnz1568/getInfo.php?workbook=20_05.xlsx&amp;sheet=U0&amp;row=10824&amp;col=7&amp;number=0.0027&amp;sourceID=14","0.0027")</f>
        <v>0.0027</v>
      </c>
    </row>
    <row r="10825" spans="1:7">
      <c r="A10825" s="3"/>
      <c r="B10825" s="3"/>
      <c r="C10825" s="3"/>
      <c r="D10825" s="3"/>
      <c r="E10825" s="3">
        <v>2</v>
      </c>
      <c r="F10825" s="4" t="str">
        <f>HYPERLINK("http://141.218.60.56/~jnz1568/getInfo.php?workbook=20_05.xlsx&amp;sheet=U0&amp;row=10825&amp;col=6&amp;number=3.1&amp;sourceID=14","3.1")</f>
        <v>3.1</v>
      </c>
      <c r="G10825" s="4" t="str">
        <f>HYPERLINK("http://141.218.60.56/~jnz1568/getInfo.php?workbook=20_05.xlsx&amp;sheet=U0&amp;row=10825&amp;col=7&amp;number=0.0027&amp;sourceID=14","0.0027")</f>
        <v>0.0027</v>
      </c>
    </row>
    <row r="10826" spans="1:7">
      <c r="A10826" s="3"/>
      <c r="B10826" s="3"/>
      <c r="C10826" s="3"/>
      <c r="D10826" s="3"/>
      <c r="E10826" s="3">
        <v>3</v>
      </c>
      <c r="F10826" s="4" t="str">
        <f>HYPERLINK("http://141.218.60.56/~jnz1568/getInfo.php?workbook=20_05.xlsx&amp;sheet=U0&amp;row=10826&amp;col=6&amp;number=3.2&amp;sourceID=14","3.2")</f>
        <v>3.2</v>
      </c>
      <c r="G10826" s="4" t="str">
        <f>HYPERLINK("http://141.218.60.56/~jnz1568/getInfo.php?workbook=20_05.xlsx&amp;sheet=U0&amp;row=10826&amp;col=7&amp;number=0.0027&amp;sourceID=14","0.0027")</f>
        <v>0.0027</v>
      </c>
    </row>
    <row r="10827" spans="1:7">
      <c r="A10827" s="3"/>
      <c r="B10827" s="3"/>
      <c r="C10827" s="3"/>
      <c r="D10827" s="3"/>
      <c r="E10827" s="3">
        <v>4</v>
      </c>
      <c r="F10827" s="4" t="str">
        <f>HYPERLINK("http://141.218.60.56/~jnz1568/getInfo.php?workbook=20_05.xlsx&amp;sheet=U0&amp;row=10827&amp;col=6&amp;number=3.3&amp;sourceID=14","3.3")</f>
        <v>3.3</v>
      </c>
      <c r="G10827" s="4" t="str">
        <f>HYPERLINK("http://141.218.60.56/~jnz1568/getInfo.php?workbook=20_05.xlsx&amp;sheet=U0&amp;row=10827&amp;col=7&amp;number=0.0027&amp;sourceID=14","0.0027")</f>
        <v>0.0027</v>
      </c>
    </row>
    <row r="10828" spans="1:7">
      <c r="A10828" s="3"/>
      <c r="B10828" s="3"/>
      <c r="C10828" s="3"/>
      <c r="D10828" s="3"/>
      <c r="E10828" s="3">
        <v>5</v>
      </c>
      <c r="F10828" s="4" t="str">
        <f>HYPERLINK("http://141.218.60.56/~jnz1568/getInfo.php?workbook=20_05.xlsx&amp;sheet=U0&amp;row=10828&amp;col=6&amp;number=3.4&amp;sourceID=14","3.4")</f>
        <v>3.4</v>
      </c>
      <c r="G10828" s="4" t="str">
        <f>HYPERLINK("http://141.218.60.56/~jnz1568/getInfo.php?workbook=20_05.xlsx&amp;sheet=U0&amp;row=10828&amp;col=7&amp;number=0.0027&amp;sourceID=14","0.0027")</f>
        <v>0.0027</v>
      </c>
    </row>
    <row r="10829" spans="1:7">
      <c r="A10829" s="3"/>
      <c r="B10829" s="3"/>
      <c r="C10829" s="3"/>
      <c r="D10829" s="3"/>
      <c r="E10829" s="3">
        <v>6</v>
      </c>
      <c r="F10829" s="4" t="str">
        <f>HYPERLINK("http://141.218.60.56/~jnz1568/getInfo.php?workbook=20_05.xlsx&amp;sheet=U0&amp;row=10829&amp;col=6&amp;number=3.5&amp;sourceID=14","3.5")</f>
        <v>3.5</v>
      </c>
      <c r="G10829" s="4" t="str">
        <f>HYPERLINK("http://141.218.60.56/~jnz1568/getInfo.php?workbook=20_05.xlsx&amp;sheet=U0&amp;row=10829&amp;col=7&amp;number=0.0027&amp;sourceID=14","0.0027")</f>
        <v>0.0027</v>
      </c>
    </row>
    <row r="10830" spans="1:7">
      <c r="A10830" s="3"/>
      <c r="B10830" s="3"/>
      <c r="C10830" s="3"/>
      <c r="D10830" s="3"/>
      <c r="E10830" s="3">
        <v>7</v>
      </c>
      <c r="F10830" s="4" t="str">
        <f>HYPERLINK("http://141.218.60.56/~jnz1568/getInfo.php?workbook=20_05.xlsx&amp;sheet=U0&amp;row=10830&amp;col=6&amp;number=3.6&amp;sourceID=14","3.6")</f>
        <v>3.6</v>
      </c>
      <c r="G10830" s="4" t="str">
        <f>HYPERLINK("http://141.218.60.56/~jnz1568/getInfo.php?workbook=20_05.xlsx&amp;sheet=U0&amp;row=10830&amp;col=7&amp;number=0.0027&amp;sourceID=14","0.0027")</f>
        <v>0.0027</v>
      </c>
    </row>
    <row r="10831" spans="1:7">
      <c r="A10831" s="3"/>
      <c r="B10831" s="3"/>
      <c r="C10831" s="3"/>
      <c r="D10831" s="3"/>
      <c r="E10831" s="3">
        <v>8</v>
      </c>
      <c r="F10831" s="4" t="str">
        <f>HYPERLINK("http://141.218.60.56/~jnz1568/getInfo.php?workbook=20_05.xlsx&amp;sheet=U0&amp;row=10831&amp;col=6&amp;number=3.7&amp;sourceID=14","3.7")</f>
        <v>3.7</v>
      </c>
      <c r="G10831" s="4" t="str">
        <f>HYPERLINK("http://141.218.60.56/~jnz1568/getInfo.php?workbook=20_05.xlsx&amp;sheet=U0&amp;row=10831&amp;col=7&amp;number=0.0027&amp;sourceID=14","0.0027")</f>
        <v>0.0027</v>
      </c>
    </row>
    <row r="10832" spans="1:7">
      <c r="A10832" s="3"/>
      <c r="B10832" s="3"/>
      <c r="C10832" s="3"/>
      <c r="D10832" s="3"/>
      <c r="E10832" s="3">
        <v>9</v>
      </c>
      <c r="F10832" s="4" t="str">
        <f>HYPERLINK("http://141.218.60.56/~jnz1568/getInfo.php?workbook=20_05.xlsx&amp;sheet=U0&amp;row=10832&amp;col=6&amp;number=3.8&amp;sourceID=14","3.8")</f>
        <v>3.8</v>
      </c>
      <c r="G10832" s="4" t="str">
        <f>HYPERLINK("http://141.218.60.56/~jnz1568/getInfo.php?workbook=20_05.xlsx&amp;sheet=U0&amp;row=10832&amp;col=7&amp;number=0.0027&amp;sourceID=14","0.0027")</f>
        <v>0.0027</v>
      </c>
    </row>
    <row r="10833" spans="1:7">
      <c r="A10833" s="3"/>
      <c r="B10833" s="3"/>
      <c r="C10833" s="3"/>
      <c r="D10833" s="3"/>
      <c r="E10833" s="3">
        <v>10</v>
      </c>
      <c r="F10833" s="4" t="str">
        <f>HYPERLINK("http://141.218.60.56/~jnz1568/getInfo.php?workbook=20_05.xlsx&amp;sheet=U0&amp;row=10833&amp;col=6&amp;number=3.9&amp;sourceID=14","3.9")</f>
        <v>3.9</v>
      </c>
      <c r="G10833" s="4" t="str">
        <f>HYPERLINK("http://141.218.60.56/~jnz1568/getInfo.php?workbook=20_05.xlsx&amp;sheet=U0&amp;row=10833&amp;col=7&amp;number=0.0027&amp;sourceID=14","0.0027")</f>
        <v>0.0027</v>
      </c>
    </row>
    <row r="10834" spans="1:7">
      <c r="A10834" s="3"/>
      <c r="B10834" s="3"/>
      <c r="C10834" s="3"/>
      <c r="D10834" s="3"/>
      <c r="E10834" s="3">
        <v>11</v>
      </c>
      <c r="F10834" s="4" t="str">
        <f>HYPERLINK("http://141.218.60.56/~jnz1568/getInfo.php?workbook=20_05.xlsx&amp;sheet=U0&amp;row=10834&amp;col=6&amp;number=4&amp;sourceID=14","4")</f>
        <v>4</v>
      </c>
      <c r="G10834" s="4" t="str">
        <f>HYPERLINK("http://141.218.60.56/~jnz1568/getInfo.php?workbook=20_05.xlsx&amp;sheet=U0&amp;row=10834&amp;col=7&amp;number=0.0027&amp;sourceID=14","0.0027")</f>
        <v>0.0027</v>
      </c>
    </row>
    <row r="10835" spans="1:7">
      <c r="A10835" s="3"/>
      <c r="B10835" s="3"/>
      <c r="C10835" s="3"/>
      <c r="D10835" s="3"/>
      <c r="E10835" s="3">
        <v>12</v>
      </c>
      <c r="F10835" s="4" t="str">
        <f>HYPERLINK("http://141.218.60.56/~jnz1568/getInfo.php?workbook=20_05.xlsx&amp;sheet=U0&amp;row=10835&amp;col=6&amp;number=4.1&amp;sourceID=14","4.1")</f>
        <v>4.1</v>
      </c>
      <c r="G10835" s="4" t="str">
        <f>HYPERLINK("http://141.218.60.56/~jnz1568/getInfo.php?workbook=20_05.xlsx&amp;sheet=U0&amp;row=10835&amp;col=7&amp;number=0.00269&amp;sourceID=14","0.00269")</f>
        <v>0.00269</v>
      </c>
    </row>
    <row r="10836" spans="1:7">
      <c r="A10836" s="3"/>
      <c r="B10836" s="3"/>
      <c r="C10836" s="3"/>
      <c r="D10836" s="3"/>
      <c r="E10836" s="3">
        <v>13</v>
      </c>
      <c r="F10836" s="4" t="str">
        <f>HYPERLINK("http://141.218.60.56/~jnz1568/getInfo.php?workbook=20_05.xlsx&amp;sheet=U0&amp;row=10836&amp;col=6&amp;number=4.2&amp;sourceID=14","4.2")</f>
        <v>4.2</v>
      </c>
      <c r="G10836" s="4" t="str">
        <f>HYPERLINK("http://141.218.60.56/~jnz1568/getInfo.php?workbook=20_05.xlsx&amp;sheet=U0&amp;row=10836&amp;col=7&amp;number=0.00269&amp;sourceID=14","0.00269")</f>
        <v>0.00269</v>
      </c>
    </row>
    <row r="10837" spans="1:7">
      <c r="A10837" s="3"/>
      <c r="B10837" s="3"/>
      <c r="C10837" s="3"/>
      <c r="D10837" s="3"/>
      <c r="E10837" s="3">
        <v>14</v>
      </c>
      <c r="F10837" s="4" t="str">
        <f>HYPERLINK("http://141.218.60.56/~jnz1568/getInfo.php?workbook=20_05.xlsx&amp;sheet=U0&amp;row=10837&amp;col=6&amp;number=4.3&amp;sourceID=14","4.3")</f>
        <v>4.3</v>
      </c>
      <c r="G10837" s="4" t="str">
        <f>HYPERLINK("http://141.218.60.56/~jnz1568/getInfo.php?workbook=20_05.xlsx&amp;sheet=U0&amp;row=10837&amp;col=7&amp;number=0.00269&amp;sourceID=14","0.00269")</f>
        <v>0.00269</v>
      </c>
    </row>
    <row r="10838" spans="1:7">
      <c r="A10838" s="3"/>
      <c r="B10838" s="3"/>
      <c r="C10838" s="3"/>
      <c r="D10838" s="3"/>
      <c r="E10838" s="3">
        <v>15</v>
      </c>
      <c r="F10838" s="4" t="str">
        <f>HYPERLINK("http://141.218.60.56/~jnz1568/getInfo.php?workbook=20_05.xlsx&amp;sheet=U0&amp;row=10838&amp;col=6&amp;number=4.4&amp;sourceID=14","4.4")</f>
        <v>4.4</v>
      </c>
      <c r="G10838" s="4" t="str">
        <f>HYPERLINK("http://141.218.60.56/~jnz1568/getInfo.php?workbook=20_05.xlsx&amp;sheet=U0&amp;row=10838&amp;col=7&amp;number=0.00269&amp;sourceID=14","0.00269")</f>
        <v>0.00269</v>
      </c>
    </row>
    <row r="10839" spans="1:7">
      <c r="A10839" s="3"/>
      <c r="B10839" s="3"/>
      <c r="C10839" s="3"/>
      <c r="D10839" s="3"/>
      <c r="E10839" s="3">
        <v>16</v>
      </c>
      <c r="F10839" s="4" t="str">
        <f>HYPERLINK("http://141.218.60.56/~jnz1568/getInfo.php?workbook=20_05.xlsx&amp;sheet=U0&amp;row=10839&amp;col=6&amp;number=4.5&amp;sourceID=14","4.5")</f>
        <v>4.5</v>
      </c>
      <c r="G10839" s="4" t="str">
        <f>HYPERLINK("http://141.218.60.56/~jnz1568/getInfo.php?workbook=20_05.xlsx&amp;sheet=U0&amp;row=10839&amp;col=7&amp;number=0.00269&amp;sourceID=14","0.00269")</f>
        <v>0.00269</v>
      </c>
    </row>
    <row r="10840" spans="1:7">
      <c r="A10840" s="3"/>
      <c r="B10840" s="3"/>
      <c r="C10840" s="3"/>
      <c r="D10840" s="3"/>
      <c r="E10840" s="3">
        <v>17</v>
      </c>
      <c r="F10840" s="4" t="str">
        <f>HYPERLINK("http://141.218.60.56/~jnz1568/getInfo.php?workbook=20_05.xlsx&amp;sheet=U0&amp;row=10840&amp;col=6&amp;number=4.6&amp;sourceID=14","4.6")</f>
        <v>4.6</v>
      </c>
      <c r="G10840" s="4" t="str">
        <f>HYPERLINK("http://141.218.60.56/~jnz1568/getInfo.php?workbook=20_05.xlsx&amp;sheet=U0&amp;row=10840&amp;col=7&amp;number=0.00269&amp;sourceID=14","0.00269")</f>
        <v>0.00269</v>
      </c>
    </row>
    <row r="10841" spans="1:7">
      <c r="A10841" s="3"/>
      <c r="B10841" s="3"/>
      <c r="C10841" s="3"/>
      <c r="D10841" s="3"/>
      <c r="E10841" s="3">
        <v>18</v>
      </c>
      <c r="F10841" s="4" t="str">
        <f>HYPERLINK("http://141.218.60.56/~jnz1568/getInfo.php?workbook=20_05.xlsx&amp;sheet=U0&amp;row=10841&amp;col=6&amp;number=4.7&amp;sourceID=14","4.7")</f>
        <v>4.7</v>
      </c>
      <c r="G10841" s="4" t="str">
        <f>HYPERLINK("http://141.218.60.56/~jnz1568/getInfo.php?workbook=20_05.xlsx&amp;sheet=U0&amp;row=10841&amp;col=7&amp;number=0.00268&amp;sourceID=14","0.00268")</f>
        <v>0.00268</v>
      </c>
    </row>
    <row r="10842" spans="1:7">
      <c r="A10842" s="3"/>
      <c r="B10842" s="3"/>
      <c r="C10842" s="3"/>
      <c r="D10842" s="3"/>
      <c r="E10842" s="3">
        <v>19</v>
      </c>
      <c r="F10842" s="4" t="str">
        <f>HYPERLINK("http://141.218.60.56/~jnz1568/getInfo.php?workbook=20_05.xlsx&amp;sheet=U0&amp;row=10842&amp;col=6&amp;number=4.8&amp;sourceID=14","4.8")</f>
        <v>4.8</v>
      </c>
      <c r="G10842" s="4" t="str">
        <f>HYPERLINK("http://141.218.60.56/~jnz1568/getInfo.php?workbook=20_05.xlsx&amp;sheet=U0&amp;row=10842&amp;col=7&amp;number=0.00268&amp;sourceID=14","0.00268")</f>
        <v>0.00268</v>
      </c>
    </row>
    <row r="10843" spans="1:7">
      <c r="A10843" s="3"/>
      <c r="B10843" s="3"/>
      <c r="C10843" s="3"/>
      <c r="D10843" s="3"/>
      <c r="E10843" s="3">
        <v>20</v>
      </c>
      <c r="F10843" s="4" t="str">
        <f>HYPERLINK("http://141.218.60.56/~jnz1568/getInfo.php?workbook=20_05.xlsx&amp;sheet=U0&amp;row=10843&amp;col=6&amp;number=4.9&amp;sourceID=14","4.9")</f>
        <v>4.9</v>
      </c>
      <c r="G10843" s="4" t="str">
        <f>HYPERLINK("http://141.218.60.56/~jnz1568/getInfo.php?workbook=20_05.xlsx&amp;sheet=U0&amp;row=10843&amp;col=7&amp;number=0.00267&amp;sourceID=14","0.00267")</f>
        <v>0.00267</v>
      </c>
    </row>
    <row r="10844" spans="1:7">
      <c r="A10844" s="3">
        <v>20</v>
      </c>
      <c r="B10844" s="3">
        <v>5</v>
      </c>
      <c r="C10844" s="3">
        <v>5</v>
      </c>
      <c r="D10844" s="3">
        <v>77</v>
      </c>
      <c r="E10844" s="3">
        <v>1</v>
      </c>
      <c r="F10844" s="4" t="str">
        <f>HYPERLINK("http://141.218.60.56/~jnz1568/getInfo.php?workbook=20_05.xlsx&amp;sheet=U0&amp;row=10844&amp;col=6&amp;number=3&amp;sourceID=14","3")</f>
        <v>3</v>
      </c>
      <c r="G10844" s="4" t="str">
        <f>HYPERLINK("http://141.218.60.56/~jnz1568/getInfo.php?workbook=20_05.xlsx&amp;sheet=U0&amp;row=10844&amp;col=7&amp;number=8.03e-05&amp;sourceID=14","8.03e-05")</f>
        <v>8.03e-05</v>
      </c>
    </row>
    <row r="10845" spans="1:7">
      <c r="A10845" s="3"/>
      <c r="B10845" s="3"/>
      <c r="C10845" s="3"/>
      <c r="D10845" s="3"/>
      <c r="E10845" s="3">
        <v>2</v>
      </c>
      <c r="F10845" s="4" t="str">
        <f>HYPERLINK("http://141.218.60.56/~jnz1568/getInfo.php?workbook=20_05.xlsx&amp;sheet=U0&amp;row=10845&amp;col=6&amp;number=3.1&amp;sourceID=14","3.1")</f>
        <v>3.1</v>
      </c>
      <c r="G10845" s="4" t="str">
        <f>HYPERLINK("http://141.218.60.56/~jnz1568/getInfo.php?workbook=20_05.xlsx&amp;sheet=U0&amp;row=10845&amp;col=7&amp;number=8.03e-05&amp;sourceID=14","8.03e-05")</f>
        <v>8.03e-05</v>
      </c>
    </row>
    <row r="10846" spans="1:7">
      <c r="A10846" s="3"/>
      <c r="B10846" s="3"/>
      <c r="C10846" s="3"/>
      <c r="D10846" s="3"/>
      <c r="E10846" s="3">
        <v>3</v>
      </c>
      <c r="F10846" s="4" t="str">
        <f>HYPERLINK("http://141.218.60.56/~jnz1568/getInfo.php?workbook=20_05.xlsx&amp;sheet=U0&amp;row=10846&amp;col=6&amp;number=3.2&amp;sourceID=14","3.2")</f>
        <v>3.2</v>
      </c>
      <c r="G10846" s="4" t="str">
        <f>HYPERLINK("http://141.218.60.56/~jnz1568/getInfo.php?workbook=20_05.xlsx&amp;sheet=U0&amp;row=10846&amp;col=7&amp;number=8.03e-05&amp;sourceID=14","8.03e-05")</f>
        <v>8.03e-05</v>
      </c>
    </row>
    <row r="10847" spans="1:7">
      <c r="A10847" s="3"/>
      <c r="B10847" s="3"/>
      <c r="C10847" s="3"/>
      <c r="D10847" s="3"/>
      <c r="E10847" s="3">
        <v>4</v>
      </c>
      <c r="F10847" s="4" t="str">
        <f>HYPERLINK("http://141.218.60.56/~jnz1568/getInfo.php?workbook=20_05.xlsx&amp;sheet=U0&amp;row=10847&amp;col=6&amp;number=3.3&amp;sourceID=14","3.3")</f>
        <v>3.3</v>
      </c>
      <c r="G10847" s="4" t="str">
        <f>HYPERLINK("http://141.218.60.56/~jnz1568/getInfo.php?workbook=20_05.xlsx&amp;sheet=U0&amp;row=10847&amp;col=7&amp;number=8.02e-05&amp;sourceID=14","8.02e-05")</f>
        <v>8.02e-05</v>
      </c>
    </row>
    <row r="10848" spans="1:7">
      <c r="A10848" s="3"/>
      <c r="B10848" s="3"/>
      <c r="C10848" s="3"/>
      <c r="D10848" s="3"/>
      <c r="E10848" s="3">
        <v>5</v>
      </c>
      <c r="F10848" s="4" t="str">
        <f>HYPERLINK("http://141.218.60.56/~jnz1568/getInfo.php?workbook=20_05.xlsx&amp;sheet=U0&amp;row=10848&amp;col=6&amp;number=3.4&amp;sourceID=14","3.4")</f>
        <v>3.4</v>
      </c>
      <c r="G10848" s="4" t="str">
        <f>HYPERLINK("http://141.218.60.56/~jnz1568/getInfo.php?workbook=20_05.xlsx&amp;sheet=U0&amp;row=10848&amp;col=7&amp;number=8.02e-05&amp;sourceID=14","8.02e-05")</f>
        <v>8.02e-05</v>
      </c>
    </row>
    <row r="10849" spans="1:7">
      <c r="A10849" s="3"/>
      <c r="B10849" s="3"/>
      <c r="C10849" s="3"/>
      <c r="D10849" s="3"/>
      <c r="E10849" s="3">
        <v>6</v>
      </c>
      <c r="F10849" s="4" t="str">
        <f>HYPERLINK("http://141.218.60.56/~jnz1568/getInfo.php?workbook=20_05.xlsx&amp;sheet=U0&amp;row=10849&amp;col=6&amp;number=3.5&amp;sourceID=14","3.5")</f>
        <v>3.5</v>
      </c>
      <c r="G10849" s="4" t="str">
        <f>HYPERLINK("http://141.218.60.56/~jnz1568/getInfo.php?workbook=20_05.xlsx&amp;sheet=U0&amp;row=10849&amp;col=7&amp;number=8.02e-05&amp;sourceID=14","8.02e-05")</f>
        <v>8.02e-05</v>
      </c>
    </row>
    <row r="10850" spans="1:7">
      <c r="A10850" s="3"/>
      <c r="B10850" s="3"/>
      <c r="C10850" s="3"/>
      <c r="D10850" s="3"/>
      <c r="E10850" s="3">
        <v>7</v>
      </c>
      <c r="F10850" s="4" t="str">
        <f>HYPERLINK("http://141.218.60.56/~jnz1568/getInfo.php?workbook=20_05.xlsx&amp;sheet=U0&amp;row=10850&amp;col=6&amp;number=3.6&amp;sourceID=14","3.6")</f>
        <v>3.6</v>
      </c>
      <c r="G10850" s="4" t="str">
        <f>HYPERLINK("http://141.218.60.56/~jnz1568/getInfo.php?workbook=20_05.xlsx&amp;sheet=U0&amp;row=10850&amp;col=7&amp;number=8.02e-05&amp;sourceID=14","8.02e-05")</f>
        <v>8.02e-05</v>
      </c>
    </row>
    <row r="10851" spans="1:7">
      <c r="A10851" s="3"/>
      <c r="B10851" s="3"/>
      <c r="C10851" s="3"/>
      <c r="D10851" s="3"/>
      <c r="E10851" s="3">
        <v>8</v>
      </c>
      <c r="F10851" s="4" t="str">
        <f>HYPERLINK("http://141.218.60.56/~jnz1568/getInfo.php?workbook=20_05.xlsx&amp;sheet=U0&amp;row=10851&amp;col=6&amp;number=3.7&amp;sourceID=14","3.7")</f>
        <v>3.7</v>
      </c>
      <c r="G10851" s="4" t="str">
        <f>HYPERLINK("http://141.218.60.56/~jnz1568/getInfo.php?workbook=20_05.xlsx&amp;sheet=U0&amp;row=10851&amp;col=7&amp;number=8.02e-05&amp;sourceID=14","8.02e-05")</f>
        <v>8.02e-05</v>
      </c>
    </row>
    <row r="10852" spans="1:7">
      <c r="A10852" s="3"/>
      <c r="B10852" s="3"/>
      <c r="C10852" s="3"/>
      <c r="D10852" s="3"/>
      <c r="E10852" s="3">
        <v>9</v>
      </c>
      <c r="F10852" s="4" t="str">
        <f>HYPERLINK("http://141.218.60.56/~jnz1568/getInfo.php?workbook=20_05.xlsx&amp;sheet=U0&amp;row=10852&amp;col=6&amp;number=3.8&amp;sourceID=14","3.8")</f>
        <v>3.8</v>
      </c>
      <c r="G10852" s="4" t="str">
        <f>HYPERLINK("http://141.218.60.56/~jnz1568/getInfo.php?workbook=20_05.xlsx&amp;sheet=U0&amp;row=10852&amp;col=7&amp;number=8.01e-05&amp;sourceID=14","8.01e-05")</f>
        <v>8.01e-05</v>
      </c>
    </row>
    <row r="10853" spans="1:7">
      <c r="A10853" s="3"/>
      <c r="B10853" s="3"/>
      <c r="C10853" s="3"/>
      <c r="D10853" s="3"/>
      <c r="E10853" s="3">
        <v>10</v>
      </c>
      <c r="F10853" s="4" t="str">
        <f>HYPERLINK("http://141.218.60.56/~jnz1568/getInfo.php?workbook=20_05.xlsx&amp;sheet=U0&amp;row=10853&amp;col=6&amp;number=3.9&amp;sourceID=14","3.9")</f>
        <v>3.9</v>
      </c>
      <c r="G10853" s="4" t="str">
        <f>HYPERLINK("http://141.218.60.56/~jnz1568/getInfo.php?workbook=20_05.xlsx&amp;sheet=U0&amp;row=10853&amp;col=7&amp;number=8.01e-05&amp;sourceID=14","8.01e-05")</f>
        <v>8.01e-05</v>
      </c>
    </row>
    <row r="10854" spans="1:7">
      <c r="A10854" s="3"/>
      <c r="B10854" s="3"/>
      <c r="C10854" s="3"/>
      <c r="D10854" s="3"/>
      <c r="E10854" s="3">
        <v>11</v>
      </c>
      <c r="F10854" s="4" t="str">
        <f>HYPERLINK("http://141.218.60.56/~jnz1568/getInfo.php?workbook=20_05.xlsx&amp;sheet=U0&amp;row=10854&amp;col=6&amp;number=4&amp;sourceID=14","4")</f>
        <v>4</v>
      </c>
      <c r="G10854" s="4" t="str">
        <f>HYPERLINK("http://141.218.60.56/~jnz1568/getInfo.php?workbook=20_05.xlsx&amp;sheet=U0&amp;row=10854&amp;col=7&amp;number=8e-05&amp;sourceID=14","8e-05")</f>
        <v>8e-05</v>
      </c>
    </row>
    <row r="10855" spans="1:7">
      <c r="A10855" s="3"/>
      <c r="B10855" s="3"/>
      <c r="C10855" s="3"/>
      <c r="D10855" s="3"/>
      <c r="E10855" s="3">
        <v>12</v>
      </c>
      <c r="F10855" s="4" t="str">
        <f>HYPERLINK("http://141.218.60.56/~jnz1568/getInfo.php?workbook=20_05.xlsx&amp;sheet=U0&amp;row=10855&amp;col=6&amp;number=4.1&amp;sourceID=14","4.1")</f>
        <v>4.1</v>
      </c>
      <c r="G10855" s="4" t="str">
        <f>HYPERLINK("http://141.218.60.56/~jnz1568/getInfo.php?workbook=20_05.xlsx&amp;sheet=U0&amp;row=10855&amp;col=7&amp;number=8e-05&amp;sourceID=14","8e-05")</f>
        <v>8e-05</v>
      </c>
    </row>
    <row r="10856" spans="1:7">
      <c r="A10856" s="3"/>
      <c r="B10856" s="3"/>
      <c r="C10856" s="3"/>
      <c r="D10856" s="3"/>
      <c r="E10856" s="3">
        <v>13</v>
      </c>
      <c r="F10856" s="4" t="str">
        <f>HYPERLINK("http://141.218.60.56/~jnz1568/getInfo.php?workbook=20_05.xlsx&amp;sheet=U0&amp;row=10856&amp;col=6&amp;number=4.2&amp;sourceID=14","4.2")</f>
        <v>4.2</v>
      </c>
      <c r="G10856" s="4" t="str">
        <f>HYPERLINK("http://141.218.60.56/~jnz1568/getInfo.php?workbook=20_05.xlsx&amp;sheet=U0&amp;row=10856&amp;col=7&amp;number=7.99e-05&amp;sourceID=14","7.99e-05")</f>
        <v>7.99e-05</v>
      </c>
    </row>
    <row r="10857" spans="1:7">
      <c r="A10857" s="3"/>
      <c r="B10857" s="3"/>
      <c r="C10857" s="3"/>
      <c r="D10857" s="3"/>
      <c r="E10857" s="3">
        <v>14</v>
      </c>
      <c r="F10857" s="4" t="str">
        <f>HYPERLINK("http://141.218.60.56/~jnz1568/getInfo.php?workbook=20_05.xlsx&amp;sheet=U0&amp;row=10857&amp;col=6&amp;number=4.3&amp;sourceID=14","4.3")</f>
        <v>4.3</v>
      </c>
      <c r="G10857" s="4" t="str">
        <f>HYPERLINK("http://141.218.60.56/~jnz1568/getInfo.php?workbook=20_05.xlsx&amp;sheet=U0&amp;row=10857&amp;col=7&amp;number=7.98e-05&amp;sourceID=14","7.98e-05")</f>
        <v>7.98e-05</v>
      </c>
    </row>
    <row r="10858" spans="1:7">
      <c r="A10858" s="3"/>
      <c r="B10858" s="3"/>
      <c r="C10858" s="3"/>
      <c r="D10858" s="3"/>
      <c r="E10858" s="3">
        <v>15</v>
      </c>
      <c r="F10858" s="4" t="str">
        <f>HYPERLINK("http://141.218.60.56/~jnz1568/getInfo.php?workbook=20_05.xlsx&amp;sheet=U0&amp;row=10858&amp;col=6&amp;number=4.4&amp;sourceID=14","4.4")</f>
        <v>4.4</v>
      </c>
      <c r="G10858" s="4" t="str">
        <f>HYPERLINK("http://141.218.60.56/~jnz1568/getInfo.php?workbook=20_05.xlsx&amp;sheet=U0&amp;row=10858&amp;col=7&amp;number=7.97e-05&amp;sourceID=14","7.97e-05")</f>
        <v>7.97e-05</v>
      </c>
    </row>
    <row r="10859" spans="1:7">
      <c r="A10859" s="3"/>
      <c r="B10859" s="3"/>
      <c r="C10859" s="3"/>
      <c r="D10859" s="3"/>
      <c r="E10859" s="3">
        <v>16</v>
      </c>
      <c r="F10859" s="4" t="str">
        <f>HYPERLINK("http://141.218.60.56/~jnz1568/getInfo.php?workbook=20_05.xlsx&amp;sheet=U0&amp;row=10859&amp;col=6&amp;number=4.5&amp;sourceID=14","4.5")</f>
        <v>4.5</v>
      </c>
      <c r="G10859" s="4" t="str">
        <f>HYPERLINK("http://141.218.60.56/~jnz1568/getInfo.php?workbook=20_05.xlsx&amp;sheet=U0&amp;row=10859&amp;col=7&amp;number=7.95e-05&amp;sourceID=14","7.95e-05")</f>
        <v>7.95e-05</v>
      </c>
    </row>
    <row r="10860" spans="1:7">
      <c r="A10860" s="3"/>
      <c r="B10860" s="3"/>
      <c r="C10860" s="3"/>
      <c r="D10860" s="3"/>
      <c r="E10860" s="3">
        <v>17</v>
      </c>
      <c r="F10860" s="4" t="str">
        <f>HYPERLINK("http://141.218.60.56/~jnz1568/getInfo.php?workbook=20_05.xlsx&amp;sheet=U0&amp;row=10860&amp;col=6&amp;number=4.6&amp;sourceID=14","4.6")</f>
        <v>4.6</v>
      </c>
      <c r="G10860" s="4" t="str">
        <f>HYPERLINK("http://141.218.60.56/~jnz1568/getInfo.php?workbook=20_05.xlsx&amp;sheet=U0&amp;row=10860&amp;col=7&amp;number=7.93e-05&amp;sourceID=14","7.93e-05")</f>
        <v>7.93e-05</v>
      </c>
    </row>
    <row r="10861" spans="1:7">
      <c r="A10861" s="3"/>
      <c r="B10861" s="3"/>
      <c r="C10861" s="3"/>
      <c r="D10861" s="3"/>
      <c r="E10861" s="3">
        <v>18</v>
      </c>
      <c r="F10861" s="4" t="str">
        <f>HYPERLINK("http://141.218.60.56/~jnz1568/getInfo.php?workbook=20_05.xlsx&amp;sheet=U0&amp;row=10861&amp;col=6&amp;number=4.7&amp;sourceID=14","4.7")</f>
        <v>4.7</v>
      </c>
      <c r="G10861" s="4" t="str">
        <f>HYPERLINK("http://141.218.60.56/~jnz1568/getInfo.php?workbook=20_05.xlsx&amp;sheet=U0&amp;row=10861&amp;col=7&amp;number=7.9e-05&amp;sourceID=14","7.9e-05")</f>
        <v>7.9e-05</v>
      </c>
    </row>
    <row r="10862" spans="1:7">
      <c r="A10862" s="3"/>
      <c r="B10862" s="3"/>
      <c r="C10862" s="3"/>
      <c r="D10862" s="3"/>
      <c r="E10862" s="3">
        <v>19</v>
      </c>
      <c r="F10862" s="4" t="str">
        <f>HYPERLINK("http://141.218.60.56/~jnz1568/getInfo.php?workbook=20_05.xlsx&amp;sheet=U0&amp;row=10862&amp;col=6&amp;number=4.8&amp;sourceID=14","4.8")</f>
        <v>4.8</v>
      </c>
      <c r="G10862" s="4" t="str">
        <f>HYPERLINK("http://141.218.60.56/~jnz1568/getInfo.php?workbook=20_05.xlsx&amp;sheet=U0&amp;row=10862&amp;col=7&amp;number=7.87e-05&amp;sourceID=14","7.87e-05")</f>
        <v>7.87e-05</v>
      </c>
    </row>
    <row r="10863" spans="1:7">
      <c r="A10863" s="3"/>
      <c r="B10863" s="3"/>
      <c r="C10863" s="3"/>
      <c r="D10863" s="3"/>
      <c r="E10863" s="3">
        <v>20</v>
      </c>
      <c r="F10863" s="4" t="str">
        <f>HYPERLINK("http://141.218.60.56/~jnz1568/getInfo.php?workbook=20_05.xlsx&amp;sheet=U0&amp;row=10863&amp;col=6&amp;number=4.9&amp;sourceID=14","4.9")</f>
        <v>4.9</v>
      </c>
      <c r="G10863" s="4" t="str">
        <f>HYPERLINK("http://141.218.60.56/~jnz1568/getInfo.php?workbook=20_05.xlsx&amp;sheet=U0&amp;row=10863&amp;col=7&amp;number=7.83e-05&amp;sourceID=14","7.83e-05")</f>
        <v>7.83e-05</v>
      </c>
    </row>
    <row r="10864" spans="1:7">
      <c r="A10864" s="3">
        <v>20</v>
      </c>
      <c r="B10864" s="3">
        <v>5</v>
      </c>
      <c r="C10864" s="3">
        <v>5</v>
      </c>
      <c r="D10864" s="3">
        <v>78</v>
      </c>
      <c r="E10864" s="3">
        <v>1</v>
      </c>
      <c r="F10864" s="4" t="str">
        <f>HYPERLINK("http://141.218.60.56/~jnz1568/getInfo.php?workbook=20_05.xlsx&amp;sheet=U0&amp;row=10864&amp;col=6&amp;number=3&amp;sourceID=14","3")</f>
        <v>3</v>
      </c>
      <c r="G10864" s="4" t="str">
        <f>HYPERLINK("http://141.218.60.56/~jnz1568/getInfo.php?workbook=20_05.xlsx&amp;sheet=U0&amp;row=10864&amp;col=7&amp;number=0.00318&amp;sourceID=14","0.00318")</f>
        <v>0.00318</v>
      </c>
    </row>
    <row r="10865" spans="1:7">
      <c r="A10865" s="3"/>
      <c r="B10865" s="3"/>
      <c r="C10865" s="3"/>
      <c r="D10865" s="3"/>
      <c r="E10865" s="3">
        <v>2</v>
      </c>
      <c r="F10865" s="4" t="str">
        <f>HYPERLINK("http://141.218.60.56/~jnz1568/getInfo.php?workbook=20_05.xlsx&amp;sheet=U0&amp;row=10865&amp;col=6&amp;number=3.1&amp;sourceID=14","3.1")</f>
        <v>3.1</v>
      </c>
      <c r="G10865" s="4" t="str">
        <f>HYPERLINK("http://141.218.60.56/~jnz1568/getInfo.php?workbook=20_05.xlsx&amp;sheet=U0&amp;row=10865&amp;col=7&amp;number=0.00318&amp;sourceID=14","0.00318")</f>
        <v>0.00318</v>
      </c>
    </row>
    <row r="10866" spans="1:7">
      <c r="A10866" s="3"/>
      <c r="B10866" s="3"/>
      <c r="C10866" s="3"/>
      <c r="D10866" s="3"/>
      <c r="E10866" s="3">
        <v>3</v>
      </c>
      <c r="F10866" s="4" t="str">
        <f>HYPERLINK("http://141.218.60.56/~jnz1568/getInfo.php?workbook=20_05.xlsx&amp;sheet=U0&amp;row=10866&amp;col=6&amp;number=3.2&amp;sourceID=14","3.2")</f>
        <v>3.2</v>
      </c>
      <c r="G10866" s="4" t="str">
        <f>HYPERLINK("http://141.218.60.56/~jnz1568/getInfo.php?workbook=20_05.xlsx&amp;sheet=U0&amp;row=10866&amp;col=7&amp;number=0.00318&amp;sourceID=14","0.00318")</f>
        <v>0.00318</v>
      </c>
    </row>
    <row r="10867" spans="1:7">
      <c r="A10867" s="3"/>
      <c r="B10867" s="3"/>
      <c r="C10867" s="3"/>
      <c r="D10867" s="3"/>
      <c r="E10867" s="3">
        <v>4</v>
      </c>
      <c r="F10867" s="4" t="str">
        <f>HYPERLINK("http://141.218.60.56/~jnz1568/getInfo.php?workbook=20_05.xlsx&amp;sheet=U0&amp;row=10867&amp;col=6&amp;number=3.3&amp;sourceID=14","3.3")</f>
        <v>3.3</v>
      </c>
      <c r="G10867" s="4" t="str">
        <f>HYPERLINK("http://141.218.60.56/~jnz1568/getInfo.php?workbook=20_05.xlsx&amp;sheet=U0&amp;row=10867&amp;col=7&amp;number=0.00317&amp;sourceID=14","0.00317")</f>
        <v>0.00317</v>
      </c>
    </row>
    <row r="10868" spans="1:7">
      <c r="A10868" s="3"/>
      <c r="B10868" s="3"/>
      <c r="C10868" s="3"/>
      <c r="D10868" s="3"/>
      <c r="E10868" s="3">
        <v>5</v>
      </c>
      <c r="F10868" s="4" t="str">
        <f>HYPERLINK("http://141.218.60.56/~jnz1568/getInfo.php?workbook=20_05.xlsx&amp;sheet=U0&amp;row=10868&amp;col=6&amp;number=3.4&amp;sourceID=14","3.4")</f>
        <v>3.4</v>
      </c>
      <c r="G10868" s="4" t="str">
        <f>HYPERLINK("http://141.218.60.56/~jnz1568/getInfo.php?workbook=20_05.xlsx&amp;sheet=U0&amp;row=10868&amp;col=7&amp;number=0.00317&amp;sourceID=14","0.00317")</f>
        <v>0.00317</v>
      </c>
    </row>
    <row r="10869" spans="1:7">
      <c r="A10869" s="3"/>
      <c r="B10869" s="3"/>
      <c r="C10869" s="3"/>
      <c r="D10869" s="3"/>
      <c r="E10869" s="3">
        <v>6</v>
      </c>
      <c r="F10869" s="4" t="str">
        <f>HYPERLINK("http://141.218.60.56/~jnz1568/getInfo.php?workbook=20_05.xlsx&amp;sheet=U0&amp;row=10869&amp;col=6&amp;number=3.5&amp;sourceID=14","3.5")</f>
        <v>3.5</v>
      </c>
      <c r="G10869" s="4" t="str">
        <f>HYPERLINK("http://141.218.60.56/~jnz1568/getInfo.php?workbook=20_05.xlsx&amp;sheet=U0&amp;row=10869&amp;col=7&amp;number=0.00317&amp;sourceID=14","0.00317")</f>
        <v>0.00317</v>
      </c>
    </row>
    <row r="10870" spans="1:7">
      <c r="A10870" s="3"/>
      <c r="B10870" s="3"/>
      <c r="C10870" s="3"/>
      <c r="D10870" s="3"/>
      <c r="E10870" s="3">
        <v>7</v>
      </c>
      <c r="F10870" s="4" t="str">
        <f>HYPERLINK("http://141.218.60.56/~jnz1568/getInfo.php?workbook=20_05.xlsx&amp;sheet=U0&amp;row=10870&amp;col=6&amp;number=3.6&amp;sourceID=14","3.6")</f>
        <v>3.6</v>
      </c>
      <c r="G10870" s="4" t="str">
        <f>HYPERLINK("http://141.218.60.56/~jnz1568/getInfo.php?workbook=20_05.xlsx&amp;sheet=U0&amp;row=10870&amp;col=7&amp;number=0.00317&amp;sourceID=14","0.00317")</f>
        <v>0.00317</v>
      </c>
    </row>
    <row r="10871" spans="1:7">
      <c r="A10871" s="3"/>
      <c r="B10871" s="3"/>
      <c r="C10871" s="3"/>
      <c r="D10871" s="3"/>
      <c r="E10871" s="3">
        <v>8</v>
      </c>
      <c r="F10871" s="4" t="str">
        <f>HYPERLINK("http://141.218.60.56/~jnz1568/getInfo.php?workbook=20_05.xlsx&amp;sheet=U0&amp;row=10871&amp;col=6&amp;number=3.7&amp;sourceID=14","3.7")</f>
        <v>3.7</v>
      </c>
      <c r="G10871" s="4" t="str">
        <f>HYPERLINK("http://141.218.60.56/~jnz1568/getInfo.php?workbook=20_05.xlsx&amp;sheet=U0&amp;row=10871&amp;col=7&amp;number=0.00317&amp;sourceID=14","0.00317")</f>
        <v>0.00317</v>
      </c>
    </row>
    <row r="10872" spans="1:7">
      <c r="A10872" s="3"/>
      <c r="B10872" s="3"/>
      <c r="C10872" s="3"/>
      <c r="D10872" s="3"/>
      <c r="E10872" s="3">
        <v>9</v>
      </c>
      <c r="F10872" s="4" t="str">
        <f>HYPERLINK("http://141.218.60.56/~jnz1568/getInfo.php?workbook=20_05.xlsx&amp;sheet=U0&amp;row=10872&amp;col=6&amp;number=3.8&amp;sourceID=14","3.8")</f>
        <v>3.8</v>
      </c>
      <c r="G10872" s="4" t="str">
        <f>HYPERLINK("http://141.218.60.56/~jnz1568/getInfo.php?workbook=20_05.xlsx&amp;sheet=U0&amp;row=10872&amp;col=7&amp;number=0.00317&amp;sourceID=14","0.00317")</f>
        <v>0.00317</v>
      </c>
    </row>
    <row r="10873" spans="1:7">
      <c r="A10873" s="3"/>
      <c r="B10873" s="3"/>
      <c r="C10873" s="3"/>
      <c r="D10873" s="3"/>
      <c r="E10873" s="3">
        <v>10</v>
      </c>
      <c r="F10873" s="4" t="str">
        <f>HYPERLINK("http://141.218.60.56/~jnz1568/getInfo.php?workbook=20_05.xlsx&amp;sheet=U0&amp;row=10873&amp;col=6&amp;number=3.9&amp;sourceID=14","3.9")</f>
        <v>3.9</v>
      </c>
      <c r="G10873" s="4" t="str">
        <f>HYPERLINK("http://141.218.60.56/~jnz1568/getInfo.php?workbook=20_05.xlsx&amp;sheet=U0&amp;row=10873&amp;col=7&amp;number=0.00317&amp;sourceID=14","0.00317")</f>
        <v>0.00317</v>
      </c>
    </row>
    <row r="10874" spans="1:7">
      <c r="A10874" s="3"/>
      <c r="B10874" s="3"/>
      <c r="C10874" s="3"/>
      <c r="D10874" s="3"/>
      <c r="E10874" s="3">
        <v>11</v>
      </c>
      <c r="F10874" s="4" t="str">
        <f>HYPERLINK("http://141.218.60.56/~jnz1568/getInfo.php?workbook=20_05.xlsx&amp;sheet=U0&amp;row=10874&amp;col=6&amp;number=4&amp;sourceID=14","4")</f>
        <v>4</v>
      </c>
      <c r="G10874" s="4" t="str">
        <f>HYPERLINK("http://141.218.60.56/~jnz1568/getInfo.php?workbook=20_05.xlsx&amp;sheet=U0&amp;row=10874&amp;col=7&amp;number=0.00317&amp;sourceID=14","0.00317")</f>
        <v>0.00317</v>
      </c>
    </row>
    <row r="10875" spans="1:7">
      <c r="A10875" s="3"/>
      <c r="B10875" s="3"/>
      <c r="C10875" s="3"/>
      <c r="D10875" s="3"/>
      <c r="E10875" s="3">
        <v>12</v>
      </c>
      <c r="F10875" s="4" t="str">
        <f>HYPERLINK("http://141.218.60.56/~jnz1568/getInfo.php?workbook=20_05.xlsx&amp;sheet=U0&amp;row=10875&amp;col=6&amp;number=4.1&amp;sourceID=14","4.1")</f>
        <v>4.1</v>
      </c>
      <c r="G10875" s="4" t="str">
        <f>HYPERLINK("http://141.218.60.56/~jnz1568/getInfo.php?workbook=20_05.xlsx&amp;sheet=U0&amp;row=10875&amp;col=7&amp;number=0.00316&amp;sourceID=14","0.00316")</f>
        <v>0.00316</v>
      </c>
    </row>
    <row r="10876" spans="1:7">
      <c r="A10876" s="3"/>
      <c r="B10876" s="3"/>
      <c r="C10876" s="3"/>
      <c r="D10876" s="3"/>
      <c r="E10876" s="3">
        <v>13</v>
      </c>
      <c r="F10876" s="4" t="str">
        <f>HYPERLINK("http://141.218.60.56/~jnz1568/getInfo.php?workbook=20_05.xlsx&amp;sheet=U0&amp;row=10876&amp;col=6&amp;number=4.2&amp;sourceID=14","4.2")</f>
        <v>4.2</v>
      </c>
      <c r="G10876" s="4" t="str">
        <f>HYPERLINK("http://141.218.60.56/~jnz1568/getInfo.php?workbook=20_05.xlsx&amp;sheet=U0&amp;row=10876&amp;col=7&amp;number=0.00316&amp;sourceID=14","0.00316")</f>
        <v>0.00316</v>
      </c>
    </row>
    <row r="10877" spans="1:7">
      <c r="A10877" s="3"/>
      <c r="B10877" s="3"/>
      <c r="C10877" s="3"/>
      <c r="D10877" s="3"/>
      <c r="E10877" s="3">
        <v>14</v>
      </c>
      <c r="F10877" s="4" t="str">
        <f>HYPERLINK("http://141.218.60.56/~jnz1568/getInfo.php?workbook=20_05.xlsx&amp;sheet=U0&amp;row=10877&amp;col=6&amp;number=4.3&amp;sourceID=14","4.3")</f>
        <v>4.3</v>
      </c>
      <c r="G10877" s="4" t="str">
        <f>HYPERLINK("http://141.218.60.56/~jnz1568/getInfo.php?workbook=20_05.xlsx&amp;sheet=U0&amp;row=10877&amp;col=7&amp;number=0.00315&amp;sourceID=14","0.00315")</f>
        <v>0.00315</v>
      </c>
    </row>
    <row r="10878" spans="1:7">
      <c r="A10878" s="3"/>
      <c r="B10878" s="3"/>
      <c r="C10878" s="3"/>
      <c r="D10878" s="3"/>
      <c r="E10878" s="3">
        <v>15</v>
      </c>
      <c r="F10878" s="4" t="str">
        <f>HYPERLINK("http://141.218.60.56/~jnz1568/getInfo.php?workbook=20_05.xlsx&amp;sheet=U0&amp;row=10878&amp;col=6&amp;number=4.4&amp;sourceID=14","4.4")</f>
        <v>4.4</v>
      </c>
      <c r="G10878" s="4" t="str">
        <f>HYPERLINK("http://141.218.60.56/~jnz1568/getInfo.php?workbook=20_05.xlsx&amp;sheet=U0&amp;row=10878&amp;col=7&amp;number=0.00315&amp;sourceID=14","0.00315")</f>
        <v>0.00315</v>
      </c>
    </row>
    <row r="10879" spans="1:7">
      <c r="A10879" s="3"/>
      <c r="B10879" s="3"/>
      <c r="C10879" s="3"/>
      <c r="D10879" s="3"/>
      <c r="E10879" s="3">
        <v>16</v>
      </c>
      <c r="F10879" s="4" t="str">
        <f>HYPERLINK("http://141.218.60.56/~jnz1568/getInfo.php?workbook=20_05.xlsx&amp;sheet=U0&amp;row=10879&amp;col=6&amp;number=4.5&amp;sourceID=14","4.5")</f>
        <v>4.5</v>
      </c>
      <c r="G10879" s="4" t="str">
        <f>HYPERLINK("http://141.218.60.56/~jnz1568/getInfo.php?workbook=20_05.xlsx&amp;sheet=U0&amp;row=10879&amp;col=7&amp;number=0.00314&amp;sourceID=14","0.00314")</f>
        <v>0.00314</v>
      </c>
    </row>
    <row r="10880" spans="1:7">
      <c r="A10880" s="3"/>
      <c r="B10880" s="3"/>
      <c r="C10880" s="3"/>
      <c r="D10880" s="3"/>
      <c r="E10880" s="3">
        <v>17</v>
      </c>
      <c r="F10880" s="4" t="str">
        <f>HYPERLINK("http://141.218.60.56/~jnz1568/getInfo.php?workbook=20_05.xlsx&amp;sheet=U0&amp;row=10880&amp;col=6&amp;number=4.6&amp;sourceID=14","4.6")</f>
        <v>4.6</v>
      </c>
      <c r="G10880" s="4" t="str">
        <f>HYPERLINK("http://141.218.60.56/~jnz1568/getInfo.php?workbook=20_05.xlsx&amp;sheet=U0&amp;row=10880&amp;col=7&amp;number=0.00313&amp;sourceID=14","0.00313")</f>
        <v>0.00313</v>
      </c>
    </row>
    <row r="10881" spans="1:7">
      <c r="A10881" s="3"/>
      <c r="B10881" s="3"/>
      <c r="C10881" s="3"/>
      <c r="D10881" s="3"/>
      <c r="E10881" s="3">
        <v>18</v>
      </c>
      <c r="F10881" s="4" t="str">
        <f>HYPERLINK("http://141.218.60.56/~jnz1568/getInfo.php?workbook=20_05.xlsx&amp;sheet=U0&amp;row=10881&amp;col=6&amp;number=4.7&amp;sourceID=14","4.7")</f>
        <v>4.7</v>
      </c>
      <c r="G10881" s="4" t="str">
        <f>HYPERLINK("http://141.218.60.56/~jnz1568/getInfo.php?workbook=20_05.xlsx&amp;sheet=U0&amp;row=10881&amp;col=7&amp;number=0.00312&amp;sourceID=14","0.00312")</f>
        <v>0.00312</v>
      </c>
    </row>
    <row r="10882" spans="1:7">
      <c r="A10882" s="3"/>
      <c r="B10882" s="3"/>
      <c r="C10882" s="3"/>
      <c r="D10882" s="3"/>
      <c r="E10882" s="3">
        <v>19</v>
      </c>
      <c r="F10882" s="4" t="str">
        <f>HYPERLINK("http://141.218.60.56/~jnz1568/getInfo.php?workbook=20_05.xlsx&amp;sheet=U0&amp;row=10882&amp;col=6&amp;number=4.8&amp;sourceID=14","4.8")</f>
        <v>4.8</v>
      </c>
      <c r="G10882" s="4" t="str">
        <f>HYPERLINK("http://141.218.60.56/~jnz1568/getInfo.php?workbook=20_05.xlsx&amp;sheet=U0&amp;row=10882&amp;col=7&amp;number=0.00311&amp;sourceID=14","0.00311")</f>
        <v>0.00311</v>
      </c>
    </row>
    <row r="10883" spans="1:7">
      <c r="A10883" s="3"/>
      <c r="B10883" s="3"/>
      <c r="C10883" s="3"/>
      <c r="D10883" s="3"/>
      <c r="E10883" s="3">
        <v>20</v>
      </c>
      <c r="F10883" s="4" t="str">
        <f>HYPERLINK("http://141.218.60.56/~jnz1568/getInfo.php?workbook=20_05.xlsx&amp;sheet=U0&amp;row=10883&amp;col=6&amp;number=4.9&amp;sourceID=14","4.9")</f>
        <v>4.9</v>
      </c>
      <c r="G10883" s="4" t="str">
        <f>HYPERLINK("http://141.218.60.56/~jnz1568/getInfo.php?workbook=20_05.xlsx&amp;sheet=U0&amp;row=10883&amp;col=7&amp;number=0.00309&amp;sourceID=14","0.00309")</f>
        <v>0.00309</v>
      </c>
    </row>
    <row r="10884" spans="1:7">
      <c r="A10884" s="3">
        <v>20</v>
      </c>
      <c r="B10884" s="3">
        <v>5</v>
      </c>
      <c r="C10884" s="3">
        <v>5</v>
      </c>
      <c r="D10884" s="3">
        <v>79</v>
      </c>
      <c r="E10884" s="3">
        <v>1</v>
      </c>
      <c r="F10884" s="4" t="str">
        <f>HYPERLINK("http://141.218.60.56/~jnz1568/getInfo.php?workbook=20_05.xlsx&amp;sheet=U0&amp;row=10884&amp;col=6&amp;number=3&amp;sourceID=14","3")</f>
        <v>3</v>
      </c>
      <c r="G10884" s="4" t="str">
        <f>HYPERLINK("http://141.218.60.56/~jnz1568/getInfo.php?workbook=20_05.xlsx&amp;sheet=U0&amp;row=10884&amp;col=7&amp;number=0.00329&amp;sourceID=14","0.00329")</f>
        <v>0.00329</v>
      </c>
    </row>
    <row r="10885" spans="1:7">
      <c r="A10885" s="3"/>
      <c r="B10885" s="3"/>
      <c r="C10885" s="3"/>
      <c r="D10885" s="3"/>
      <c r="E10885" s="3">
        <v>2</v>
      </c>
      <c r="F10885" s="4" t="str">
        <f>HYPERLINK("http://141.218.60.56/~jnz1568/getInfo.php?workbook=20_05.xlsx&amp;sheet=U0&amp;row=10885&amp;col=6&amp;number=3.1&amp;sourceID=14","3.1")</f>
        <v>3.1</v>
      </c>
      <c r="G10885" s="4" t="str">
        <f>HYPERLINK("http://141.218.60.56/~jnz1568/getInfo.php?workbook=20_05.xlsx&amp;sheet=U0&amp;row=10885&amp;col=7&amp;number=0.00329&amp;sourceID=14","0.00329")</f>
        <v>0.00329</v>
      </c>
    </row>
    <row r="10886" spans="1:7">
      <c r="A10886" s="3"/>
      <c r="B10886" s="3"/>
      <c r="C10886" s="3"/>
      <c r="D10886" s="3"/>
      <c r="E10886" s="3">
        <v>3</v>
      </c>
      <c r="F10886" s="4" t="str">
        <f>HYPERLINK("http://141.218.60.56/~jnz1568/getInfo.php?workbook=20_05.xlsx&amp;sheet=U0&amp;row=10886&amp;col=6&amp;number=3.2&amp;sourceID=14","3.2")</f>
        <v>3.2</v>
      </c>
      <c r="G10886" s="4" t="str">
        <f>HYPERLINK("http://141.218.60.56/~jnz1568/getInfo.php?workbook=20_05.xlsx&amp;sheet=U0&amp;row=10886&amp;col=7&amp;number=0.00329&amp;sourceID=14","0.00329")</f>
        <v>0.00329</v>
      </c>
    </row>
    <row r="10887" spans="1:7">
      <c r="A10887" s="3"/>
      <c r="B10887" s="3"/>
      <c r="C10887" s="3"/>
      <c r="D10887" s="3"/>
      <c r="E10887" s="3">
        <v>4</v>
      </c>
      <c r="F10887" s="4" t="str">
        <f>HYPERLINK("http://141.218.60.56/~jnz1568/getInfo.php?workbook=20_05.xlsx&amp;sheet=U0&amp;row=10887&amp;col=6&amp;number=3.3&amp;sourceID=14","3.3")</f>
        <v>3.3</v>
      </c>
      <c r="G10887" s="4" t="str">
        <f>HYPERLINK("http://141.218.60.56/~jnz1568/getInfo.php?workbook=20_05.xlsx&amp;sheet=U0&amp;row=10887&amp;col=7&amp;number=0.00329&amp;sourceID=14","0.00329")</f>
        <v>0.00329</v>
      </c>
    </row>
    <row r="10888" spans="1:7">
      <c r="A10888" s="3"/>
      <c r="B10888" s="3"/>
      <c r="C10888" s="3"/>
      <c r="D10888" s="3"/>
      <c r="E10888" s="3">
        <v>5</v>
      </c>
      <c r="F10888" s="4" t="str">
        <f>HYPERLINK("http://141.218.60.56/~jnz1568/getInfo.php?workbook=20_05.xlsx&amp;sheet=U0&amp;row=10888&amp;col=6&amp;number=3.4&amp;sourceID=14","3.4")</f>
        <v>3.4</v>
      </c>
      <c r="G10888" s="4" t="str">
        <f>HYPERLINK("http://141.218.60.56/~jnz1568/getInfo.php?workbook=20_05.xlsx&amp;sheet=U0&amp;row=10888&amp;col=7&amp;number=0.00329&amp;sourceID=14","0.00329")</f>
        <v>0.00329</v>
      </c>
    </row>
    <row r="10889" spans="1:7">
      <c r="A10889" s="3"/>
      <c r="B10889" s="3"/>
      <c r="C10889" s="3"/>
      <c r="D10889" s="3"/>
      <c r="E10889" s="3">
        <v>6</v>
      </c>
      <c r="F10889" s="4" t="str">
        <f>HYPERLINK("http://141.218.60.56/~jnz1568/getInfo.php?workbook=20_05.xlsx&amp;sheet=U0&amp;row=10889&amp;col=6&amp;number=3.5&amp;sourceID=14","3.5")</f>
        <v>3.5</v>
      </c>
      <c r="G10889" s="4" t="str">
        <f>HYPERLINK("http://141.218.60.56/~jnz1568/getInfo.php?workbook=20_05.xlsx&amp;sheet=U0&amp;row=10889&amp;col=7&amp;number=0.00329&amp;sourceID=14","0.00329")</f>
        <v>0.00329</v>
      </c>
    </row>
    <row r="10890" spans="1:7">
      <c r="A10890" s="3"/>
      <c r="B10890" s="3"/>
      <c r="C10890" s="3"/>
      <c r="D10890" s="3"/>
      <c r="E10890" s="3">
        <v>7</v>
      </c>
      <c r="F10890" s="4" t="str">
        <f>HYPERLINK("http://141.218.60.56/~jnz1568/getInfo.php?workbook=20_05.xlsx&amp;sheet=U0&amp;row=10890&amp;col=6&amp;number=3.6&amp;sourceID=14","3.6")</f>
        <v>3.6</v>
      </c>
      <c r="G10890" s="4" t="str">
        <f>HYPERLINK("http://141.218.60.56/~jnz1568/getInfo.php?workbook=20_05.xlsx&amp;sheet=U0&amp;row=10890&amp;col=7&amp;number=0.00329&amp;sourceID=14","0.00329")</f>
        <v>0.00329</v>
      </c>
    </row>
    <row r="10891" spans="1:7">
      <c r="A10891" s="3"/>
      <c r="B10891" s="3"/>
      <c r="C10891" s="3"/>
      <c r="D10891" s="3"/>
      <c r="E10891" s="3">
        <v>8</v>
      </c>
      <c r="F10891" s="4" t="str">
        <f>HYPERLINK("http://141.218.60.56/~jnz1568/getInfo.php?workbook=20_05.xlsx&amp;sheet=U0&amp;row=10891&amp;col=6&amp;number=3.7&amp;sourceID=14","3.7")</f>
        <v>3.7</v>
      </c>
      <c r="G10891" s="4" t="str">
        <f>HYPERLINK("http://141.218.60.56/~jnz1568/getInfo.php?workbook=20_05.xlsx&amp;sheet=U0&amp;row=10891&amp;col=7&amp;number=0.00329&amp;sourceID=14","0.00329")</f>
        <v>0.00329</v>
      </c>
    </row>
    <row r="10892" spans="1:7">
      <c r="A10892" s="3"/>
      <c r="B10892" s="3"/>
      <c r="C10892" s="3"/>
      <c r="D10892" s="3"/>
      <c r="E10892" s="3">
        <v>9</v>
      </c>
      <c r="F10892" s="4" t="str">
        <f>HYPERLINK("http://141.218.60.56/~jnz1568/getInfo.php?workbook=20_05.xlsx&amp;sheet=U0&amp;row=10892&amp;col=6&amp;number=3.8&amp;sourceID=14","3.8")</f>
        <v>3.8</v>
      </c>
      <c r="G10892" s="4" t="str">
        <f>HYPERLINK("http://141.218.60.56/~jnz1568/getInfo.php?workbook=20_05.xlsx&amp;sheet=U0&amp;row=10892&amp;col=7&amp;number=0.00329&amp;sourceID=14","0.00329")</f>
        <v>0.00329</v>
      </c>
    </row>
    <row r="10893" spans="1:7">
      <c r="A10893" s="3"/>
      <c r="B10893" s="3"/>
      <c r="C10893" s="3"/>
      <c r="D10893" s="3"/>
      <c r="E10893" s="3">
        <v>10</v>
      </c>
      <c r="F10893" s="4" t="str">
        <f>HYPERLINK("http://141.218.60.56/~jnz1568/getInfo.php?workbook=20_05.xlsx&amp;sheet=U0&amp;row=10893&amp;col=6&amp;number=3.9&amp;sourceID=14","3.9")</f>
        <v>3.9</v>
      </c>
      <c r="G10893" s="4" t="str">
        <f>HYPERLINK("http://141.218.60.56/~jnz1568/getInfo.php?workbook=20_05.xlsx&amp;sheet=U0&amp;row=10893&amp;col=7&amp;number=0.00329&amp;sourceID=14","0.00329")</f>
        <v>0.00329</v>
      </c>
    </row>
    <row r="10894" spans="1:7">
      <c r="A10894" s="3"/>
      <c r="B10894" s="3"/>
      <c r="C10894" s="3"/>
      <c r="D10894" s="3"/>
      <c r="E10894" s="3">
        <v>11</v>
      </c>
      <c r="F10894" s="4" t="str">
        <f>HYPERLINK("http://141.218.60.56/~jnz1568/getInfo.php?workbook=20_05.xlsx&amp;sheet=U0&amp;row=10894&amp;col=6&amp;number=4&amp;sourceID=14","4")</f>
        <v>4</v>
      </c>
      <c r="G10894" s="4" t="str">
        <f>HYPERLINK("http://141.218.60.56/~jnz1568/getInfo.php?workbook=20_05.xlsx&amp;sheet=U0&amp;row=10894&amp;col=7&amp;number=0.00328&amp;sourceID=14","0.00328")</f>
        <v>0.00328</v>
      </c>
    </row>
    <row r="10895" spans="1:7">
      <c r="A10895" s="3"/>
      <c r="B10895" s="3"/>
      <c r="C10895" s="3"/>
      <c r="D10895" s="3"/>
      <c r="E10895" s="3">
        <v>12</v>
      </c>
      <c r="F10895" s="4" t="str">
        <f>HYPERLINK("http://141.218.60.56/~jnz1568/getInfo.php?workbook=20_05.xlsx&amp;sheet=U0&amp;row=10895&amp;col=6&amp;number=4.1&amp;sourceID=14","4.1")</f>
        <v>4.1</v>
      </c>
      <c r="G10895" s="4" t="str">
        <f>HYPERLINK("http://141.218.60.56/~jnz1568/getInfo.php?workbook=20_05.xlsx&amp;sheet=U0&amp;row=10895&amp;col=7&amp;number=0.00328&amp;sourceID=14","0.00328")</f>
        <v>0.00328</v>
      </c>
    </row>
    <row r="10896" spans="1:7">
      <c r="A10896" s="3"/>
      <c r="B10896" s="3"/>
      <c r="C10896" s="3"/>
      <c r="D10896" s="3"/>
      <c r="E10896" s="3">
        <v>13</v>
      </c>
      <c r="F10896" s="4" t="str">
        <f>HYPERLINK("http://141.218.60.56/~jnz1568/getInfo.php?workbook=20_05.xlsx&amp;sheet=U0&amp;row=10896&amp;col=6&amp;number=4.2&amp;sourceID=14","4.2")</f>
        <v>4.2</v>
      </c>
      <c r="G10896" s="4" t="str">
        <f>HYPERLINK("http://141.218.60.56/~jnz1568/getInfo.php?workbook=20_05.xlsx&amp;sheet=U0&amp;row=10896&amp;col=7&amp;number=0.00328&amp;sourceID=14","0.00328")</f>
        <v>0.00328</v>
      </c>
    </row>
    <row r="10897" spans="1:7">
      <c r="A10897" s="3"/>
      <c r="B10897" s="3"/>
      <c r="C10897" s="3"/>
      <c r="D10897" s="3"/>
      <c r="E10897" s="3">
        <v>14</v>
      </c>
      <c r="F10897" s="4" t="str">
        <f>HYPERLINK("http://141.218.60.56/~jnz1568/getInfo.php?workbook=20_05.xlsx&amp;sheet=U0&amp;row=10897&amp;col=6&amp;number=4.3&amp;sourceID=14","4.3")</f>
        <v>4.3</v>
      </c>
      <c r="G10897" s="4" t="str">
        <f>HYPERLINK("http://141.218.60.56/~jnz1568/getInfo.php?workbook=20_05.xlsx&amp;sheet=U0&amp;row=10897&amp;col=7&amp;number=0.00327&amp;sourceID=14","0.00327")</f>
        <v>0.00327</v>
      </c>
    </row>
    <row r="10898" spans="1:7">
      <c r="A10898" s="3"/>
      <c r="B10898" s="3"/>
      <c r="C10898" s="3"/>
      <c r="D10898" s="3"/>
      <c r="E10898" s="3">
        <v>15</v>
      </c>
      <c r="F10898" s="4" t="str">
        <f>HYPERLINK("http://141.218.60.56/~jnz1568/getInfo.php?workbook=20_05.xlsx&amp;sheet=U0&amp;row=10898&amp;col=6&amp;number=4.4&amp;sourceID=14","4.4")</f>
        <v>4.4</v>
      </c>
      <c r="G10898" s="4" t="str">
        <f>HYPERLINK("http://141.218.60.56/~jnz1568/getInfo.php?workbook=20_05.xlsx&amp;sheet=U0&amp;row=10898&amp;col=7&amp;number=0.00327&amp;sourceID=14","0.00327")</f>
        <v>0.00327</v>
      </c>
    </row>
    <row r="10899" spans="1:7">
      <c r="A10899" s="3"/>
      <c r="B10899" s="3"/>
      <c r="C10899" s="3"/>
      <c r="D10899" s="3"/>
      <c r="E10899" s="3">
        <v>16</v>
      </c>
      <c r="F10899" s="4" t="str">
        <f>HYPERLINK("http://141.218.60.56/~jnz1568/getInfo.php?workbook=20_05.xlsx&amp;sheet=U0&amp;row=10899&amp;col=6&amp;number=4.5&amp;sourceID=14","4.5")</f>
        <v>4.5</v>
      </c>
      <c r="G10899" s="4" t="str">
        <f>HYPERLINK("http://141.218.60.56/~jnz1568/getInfo.php?workbook=20_05.xlsx&amp;sheet=U0&amp;row=10899&amp;col=7&amp;number=0.00326&amp;sourceID=14","0.00326")</f>
        <v>0.00326</v>
      </c>
    </row>
    <row r="10900" spans="1:7">
      <c r="A10900" s="3"/>
      <c r="B10900" s="3"/>
      <c r="C10900" s="3"/>
      <c r="D10900" s="3"/>
      <c r="E10900" s="3">
        <v>17</v>
      </c>
      <c r="F10900" s="4" t="str">
        <f>HYPERLINK("http://141.218.60.56/~jnz1568/getInfo.php?workbook=20_05.xlsx&amp;sheet=U0&amp;row=10900&amp;col=6&amp;number=4.6&amp;sourceID=14","4.6")</f>
        <v>4.6</v>
      </c>
      <c r="G10900" s="4" t="str">
        <f>HYPERLINK("http://141.218.60.56/~jnz1568/getInfo.php?workbook=20_05.xlsx&amp;sheet=U0&amp;row=10900&amp;col=7&amp;number=0.00325&amp;sourceID=14","0.00325")</f>
        <v>0.00325</v>
      </c>
    </row>
    <row r="10901" spans="1:7">
      <c r="A10901" s="3"/>
      <c r="B10901" s="3"/>
      <c r="C10901" s="3"/>
      <c r="D10901" s="3"/>
      <c r="E10901" s="3">
        <v>18</v>
      </c>
      <c r="F10901" s="4" t="str">
        <f>HYPERLINK("http://141.218.60.56/~jnz1568/getInfo.php?workbook=20_05.xlsx&amp;sheet=U0&amp;row=10901&amp;col=6&amp;number=4.7&amp;sourceID=14","4.7")</f>
        <v>4.7</v>
      </c>
      <c r="G10901" s="4" t="str">
        <f>HYPERLINK("http://141.218.60.56/~jnz1568/getInfo.php?workbook=20_05.xlsx&amp;sheet=U0&amp;row=10901&amp;col=7&amp;number=0.00324&amp;sourceID=14","0.00324")</f>
        <v>0.00324</v>
      </c>
    </row>
    <row r="10902" spans="1:7">
      <c r="A10902" s="3"/>
      <c r="B10902" s="3"/>
      <c r="C10902" s="3"/>
      <c r="D10902" s="3"/>
      <c r="E10902" s="3">
        <v>19</v>
      </c>
      <c r="F10902" s="4" t="str">
        <f>HYPERLINK("http://141.218.60.56/~jnz1568/getInfo.php?workbook=20_05.xlsx&amp;sheet=U0&amp;row=10902&amp;col=6&amp;number=4.8&amp;sourceID=14","4.8")</f>
        <v>4.8</v>
      </c>
      <c r="G10902" s="4" t="str">
        <f>HYPERLINK("http://141.218.60.56/~jnz1568/getInfo.php?workbook=20_05.xlsx&amp;sheet=U0&amp;row=10902&amp;col=7&amp;number=0.00322&amp;sourceID=14","0.00322")</f>
        <v>0.00322</v>
      </c>
    </row>
    <row r="10903" spans="1:7">
      <c r="A10903" s="3"/>
      <c r="B10903" s="3"/>
      <c r="C10903" s="3"/>
      <c r="D10903" s="3"/>
      <c r="E10903" s="3">
        <v>20</v>
      </c>
      <c r="F10903" s="4" t="str">
        <f>HYPERLINK("http://141.218.60.56/~jnz1568/getInfo.php?workbook=20_05.xlsx&amp;sheet=U0&amp;row=10903&amp;col=6&amp;number=4.9&amp;sourceID=14","4.9")</f>
        <v>4.9</v>
      </c>
      <c r="G10903" s="4" t="str">
        <f>HYPERLINK("http://141.218.60.56/~jnz1568/getInfo.php?workbook=20_05.xlsx&amp;sheet=U0&amp;row=10903&amp;col=7&amp;number=0.0032&amp;sourceID=14","0.0032")</f>
        <v>0.0032</v>
      </c>
    </row>
    <row r="10904" spans="1:7">
      <c r="A10904" s="3">
        <v>20</v>
      </c>
      <c r="B10904" s="3">
        <v>5</v>
      </c>
      <c r="C10904" s="3">
        <v>5</v>
      </c>
      <c r="D10904" s="3">
        <v>80</v>
      </c>
      <c r="E10904" s="3">
        <v>1</v>
      </c>
      <c r="F10904" s="4" t="str">
        <f>HYPERLINK("http://141.218.60.56/~jnz1568/getInfo.php?workbook=20_05.xlsx&amp;sheet=U0&amp;row=10904&amp;col=6&amp;number=3&amp;sourceID=14","3")</f>
        <v>3</v>
      </c>
      <c r="G10904" s="4" t="str">
        <f>HYPERLINK("http://141.218.60.56/~jnz1568/getInfo.php?workbook=20_05.xlsx&amp;sheet=U0&amp;row=10904&amp;col=7&amp;number=2.08e-05&amp;sourceID=14","2.08e-05")</f>
        <v>2.08e-05</v>
      </c>
    </row>
    <row r="10905" spans="1:7">
      <c r="A10905" s="3"/>
      <c r="B10905" s="3"/>
      <c r="C10905" s="3"/>
      <c r="D10905" s="3"/>
      <c r="E10905" s="3">
        <v>2</v>
      </c>
      <c r="F10905" s="4" t="str">
        <f>HYPERLINK("http://141.218.60.56/~jnz1568/getInfo.php?workbook=20_05.xlsx&amp;sheet=U0&amp;row=10905&amp;col=6&amp;number=3.1&amp;sourceID=14","3.1")</f>
        <v>3.1</v>
      </c>
      <c r="G10905" s="4" t="str">
        <f>HYPERLINK("http://141.218.60.56/~jnz1568/getInfo.php?workbook=20_05.xlsx&amp;sheet=U0&amp;row=10905&amp;col=7&amp;number=2.08e-05&amp;sourceID=14","2.08e-05")</f>
        <v>2.08e-05</v>
      </c>
    </row>
    <row r="10906" spans="1:7">
      <c r="A10906" s="3"/>
      <c r="B10906" s="3"/>
      <c r="C10906" s="3"/>
      <c r="D10906" s="3"/>
      <c r="E10906" s="3">
        <v>3</v>
      </c>
      <c r="F10906" s="4" t="str">
        <f>HYPERLINK("http://141.218.60.56/~jnz1568/getInfo.php?workbook=20_05.xlsx&amp;sheet=U0&amp;row=10906&amp;col=6&amp;number=3.2&amp;sourceID=14","3.2")</f>
        <v>3.2</v>
      </c>
      <c r="G10906" s="4" t="str">
        <f>HYPERLINK("http://141.218.60.56/~jnz1568/getInfo.php?workbook=20_05.xlsx&amp;sheet=U0&amp;row=10906&amp;col=7&amp;number=2.08e-05&amp;sourceID=14","2.08e-05")</f>
        <v>2.08e-05</v>
      </c>
    </row>
    <row r="10907" spans="1:7">
      <c r="A10907" s="3"/>
      <c r="B10907" s="3"/>
      <c r="C10907" s="3"/>
      <c r="D10907" s="3"/>
      <c r="E10907" s="3">
        <v>4</v>
      </c>
      <c r="F10907" s="4" t="str">
        <f>HYPERLINK("http://141.218.60.56/~jnz1568/getInfo.php?workbook=20_05.xlsx&amp;sheet=U0&amp;row=10907&amp;col=6&amp;number=3.3&amp;sourceID=14","3.3")</f>
        <v>3.3</v>
      </c>
      <c r="G10907" s="4" t="str">
        <f>HYPERLINK("http://141.218.60.56/~jnz1568/getInfo.php?workbook=20_05.xlsx&amp;sheet=U0&amp;row=10907&amp;col=7&amp;number=2.08e-05&amp;sourceID=14","2.08e-05")</f>
        <v>2.08e-05</v>
      </c>
    </row>
    <row r="10908" spans="1:7">
      <c r="A10908" s="3"/>
      <c r="B10908" s="3"/>
      <c r="C10908" s="3"/>
      <c r="D10908" s="3"/>
      <c r="E10908" s="3">
        <v>5</v>
      </c>
      <c r="F10908" s="4" t="str">
        <f>HYPERLINK("http://141.218.60.56/~jnz1568/getInfo.php?workbook=20_05.xlsx&amp;sheet=U0&amp;row=10908&amp;col=6&amp;number=3.4&amp;sourceID=14","3.4")</f>
        <v>3.4</v>
      </c>
      <c r="G10908" s="4" t="str">
        <f>HYPERLINK("http://141.218.60.56/~jnz1568/getInfo.php?workbook=20_05.xlsx&amp;sheet=U0&amp;row=10908&amp;col=7&amp;number=2.08e-05&amp;sourceID=14","2.08e-05")</f>
        <v>2.08e-05</v>
      </c>
    </row>
    <row r="10909" spans="1:7">
      <c r="A10909" s="3"/>
      <c r="B10909" s="3"/>
      <c r="C10909" s="3"/>
      <c r="D10909" s="3"/>
      <c r="E10909" s="3">
        <v>6</v>
      </c>
      <c r="F10909" s="4" t="str">
        <f>HYPERLINK("http://141.218.60.56/~jnz1568/getInfo.php?workbook=20_05.xlsx&amp;sheet=U0&amp;row=10909&amp;col=6&amp;number=3.5&amp;sourceID=14","3.5")</f>
        <v>3.5</v>
      </c>
      <c r="G10909" s="4" t="str">
        <f>HYPERLINK("http://141.218.60.56/~jnz1568/getInfo.php?workbook=20_05.xlsx&amp;sheet=U0&amp;row=10909&amp;col=7&amp;number=2.08e-05&amp;sourceID=14","2.08e-05")</f>
        <v>2.08e-05</v>
      </c>
    </row>
    <row r="10910" spans="1:7">
      <c r="A10910" s="3"/>
      <c r="B10910" s="3"/>
      <c r="C10910" s="3"/>
      <c r="D10910" s="3"/>
      <c r="E10910" s="3">
        <v>7</v>
      </c>
      <c r="F10910" s="4" t="str">
        <f>HYPERLINK("http://141.218.60.56/~jnz1568/getInfo.php?workbook=20_05.xlsx&amp;sheet=U0&amp;row=10910&amp;col=6&amp;number=3.6&amp;sourceID=14","3.6")</f>
        <v>3.6</v>
      </c>
      <c r="G10910" s="4" t="str">
        <f>HYPERLINK("http://141.218.60.56/~jnz1568/getInfo.php?workbook=20_05.xlsx&amp;sheet=U0&amp;row=10910&amp;col=7&amp;number=2.08e-05&amp;sourceID=14","2.08e-05")</f>
        <v>2.08e-05</v>
      </c>
    </row>
    <row r="10911" spans="1:7">
      <c r="A10911" s="3"/>
      <c r="B10911" s="3"/>
      <c r="C10911" s="3"/>
      <c r="D10911" s="3"/>
      <c r="E10911" s="3">
        <v>8</v>
      </c>
      <c r="F10911" s="4" t="str">
        <f>HYPERLINK("http://141.218.60.56/~jnz1568/getInfo.php?workbook=20_05.xlsx&amp;sheet=U0&amp;row=10911&amp;col=6&amp;number=3.7&amp;sourceID=14","3.7")</f>
        <v>3.7</v>
      </c>
      <c r="G10911" s="4" t="str">
        <f>HYPERLINK("http://141.218.60.56/~jnz1568/getInfo.php?workbook=20_05.xlsx&amp;sheet=U0&amp;row=10911&amp;col=7&amp;number=2.08e-05&amp;sourceID=14","2.08e-05")</f>
        <v>2.08e-05</v>
      </c>
    </row>
    <row r="10912" spans="1:7">
      <c r="A10912" s="3"/>
      <c r="B10912" s="3"/>
      <c r="C10912" s="3"/>
      <c r="D10912" s="3"/>
      <c r="E10912" s="3">
        <v>9</v>
      </c>
      <c r="F10912" s="4" t="str">
        <f>HYPERLINK("http://141.218.60.56/~jnz1568/getInfo.php?workbook=20_05.xlsx&amp;sheet=U0&amp;row=10912&amp;col=6&amp;number=3.8&amp;sourceID=14","3.8")</f>
        <v>3.8</v>
      </c>
      <c r="G10912" s="4" t="str">
        <f>HYPERLINK("http://141.218.60.56/~jnz1568/getInfo.php?workbook=20_05.xlsx&amp;sheet=U0&amp;row=10912&amp;col=7&amp;number=2.08e-05&amp;sourceID=14","2.08e-05")</f>
        <v>2.08e-05</v>
      </c>
    </row>
    <row r="10913" spans="1:7">
      <c r="A10913" s="3"/>
      <c r="B10913" s="3"/>
      <c r="C10913" s="3"/>
      <c r="D10913" s="3"/>
      <c r="E10913" s="3">
        <v>10</v>
      </c>
      <c r="F10913" s="4" t="str">
        <f>HYPERLINK("http://141.218.60.56/~jnz1568/getInfo.php?workbook=20_05.xlsx&amp;sheet=U0&amp;row=10913&amp;col=6&amp;number=3.9&amp;sourceID=14","3.9")</f>
        <v>3.9</v>
      </c>
      <c r="G10913" s="4" t="str">
        <f>HYPERLINK("http://141.218.60.56/~jnz1568/getInfo.php?workbook=20_05.xlsx&amp;sheet=U0&amp;row=10913&amp;col=7&amp;number=2.08e-05&amp;sourceID=14","2.08e-05")</f>
        <v>2.08e-05</v>
      </c>
    </row>
    <row r="10914" spans="1:7">
      <c r="A10914" s="3"/>
      <c r="B10914" s="3"/>
      <c r="C10914" s="3"/>
      <c r="D10914" s="3"/>
      <c r="E10914" s="3">
        <v>11</v>
      </c>
      <c r="F10914" s="4" t="str">
        <f>HYPERLINK("http://141.218.60.56/~jnz1568/getInfo.php?workbook=20_05.xlsx&amp;sheet=U0&amp;row=10914&amp;col=6&amp;number=4&amp;sourceID=14","4")</f>
        <v>4</v>
      </c>
      <c r="G10914" s="4" t="str">
        <f>HYPERLINK("http://141.218.60.56/~jnz1568/getInfo.php?workbook=20_05.xlsx&amp;sheet=U0&amp;row=10914&amp;col=7&amp;number=2.07e-05&amp;sourceID=14","2.07e-05")</f>
        <v>2.07e-05</v>
      </c>
    </row>
    <row r="10915" spans="1:7">
      <c r="A10915" s="3"/>
      <c r="B10915" s="3"/>
      <c r="C10915" s="3"/>
      <c r="D10915" s="3"/>
      <c r="E10915" s="3">
        <v>12</v>
      </c>
      <c r="F10915" s="4" t="str">
        <f>HYPERLINK("http://141.218.60.56/~jnz1568/getInfo.php?workbook=20_05.xlsx&amp;sheet=U0&amp;row=10915&amp;col=6&amp;number=4.1&amp;sourceID=14","4.1")</f>
        <v>4.1</v>
      </c>
      <c r="G10915" s="4" t="str">
        <f>HYPERLINK("http://141.218.60.56/~jnz1568/getInfo.php?workbook=20_05.xlsx&amp;sheet=U0&amp;row=10915&amp;col=7&amp;number=2.07e-05&amp;sourceID=14","2.07e-05")</f>
        <v>2.07e-05</v>
      </c>
    </row>
    <row r="10916" spans="1:7">
      <c r="A10916" s="3"/>
      <c r="B10916" s="3"/>
      <c r="C10916" s="3"/>
      <c r="D10916" s="3"/>
      <c r="E10916" s="3">
        <v>13</v>
      </c>
      <c r="F10916" s="4" t="str">
        <f>HYPERLINK("http://141.218.60.56/~jnz1568/getInfo.php?workbook=20_05.xlsx&amp;sheet=U0&amp;row=10916&amp;col=6&amp;number=4.2&amp;sourceID=14","4.2")</f>
        <v>4.2</v>
      </c>
      <c r="G10916" s="4" t="str">
        <f>HYPERLINK("http://141.218.60.56/~jnz1568/getInfo.php?workbook=20_05.xlsx&amp;sheet=U0&amp;row=10916&amp;col=7&amp;number=2.07e-05&amp;sourceID=14","2.07e-05")</f>
        <v>2.07e-05</v>
      </c>
    </row>
    <row r="10917" spans="1:7">
      <c r="A10917" s="3"/>
      <c r="B10917" s="3"/>
      <c r="C10917" s="3"/>
      <c r="D10917" s="3"/>
      <c r="E10917" s="3">
        <v>14</v>
      </c>
      <c r="F10917" s="4" t="str">
        <f>HYPERLINK("http://141.218.60.56/~jnz1568/getInfo.php?workbook=20_05.xlsx&amp;sheet=U0&amp;row=10917&amp;col=6&amp;number=4.3&amp;sourceID=14","4.3")</f>
        <v>4.3</v>
      </c>
      <c r="G10917" s="4" t="str">
        <f>HYPERLINK("http://141.218.60.56/~jnz1568/getInfo.php?workbook=20_05.xlsx&amp;sheet=U0&amp;row=10917&amp;col=7&amp;number=2.07e-05&amp;sourceID=14","2.07e-05")</f>
        <v>2.07e-05</v>
      </c>
    </row>
    <row r="10918" spans="1:7">
      <c r="A10918" s="3"/>
      <c r="B10918" s="3"/>
      <c r="C10918" s="3"/>
      <c r="D10918" s="3"/>
      <c r="E10918" s="3">
        <v>15</v>
      </c>
      <c r="F10918" s="4" t="str">
        <f>HYPERLINK("http://141.218.60.56/~jnz1568/getInfo.php?workbook=20_05.xlsx&amp;sheet=U0&amp;row=10918&amp;col=6&amp;number=4.4&amp;sourceID=14","4.4")</f>
        <v>4.4</v>
      </c>
      <c r="G10918" s="4" t="str">
        <f>HYPERLINK("http://141.218.60.56/~jnz1568/getInfo.php?workbook=20_05.xlsx&amp;sheet=U0&amp;row=10918&amp;col=7&amp;number=2.07e-05&amp;sourceID=14","2.07e-05")</f>
        <v>2.07e-05</v>
      </c>
    </row>
    <row r="10919" spans="1:7">
      <c r="A10919" s="3"/>
      <c r="B10919" s="3"/>
      <c r="C10919" s="3"/>
      <c r="D10919" s="3"/>
      <c r="E10919" s="3">
        <v>16</v>
      </c>
      <c r="F10919" s="4" t="str">
        <f>HYPERLINK("http://141.218.60.56/~jnz1568/getInfo.php?workbook=20_05.xlsx&amp;sheet=U0&amp;row=10919&amp;col=6&amp;number=4.5&amp;sourceID=14","4.5")</f>
        <v>4.5</v>
      </c>
      <c r="G10919" s="4" t="str">
        <f>HYPERLINK("http://141.218.60.56/~jnz1568/getInfo.php?workbook=20_05.xlsx&amp;sheet=U0&amp;row=10919&amp;col=7&amp;number=2.06e-05&amp;sourceID=14","2.06e-05")</f>
        <v>2.06e-05</v>
      </c>
    </row>
    <row r="10920" spans="1:7">
      <c r="A10920" s="3"/>
      <c r="B10920" s="3"/>
      <c r="C10920" s="3"/>
      <c r="D10920" s="3"/>
      <c r="E10920" s="3">
        <v>17</v>
      </c>
      <c r="F10920" s="4" t="str">
        <f>HYPERLINK("http://141.218.60.56/~jnz1568/getInfo.php?workbook=20_05.xlsx&amp;sheet=U0&amp;row=10920&amp;col=6&amp;number=4.6&amp;sourceID=14","4.6")</f>
        <v>4.6</v>
      </c>
      <c r="G10920" s="4" t="str">
        <f>HYPERLINK("http://141.218.60.56/~jnz1568/getInfo.php?workbook=20_05.xlsx&amp;sheet=U0&amp;row=10920&amp;col=7&amp;number=2.06e-05&amp;sourceID=14","2.06e-05")</f>
        <v>2.06e-05</v>
      </c>
    </row>
    <row r="10921" spans="1:7">
      <c r="A10921" s="3"/>
      <c r="B10921" s="3"/>
      <c r="C10921" s="3"/>
      <c r="D10921" s="3"/>
      <c r="E10921" s="3">
        <v>18</v>
      </c>
      <c r="F10921" s="4" t="str">
        <f>HYPERLINK("http://141.218.60.56/~jnz1568/getInfo.php?workbook=20_05.xlsx&amp;sheet=U0&amp;row=10921&amp;col=6&amp;number=4.7&amp;sourceID=14","4.7")</f>
        <v>4.7</v>
      </c>
      <c r="G10921" s="4" t="str">
        <f>HYPERLINK("http://141.218.60.56/~jnz1568/getInfo.php?workbook=20_05.xlsx&amp;sheet=U0&amp;row=10921&amp;col=7&amp;number=2.05e-05&amp;sourceID=14","2.05e-05")</f>
        <v>2.05e-05</v>
      </c>
    </row>
    <row r="10922" spans="1:7">
      <c r="A10922" s="3"/>
      <c r="B10922" s="3"/>
      <c r="C10922" s="3"/>
      <c r="D10922" s="3"/>
      <c r="E10922" s="3">
        <v>19</v>
      </c>
      <c r="F10922" s="4" t="str">
        <f>HYPERLINK("http://141.218.60.56/~jnz1568/getInfo.php?workbook=20_05.xlsx&amp;sheet=U0&amp;row=10922&amp;col=6&amp;number=4.8&amp;sourceID=14","4.8")</f>
        <v>4.8</v>
      </c>
      <c r="G10922" s="4" t="str">
        <f>HYPERLINK("http://141.218.60.56/~jnz1568/getInfo.php?workbook=20_05.xlsx&amp;sheet=U0&amp;row=10922&amp;col=7&amp;number=2.05e-05&amp;sourceID=14","2.05e-05")</f>
        <v>2.05e-05</v>
      </c>
    </row>
    <row r="10923" spans="1:7">
      <c r="A10923" s="3"/>
      <c r="B10923" s="3"/>
      <c r="C10923" s="3"/>
      <c r="D10923" s="3"/>
      <c r="E10923" s="3">
        <v>20</v>
      </c>
      <c r="F10923" s="4" t="str">
        <f>HYPERLINK("http://141.218.60.56/~jnz1568/getInfo.php?workbook=20_05.xlsx&amp;sheet=U0&amp;row=10923&amp;col=6&amp;number=4.9&amp;sourceID=14","4.9")</f>
        <v>4.9</v>
      </c>
      <c r="G10923" s="4" t="str">
        <f>HYPERLINK("http://141.218.60.56/~jnz1568/getInfo.php?workbook=20_05.xlsx&amp;sheet=U0&amp;row=10923&amp;col=7&amp;number=2.04e-05&amp;sourceID=14","2.04e-05")</f>
        <v>2.04e-05</v>
      </c>
    </row>
    <row r="10924" spans="1:7">
      <c r="A10924" s="3">
        <v>20</v>
      </c>
      <c r="B10924" s="3">
        <v>5</v>
      </c>
      <c r="C10924" s="3">
        <v>5</v>
      </c>
      <c r="D10924" s="3">
        <v>81</v>
      </c>
      <c r="E10924" s="3">
        <v>1</v>
      </c>
      <c r="F10924" s="4" t="str">
        <f>HYPERLINK("http://141.218.60.56/~jnz1568/getInfo.php?workbook=20_05.xlsx&amp;sheet=U0&amp;row=10924&amp;col=6&amp;number=3&amp;sourceID=14","3")</f>
        <v>3</v>
      </c>
      <c r="G10924" s="4" t="str">
        <f>HYPERLINK("http://141.218.60.56/~jnz1568/getInfo.php?workbook=20_05.xlsx&amp;sheet=U0&amp;row=10924&amp;col=7&amp;number=0.000266&amp;sourceID=14","0.000266")</f>
        <v>0.000266</v>
      </c>
    </row>
    <row r="10925" spans="1:7">
      <c r="A10925" s="3"/>
      <c r="B10925" s="3"/>
      <c r="C10925" s="3"/>
      <c r="D10925" s="3"/>
      <c r="E10925" s="3">
        <v>2</v>
      </c>
      <c r="F10925" s="4" t="str">
        <f>HYPERLINK("http://141.218.60.56/~jnz1568/getInfo.php?workbook=20_05.xlsx&amp;sheet=U0&amp;row=10925&amp;col=6&amp;number=3.1&amp;sourceID=14","3.1")</f>
        <v>3.1</v>
      </c>
      <c r="G10925" s="4" t="str">
        <f>HYPERLINK("http://141.218.60.56/~jnz1568/getInfo.php?workbook=20_05.xlsx&amp;sheet=U0&amp;row=10925&amp;col=7&amp;number=0.000266&amp;sourceID=14","0.000266")</f>
        <v>0.000266</v>
      </c>
    </row>
    <row r="10926" spans="1:7">
      <c r="A10926" s="3"/>
      <c r="B10926" s="3"/>
      <c r="C10926" s="3"/>
      <c r="D10926" s="3"/>
      <c r="E10926" s="3">
        <v>3</v>
      </c>
      <c r="F10926" s="4" t="str">
        <f>HYPERLINK("http://141.218.60.56/~jnz1568/getInfo.php?workbook=20_05.xlsx&amp;sheet=U0&amp;row=10926&amp;col=6&amp;number=3.2&amp;sourceID=14","3.2")</f>
        <v>3.2</v>
      </c>
      <c r="G10926" s="4" t="str">
        <f>HYPERLINK("http://141.218.60.56/~jnz1568/getInfo.php?workbook=20_05.xlsx&amp;sheet=U0&amp;row=10926&amp;col=7&amp;number=0.000266&amp;sourceID=14","0.000266")</f>
        <v>0.000266</v>
      </c>
    </row>
    <row r="10927" spans="1:7">
      <c r="A10927" s="3"/>
      <c r="B10927" s="3"/>
      <c r="C10927" s="3"/>
      <c r="D10927" s="3"/>
      <c r="E10927" s="3">
        <v>4</v>
      </c>
      <c r="F10927" s="4" t="str">
        <f>HYPERLINK("http://141.218.60.56/~jnz1568/getInfo.php?workbook=20_05.xlsx&amp;sheet=U0&amp;row=10927&amp;col=6&amp;number=3.3&amp;sourceID=14","3.3")</f>
        <v>3.3</v>
      </c>
      <c r="G10927" s="4" t="str">
        <f>HYPERLINK("http://141.218.60.56/~jnz1568/getInfo.php?workbook=20_05.xlsx&amp;sheet=U0&amp;row=10927&amp;col=7&amp;number=0.000265&amp;sourceID=14","0.000265")</f>
        <v>0.000265</v>
      </c>
    </row>
    <row r="10928" spans="1:7">
      <c r="A10928" s="3"/>
      <c r="B10928" s="3"/>
      <c r="C10928" s="3"/>
      <c r="D10928" s="3"/>
      <c r="E10928" s="3">
        <v>5</v>
      </c>
      <c r="F10928" s="4" t="str">
        <f>HYPERLINK("http://141.218.60.56/~jnz1568/getInfo.php?workbook=20_05.xlsx&amp;sheet=U0&amp;row=10928&amp;col=6&amp;number=3.4&amp;sourceID=14","3.4")</f>
        <v>3.4</v>
      </c>
      <c r="G10928" s="4" t="str">
        <f>HYPERLINK("http://141.218.60.56/~jnz1568/getInfo.php?workbook=20_05.xlsx&amp;sheet=U0&amp;row=10928&amp;col=7&amp;number=0.000265&amp;sourceID=14","0.000265")</f>
        <v>0.000265</v>
      </c>
    </row>
    <row r="10929" spans="1:7">
      <c r="A10929" s="3"/>
      <c r="B10929" s="3"/>
      <c r="C10929" s="3"/>
      <c r="D10929" s="3"/>
      <c r="E10929" s="3">
        <v>6</v>
      </c>
      <c r="F10929" s="4" t="str">
        <f>HYPERLINK("http://141.218.60.56/~jnz1568/getInfo.php?workbook=20_05.xlsx&amp;sheet=U0&amp;row=10929&amp;col=6&amp;number=3.5&amp;sourceID=14","3.5")</f>
        <v>3.5</v>
      </c>
      <c r="G10929" s="4" t="str">
        <f>HYPERLINK("http://141.218.60.56/~jnz1568/getInfo.php?workbook=20_05.xlsx&amp;sheet=U0&amp;row=10929&amp;col=7&amp;number=0.000265&amp;sourceID=14","0.000265")</f>
        <v>0.000265</v>
      </c>
    </row>
    <row r="10930" spans="1:7">
      <c r="A10930" s="3"/>
      <c r="B10930" s="3"/>
      <c r="C10930" s="3"/>
      <c r="D10930" s="3"/>
      <c r="E10930" s="3">
        <v>7</v>
      </c>
      <c r="F10930" s="4" t="str">
        <f>HYPERLINK("http://141.218.60.56/~jnz1568/getInfo.php?workbook=20_05.xlsx&amp;sheet=U0&amp;row=10930&amp;col=6&amp;number=3.6&amp;sourceID=14","3.6")</f>
        <v>3.6</v>
      </c>
      <c r="G10930" s="4" t="str">
        <f>HYPERLINK("http://141.218.60.56/~jnz1568/getInfo.php?workbook=20_05.xlsx&amp;sheet=U0&amp;row=10930&amp;col=7&amp;number=0.000265&amp;sourceID=14","0.000265")</f>
        <v>0.000265</v>
      </c>
    </row>
    <row r="10931" spans="1:7">
      <c r="A10931" s="3"/>
      <c r="B10931" s="3"/>
      <c r="C10931" s="3"/>
      <c r="D10931" s="3"/>
      <c r="E10931" s="3">
        <v>8</v>
      </c>
      <c r="F10931" s="4" t="str">
        <f>HYPERLINK("http://141.218.60.56/~jnz1568/getInfo.php?workbook=20_05.xlsx&amp;sheet=U0&amp;row=10931&amp;col=6&amp;number=3.7&amp;sourceID=14","3.7")</f>
        <v>3.7</v>
      </c>
      <c r="G10931" s="4" t="str">
        <f>HYPERLINK("http://141.218.60.56/~jnz1568/getInfo.php?workbook=20_05.xlsx&amp;sheet=U0&amp;row=10931&amp;col=7&amp;number=0.000265&amp;sourceID=14","0.000265")</f>
        <v>0.000265</v>
      </c>
    </row>
    <row r="10932" spans="1:7">
      <c r="A10932" s="3"/>
      <c r="B10932" s="3"/>
      <c r="C10932" s="3"/>
      <c r="D10932" s="3"/>
      <c r="E10932" s="3">
        <v>9</v>
      </c>
      <c r="F10932" s="4" t="str">
        <f>HYPERLINK("http://141.218.60.56/~jnz1568/getInfo.php?workbook=20_05.xlsx&amp;sheet=U0&amp;row=10932&amp;col=6&amp;number=3.8&amp;sourceID=14","3.8")</f>
        <v>3.8</v>
      </c>
      <c r="G10932" s="4" t="str">
        <f>HYPERLINK("http://141.218.60.56/~jnz1568/getInfo.php?workbook=20_05.xlsx&amp;sheet=U0&amp;row=10932&amp;col=7&amp;number=0.000265&amp;sourceID=14","0.000265")</f>
        <v>0.000265</v>
      </c>
    </row>
    <row r="10933" spans="1:7">
      <c r="A10933" s="3"/>
      <c r="B10933" s="3"/>
      <c r="C10933" s="3"/>
      <c r="D10933" s="3"/>
      <c r="E10933" s="3">
        <v>10</v>
      </c>
      <c r="F10933" s="4" t="str">
        <f>HYPERLINK("http://141.218.60.56/~jnz1568/getInfo.php?workbook=20_05.xlsx&amp;sheet=U0&amp;row=10933&amp;col=6&amp;number=3.9&amp;sourceID=14","3.9")</f>
        <v>3.9</v>
      </c>
      <c r="G10933" s="4" t="str">
        <f>HYPERLINK("http://141.218.60.56/~jnz1568/getInfo.php?workbook=20_05.xlsx&amp;sheet=U0&amp;row=10933&amp;col=7&amp;number=0.000265&amp;sourceID=14","0.000265")</f>
        <v>0.000265</v>
      </c>
    </row>
    <row r="10934" spans="1:7">
      <c r="A10934" s="3"/>
      <c r="B10934" s="3"/>
      <c r="C10934" s="3"/>
      <c r="D10934" s="3"/>
      <c r="E10934" s="3">
        <v>11</v>
      </c>
      <c r="F10934" s="4" t="str">
        <f>HYPERLINK("http://141.218.60.56/~jnz1568/getInfo.php?workbook=20_05.xlsx&amp;sheet=U0&amp;row=10934&amp;col=6&amp;number=4&amp;sourceID=14","4")</f>
        <v>4</v>
      </c>
      <c r="G10934" s="4" t="str">
        <f>HYPERLINK("http://141.218.60.56/~jnz1568/getInfo.php?workbook=20_05.xlsx&amp;sheet=U0&amp;row=10934&amp;col=7&amp;number=0.000265&amp;sourceID=14","0.000265")</f>
        <v>0.000265</v>
      </c>
    </row>
    <row r="10935" spans="1:7">
      <c r="A10935" s="3"/>
      <c r="B10935" s="3"/>
      <c r="C10935" s="3"/>
      <c r="D10935" s="3"/>
      <c r="E10935" s="3">
        <v>12</v>
      </c>
      <c r="F10935" s="4" t="str">
        <f>HYPERLINK("http://141.218.60.56/~jnz1568/getInfo.php?workbook=20_05.xlsx&amp;sheet=U0&amp;row=10935&amp;col=6&amp;number=4.1&amp;sourceID=14","4.1")</f>
        <v>4.1</v>
      </c>
      <c r="G10935" s="4" t="str">
        <f>HYPERLINK("http://141.218.60.56/~jnz1568/getInfo.php?workbook=20_05.xlsx&amp;sheet=U0&amp;row=10935&amp;col=7&amp;number=0.000265&amp;sourceID=14","0.000265")</f>
        <v>0.000265</v>
      </c>
    </row>
    <row r="10936" spans="1:7">
      <c r="A10936" s="3"/>
      <c r="B10936" s="3"/>
      <c r="C10936" s="3"/>
      <c r="D10936" s="3"/>
      <c r="E10936" s="3">
        <v>13</v>
      </c>
      <c r="F10936" s="4" t="str">
        <f>HYPERLINK("http://141.218.60.56/~jnz1568/getInfo.php?workbook=20_05.xlsx&amp;sheet=U0&amp;row=10936&amp;col=6&amp;number=4.2&amp;sourceID=14","4.2")</f>
        <v>4.2</v>
      </c>
      <c r="G10936" s="4" t="str">
        <f>HYPERLINK("http://141.218.60.56/~jnz1568/getInfo.php?workbook=20_05.xlsx&amp;sheet=U0&amp;row=10936&amp;col=7&amp;number=0.000265&amp;sourceID=14","0.000265")</f>
        <v>0.000265</v>
      </c>
    </row>
    <row r="10937" spans="1:7">
      <c r="A10937" s="3"/>
      <c r="B10937" s="3"/>
      <c r="C10937" s="3"/>
      <c r="D10937" s="3"/>
      <c r="E10937" s="3">
        <v>14</v>
      </c>
      <c r="F10937" s="4" t="str">
        <f>HYPERLINK("http://141.218.60.56/~jnz1568/getInfo.php?workbook=20_05.xlsx&amp;sheet=U0&amp;row=10937&amp;col=6&amp;number=4.3&amp;sourceID=14","4.3")</f>
        <v>4.3</v>
      </c>
      <c r="G10937" s="4" t="str">
        <f>HYPERLINK("http://141.218.60.56/~jnz1568/getInfo.php?workbook=20_05.xlsx&amp;sheet=U0&amp;row=10937&amp;col=7&amp;number=0.000264&amp;sourceID=14","0.000264")</f>
        <v>0.000264</v>
      </c>
    </row>
    <row r="10938" spans="1:7">
      <c r="A10938" s="3"/>
      <c r="B10938" s="3"/>
      <c r="C10938" s="3"/>
      <c r="D10938" s="3"/>
      <c r="E10938" s="3">
        <v>15</v>
      </c>
      <c r="F10938" s="4" t="str">
        <f>HYPERLINK("http://141.218.60.56/~jnz1568/getInfo.php?workbook=20_05.xlsx&amp;sheet=U0&amp;row=10938&amp;col=6&amp;number=4.4&amp;sourceID=14","4.4")</f>
        <v>4.4</v>
      </c>
      <c r="G10938" s="4" t="str">
        <f>HYPERLINK("http://141.218.60.56/~jnz1568/getInfo.php?workbook=20_05.xlsx&amp;sheet=U0&amp;row=10938&amp;col=7&amp;number=0.000264&amp;sourceID=14","0.000264")</f>
        <v>0.000264</v>
      </c>
    </row>
    <row r="10939" spans="1:7">
      <c r="A10939" s="3"/>
      <c r="B10939" s="3"/>
      <c r="C10939" s="3"/>
      <c r="D10939" s="3"/>
      <c r="E10939" s="3">
        <v>16</v>
      </c>
      <c r="F10939" s="4" t="str">
        <f>HYPERLINK("http://141.218.60.56/~jnz1568/getInfo.php?workbook=20_05.xlsx&amp;sheet=U0&amp;row=10939&amp;col=6&amp;number=4.5&amp;sourceID=14","4.5")</f>
        <v>4.5</v>
      </c>
      <c r="G10939" s="4" t="str">
        <f>HYPERLINK("http://141.218.60.56/~jnz1568/getInfo.php?workbook=20_05.xlsx&amp;sheet=U0&amp;row=10939&amp;col=7&amp;number=0.000264&amp;sourceID=14","0.000264")</f>
        <v>0.000264</v>
      </c>
    </row>
    <row r="10940" spans="1:7">
      <c r="A10940" s="3"/>
      <c r="B10940" s="3"/>
      <c r="C10940" s="3"/>
      <c r="D10940" s="3"/>
      <c r="E10940" s="3">
        <v>17</v>
      </c>
      <c r="F10940" s="4" t="str">
        <f>HYPERLINK("http://141.218.60.56/~jnz1568/getInfo.php?workbook=20_05.xlsx&amp;sheet=U0&amp;row=10940&amp;col=6&amp;number=4.6&amp;sourceID=14","4.6")</f>
        <v>4.6</v>
      </c>
      <c r="G10940" s="4" t="str">
        <f>HYPERLINK("http://141.218.60.56/~jnz1568/getInfo.php?workbook=20_05.xlsx&amp;sheet=U0&amp;row=10940&amp;col=7&amp;number=0.000263&amp;sourceID=14","0.000263")</f>
        <v>0.000263</v>
      </c>
    </row>
    <row r="10941" spans="1:7">
      <c r="A10941" s="3"/>
      <c r="B10941" s="3"/>
      <c r="C10941" s="3"/>
      <c r="D10941" s="3"/>
      <c r="E10941" s="3">
        <v>18</v>
      </c>
      <c r="F10941" s="4" t="str">
        <f>HYPERLINK("http://141.218.60.56/~jnz1568/getInfo.php?workbook=20_05.xlsx&amp;sheet=U0&amp;row=10941&amp;col=6&amp;number=4.7&amp;sourceID=14","4.7")</f>
        <v>4.7</v>
      </c>
      <c r="G10941" s="4" t="str">
        <f>HYPERLINK("http://141.218.60.56/~jnz1568/getInfo.php?workbook=20_05.xlsx&amp;sheet=U0&amp;row=10941&amp;col=7&amp;number=0.000262&amp;sourceID=14","0.000262")</f>
        <v>0.000262</v>
      </c>
    </row>
    <row r="10942" spans="1:7">
      <c r="A10942" s="3"/>
      <c r="B10942" s="3"/>
      <c r="C10942" s="3"/>
      <c r="D10942" s="3"/>
      <c r="E10942" s="3">
        <v>19</v>
      </c>
      <c r="F10942" s="4" t="str">
        <f>HYPERLINK("http://141.218.60.56/~jnz1568/getInfo.php?workbook=20_05.xlsx&amp;sheet=U0&amp;row=10942&amp;col=6&amp;number=4.8&amp;sourceID=14","4.8")</f>
        <v>4.8</v>
      </c>
      <c r="G10942" s="4" t="str">
        <f>HYPERLINK("http://141.218.60.56/~jnz1568/getInfo.php?workbook=20_05.xlsx&amp;sheet=U0&amp;row=10942&amp;col=7&amp;number=0.000262&amp;sourceID=14","0.000262")</f>
        <v>0.000262</v>
      </c>
    </row>
    <row r="10943" spans="1:7">
      <c r="A10943" s="3"/>
      <c r="B10943" s="3"/>
      <c r="C10943" s="3"/>
      <c r="D10943" s="3"/>
      <c r="E10943" s="3">
        <v>20</v>
      </c>
      <c r="F10943" s="4" t="str">
        <f>HYPERLINK("http://141.218.60.56/~jnz1568/getInfo.php?workbook=20_05.xlsx&amp;sheet=U0&amp;row=10943&amp;col=6&amp;number=4.9&amp;sourceID=14","4.9")</f>
        <v>4.9</v>
      </c>
      <c r="G10943" s="4" t="str">
        <f>HYPERLINK("http://141.218.60.56/~jnz1568/getInfo.php?workbook=20_05.xlsx&amp;sheet=U0&amp;row=10943&amp;col=7&amp;number=0.000261&amp;sourceID=14","0.000261")</f>
        <v>0.000261</v>
      </c>
    </row>
    <row r="10944" spans="1:7">
      <c r="A10944" s="3">
        <v>20</v>
      </c>
      <c r="B10944" s="3">
        <v>5</v>
      </c>
      <c r="C10944" s="3">
        <v>5</v>
      </c>
      <c r="D10944" s="3">
        <v>82</v>
      </c>
      <c r="E10944" s="3">
        <v>1</v>
      </c>
      <c r="F10944" s="4" t="str">
        <f>HYPERLINK("http://141.218.60.56/~jnz1568/getInfo.php?workbook=20_05.xlsx&amp;sheet=U0&amp;row=10944&amp;col=6&amp;number=3&amp;sourceID=14","3")</f>
        <v>3</v>
      </c>
      <c r="G10944" s="4" t="str">
        <f>HYPERLINK("http://141.218.60.56/~jnz1568/getInfo.php?workbook=20_05.xlsx&amp;sheet=U0&amp;row=10944&amp;col=7&amp;number=0.00011&amp;sourceID=14","0.00011")</f>
        <v>0.00011</v>
      </c>
    </row>
    <row r="10945" spans="1:7">
      <c r="A10945" s="3"/>
      <c r="B10945" s="3"/>
      <c r="C10945" s="3"/>
      <c r="D10945" s="3"/>
      <c r="E10945" s="3">
        <v>2</v>
      </c>
      <c r="F10945" s="4" t="str">
        <f>HYPERLINK("http://141.218.60.56/~jnz1568/getInfo.php?workbook=20_05.xlsx&amp;sheet=U0&amp;row=10945&amp;col=6&amp;number=3.1&amp;sourceID=14","3.1")</f>
        <v>3.1</v>
      </c>
      <c r="G10945" s="4" t="str">
        <f>HYPERLINK("http://141.218.60.56/~jnz1568/getInfo.php?workbook=20_05.xlsx&amp;sheet=U0&amp;row=10945&amp;col=7&amp;number=0.00011&amp;sourceID=14","0.00011")</f>
        <v>0.00011</v>
      </c>
    </row>
    <row r="10946" spans="1:7">
      <c r="A10946" s="3"/>
      <c r="B10946" s="3"/>
      <c r="C10946" s="3"/>
      <c r="D10946" s="3"/>
      <c r="E10946" s="3">
        <v>3</v>
      </c>
      <c r="F10946" s="4" t="str">
        <f>HYPERLINK("http://141.218.60.56/~jnz1568/getInfo.php?workbook=20_05.xlsx&amp;sheet=U0&amp;row=10946&amp;col=6&amp;number=3.2&amp;sourceID=14","3.2")</f>
        <v>3.2</v>
      </c>
      <c r="G10946" s="4" t="str">
        <f>HYPERLINK("http://141.218.60.56/~jnz1568/getInfo.php?workbook=20_05.xlsx&amp;sheet=U0&amp;row=10946&amp;col=7&amp;number=0.00011&amp;sourceID=14","0.00011")</f>
        <v>0.00011</v>
      </c>
    </row>
    <row r="10947" spans="1:7">
      <c r="A10947" s="3"/>
      <c r="B10947" s="3"/>
      <c r="C10947" s="3"/>
      <c r="D10947" s="3"/>
      <c r="E10947" s="3">
        <v>4</v>
      </c>
      <c r="F10947" s="4" t="str">
        <f>HYPERLINK("http://141.218.60.56/~jnz1568/getInfo.php?workbook=20_05.xlsx&amp;sheet=U0&amp;row=10947&amp;col=6&amp;number=3.3&amp;sourceID=14","3.3")</f>
        <v>3.3</v>
      </c>
      <c r="G10947" s="4" t="str">
        <f>HYPERLINK("http://141.218.60.56/~jnz1568/getInfo.php?workbook=20_05.xlsx&amp;sheet=U0&amp;row=10947&amp;col=7&amp;number=0.00011&amp;sourceID=14","0.00011")</f>
        <v>0.00011</v>
      </c>
    </row>
    <row r="10948" spans="1:7">
      <c r="A10948" s="3"/>
      <c r="B10948" s="3"/>
      <c r="C10948" s="3"/>
      <c r="D10948" s="3"/>
      <c r="E10948" s="3">
        <v>5</v>
      </c>
      <c r="F10948" s="4" t="str">
        <f>HYPERLINK("http://141.218.60.56/~jnz1568/getInfo.php?workbook=20_05.xlsx&amp;sheet=U0&amp;row=10948&amp;col=6&amp;number=3.4&amp;sourceID=14","3.4")</f>
        <v>3.4</v>
      </c>
      <c r="G10948" s="4" t="str">
        <f>HYPERLINK("http://141.218.60.56/~jnz1568/getInfo.php?workbook=20_05.xlsx&amp;sheet=U0&amp;row=10948&amp;col=7&amp;number=0.00011&amp;sourceID=14","0.00011")</f>
        <v>0.00011</v>
      </c>
    </row>
    <row r="10949" spans="1:7">
      <c r="A10949" s="3"/>
      <c r="B10949" s="3"/>
      <c r="C10949" s="3"/>
      <c r="D10949" s="3"/>
      <c r="E10949" s="3">
        <v>6</v>
      </c>
      <c r="F10949" s="4" t="str">
        <f>HYPERLINK("http://141.218.60.56/~jnz1568/getInfo.php?workbook=20_05.xlsx&amp;sheet=U0&amp;row=10949&amp;col=6&amp;number=3.5&amp;sourceID=14","3.5")</f>
        <v>3.5</v>
      </c>
      <c r="G10949" s="4" t="str">
        <f>HYPERLINK("http://141.218.60.56/~jnz1568/getInfo.php?workbook=20_05.xlsx&amp;sheet=U0&amp;row=10949&amp;col=7&amp;number=0.00011&amp;sourceID=14","0.00011")</f>
        <v>0.00011</v>
      </c>
    </row>
    <row r="10950" spans="1:7">
      <c r="A10950" s="3"/>
      <c r="B10950" s="3"/>
      <c r="C10950" s="3"/>
      <c r="D10950" s="3"/>
      <c r="E10950" s="3">
        <v>7</v>
      </c>
      <c r="F10950" s="4" t="str">
        <f>HYPERLINK("http://141.218.60.56/~jnz1568/getInfo.php?workbook=20_05.xlsx&amp;sheet=U0&amp;row=10950&amp;col=6&amp;number=3.6&amp;sourceID=14","3.6")</f>
        <v>3.6</v>
      </c>
      <c r="G10950" s="4" t="str">
        <f>HYPERLINK("http://141.218.60.56/~jnz1568/getInfo.php?workbook=20_05.xlsx&amp;sheet=U0&amp;row=10950&amp;col=7&amp;number=0.000109&amp;sourceID=14","0.000109")</f>
        <v>0.000109</v>
      </c>
    </row>
    <row r="10951" spans="1:7">
      <c r="A10951" s="3"/>
      <c r="B10951" s="3"/>
      <c r="C10951" s="3"/>
      <c r="D10951" s="3"/>
      <c r="E10951" s="3">
        <v>8</v>
      </c>
      <c r="F10951" s="4" t="str">
        <f>HYPERLINK("http://141.218.60.56/~jnz1568/getInfo.php?workbook=20_05.xlsx&amp;sheet=U0&amp;row=10951&amp;col=6&amp;number=3.7&amp;sourceID=14","3.7")</f>
        <v>3.7</v>
      </c>
      <c r="G10951" s="4" t="str">
        <f>HYPERLINK("http://141.218.60.56/~jnz1568/getInfo.php?workbook=20_05.xlsx&amp;sheet=U0&amp;row=10951&amp;col=7&amp;number=0.000109&amp;sourceID=14","0.000109")</f>
        <v>0.000109</v>
      </c>
    </row>
    <row r="10952" spans="1:7">
      <c r="A10952" s="3"/>
      <c r="B10952" s="3"/>
      <c r="C10952" s="3"/>
      <c r="D10952" s="3"/>
      <c r="E10952" s="3">
        <v>9</v>
      </c>
      <c r="F10952" s="4" t="str">
        <f>HYPERLINK("http://141.218.60.56/~jnz1568/getInfo.php?workbook=20_05.xlsx&amp;sheet=U0&amp;row=10952&amp;col=6&amp;number=3.8&amp;sourceID=14","3.8")</f>
        <v>3.8</v>
      </c>
      <c r="G10952" s="4" t="str">
        <f>HYPERLINK("http://141.218.60.56/~jnz1568/getInfo.php?workbook=20_05.xlsx&amp;sheet=U0&amp;row=10952&amp;col=7&amp;number=0.000109&amp;sourceID=14","0.000109")</f>
        <v>0.000109</v>
      </c>
    </row>
    <row r="10953" spans="1:7">
      <c r="A10953" s="3"/>
      <c r="B10953" s="3"/>
      <c r="C10953" s="3"/>
      <c r="D10953" s="3"/>
      <c r="E10953" s="3">
        <v>10</v>
      </c>
      <c r="F10953" s="4" t="str">
        <f>HYPERLINK("http://141.218.60.56/~jnz1568/getInfo.php?workbook=20_05.xlsx&amp;sheet=U0&amp;row=10953&amp;col=6&amp;number=3.9&amp;sourceID=14","3.9")</f>
        <v>3.9</v>
      </c>
      <c r="G10953" s="4" t="str">
        <f>HYPERLINK("http://141.218.60.56/~jnz1568/getInfo.php?workbook=20_05.xlsx&amp;sheet=U0&amp;row=10953&amp;col=7&amp;number=0.000109&amp;sourceID=14","0.000109")</f>
        <v>0.000109</v>
      </c>
    </row>
    <row r="10954" spans="1:7">
      <c r="A10954" s="3"/>
      <c r="B10954" s="3"/>
      <c r="C10954" s="3"/>
      <c r="D10954" s="3"/>
      <c r="E10954" s="3">
        <v>11</v>
      </c>
      <c r="F10954" s="4" t="str">
        <f>HYPERLINK("http://141.218.60.56/~jnz1568/getInfo.php?workbook=20_05.xlsx&amp;sheet=U0&amp;row=10954&amp;col=6&amp;number=4&amp;sourceID=14","4")</f>
        <v>4</v>
      </c>
      <c r="G10954" s="4" t="str">
        <f>HYPERLINK("http://141.218.60.56/~jnz1568/getInfo.php?workbook=20_05.xlsx&amp;sheet=U0&amp;row=10954&amp;col=7&amp;number=0.000109&amp;sourceID=14","0.000109")</f>
        <v>0.000109</v>
      </c>
    </row>
    <row r="10955" spans="1:7">
      <c r="A10955" s="3"/>
      <c r="B10955" s="3"/>
      <c r="C10955" s="3"/>
      <c r="D10955" s="3"/>
      <c r="E10955" s="3">
        <v>12</v>
      </c>
      <c r="F10955" s="4" t="str">
        <f>HYPERLINK("http://141.218.60.56/~jnz1568/getInfo.php?workbook=20_05.xlsx&amp;sheet=U0&amp;row=10955&amp;col=6&amp;number=4.1&amp;sourceID=14","4.1")</f>
        <v>4.1</v>
      </c>
      <c r="G10955" s="4" t="str">
        <f>HYPERLINK("http://141.218.60.56/~jnz1568/getInfo.php?workbook=20_05.xlsx&amp;sheet=U0&amp;row=10955&amp;col=7&amp;number=0.000109&amp;sourceID=14","0.000109")</f>
        <v>0.000109</v>
      </c>
    </row>
    <row r="10956" spans="1:7">
      <c r="A10956" s="3"/>
      <c r="B10956" s="3"/>
      <c r="C10956" s="3"/>
      <c r="D10956" s="3"/>
      <c r="E10956" s="3">
        <v>13</v>
      </c>
      <c r="F10956" s="4" t="str">
        <f>HYPERLINK("http://141.218.60.56/~jnz1568/getInfo.php?workbook=20_05.xlsx&amp;sheet=U0&amp;row=10956&amp;col=6&amp;number=4.2&amp;sourceID=14","4.2")</f>
        <v>4.2</v>
      </c>
      <c r="G10956" s="4" t="str">
        <f>HYPERLINK("http://141.218.60.56/~jnz1568/getInfo.php?workbook=20_05.xlsx&amp;sheet=U0&amp;row=10956&amp;col=7&amp;number=0.000109&amp;sourceID=14","0.000109")</f>
        <v>0.000109</v>
      </c>
    </row>
    <row r="10957" spans="1:7">
      <c r="A10957" s="3"/>
      <c r="B10957" s="3"/>
      <c r="C10957" s="3"/>
      <c r="D10957" s="3"/>
      <c r="E10957" s="3">
        <v>14</v>
      </c>
      <c r="F10957" s="4" t="str">
        <f>HYPERLINK("http://141.218.60.56/~jnz1568/getInfo.php?workbook=20_05.xlsx&amp;sheet=U0&amp;row=10957&amp;col=6&amp;number=4.3&amp;sourceID=14","4.3")</f>
        <v>4.3</v>
      </c>
      <c r="G10957" s="4" t="str">
        <f>HYPERLINK("http://141.218.60.56/~jnz1568/getInfo.php?workbook=20_05.xlsx&amp;sheet=U0&amp;row=10957&amp;col=7&amp;number=0.000109&amp;sourceID=14","0.000109")</f>
        <v>0.000109</v>
      </c>
    </row>
    <row r="10958" spans="1:7">
      <c r="A10958" s="3"/>
      <c r="B10958" s="3"/>
      <c r="C10958" s="3"/>
      <c r="D10958" s="3"/>
      <c r="E10958" s="3">
        <v>15</v>
      </c>
      <c r="F10958" s="4" t="str">
        <f>HYPERLINK("http://141.218.60.56/~jnz1568/getInfo.php?workbook=20_05.xlsx&amp;sheet=U0&amp;row=10958&amp;col=6&amp;number=4.4&amp;sourceID=14","4.4")</f>
        <v>4.4</v>
      </c>
      <c r="G10958" s="4" t="str">
        <f>HYPERLINK("http://141.218.60.56/~jnz1568/getInfo.php?workbook=20_05.xlsx&amp;sheet=U0&amp;row=10958&amp;col=7&amp;number=0.000109&amp;sourceID=14","0.000109")</f>
        <v>0.000109</v>
      </c>
    </row>
    <row r="10959" spans="1:7">
      <c r="A10959" s="3"/>
      <c r="B10959" s="3"/>
      <c r="C10959" s="3"/>
      <c r="D10959" s="3"/>
      <c r="E10959" s="3">
        <v>16</v>
      </c>
      <c r="F10959" s="4" t="str">
        <f>HYPERLINK("http://141.218.60.56/~jnz1568/getInfo.php?workbook=20_05.xlsx&amp;sheet=U0&amp;row=10959&amp;col=6&amp;number=4.5&amp;sourceID=14","4.5")</f>
        <v>4.5</v>
      </c>
      <c r="G10959" s="4" t="str">
        <f>HYPERLINK("http://141.218.60.56/~jnz1568/getInfo.php?workbook=20_05.xlsx&amp;sheet=U0&amp;row=10959&amp;col=7&amp;number=0.000109&amp;sourceID=14","0.000109")</f>
        <v>0.000109</v>
      </c>
    </row>
    <row r="10960" spans="1:7">
      <c r="A10960" s="3"/>
      <c r="B10960" s="3"/>
      <c r="C10960" s="3"/>
      <c r="D10960" s="3"/>
      <c r="E10960" s="3">
        <v>17</v>
      </c>
      <c r="F10960" s="4" t="str">
        <f>HYPERLINK("http://141.218.60.56/~jnz1568/getInfo.php?workbook=20_05.xlsx&amp;sheet=U0&amp;row=10960&amp;col=6&amp;number=4.6&amp;sourceID=14","4.6")</f>
        <v>4.6</v>
      </c>
      <c r="G10960" s="4" t="str">
        <f>HYPERLINK("http://141.218.60.56/~jnz1568/getInfo.php?workbook=20_05.xlsx&amp;sheet=U0&amp;row=10960&amp;col=7&amp;number=0.000109&amp;sourceID=14","0.000109")</f>
        <v>0.000109</v>
      </c>
    </row>
    <row r="10961" spans="1:7">
      <c r="A10961" s="3"/>
      <c r="B10961" s="3"/>
      <c r="C10961" s="3"/>
      <c r="D10961" s="3"/>
      <c r="E10961" s="3">
        <v>18</v>
      </c>
      <c r="F10961" s="4" t="str">
        <f>HYPERLINK("http://141.218.60.56/~jnz1568/getInfo.php?workbook=20_05.xlsx&amp;sheet=U0&amp;row=10961&amp;col=6&amp;number=4.7&amp;sourceID=14","4.7")</f>
        <v>4.7</v>
      </c>
      <c r="G10961" s="4" t="str">
        <f>HYPERLINK("http://141.218.60.56/~jnz1568/getInfo.php?workbook=20_05.xlsx&amp;sheet=U0&amp;row=10961&amp;col=7&amp;number=0.000108&amp;sourceID=14","0.000108")</f>
        <v>0.000108</v>
      </c>
    </row>
    <row r="10962" spans="1:7">
      <c r="A10962" s="3"/>
      <c r="B10962" s="3"/>
      <c r="C10962" s="3"/>
      <c r="D10962" s="3"/>
      <c r="E10962" s="3">
        <v>19</v>
      </c>
      <c r="F10962" s="4" t="str">
        <f>HYPERLINK("http://141.218.60.56/~jnz1568/getInfo.php?workbook=20_05.xlsx&amp;sheet=U0&amp;row=10962&amp;col=6&amp;number=4.8&amp;sourceID=14","4.8")</f>
        <v>4.8</v>
      </c>
      <c r="G10962" s="4" t="str">
        <f>HYPERLINK("http://141.218.60.56/~jnz1568/getInfo.php?workbook=20_05.xlsx&amp;sheet=U0&amp;row=10962&amp;col=7&amp;number=0.000108&amp;sourceID=14","0.000108")</f>
        <v>0.000108</v>
      </c>
    </row>
    <row r="10963" spans="1:7">
      <c r="A10963" s="3"/>
      <c r="B10963" s="3"/>
      <c r="C10963" s="3"/>
      <c r="D10963" s="3"/>
      <c r="E10963" s="3">
        <v>20</v>
      </c>
      <c r="F10963" s="4" t="str">
        <f>HYPERLINK("http://141.218.60.56/~jnz1568/getInfo.php?workbook=20_05.xlsx&amp;sheet=U0&amp;row=10963&amp;col=6&amp;number=4.9&amp;sourceID=14","4.9")</f>
        <v>4.9</v>
      </c>
      <c r="G10963" s="4" t="str">
        <f>HYPERLINK("http://141.218.60.56/~jnz1568/getInfo.php?workbook=20_05.xlsx&amp;sheet=U0&amp;row=10963&amp;col=7&amp;number=0.000108&amp;sourceID=14","0.000108")</f>
        <v>0.000108</v>
      </c>
    </row>
    <row r="10964" spans="1:7">
      <c r="A10964" s="3">
        <v>20</v>
      </c>
      <c r="B10964" s="3">
        <v>5</v>
      </c>
      <c r="C10964" s="3">
        <v>5</v>
      </c>
      <c r="D10964" s="3">
        <v>83</v>
      </c>
      <c r="E10964" s="3">
        <v>1</v>
      </c>
      <c r="F10964" s="4" t="str">
        <f>HYPERLINK("http://141.218.60.56/~jnz1568/getInfo.php?workbook=20_05.xlsx&amp;sheet=U0&amp;row=10964&amp;col=6&amp;number=3&amp;sourceID=14","3")</f>
        <v>3</v>
      </c>
      <c r="G10964" s="4" t="str">
        <f>HYPERLINK("http://141.218.60.56/~jnz1568/getInfo.php?workbook=20_05.xlsx&amp;sheet=U0&amp;row=10964&amp;col=7&amp;number=0.000317&amp;sourceID=14","0.000317")</f>
        <v>0.000317</v>
      </c>
    </row>
    <row r="10965" spans="1:7">
      <c r="A10965" s="3"/>
      <c r="B10965" s="3"/>
      <c r="C10965" s="3"/>
      <c r="D10965" s="3"/>
      <c r="E10965" s="3">
        <v>2</v>
      </c>
      <c r="F10965" s="4" t="str">
        <f>HYPERLINK("http://141.218.60.56/~jnz1568/getInfo.php?workbook=20_05.xlsx&amp;sheet=U0&amp;row=10965&amp;col=6&amp;number=3.1&amp;sourceID=14","3.1")</f>
        <v>3.1</v>
      </c>
      <c r="G10965" s="4" t="str">
        <f>HYPERLINK("http://141.218.60.56/~jnz1568/getInfo.php?workbook=20_05.xlsx&amp;sheet=U0&amp;row=10965&amp;col=7&amp;number=0.000317&amp;sourceID=14","0.000317")</f>
        <v>0.000317</v>
      </c>
    </row>
    <row r="10966" spans="1:7">
      <c r="A10966" s="3"/>
      <c r="B10966" s="3"/>
      <c r="C10966" s="3"/>
      <c r="D10966" s="3"/>
      <c r="E10966" s="3">
        <v>3</v>
      </c>
      <c r="F10966" s="4" t="str">
        <f>HYPERLINK("http://141.218.60.56/~jnz1568/getInfo.php?workbook=20_05.xlsx&amp;sheet=U0&amp;row=10966&amp;col=6&amp;number=3.2&amp;sourceID=14","3.2")</f>
        <v>3.2</v>
      </c>
      <c r="G10966" s="4" t="str">
        <f>HYPERLINK("http://141.218.60.56/~jnz1568/getInfo.php?workbook=20_05.xlsx&amp;sheet=U0&amp;row=10966&amp;col=7&amp;number=0.000317&amp;sourceID=14","0.000317")</f>
        <v>0.000317</v>
      </c>
    </row>
    <row r="10967" spans="1:7">
      <c r="A10967" s="3"/>
      <c r="B10967" s="3"/>
      <c r="C10967" s="3"/>
      <c r="D10967" s="3"/>
      <c r="E10967" s="3">
        <v>4</v>
      </c>
      <c r="F10967" s="4" t="str">
        <f>HYPERLINK("http://141.218.60.56/~jnz1568/getInfo.php?workbook=20_05.xlsx&amp;sheet=U0&amp;row=10967&amp;col=6&amp;number=3.3&amp;sourceID=14","3.3")</f>
        <v>3.3</v>
      </c>
      <c r="G10967" s="4" t="str">
        <f>HYPERLINK("http://141.218.60.56/~jnz1568/getInfo.php?workbook=20_05.xlsx&amp;sheet=U0&amp;row=10967&amp;col=7&amp;number=0.000317&amp;sourceID=14","0.000317")</f>
        <v>0.000317</v>
      </c>
    </row>
    <row r="10968" spans="1:7">
      <c r="A10968" s="3"/>
      <c r="B10968" s="3"/>
      <c r="C10968" s="3"/>
      <c r="D10968" s="3"/>
      <c r="E10968" s="3">
        <v>5</v>
      </c>
      <c r="F10968" s="4" t="str">
        <f>HYPERLINK("http://141.218.60.56/~jnz1568/getInfo.php?workbook=20_05.xlsx&amp;sheet=U0&amp;row=10968&amp;col=6&amp;number=3.4&amp;sourceID=14","3.4")</f>
        <v>3.4</v>
      </c>
      <c r="G10968" s="4" t="str">
        <f>HYPERLINK("http://141.218.60.56/~jnz1568/getInfo.php?workbook=20_05.xlsx&amp;sheet=U0&amp;row=10968&amp;col=7&amp;number=0.000317&amp;sourceID=14","0.000317")</f>
        <v>0.000317</v>
      </c>
    </row>
    <row r="10969" spans="1:7">
      <c r="A10969" s="3"/>
      <c r="B10969" s="3"/>
      <c r="C10969" s="3"/>
      <c r="D10969" s="3"/>
      <c r="E10969" s="3">
        <v>6</v>
      </c>
      <c r="F10969" s="4" t="str">
        <f>HYPERLINK("http://141.218.60.56/~jnz1568/getInfo.php?workbook=20_05.xlsx&amp;sheet=U0&amp;row=10969&amp;col=6&amp;number=3.5&amp;sourceID=14","3.5")</f>
        <v>3.5</v>
      </c>
      <c r="G10969" s="4" t="str">
        <f>HYPERLINK("http://141.218.60.56/~jnz1568/getInfo.php?workbook=20_05.xlsx&amp;sheet=U0&amp;row=10969&amp;col=7&amp;number=0.000317&amp;sourceID=14","0.000317")</f>
        <v>0.000317</v>
      </c>
    </row>
    <row r="10970" spans="1:7">
      <c r="A10970" s="3"/>
      <c r="B10970" s="3"/>
      <c r="C10970" s="3"/>
      <c r="D10970" s="3"/>
      <c r="E10970" s="3">
        <v>7</v>
      </c>
      <c r="F10970" s="4" t="str">
        <f>HYPERLINK("http://141.218.60.56/~jnz1568/getInfo.php?workbook=20_05.xlsx&amp;sheet=U0&amp;row=10970&amp;col=6&amp;number=3.6&amp;sourceID=14","3.6")</f>
        <v>3.6</v>
      </c>
      <c r="G10970" s="4" t="str">
        <f>HYPERLINK("http://141.218.60.56/~jnz1568/getInfo.php?workbook=20_05.xlsx&amp;sheet=U0&amp;row=10970&amp;col=7&amp;number=0.000317&amp;sourceID=14","0.000317")</f>
        <v>0.000317</v>
      </c>
    </row>
    <row r="10971" spans="1:7">
      <c r="A10971" s="3"/>
      <c r="B10971" s="3"/>
      <c r="C10971" s="3"/>
      <c r="D10971" s="3"/>
      <c r="E10971" s="3">
        <v>8</v>
      </c>
      <c r="F10971" s="4" t="str">
        <f>HYPERLINK("http://141.218.60.56/~jnz1568/getInfo.php?workbook=20_05.xlsx&amp;sheet=U0&amp;row=10971&amp;col=6&amp;number=3.7&amp;sourceID=14","3.7")</f>
        <v>3.7</v>
      </c>
      <c r="G10971" s="4" t="str">
        <f>HYPERLINK("http://141.218.60.56/~jnz1568/getInfo.php?workbook=20_05.xlsx&amp;sheet=U0&amp;row=10971&amp;col=7&amp;number=0.000317&amp;sourceID=14","0.000317")</f>
        <v>0.000317</v>
      </c>
    </row>
    <row r="10972" spans="1:7">
      <c r="A10972" s="3"/>
      <c r="B10972" s="3"/>
      <c r="C10972" s="3"/>
      <c r="D10972" s="3"/>
      <c r="E10972" s="3">
        <v>9</v>
      </c>
      <c r="F10972" s="4" t="str">
        <f>HYPERLINK("http://141.218.60.56/~jnz1568/getInfo.php?workbook=20_05.xlsx&amp;sheet=U0&amp;row=10972&amp;col=6&amp;number=3.8&amp;sourceID=14","3.8")</f>
        <v>3.8</v>
      </c>
      <c r="G10972" s="4" t="str">
        <f>HYPERLINK("http://141.218.60.56/~jnz1568/getInfo.php?workbook=20_05.xlsx&amp;sheet=U0&amp;row=10972&amp;col=7&amp;number=0.000317&amp;sourceID=14","0.000317")</f>
        <v>0.000317</v>
      </c>
    </row>
    <row r="10973" spans="1:7">
      <c r="A10973" s="3"/>
      <c r="B10973" s="3"/>
      <c r="C10973" s="3"/>
      <c r="D10973" s="3"/>
      <c r="E10973" s="3">
        <v>10</v>
      </c>
      <c r="F10973" s="4" t="str">
        <f>HYPERLINK("http://141.218.60.56/~jnz1568/getInfo.php?workbook=20_05.xlsx&amp;sheet=U0&amp;row=10973&amp;col=6&amp;number=3.9&amp;sourceID=14","3.9")</f>
        <v>3.9</v>
      </c>
      <c r="G10973" s="4" t="str">
        <f>HYPERLINK("http://141.218.60.56/~jnz1568/getInfo.php?workbook=20_05.xlsx&amp;sheet=U0&amp;row=10973&amp;col=7&amp;number=0.000316&amp;sourceID=14","0.000316")</f>
        <v>0.000316</v>
      </c>
    </row>
    <row r="10974" spans="1:7">
      <c r="A10974" s="3"/>
      <c r="B10974" s="3"/>
      <c r="C10974" s="3"/>
      <c r="D10974" s="3"/>
      <c r="E10974" s="3">
        <v>11</v>
      </c>
      <c r="F10974" s="4" t="str">
        <f>HYPERLINK("http://141.218.60.56/~jnz1568/getInfo.php?workbook=20_05.xlsx&amp;sheet=U0&amp;row=10974&amp;col=6&amp;number=4&amp;sourceID=14","4")</f>
        <v>4</v>
      </c>
      <c r="G10974" s="4" t="str">
        <f>HYPERLINK("http://141.218.60.56/~jnz1568/getInfo.php?workbook=20_05.xlsx&amp;sheet=U0&amp;row=10974&amp;col=7&amp;number=0.000316&amp;sourceID=14","0.000316")</f>
        <v>0.000316</v>
      </c>
    </row>
    <row r="10975" spans="1:7">
      <c r="A10975" s="3"/>
      <c r="B10975" s="3"/>
      <c r="C10975" s="3"/>
      <c r="D10975" s="3"/>
      <c r="E10975" s="3">
        <v>12</v>
      </c>
      <c r="F10975" s="4" t="str">
        <f>HYPERLINK("http://141.218.60.56/~jnz1568/getInfo.php?workbook=20_05.xlsx&amp;sheet=U0&amp;row=10975&amp;col=6&amp;number=4.1&amp;sourceID=14","4.1")</f>
        <v>4.1</v>
      </c>
      <c r="G10975" s="4" t="str">
        <f>HYPERLINK("http://141.218.60.56/~jnz1568/getInfo.php?workbook=20_05.xlsx&amp;sheet=U0&amp;row=10975&amp;col=7&amp;number=0.000316&amp;sourceID=14","0.000316")</f>
        <v>0.000316</v>
      </c>
    </row>
    <row r="10976" spans="1:7">
      <c r="A10976" s="3"/>
      <c r="B10976" s="3"/>
      <c r="C10976" s="3"/>
      <c r="D10976" s="3"/>
      <c r="E10976" s="3">
        <v>13</v>
      </c>
      <c r="F10976" s="4" t="str">
        <f>HYPERLINK("http://141.218.60.56/~jnz1568/getInfo.php?workbook=20_05.xlsx&amp;sheet=U0&amp;row=10976&amp;col=6&amp;number=4.2&amp;sourceID=14","4.2")</f>
        <v>4.2</v>
      </c>
      <c r="G10976" s="4" t="str">
        <f>HYPERLINK("http://141.218.60.56/~jnz1568/getInfo.php?workbook=20_05.xlsx&amp;sheet=U0&amp;row=10976&amp;col=7&amp;number=0.000316&amp;sourceID=14","0.000316")</f>
        <v>0.000316</v>
      </c>
    </row>
    <row r="10977" spans="1:7">
      <c r="A10977" s="3"/>
      <c r="B10977" s="3"/>
      <c r="C10977" s="3"/>
      <c r="D10977" s="3"/>
      <c r="E10977" s="3">
        <v>14</v>
      </c>
      <c r="F10977" s="4" t="str">
        <f>HYPERLINK("http://141.218.60.56/~jnz1568/getInfo.php?workbook=20_05.xlsx&amp;sheet=U0&amp;row=10977&amp;col=6&amp;number=4.3&amp;sourceID=14","4.3")</f>
        <v>4.3</v>
      </c>
      <c r="G10977" s="4" t="str">
        <f>HYPERLINK("http://141.218.60.56/~jnz1568/getInfo.php?workbook=20_05.xlsx&amp;sheet=U0&amp;row=10977&amp;col=7&amp;number=0.000315&amp;sourceID=14","0.000315")</f>
        <v>0.000315</v>
      </c>
    </row>
    <row r="10978" spans="1:7">
      <c r="A10978" s="3"/>
      <c r="B10978" s="3"/>
      <c r="C10978" s="3"/>
      <c r="D10978" s="3"/>
      <c r="E10978" s="3">
        <v>15</v>
      </c>
      <c r="F10978" s="4" t="str">
        <f>HYPERLINK("http://141.218.60.56/~jnz1568/getInfo.php?workbook=20_05.xlsx&amp;sheet=U0&amp;row=10978&amp;col=6&amp;number=4.4&amp;sourceID=14","4.4")</f>
        <v>4.4</v>
      </c>
      <c r="G10978" s="4" t="str">
        <f>HYPERLINK("http://141.218.60.56/~jnz1568/getInfo.php?workbook=20_05.xlsx&amp;sheet=U0&amp;row=10978&amp;col=7&amp;number=0.000315&amp;sourceID=14","0.000315")</f>
        <v>0.000315</v>
      </c>
    </row>
    <row r="10979" spans="1:7">
      <c r="A10979" s="3"/>
      <c r="B10979" s="3"/>
      <c r="C10979" s="3"/>
      <c r="D10979" s="3"/>
      <c r="E10979" s="3">
        <v>16</v>
      </c>
      <c r="F10979" s="4" t="str">
        <f>HYPERLINK("http://141.218.60.56/~jnz1568/getInfo.php?workbook=20_05.xlsx&amp;sheet=U0&amp;row=10979&amp;col=6&amp;number=4.5&amp;sourceID=14","4.5")</f>
        <v>4.5</v>
      </c>
      <c r="G10979" s="4" t="str">
        <f>HYPERLINK("http://141.218.60.56/~jnz1568/getInfo.php?workbook=20_05.xlsx&amp;sheet=U0&amp;row=10979&amp;col=7&amp;number=0.000315&amp;sourceID=14","0.000315")</f>
        <v>0.000315</v>
      </c>
    </row>
    <row r="10980" spans="1:7">
      <c r="A10980" s="3"/>
      <c r="B10980" s="3"/>
      <c r="C10980" s="3"/>
      <c r="D10980" s="3"/>
      <c r="E10980" s="3">
        <v>17</v>
      </c>
      <c r="F10980" s="4" t="str">
        <f>HYPERLINK("http://141.218.60.56/~jnz1568/getInfo.php?workbook=20_05.xlsx&amp;sheet=U0&amp;row=10980&amp;col=6&amp;number=4.6&amp;sourceID=14","4.6")</f>
        <v>4.6</v>
      </c>
      <c r="G10980" s="4" t="str">
        <f>HYPERLINK("http://141.218.60.56/~jnz1568/getInfo.php?workbook=20_05.xlsx&amp;sheet=U0&amp;row=10980&amp;col=7&amp;number=0.000314&amp;sourceID=14","0.000314")</f>
        <v>0.000314</v>
      </c>
    </row>
    <row r="10981" spans="1:7">
      <c r="A10981" s="3"/>
      <c r="B10981" s="3"/>
      <c r="C10981" s="3"/>
      <c r="D10981" s="3"/>
      <c r="E10981" s="3">
        <v>18</v>
      </c>
      <c r="F10981" s="4" t="str">
        <f>HYPERLINK("http://141.218.60.56/~jnz1568/getInfo.php?workbook=20_05.xlsx&amp;sheet=U0&amp;row=10981&amp;col=6&amp;number=4.7&amp;sourceID=14","4.7")</f>
        <v>4.7</v>
      </c>
      <c r="G10981" s="4" t="str">
        <f>HYPERLINK("http://141.218.60.56/~jnz1568/getInfo.php?workbook=20_05.xlsx&amp;sheet=U0&amp;row=10981&amp;col=7&amp;number=0.000313&amp;sourceID=14","0.000313")</f>
        <v>0.000313</v>
      </c>
    </row>
    <row r="10982" spans="1:7">
      <c r="A10982" s="3"/>
      <c r="B10982" s="3"/>
      <c r="C10982" s="3"/>
      <c r="D10982" s="3"/>
      <c r="E10982" s="3">
        <v>19</v>
      </c>
      <c r="F10982" s="4" t="str">
        <f>HYPERLINK("http://141.218.60.56/~jnz1568/getInfo.php?workbook=20_05.xlsx&amp;sheet=U0&amp;row=10982&amp;col=6&amp;number=4.8&amp;sourceID=14","4.8")</f>
        <v>4.8</v>
      </c>
      <c r="G10982" s="4" t="str">
        <f>HYPERLINK("http://141.218.60.56/~jnz1568/getInfo.php?workbook=20_05.xlsx&amp;sheet=U0&amp;row=10982&amp;col=7&amp;number=0.000312&amp;sourceID=14","0.000312")</f>
        <v>0.000312</v>
      </c>
    </row>
    <row r="10983" spans="1:7">
      <c r="A10983" s="3"/>
      <c r="B10983" s="3"/>
      <c r="C10983" s="3"/>
      <c r="D10983" s="3"/>
      <c r="E10983" s="3">
        <v>20</v>
      </c>
      <c r="F10983" s="4" t="str">
        <f>HYPERLINK("http://141.218.60.56/~jnz1568/getInfo.php?workbook=20_05.xlsx&amp;sheet=U0&amp;row=10983&amp;col=6&amp;number=4.9&amp;sourceID=14","4.9")</f>
        <v>4.9</v>
      </c>
      <c r="G10983" s="4" t="str">
        <f>HYPERLINK("http://141.218.60.56/~jnz1568/getInfo.php?workbook=20_05.xlsx&amp;sheet=U0&amp;row=10983&amp;col=7&amp;number=0.000311&amp;sourceID=14","0.000311")</f>
        <v>0.000311</v>
      </c>
    </row>
    <row r="10984" spans="1:7">
      <c r="A10984" s="3">
        <v>20</v>
      </c>
      <c r="B10984" s="3">
        <v>5</v>
      </c>
      <c r="C10984" s="3">
        <v>5</v>
      </c>
      <c r="D10984" s="3">
        <v>84</v>
      </c>
      <c r="E10984" s="3">
        <v>1</v>
      </c>
      <c r="F10984" s="4" t="str">
        <f>HYPERLINK("http://141.218.60.56/~jnz1568/getInfo.php?workbook=20_05.xlsx&amp;sheet=U0&amp;row=10984&amp;col=6&amp;number=3&amp;sourceID=14","3")</f>
        <v>3</v>
      </c>
      <c r="G10984" s="4" t="str">
        <f>HYPERLINK("http://141.218.60.56/~jnz1568/getInfo.php?workbook=20_05.xlsx&amp;sheet=U0&amp;row=10984&amp;col=7&amp;number=0.000392&amp;sourceID=14","0.000392")</f>
        <v>0.000392</v>
      </c>
    </row>
    <row r="10985" spans="1:7">
      <c r="A10985" s="3"/>
      <c r="B10985" s="3"/>
      <c r="C10985" s="3"/>
      <c r="D10985" s="3"/>
      <c r="E10985" s="3">
        <v>2</v>
      </c>
      <c r="F10985" s="4" t="str">
        <f>HYPERLINK("http://141.218.60.56/~jnz1568/getInfo.php?workbook=20_05.xlsx&amp;sheet=U0&amp;row=10985&amp;col=6&amp;number=3.1&amp;sourceID=14","3.1")</f>
        <v>3.1</v>
      </c>
      <c r="G10985" s="4" t="str">
        <f>HYPERLINK("http://141.218.60.56/~jnz1568/getInfo.php?workbook=20_05.xlsx&amp;sheet=U0&amp;row=10985&amp;col=7&amp;number=0.000392&amp;sourceID=14","0.000392")</f>
        <v>0.000392</v>
      </c>
    </row>
    <row r="10986" spans="1:7">
      <c r="A10986" s="3"/>
      <c r="B10986" s="3"/>
      <c r="C10986" s="3"/>
      <c r="D10986" s="3"/>
      <c r="E10986" s="3">
        <v>3</v>
      </c>
      <c r="F10986" s="4" t="str">
        <f>HYPERLINK("http://141.218.60.56/~jnz1568/getInfo.php?workbook=20_05.xlsx&amp;sheet=U0&amp;row=10986&amp;col=6&amp;number=3.2&amp;sourceID=14","3.2")</f>
        <v>3.2</v>
      </c>
      <c r="G10986" s="4" t="str">
        <f>HYPERLINK("http://141.218.60.56/~jnz1568/getInfo.php?workbook=20_05.xlsx&amp;sheet=U0&amp;row=10986&amp;col=7&amp;number=0.000392&amp;sourceID=14","0.000392")</f>
        <v>0.000392</v>
      </c>
    </row>
    <row r="10987" spans="1:7">
      <c r="A10987" s="3"/>
      <c r="B10987" s="3"/>
      <c r="C10987" s="3"/>
      <c r="D10987" s="3"/>
      <c r="E10987" s="3">
        <v>4</v>
      </c>
      <c r="F10987" s="4" t="str">
        <f>HYPERLINK("http://141.218.60.56/~jnz1568/getInfo.php?workbook=20_05.xlsx&amp;sheet=U0&amp;row=10987&amp;col=6&amp;number=3.3&amp;sourceID=14","3.3")</f>
        <v>3.3</v>
      </c>
      <c r="G10987" s="4" t="str">
        <f>HYPERLINK("http://141.218.60.56/~jnz1568/getInfo.php?workbook=20_05.xlsx&amp;sheet=U0&amp;row=10987&amp;col=7&amp;number=0.000392&amp;sourceID=14","0.000392")</f>
        <v>0.000392</v>
      </c>
    </row>
    <row r="10988" spans="1:7">
      <c r="A10988" s="3"/>
      <c r="B10988" s="3"/>
      <c r="C10988" s="3"/>
      <c r="D10988" s="3"/>
      <c r="E10988" s="3">
        <v>5</v>
      </c>
      <c r="F10988" s="4" t="str">
        <f>HYPERLINK("http://141.218.60.56/~jnz1568/getInfo.php?workbook=20_05.xlsx&amp;sheet=U0&amp;row=10988&amp;col=6&amp;number=3.4&amp;sourceID=14","3.4")</f>
        <v>3.4</v>
      </c>
      <c r="G10988" s="4" t="str">
        <f>HYPERLINK("http://141.218.60.56/~jnz1568/getInfo.php?workbook=20_05.xlsx&amp;sheet=U0&amp;row=10988&amp;col=7&amp;number=0.000392&amp;sourceID=14","0.000392")</f>
        <v>0.000392</v>
      </c>
    </row>
    <row r="10989" spans="1:7">
      <c r="A10989" s="3"/>
      <c r="B10989" s="3"/>
      <c r="C10989" s="3"/>
      <c r="D10989" s="3"/>
      <c r="E10989" s="3">
        <v>6</v>
      </c>
      <c r="F10989" s="4" t="str">
        <f>HYPERLINK("http://141.218.60.56/~jnz1568/getInfo.php?workbook=20_05.xlsx&amp;sheet=U0&amp;row=10989&amp;col=6&amp;number=3.5&amp;sourceID=14","3.5")</f>
        <v>3.5</v>
      </c>
      <c r="G10989" s="4" t="str">
        <f>HYPERLINK("http://141.218.60.56/~jnz1568/getInfo.php?workbook=20_05.xlsx&amp;sheet=U0&amp;row=10989&amp;col=7&amp;number=0.000392&amp;sourceID=14","0.000392")</f>
        <v>0.000392</v>
      </c>
    </row>
    <row r="10990" spans="1:7">
      <c r="A10990" s="3"/>
      <c r="B10990" s="3"/>
      <c r="C10990" s="3"/>
      <c r="D10990" s="3"/>
      <c r="E10990" s="3">
        <v>7</v>
      </c>
      <c r="F10990" s="4" t="str">
        <f>HYPERLINK("http://141.218.60.56/~jnz1568/getInfo.php?workbook=20_05.xlsx&amp;sheet=U0&amp;row=10990&amp;col=6&amp;number=3.6&amp;sourceID=14","3.6")</f>
        <v>3.6</v>
      </c>
      <c r="G10990" s="4" t="str">
        <f>HYPERLINK("http://141.218.60.56/~jnz1568/getInfo.php?workbook=20_05.xlsx&amp;sheet=U0&amp;row=10990&amp;col=7&amp;number=0.000392&amp;sourceID=14","0.000392")</f>
        <v>0.000392</v>
      </c>
    </row>
    <row r="10991" spans="1:7">
      <c r="A10991" s="3"/>
      <c r="B10991" s="3"/>
      <c r="C10991" s="3"/>
      <c r="D10991" s="3"/>
      <c r="E10991" s="3">
        <v>8</v>
      </c>
      <c r="F10991" s="4" t="str">
        <f>HYPERLINK("http://141.218.60.56/~jnz1568/getInfo.php?workbook=20_05.xlsx&amp;sheet=U0&amp;row=10991&amp;col=6&amp;number=3.7&amp;sourceID=14","3.7")</f>
        <v>3.7</v>
      </c>
      <c r="G10991" s="4" t="str">
        <f>HYPERLINK("http://141.218.60.56/~jnz1568/getInfo.php?workbook=20_05.xlsx&amp;sheet=U0&amp;row=10991&amp;col=7&amp;number=0.000392&amp;sourceID=14","0.000392")</f>
        <v>0.000392</v>
      </c>
    </row>
    <row r="10992" spans="1:7">
      <c r="A10992" s="3"/>
      <c r="B10992" s="3"/>
      <c r="C10992" s="3"/>
      <c r="D10992" s="3"/>
      <c r="E10992" s="3">
        <v>9</v>
      </c>
      <c r="F10992" s="4" t="str">
        <f>HYPERLINK("http://141.218.60.56/~jnz1568/getInfo.php?workbook=20_05.xlsx&amp;sheet=U0&amp;row=10992&amp;col=6&amp;number=3.8&amp;sourceID=14","3.8")</f>
        <v>3.8</v>
      </c>
      <c r="G10992" s="4" t="str">
        <f>HYPERLINK("http://141.218.60.56/~jnz1568/getInfo.php?workbook=20_05.xlsx&amp;sheet=U0&amp;row=10992&amp;col=7&amp;number=0.000392&amp;sourceID=14","0.000392")</f>
        <v>0.000392</v>
      </c>
    </row>
    <row r="10993" spans="1:7">
      <c r="A10993" s="3"/>
      <c r="B10993" s="3"/>
      <c r="C10993" s="3"/>
      <c r="D10993" s="3"/>
      <c r="E10993" s="3">
        <v>10</v>
      </c>
      <c r="F10993" s="4" t="str">
        <f>HYPERLINK("http://141.218.60.56/~jnz1568/getInfo.php?workbook=20_05.xlsx&amp;sheet=U0&amp;row=10993&amp;col=6&amp;number=3.9&amp;sourceID=14","3.9")</f>
        <v>3.9</v>
      </c>
      <c r="G10993" s="4" t="str">
        <f>HYPERLINK("http://141.218.60.56/~jnz1568/getInfo.php?workbook=20_05.xlsx&amp;sheet=U0&amp;row=10993&amp;col=7&amp;number=0.000391&amp;sourceID=14","0.000391")</f>
        <v>0.000391</v>
      </c>
    </row>
    <row r="10994" spans="1:7">
      <c r="A10994" s="3"/>
      <c r="B10994" s="3"/>
      <c r="C10994" s="3"/>
      <c r="D10994" s="3"/>
      <c r="E10994" s="3">
        <v>11</v>
      </c>
      <c r="F10994" s="4" t="str">
        <f>HYPERLINK("http://141.218.60.56/~jnz1568/getInfo.php?workbook=20_05.xlsx&amp;sheet=U0&amp;row=10994&amp;col=6&amp;number=4&amp;sourceID=14","4")</f>
        <v>4</v>
      </c>
      <c r="G10994" s="4" t="str">
        <f>HYPERLINK("http://141.218.60.56/~jnz1568/getInfo.php?workbook=20_05.xlsx&amp;sheet=U0&amp;row=10994&amp;col=7&amp;number=0.000391&amp;sourceID=14","0.000391")</f>
        <v>0.000391</v>
      </c>
    </row>
    <row r="10995" spans="1:7">
      <c r="A10995" s="3"/>
      <c r="B10995" s="3"/>
      <c r="C10995" s="3"/>
      <c r="D10995" s="3"/>
      <c r="E10995" s="3">
        <v>12</v>
      </c>
      <c r="F10995" s="4" t="str">
        <f>HYPERLINK("http://141.218.60.56/~jnz1568/getInfo.php?workbook=20_05.xlsx&amp;sheet=U0&amp;row=10995&amp;col=6&amp;number=4.1&amp;sourceID=14","4.1")</f>
        <v>4.1</v>
      </c>
      <c r="G10995" s="4" t="str">
        <f>HYPERLINK("http://141.218.60.56/~jnz1568/getInfo.php?workbook=20_05.xlsx&amp;sheet=U0&amp;row=10995&amp;col=7&amp;number=0.000391&amp;sourceID=14","0.000391")</f>
        <v>0.000391</v>
      </c>
    </row>
    <row r="10996" spans="1:7">
      <c r="A10996" s="3"/>
      <c r="B10996" s="3"/>
      <c r="C10996" s="3"/>
      <c r="D10996" s="3"/>
      <c r="E10996" s="3">
        <v>13</v>
      </c>
      <c r="F10996" s="4" t="str">
        <f>HYPERLINK("http://141.218.60.56/~jnz1568/getInfo.php?workbook=20_05.xlsx&amp;sheet=U0&amp;row=10996&amp;col=6&amp;number=4.2&amp;sourceID=14","4.2")</f>
        <v>4.2</v>
      </c>
      <c r="G10996" s="4" t="str">
        <f>HYPERLINK("http://141.218.60.56/~jnz1568/getInfo.php?workbook=20_05.xlsx&amp;sheet=U0&amp;row=10996&amp;col=7&amp;number=0.000391&amp;sourceID=14","0.000391")</f>
        <v>0.000391</v>
      </c>
    </row>
    <row r="10997" spans="1:7">
      <c r="A10997" s="3"/>
      <c r="B10997" s="3"/>
      <c r="C10997" s="3"/>
      <c r="D10997" s="3"/>
      <c r="E10997" s="3">
        <v>14</v>
      </c>
      <c r="F10997" s="4" t="str">
        <f>HYPERLINK("http://141.218.60.56/~jnz1568/getInfo.php?workbook=20_05.xlsx&amp;sheet=U0&amp;row=10997&amp;col=6&amp;number=4.3&amp;sourceID=14","4.3")</f>
        <v>4.3</v>
      </c>
      <c r="G10997" s="4" t="str">
        <f>HYPERLINK("http://141.218.60.56/~jnz1568/getInfo.php?workbook=20_05.xlsx&amp;sheet=U0&amp;row=10997&amp;col=7&amp;number=0.00039&amp;sourceID=14","0.00039")</f>
        <v>0.00039</v>
      </c>
    </row>
    <row r="10998" spans="1:7">
      <c r="A10998" s="3"/>
      <c r="B10998" s="3"/>
      <c r="C10998" s="3"/>
      <c r="D10998" s="3"/>
      <c r="E10998" s="3">
        <v>15</v>
      </c>
      <c r="F10998" s="4" t="str">
        <f>HYPERLINK("http://141.218.60.56/~jnz1568/getInfo.php?workbook=20_05.xlsx&amp;sheet=U0&amp;row=10998&amp;col=6&amp;number=4.4&amp;sourceID=14","4.4")</f>
        <v>4.4</v>
      </c>
      <c r="G10998" s="4" t="str">
        <f>HYPERLINK("http://141.218.60.56/~jnz1568/getInfo.php?workbook=20_05.xlsx&amp;sheet=U0&amp;row=10998&amp;col=7&amp;number=0.00039&amp;sourceID=14","0.00039")</f>
        <v>0.00039</v>
      </c>
    </row>
    <row r="10999" spans="1:7">
      <c r="A10999" s="3"/>
      <c r="B10999" s="3"/>
      <c r="C10999" s="3"/>
      <c r="D10999" s="3"/>
      <c r="E10999" s="3">
        <v>16</v>
      </c>
      <c r="F10999" s="4" t="str">
        <f>HYPERLINK("http://141.218.60.56/~jnz1568/getInfo.php?workbook=20_05.xlsx&amp;sheet=U0&amp;row=10999&amp;col=6&amp;number=4.5&amp;sourceID=14","4.5")</f>
        <v>4.5</v>
      </c>
      <c r="G10999" s="4" t="str">
        <f>HYPERLINK("http://141.218.60.56/~jnz1568/getInfo.php?workbook=20_05.xlsx&amp;sheet=U0&amp;row=10999&amp;col=7&amp;number=0.000389&amp;sourceID=14","0.000389")</f>
        <v>0.000389</v>
      </c>
    </row>
    <row r="11000" spans="1:7">
      <c r="A11000" s="3"/>
      <c r="B11000" s="3"/>
      <c r="C11000" s="3"/>
      <c r="D11000" s="3"/>
      <c r="E11000" s="3">
        <v>17</v>
      </c>
      <c r="F11000" s="4" t="str">
        <f>HYPERLINK("http://141.218.60.56/~jnz1568/getInfo.php?workbook=20_05.xlsx&amp;sheet=U0&amp;row=11000&amp;col=6&amp;number=4.6&amp;sourceID=14","4.6")</f>
        <v>4.6</v>
      </c>
      <c r="G11000" s="4" t="str">
        <f>HYPERLINK("http://141.218.60.56/~jnz1568/getInfo.php?workbook=20_05.xlsx&amp;sheet=U0&amp;row=11000&amp;col=7&amp;number=0.000389&amp;sourceID=14","0.000389")</f>
        <v>0.000389</v>
      </c>
    </row>
    <row r="11001" spans="1:7">
      <c r="A11001" s="3"/>
      <c r="B11001" s="3"/>
      <c r="C11001" s="3"/>
      <c r="D11001" s="3"/>
      <c r="E11001" s="3">
        <v>18</v>
      </c>
      <c r="F11001" s="4" t="str">
        <f>HYPERLINK("http://141.218.60.56/~jnz1568/getInfo.php?workbook=20_05.xlsx&amp;sheet=U0&amp;row=11001&amp;col=6&amp;number=4.7&amp;sourceID=14","4.7")</f>
        <v>4.7</v>
      </c>
      <c r="G11001" s="4" t="str">
        <f>HYPERLINK("http://141.218.60.56/~jnz1568/getInfo.php?workbook=20_05.xlsx&amp;sheet=U0&amp;row=11001&amp;col=7&amp;number=0.000388&amp;sourceID=14","0.000388")</f>
        <v>0.000388</v>
      </c>
    </row>
    <row r="11002" spans="1:7">
      <c r="A11002" s="3"/>
      <c r="B11002" s="3"/>
      <c r="C11002" s="3"/>
      <c r="D11002" s="3"/>
      <c r="E11002" s="3">
        <v>19</v>
      </c>
      <c r="F11002" s="4" t="str">
        <f>HYPERLINK("http://141.218.60.56/~jnz1568/getInfo.php?workbook=20_05.xlsx&amp;sheet=U0&amp;row=11002&amp;col=6&amp;number=4.8&amp;sourceID=14","4.8")</f>
        <v>4.8</v>
      </c>
      <c r="G11002" s="4" t="str">
        <f>HYPERLINK("http://141.218.60.56/~jnz1568/getInfo.php?workbook=20_05.xlsx&amp;sheet=U0&amp;row=11002&amp;col=7&amp;number=0.000386&amp;sourceID=14","0.000386")</f>
        <v>0.000386</v>
      </c>
    </row>
    <row r="11003" spans="1:7">
      <c r="A11003" s="3"/>
      <c r="B11003" s="3"/>
      <c r="C11003" s="3"/>
      <c r="D11003" s="3"/>
      <c r="E11003" s="3">
        <v>20</v>
      </c>
      <c r="F11003" s="4" t="str">
        <f>HYPERLINK("http://141.218.60.56/~jnz1568/getInfo.php?workbook=20_05.xlsx&amp;sheet=U0&amp;row=11003&amp;col=6&amp;number=4.9&amp;sourceID=14","4.9")</f>
        <v>4.9</v>
      </c>
      <c r="G11003" s="4" t="str">
        <f>HYPERLINK("http://141.218.60.56/~jnz1568/getInfo.php?workbook=20_05.xlsx&amp;sheet=U0&amp;row=11003&amp;col=7&amp;number=0.000385&amp;sourceID=14","0.000385")</f>
        <v>0.000385</v>
      </c>
    </row>
    <row r="11004" spans="1:7">
      <c r="A11004" s="3">
        <v>20</v>
      </c>
      <c r="B11004" s="3">
        <v>5</v>
      </c>
      <c r="C11004" s="3">
        <v>5</v>
      </c>
      <c r="D11004" s="3">
        <v>85</v>
      </c>
      <c r="E11004" s="3">
        <v>1</v>
      </c>
      <c r="F11004" s="4" t="str">
        <f>HYPERLINK("http://141.218.60.56/~jnz1568/getInfo.php?workbook=20_05.xlsx&amp;sheet=U0&amp;row=11004&amp;col=6&amp;number=3&amp;sourceID=14","3")</f>
        <v>3</v>
      </c>
      <c r="G11004" s="4" t="str">
        <f>HYPERLINK("http://141.218.60.56/~jnz1568/getInfo.php?workbook=20_05.xlsx&amp;sheet=U0&amp;row=11004&amp;col=7&amp;number=6.21e-05&amp;sourceID=14","6.21e-05")</f>
        <v>6.21e-05</v>
      </c>
    </row>
    <row r="11005" spans="1:7">
      <c r="A11005" s="3"/>
      <c r="B11005" s="3"/>
      <c r="C11005" s="3"/>
      <c r="D11005" s="3"/>
      <c r="E11005" s="3">
        <v>2</v>
      </c>
      <c r="F11005" s="4" t="str">
        <f>HYPERLINK("http://141.218.60.56/~jnz1568/getInfo.php?workbook=20_05.xlsx&amp;sheet=U0&amp;row=11005&amp;col=6&amp;number=3.1&amp;sourceID=14","3.1")</f>
        <v>3.1</v>
      </c>
      <c r="G11005" s="4" t="str">
        <f>HYPERLINK("http://141.218.60.56/~jnz1568/getInfo.php?workbook=20_05.xlsx&amp;sheet=U0&amp;row=11005&amp;col=7&amp;number=6.21e-05&amp;sourceID=14","6.21e-05")</f>
        <v>6.21e-05</v>
      </c>
    </row>
    <row r="11006" spans="1:7">
      <c r="A11006" s="3"/>
      <c r="B11006" s="3"/>
      <c r="C11006" s="3"/>
      <c r="D11006" s="3"/>
      <c r="E11006" s="3">
        <v>3</v>
      </c>
      <c r="F11006" s="4" t="str">
        <f>HYPERLINK("http://141.218.60.56/~jnz1568/getInfo.php?workbook=20_05.xlsx&amp;sheet=U0&amp;row=11006&amp;col=6&amp;number=3.2&amp;sourceID=14","3.2")</f>
        <v>3.2</v>
      </c>
      <c r="G11006" s="4" t="str">
        <f>HYPERLINK("http://141.218.60.56/~jnz1568/getInfo.php?workbook=20_05.xlsx&amp;sheet=U0&amp;row=11006&amp;col=7&amp;number=6.21e-05&amp;sourceID=14","6.21e-05")</f>
        <v>6.21e-05</v>
      </c>
    </row>
    <row r="11007" spans="1:7">
      <c r="A11007" s="3"/>
      <c r="B11007" s="3"/>
      <c r="C11007" s="3"/>
      <c r="D11007" s="3"/>
      <c r="E11007" s="3">
        <v>4</v>
      </c>
      <c r="F11007" s="4" t="str">
        <f>HYPERLINK("http://141.218.60.56/~jnz1568/getInfo.php?workbook=20_05.xlsx&amp;sheet=U0&amp;row=11007&amp;col=6&amp;number=3.3&amp;sourceID=14","3.3")</f>
        <v>3.3</v>
      </c>
      <c r="G11007" s="4" t="str">
        <f>HYPERLINK("http://141.218.60.56/~jnz1568/getInfo.php?workbook=20_05.xlsx&amp;sheet=U0&amp;row=11007&amp;col=7&amp;number=6.21e-05&amp;sourceID=14","6.21e-05")</f>
        <v>6.21e-05</v>
      </c>
    </row>
    <row r="11008" spans="1:7">
      <c r="A11008" s="3"/>
      <c r="B11008" s="3"/>
      <c r="C11008" s="3"/>
      <c r="D11008" s="3"/>
      <c r="E11008" s="3">
        <v>5</v>
      </c>
      <c r="F11008" s="4" t="str">
        <f>HYPERLINK("http://141.218.60.56/~jnz1568/getInfo.php?workbook=20_05.xlsx&amp;sheet=U0&amp;row=11008&amp;col=6&amp;number=3.4&amp;sourceID=14","3.4")</f>
        <v>3.4</v>
      </c>
      <c r="G11008" s="4" t="str">
        <f>HYPERLINK("http://141.218.60.56/~jnz1568/getInfo.php?workbook=20_05.xlsx&amp;sheet=U0&amp;row=11008&amp;col=7&amp;number=6.21e-05&amp;sourceID=14","6.21e-05")</f>
        <v>6.21e-05</v>
      </c>
    </row>
    <row r="11009" spans="1:7">
      <c r="A11009" s="3"/>
      <c r="B11009" s="3"/>
      <c r="C11009" s="3"/>
      <c r="D11009" s="3"/>
      <c r="E11009" s="3">
        <v>6</v>
      </c>
      <c r="F11009" s="4" t="str">
        <f>HYPERLINK("http://141.218.60.56/~jnz1568/getInfo.php?workbook=20_05.xlsx&amp;sheet=U0&amp;row=11009&amp;col=6&amp;number=3.5&amp;sourceID=14","3.5")</f>
        <v>3.5</v>
      </c>
      <c r="G11009" s="4" t="str">
        <f>HYPERLINK("http://141.218.60.56/~jnz1568/getInfo.php?workbook=20_05.xlsx&amp;sheet=U0&amp;row=11009&amp;col=7&amp;number=6.2e-05&amp;sourceID=14","6.2e-05")</f>
        <v>6.2e-05</v>
      </c>
    </row>
    <row r="11010" spans="1:7">
      <c r="A11010" s="3"/>
      <c r="B11010" s="3"/>
      <c r="C11010" s="3"/>
      <c r="D11010" s="3"/>
      <c r="E11010" s="3">
        <v>7</v>
      </c>
      <c r="F11010" s="4" t="str">
        <f>HYPERLINK("http://141.218.60.56/~jnz1568/getInfo.php?workbook=20_05.xlsx&amp;sheet=U0&amp;row=11010&amp;col=6&amp;number=3.6&amp;sourceID=14","3.6")</f>
        <v>3.6</v>
      </c>
      <c r="G11010" s="4" t="str">
        <f>HYPERLINK("http://141.218.60.56/~jnz1568/getInfo.php?workbook=20_05.xlsx&amp;sheet=U0&amp;row=11010&amp;col=7&amp;number=6.2e-05&amp;sourceID=14","6.2e-05")</f>
        <v>6.2e-05</v>
      </c>
    </row>
    <row r="11011" spans="1:7">
      <c r="A11011" s="3"/>
      <c r="B11011" s="3"/>
      <c r="C11011" s="3"/>
      <c r="D11011" s="3"/>
      <c r="E11011" s="3">
        <v>8</v>
      </c>
      <c r="F11011" s="4" t="str">
        <f>HYPERLINK("http://141.218.60.56/~jnz1568/getInfo.php?workbook=20_05.xlsx&amp;sheet=U0&amp;row=11011&amp;col=6&amp;number=3.7&amp;sourceID=14","3.7")</f>
        <v>3.7</v>
      </c>
      <c r="G11011" s="4" t="str">
        <f>HYPERLINK("http://141.218.60.56/~jnz1568/getInfo.php?workbook=20_05.xlsx&amp;sheet=U0&amp;row=11011&amp;col=7&amp;number=6.2e-05&amp;sourceID=14","6.2e-05")</f>
        <v>6.2e-05</v>
      </c>
    </row>
    <row r="11012" spans="1:7">
      <c r="A11012" s="3"/>
      <c r="B11012" s="3"/>
      <c r="C11012" s="3"/>
      <c r="D11012" s="3"/>
      <c r="E11012" s="3">
        <v>9</v>
      </c>
      <c r="F11012" s="4" t="str">
        <f>HYPERLINK("http://141.218.60.56/~jnz1568/getInfo.php?workbook=20_05.xlsx&amp;sheet=U0&amp;row=11012&amp;col=6&amp;number=3.8&amp;sourceID=14","3.8")</f>
        <v>3.8</v>
      </c>
      <c r="G11012" s="4" t="str">
        <f>HYPERLINK("http://141.218.60.56/~jnz1568/getInfo.php?workbook=20_05.xlsx&amp;sheet=U0&amp;row=11012&amp;col=7&amp;number=6.2e-05&amp;sourceID=14","6.2e-05")</f>
        <v>6.2e-05</v>
      </c>
    </row>
    <row r="11013" spans="1:7">
      <c r="A11013" s="3"/>
      <c r="B11013" s="3"/>
      <c r="C11013" s="3"/>
      <c r="D11013" s="3"/>
      <c r="E11013" s="3">
        <v>10</v>
      </c>
      <c r="F11013" s="4" t="str">
        <f>HYPERLINK("http://141.218.60.56/~jnz1568/getInfo.php?workbook=20_05.xlsx&amp;sheet=U0&amp;row=11013&amp;col=6&amp;number=3.9&amp;sourceID=14","3.9")</f>
        <v>3.9</v>
      </c>
      <c r="G11013" s="4" t="str">
        <f>HYPERLINK("http://141.218.60.56/~jnz1568/getInfo.php?workbook=20_05.xlsx&amp;sheet=U0&amp;row=11013&amp;col=7&amp;number=6.2e-05&amp;sourceID=14","6.2e-05")</f>
        <v>6.2e-05</v>
      </c>
    </row>
    <row r="11014" spans="1:7">
      <c r="A11014" s="3"/>
      <c r="B11014" s="3"/>
      <c r="C11014" s="3"/>
      <c r="D11014" s="3"/>
      <c r="E11014" s="3">
        <v>11</v>
      </c>
      <c r="F11014" s="4" t="str">
        <f>HYPERLINK("http://141.218.60.56/~jnz1568/getInfo.php?workbook=20_05.xlsx&amp;sheet=U0&amp;row=11014&amp;col=6&amp;number=4&amp;sourceID=14","4")</f>
        <v>4</v>
      </c>
      <c r="G11014" s="4" t="str">
        <f>HYPERLINK("http://141.218.60.56/~jnz1568/getInfo.php?workbook=20_05.xlsx&amp;sheet=U0&amp;row=11014&amp;col=7&amp;number=6.19e-05&amp;sourceID=14","6.19e-05")</f>
        <v>6.19e-05</v>
      </c>
    </row>
    <row r="11015" spans="1:7">
      <c r="A11015" s="3"/>
      <c r="B11015" s="3"/>
      <c r="C11015" s="3"/>
      <c r="D11015" s="3"/>
      <c r="E11015" s="3">
        <v>12</v>
      </c>
      <c r="F11015" s="4" t="str">
        <f>HYPERLINK("http://141.218.60.56/~jnz1568/getInfo.php?workbook=20_05.xlsx&amp;sheet=U0&amp;row=11015&amp;col=6&amp;number=4.1&amp;sourceID=14","4.1")</f>
        <v>4.1</v>
      </c>
      <c r="G11015" s="4" t="str">
        <f>HYPERLINK("http://141.218.60.56/~jnz1568/getInfo.php?workbook=20_05.xlsx&amp;sheet=U0&amp;row=11015&amp;col=7&amp;number=6.19e-05&amp;sourceID=14","6.19e-05")</f>
        <v>6.19e-05</v>
      </c>
    </row>
    <row r="11016" spans="1:7">
      <c r="A11016" s="3"/>
      <c r="B11016" s="3"/>
      <c r="C11016" s="3"/>
      <c r="D11016" s="3"/>
      <c r="E11016" s="3">
        <v>13</v>
      </c>
      <c r="F11016" s="4" t="str">
        <f>HYPERLINK("http://141.218.60.56/~jnz1568/getInfo.php?workbook=20_05.xlsx&amp;sheet=U0&amp;row=11016&amp;col=6&amp;number=4.2&amp;sourceID=14","4.2")</f>
        <v>4.2</v>
      </c>
      <c r="G11016" s="4" t="str">
        <f>HYPERLINK("http://141.218.60.56/~jnz1568/getInfo.php?workbook=20_05.xlsx&amp;sheet=U0&amp;row=11016&amp;col=7&amp;number=6.19e-05&amp;sourceID=14","6.19e-05")</f>
        <v>6.19e-05</v>
      </c>
    </row>
    <row r="11017" spans="1:7">
      <c r="A11017" s="3"/>
      <c r="B11017" s="3"/>
      <c r="C11017" s="3"/>
      <c r="D11017" s="3"/>
      <c r="E11017" s="3">
        <v>14</v>
      </c>
      <c r="F11017" s="4" t="str">
        <f>HYPERLINK("http://141.218.60.56/~jnz1568/getInfo.php?workbook=20_05.xlsx&amp;sheet=U0&amp;row=11017&amp;col=6&amp;number=4.3&amp;sourceID=14","4.3")</f>
        <v>4.3</v>
      </c>
      <c r="G11017" s="4" t="str">
        <f>HYPERLINK("http://141.218.60.56/~jnz1568/getInfo.php?workbook=20_05.xlsx&amp;sheet=U0&amp;row=11017&amp;col=7&amp;number=6.18e-05&amp;sourceID=14","6.18e-05")</f>
        <v>6.18e-05</v>
      </c>
    </row>
    <row r="11018" spans="1:7">
      <c r="A11018" s="3"/>
      <c r="B11018" s="3"/>
      <c r="C11018" s="3"/>
      <c r="D11018" s="3"/>
      <c r="E11018" s="3">
        <v>15</v>
      </c>
      <c r="F11018" s="4" t="str">
        <f>HYPERLINK("http://141.218.60.56/~jnz1568/getInfo.php?workbook=20_05.xlsx&amp;sheet=U0&amp;row=11018&amp;col=6&amp;number=4.4&amp;sourceID=14","4.4")</f>
        <v>4.4</v>
      </c>
      <c r="G11018" s="4" t="str">
        <f>HYPERLINK("http://141.218.60.56/~jnz1568/getInfo.php?workbook=20_05.xlsx&amp;sheet=U0&amp;row=11018&amp;col=7&amp;number=6.17e-05&amp;sourceID=14","6.17e-05")</f>
        <v>6.17e-05</v>
      </c>
    </row>
    <row r="11019" spans="1:7">
      <c r="A11019" s="3"/>
      <c r="B11019" s="3"/>
      <c r="C11019" s="3"/>
      <c r="D11019" s="3"/>
      <c r="E11019" s="3">
        <v>16</v>
      </c>
      <c r="F11019" s="4" t="str">
        <f>HYPERLINK("http://141.218.60.56/~jnz1568/getInfo.php?workbook=20_05.xlsx&amp;sheet=U0&amp;row=11019&amp;col=6&amp;number=4.5&amp;sourceID=14","4.5")</f>
        <v>4.5</v>
      </c>
      <c r="G11019" s="4" t="str">
        <f>HYPERLINK("http://141.218.60.56/~jnz1568/getInfo.php?workbook=20_05.xlsx&amp;sheet=U0&amp;row=11019&amp;col=7&amp;number=6.16e-05&amp;sourceID=14","6.16e-05")</f>
        <v>6.16e-05</v>
      </c>
    </row>
    <row r="11020" spans="1:7">
      <c r="A11020" s="3"/>
      <c r="B11020" s="3"/>
      <c r="C11020" s="3"/>
      <c r="D11020" s="3"/>
      <c r="E11020" s="3">
        <v>17</v>
      </c>
      <c r="F11020" s="4" t="str">
        <f>HYPERLINK("http://141.218.60.56/~jnz1568/getInfo.php?workbook=20_05.xlsx&amp;sheet=U0&amp;row=11020&amp;col=6&amp;number=4.6&amp;sourceID=14","4.6")</f>
        <v>4.6</v>
      </c>
      <c r="G11020" s="4" t="str">
        <f>HYPERLINK("http://141.218.60.56/~jnz1568/getInfo.php?workbook=20_05.xlsx&amp;sheet=U0&amp;row=11020&amp;col=7&amp;number=6.15e-05&amp;sourceID=14","6.15e-05")</f>
        <v>6.15e-05</v>
      </c>
    </row>
    <row r="11021" spans="1:7">
      <c r="A11021" s="3"/>
      <c r="B11021" s="3"/>
      <c r="C11021" s="3"/>
      <c r="D11021" s="3"/>
      <c r="E11021" s="3">
        <v>18</v>
      </c>
      <c r="F11021" s="4" t="str">
        <f>HYPERLINK("http://141.218.60.56/~jnz1568/getInfo.php?workbook=20_05.xlsx&amp;sheet=U0&amp;row=11021&amp;col=6&amp;number=4.7&amp;sourceID=14","4.7")</f>
        <v>4.7</v>
      </c>
      <c r="G11021" s="4" t="str">
        <f>HYPERLINK("http://141.218.60.56/~jnz1568/getInfo.php?workbook=20_05.xlsx&amp;sheet=U0&amp;row=11021&amp;col=7&amp;number=6.14e-05&amp;sourceID=14","6.14e-05")</f>
        <v>6.14e-05</v>
      </c>
    </row>
    <row r="11022" spans="1:7">
      <c r="A11022" s="3"/>
      <c r="B11022" s="3"/>
      <c r="C11022" s="3"/>
      <c r="D11022" s="3"/>
      <c r="E11022" s="3">
        <v>19</v>
      </c>
      <c r="F11022" s="4" t="str">
        <f>HYPERLINK("http://141.218.60.56/~jnz1568/getInfo.php?workbook=20_05.xlsx&amp;sheet=U0&amp;row=11022&amp;col=6&amp;number=4.8&amp;sourceID=14","4.8")</f>
        <v>4.8</v>
      </c>
      <c r="G11022" s="4" t="str">
        <f>HYPERLINK("http://141.218.60.56/~jnz1568/getInfo.php?workbook=20_05.xlsx&amp;sheet=U0&amp;row=11022&amp;col=7&amp;number=6.12e-05&amp;sourceID=14","6.12e-05")</f>
        <v>6.12e-05</v>
      </c>
    </row>
    <row r="11023" spans="1:7">
      <c r="A11023" s="3"/>
      <c r="B11023" s="3"/>
      <c r="C11023" s="3"/>
      <c r="D11023" s="3"/>
      <c r="E11023" s="3">
        <v>20</v>
      </c>
      <c r="F11023" s="4" t="str">
        <f>HYPERLINK("http://141.218.60.56/~jnz1568/getInfo.php?workbook=20_05.xlsx&amp;sheet=U0&amp;row=11023&amp;col=6&amp;number=4.9&amp;sourceID=14","4.9")</f>
        <v>4.9</v>
      </c>
      <c r="G11023" s="4" t="str">
        <f>HYPERLINK("http://141.218.60.56/~jnz1568/getInfo.php?workbook=20_05.xlsx&amp;sheet=U0&amp;row=11023&amp;col=7&amp;number=6.09e-05&amp;sourceID=14","6.09e-05")</f>
        <v>6.09e-05</v>
      </c>
    </row>
    <row r="11024" spans="1:7">
      <c r="A11024" s="3">
        <v>20</v>
      </c>
      <c r="B11024" s="3">
        <v>5</v>
      </c>
      <c r="C11024" s="3">
        <v>5</v>
      </c>
      <c r="D11024" s="3">
        <v>86</v>
      </c>
      <c r="E11024" s="3">
        <v>1</v>
      </c>
      <c r="F11024" s="4" t="str">
        <f>HYPERLINK("http://141.218.60.56/~jnz1568/getInfo.php?workbook=20_05.xlsx&amp;sheet=U0&amp;row=11024&amp;col=6&amp;number=3&amp;sourceID=14","3")</f>
        <v>3</v>
      </c>
      <c r="G11024" s="4" t="str">
        <f>HYPERLINK("http://141.218.60.56/~jnz1568/getInfo.php?workbook=20_05.xlsx&amp;sheet=U0&amp;row=11024&amp;col=7&amp;number=6.25e-06&amp;sourceID=14","6.25e-06")</f>
        <v>6.25e-06</v>
      </c>
    </row>
    <row r="11025" spans="1:7">
      <c r="A11025" s="3"/>
      <c r="B11025" s="3"/>
      <c r="C11025" s="3"/>
      <c r="D11025" s="3"/>
      <c r="E11025" s="3">
        <v>2</v>
      </c>
      <c r="F11025" s="4" t="str">
        <f>HYPERLINK("http://141.218.60.56/~jnz1568/getInfo.php?workbook=20_05.xlsx&amp;sheet=U0&amp;row=11025&amp;col=6&amp;number=3.1&amp;sourceID=14","3.1")</f>
        <v>3.1</v>
      </c>
      <c r="G11025" s="4" t="str">
        <f>HYPERLINK("http://141.218.60.56/~jnz1568/getInfo.php?workbook=20_05.xlsx&amp;sheet=U0&amp;row=11025&amp;col=7&amp;number=6.25e-06&amp;sourceID=14","6.25e-06")</f>
        <v>6.25e-06</v>
      </c>
    </row>
    <row r="11026" spans="1:7">
      <c r="A11026" s="3"/>
      <c r="B11026" s="3"/>
      <c r="C11026" s="3"/>
      <c r="D11026" s="3"/>
      <c r="E11026" s="3">
        <v>3</v>
      </c>
      <c r="F11026" s="4" t="str">
        <f>HYPERLINK("http://141.218.60.56/~jnz1568/getInfo.php?workbook=20_05.xlsx&amp;sheet=U0&amp;row=11026&amp;col=6&amp;number=3.2&amp;sourceID=14","3.2")</f>
        <v>3.2</v>
      </c>
      <c r="G11026" s="4" t="str">
        <f>HYPERLINK("http://141.218.60.56/~jnz1568/getInfo.php?workbook=20_05.xlsx&amp;sheet=U0&amp;row=11026&amp;col=7&amp;number=6.25e-06&amp;sourceID=14","6.25e-06")</f>
        <v>6.25e-06</v>
      </c>
    </row>
    <row r="11027" spans="1:7">
      <c r="A11027" s="3"/>
      <c r="B11027" s="3"/>
      <c r="C11027" s="3"/>
      <c r="D11027" s="3"/>
      <c r="E11027" s="3">
        <v>4</v>
      </c>
      <c r="F11027" s="4" t="str">
        <f>HYPERLINK("http://141.218.60.56/~jnz1568/getInfo.php?workbook=20_05.xlsx&amp;sheet=U0&amp;row=11027&amp;col=6&amp;number=3.3&amp;sourceID=14","3.3")</f>
        <v>3.3</v>
      </c>
      <c r="G11027" s="4" t="str">
        <f>HYPERLINK("http://141.218.60.56/~jnz1568/getInfo.php?workbook=20_05.xlsx&amp;sheet=U0&amp;row=11027&amp;col=7&amp;number=6.25e-06&amp;sourceID=14","6.25e-06")</f>
        <v>6.25e-06</v>
      </c>
    </row>
    <row r="11028" spans="1:7">
      <c r="A11028" s="3"/>
      <c r="B11028" s="3"/>
      <c r="C11028" s="3"/>
      <c r="D11028" s="3"/>
      <c r="E11028" s="3">
        <v>5</v>
      </c>
      <c r="F11028" s="4" t="str">
        <f>HYPERLINK("http://141.218.60.56/~jnz1568/getInfo.php?workbook=20_05.xlsx&amp;sheet=U0&amp;row=11028&amp;col=6&amp;number=3.4&amp;sourceID=14","3.4")</f>
        <v>3.4</v>
      </c>
      <c r="G11028" s="4" t="str">
        <f>HYPERLINK("http://141.218.60.56/~jnz1568/getInfo.php?workbook=20_05.xlsx&amp;sheet=U0&amp;row=11028&amp;col=7&amp;number=6.25e-06&amp;sourceID=14","6.25e-06")</f>
        <v>6.25e-06</v>
      </c>
    </row>
    <row r="11029" spans="1:7">
      <c r="A11029" s="3"/>
      <c r="B11029" s="3"/>
      <c r="C11029" s="3"/>
      <c r="D11029" s="3"/>
      <c r="E11029" s="3">
        <v>6</v>
      </c>
      <c r="F11029" s="4" t="str">
        <f>HYPERLINK("http://141.218.60.56/~jnz1568/getInfo.php?workbook=20_05.xlsx&amp;sheet=U0&amp;row=11029&amp;col=6&amp;number=3.5&amp;sourceID=14","3.5")</f>
        <v>3.5</v>
      </c>
      <c r="G11029" s="4" t="str">
        <f>HYPERLINK("http://141.218.60.56/~jnz1568/getInfo.php?workbook=20_05.xlsx&amp;sheet=U0&amp;row=11029&amp;col=7&amp;number=6.25e-06&amp;sourceID=14","6.25e-06")</f>
        <v>6.25e-06</v>
      </c>
    </row>
    <row r="11030" spans="1:7">
      <c r="A11030" s="3"/>
      <c r="B11030" s="3"/>
      <c r="C11030" s="3"/>
      <c r="D11030" s="3"/>
      <c r="E11030" s="3">
        <v>7</v>
      </c>
      <c r="F11030" s="4" t="str">
        <f>HYPERLINK("http://141.218.60.56/~jnz1568/getInfo.php?workbook=20_05.xlsx&amp;sheet=U0&amp;row=11030&amp;col=6&amp;number=3.6&amp;sourceID=14","3.6")</f>
        <v>3.6</v>
      </c>
      <c r="G11030" s="4" t="str">
        <f>HYPERLINK("http://141.218.60.56/~jnz1568/getInfo.php?workbook=20_05.xlsx&amp;sheet=U0&amp;row=11030&amp;col=7&amp;number=6.25e-06&amp;sourceID=14","6.25e-06")</f>
        <v>6.25e-06</v>
      </c>
    </row>
    <row r="11031" spans="1:7">
      <c r="A11031" s="3"/>
      <c r="B11031" s="3"/>
      <c r="C11031" s="3"/>
      <c r="D11031" s="3"/>
      <c r="E11031" s="3">
        <v>8</v>
      </c>
      <c r="F11031" s="4" t="str">
        <f>HYPERLINK("http://141.218.60.56/~jnz1568/getInfo.php?workbook=20_05.xlsx&amp;sheet=U0&amp;row=11031&amp;col=6&amp;number=3.7&amp;sourceID=14","3.7")</f>
        <v>3.7</v>
      </c>
      <c r="G11031" s="4" t="str">
        <f>HYPERLINK("http://141.218.60.56/~jnz1568/getInfo.php?workbook=20_05.xlsx&amp;sheet=U0&amp;row=11031&amp;col=7&amp;number=6.24e-06&amp;sourceID=14","6.24e-06")</f>
        <v>6.24e-06</v>
      </c>
    </row>
    <row r="11032" spans="1:7">
      <c r="A11032" s="3"/>
      <c r="B11032" s="3"/>
      <c r="C11032" s="3"/>
      <c r="D11032" s="3"/>
      <c r="E11032" s="3">
        <v>9</v>
      </c>
      <c r="F11032" s="4" t="str">
        <f>HYPERLINK("http://141.218.60.56/~jnz1568/getInfo.php?workbook=20_05.xlsx&amp;sheet=U0&amp;row=11032&amp;col=6&amp;number=3.8&amp;sourceID=14","3.8")</f>
        <v>3.8</v>
      </c>
      <c r="G11032" s="4" t="str">
        <f>HYPERLINK("http://141.218.60.56/~jnz1568/getInfo.php?workbook=20_05.xlsx&amp;sheet=U0&amp;row=11032&amp;col=7&amp;number=6.24e-06&amp;sourceID=14","6.24e-06")</f>
        <v>6.24e-06</v>
      </c>
    </row>
    <row r="11033" spans="1:7">
      <c r="A11033" s="3"/>
      <c r="B11033" s="3"/>
      <c r="C11033" s="3"/>
      <c r="D11033" s="3"/>
      <c r="E11033" s="3">
        <v>10</v>
      </c>
      <c r="F11033" s="4" t="str">
        <f>HYPERLINK("http://141.218.60.56/~jnz1568/getInfo.php?workbook=20_05.xlsx&amp;sheet=U0&amp;row=11033&amp;col=6&amp;number=3.9&amp;sourceID=14","3.9")</f>
        <v>3.9</v>
      </c>
      <c r="G11033" s="4" t="str">
        <f>HYPERLINK("http://141.218.60.56/~jnz1568/getInfo.php?workbook=20_05.xlsx&amp;sheet=U0&amp;row=11033&amp;col=7&amp;number=6.24e-06&amp;sourceID=14","6.24e-06")</f>
        <v>6.24e-06</v>
      </c>
    </row>
    <row r="11034" spans="1:7">
      <c r="A11034" s="3"/>
      <c r="B11034" s="3"/>
      <c r="C11034" s="3"/>
      <c r="D11034" s="3"/>
      <c r="E11034" s="3">
        <v>11</v>
      </c>
      <c r="F11034" s="4" t="str">
        <f>HYPERLINK("http://141.218.60.56/~jnz1568/getInfo.php?workbook=20_05.xlsx&amp;sheet=U0&amp;row=11034&amp;col=6&amp;number=4&amp;sourceID=14","4")</f>
        <v>4</v>
      </c>
      <c r="G11034" s="4" t="str">
        <f>HYPERLINK("http://141.218.60.56/~jnz1568/getInfo.php?workbook=20_05.xlsx&amp;sheet=U0&amp;row=11034&amp;col=7&amp;number=6.24e-06&amp;sourceID=14","6.24e-06")</f>
        <v>6.24e-06</v>
      </c>
    </row>
    <row r="11035" spans="1:7">
      <c r="A11035" s="3"/>
      <c r="B11035" s="3"/>
      <c r="C11035" s="3"/>
      <c r="D11035" s="3"/>
      <c r="E11035" s="3">
        <v>12</v>
      </c>
      <c r="F11035" s="4" t="str">
        <f>HYPERLINK("http://141.218.60.56/~jnz1568/getInfo.php?workbook=20_05.xlsx&amp;sheet=U0&amp;row=11035&amp;col=6&amp;number=4.1&amp;sourceID=14","4.1")</f>
        <v>4.1</v>
      </c>
      <c r="G11035" s="4" t="str">
        <f>HYPERLINK("http://141.218.60.56/~jnz1568/getInfo.php?workbook=20_05.xlsx&amp;sheet=U0&amp;row=11035&amp;col=7&amp;number=6.23e-06&amp;sourceID=14","6.23e-06")</f>
        <v>6.23e-06</v>
      </c>
    </row>
    <row r="11036" spans="1:7">
      <c r="A11036" s="3"/>
      <c r="B11036" s="3"/>
      <c r="C11036" s="3"/>
      <c r="D11036" s="3"/>
      <c r="E11036" s="3">
        <v>13</v>
      </c>
      <c r="F11036" s="4" t="str">
        <f>HYPERLINK("http://141.218.60.56/~jnz1568/getInfo.php?workbook=20_05.xlsx&amp;sheet=U0&amp;row=11036&amp;col=6&amp;number=4.2&amp;sourceID=14","4.2")</f>
        <v>4.2</v>
      </c>
      <c r="G11036" s="4" t="str">
        <f>HYPERLINK("http://141.218.60.56/~jnz1568/getInfo.php?workbook=20_05.xlsx&amp;sheet=U0&amp;row=11036&amp;col=7&amp;number=6.23e-06&amp;sourceID=14","6.23e-06")</f>
        <v>6.23e-06</v>
      </c>
    </row>
    <row r="11037" spans="1:7">
      <c r="A11037" s="3"/>
      <c r="B11037" s="3"/>
      <c r="C11037" s="3"/>
      <c r="D11037" s="3"/>
      <c r="E11037" s="3">
        <v>14</v>
      </c>
      <c r="F11037" s="4" t="str">
        <f>HYPERLINK("http://141.218.60.56/~jnz1568/getInfo.php?workbook=20_05.xlsx&amp;sheet=U0&amp;row=11037&amp;col=6&amp;number=4.3&amp;sourceID=14","4.3")</f>
        <v>4.3</v>
      </c>
      <c r="G11037" s="4" t="str">
        <f>HYPERLINK("http://141.218.60.56/~jnz1568/getInfo.php?workbook=20_05.xlsx&amp;sheet=U0&amp;row=11037&amp;col=7&amp;number=6.22e-06&amp;sourceID=14","6.22e-06")</f>
        <v>6.22e-06</v>
      </c>
    </row>
    <row r="11038" spans="1:7">
      <c r="A11038" s="3"/>
      <c r="B11038" s="3"/>
      <c r="C11038" s="3"/>
      <c r="D11038" s="3"/>
      <c r="E11038" s="3">
        <v>15</v>
      </c>
      <c r="F11038" s="4" t="str">
        <f>HYPERLINK("http://141.218.60.56/~jnz1568/getInfo.php?workbook=20_05.xlsx&amp;sheet=U0&amp;row=11038&amp;col=6&amp;number=4.4&amp;sourceID=14","4.4")</f>
        <v>4.4</v>
      </c>
      <c r="G11038" s="4" t="str">
        <f>HYPERLINK("http://141.218.60.56/~jnz1568/getInfo.php?workbook=20_05.xlsx&amp;sheet=U0&amp;row=11038&amp;col=7&amp;number=6.22e-06&amp;sourceID=14","6.22e-06")</f>
        <v>6.22e-06</v>
      </c>
    </row>
    <row r="11039" spans="1:7">
      <c r="A11039" s="3"/>
      <c r="B11039" s="3"/>
      <c r="C11039" s="3"/>
      <c r="D11039" s="3"/>
      <c r="E11039" s="3">
        <v>16</v>
      </c>
      <c r="F11039" s="4" t="str">
        <f>HYPERLINK("http://141.218.60.56/~jnz1568/getInfo.php?workbook=20_05.xlsx&amp;sheet=U0&amp;row=11039&amp;col=6&amp;number=4.5&amp;sourceID=14","4.5")</f>
        <v>4.5</v>
      </c>
      <c r="G11039" s="4" t="str">
        <f>HYPERLINK("http://141.218.60.56/~jnz1568/getInfo.php?workbook=20_05.xlsx&amp;sheet=U0&amp;row=11039&amp;col=7&amp;number=6.21e-06&amp;sourceID=14","6.21e-06")</f>
        <v>6.21e-06</v>
      </c>
    </row>
    <row r="11040" spans="1:7">
      <c r="A11040" s="3"/>
      <c r="B11040" s="3"/>
      <c r="C11040" s="3"/>
      <c r="D11040" s="3"/>
      <c r="E11040" s="3">
        <v>17</v>
      </c>
      <c r="F11040" s="4" t="str">
        <f>HYPERLINK("http://141.218.60.56/~jnz1568/getInfo.php?workbook=20_05.xlsx&amp;sheet=U0&amp;row=11040&amp;col=6&amp;number=4.6&amp;sourceID=14","4.6")</f>
        <v>4.6</v>
      </c>
      <c r="G11040" s="4" t="str">
        <f>HYPERLINK("http://141.218.60.56/~jnz1568/getInfo.php?workbook=20_05.xlsx&amp;sheet=U0&amp;row=11040&amp;col=7&amp;number=6.2e-06&amp;sourceID=14","6.2e-06")</f>
        <v>6.2e-06</v>
      </c>
    </row>
    <row r="11041" spans="1:7">
      <c r="A11041" s="3"/>
      <c r="B11041" s="3"/>
      <c r="C11041" s="3"/>
      <c r="D11041" s="3"/>
      <c r="E11041" s="3">
        <v>18</v>
      </c>
      <c r="F11041" s="4" t="str">
        <f>HYPERLINK("http://141.218.60.56/~jnz1568/getInfo.php?workbook=20_05.xlsx&amp;sheet=U0&amp;row=11041&amp;col=6&amp;number=4.7&amp;sourceID=14","4.7")</f>
        <v>4.7</v>
      </c>
      <c r="G11041" s="4" t="str">
        <f>HYPERLINK("http://141.218.60.56/~jnz1568/getInfo.php?workbook=20_05.xlsx&amp;sheet=U0&amp;row=11041&amp;col=7&amp;number=6.18e-06&amp;sourceID=14","6.18e-06")</f>
        <v>6.18e-06</v>
      </c>
    </row>
    <row r="11042" spans="1:7">
      <c r="A11042" s="3"/>
      <c r="B11042" s="3"/>
      <c r="C11042" s="3"/>
      <c r="D11042" s="3"/>
      <c r="E11042" s="3">
        <v>19</v>
      </c>
      <c r="F11042" s="4" t="str">
        <f>HYPERLINK("http://141.218.60.56/~jnz1568/getInfo.php?workbook=20_05.xlsx&amp;sheet=U0&amp;row=11042&amp;col=6&amp;number=4.8&amp;sourceID=14","4.8")</f>
        <v>4.8</v>
      </c>
      <c r="G11042" s="4" t="str">
        <f>HYPERLINK("http://141.218.60.56/~jnz1568/getInfo.php?workbook=20_05.xlsx&amp;sheet=U0&amp;row=11042&amp;col=7&amp;number=6.16e-06&amp;sourceID=14","6.16e-06")</f>
        <v>6.16e-06</v>
      </c>
    </row>
    <row r="11043" spans="1:7">
      <c r="A11043" s="3"/>
      <c r="B11043" s="3"/>
      <c r="C11043" s="3"/>
      <c r="D11043" s="3"/>
      <c r="E11043" s="3">
        <v>20</v>
      </c>
      <c r="F11043" s="4" t="str">
        <f>HYPERLINK("http://141.218.60.56/~jnz1568/getInfo.php?workbook=20_05.xlsx&amp;sheet=U0&amp;row=11043&amp;col=6&amp;number=4.9&amp;sourceID=14","4.9")</f>
        <v>4.9</v>
      </c>
      <c r="G11043" s="4" t="str">
        <f>HYPERLINK("http://141.218.60.56/~jnz1568/getInfo.php?workbook=20_05.xlsx&amp;sheet=U0&amp;row=11043&amp;col=7&amp;number=6.14e-06&amp;sourceID=14","6.14e-06")</f>
        <v>6.14e-06</v>
      </c>
    </row>
    <row r="11044" spans="1:7">
      <c r="A11044" s="3">
        <v>20</v>
      </c>
      <c r="B11044" s="3">
        <v>5</v>
      </c>
      <c r="C11044" s="3">
        <v>5</v>
      </c>
      <c r="D11044" s="3">
        <v>87</v>
      </c>
      <c r="E11044" s="3">
        <v>1</v>
      </c>
      <c r="F11044" s="4" t="str">
        <f>HYPERLINK("http://141.218.60.56/~jnz1568/getInfo.php?workbook=20_05.xlsx&amp;sheet=U0&amp;row=11044&amp;col=6&amp;number=3&amp;sourceID=14","3")</f>
        <v>3</v>
      </c>
      <c r="G11044" s="4" t="str">
        <f>HYPERLINK("http://141.218.60.56/~jnz1568/getInfo.php?workbook=20_05.xlsx&amp;sheet=U0&amp;row=11044&amp;col=7&amp;number=0.000109&amp;sourceID=14","0.000109")</f>
        <v>0.000109</v>
      </c>
    </row>
    <row r="11045" spans="1:7">
      <c r="A11045" s="3"/>
      <c r="B11045" s="3"/>
      <c r="C11045" s="3"/>
      <c r="D11045" s="3"/>
      <c r="E11045" s="3">
        <v>2</v>
      </c>
      <c r="F11045" s="4" t="str">
        <f>HYPERLINK("http://141.218.60.56/~jnz1568/getInfo.php?workbook=20_05.xlsx&amp;sheet=U0&amp;row=11045&amp;col=6&amp;number=3.1&amp;sourceID=14","3.1")</f>
        <v>3.1</v>
      </c>
      <c r="G11045" s="4" t="str">
        <f>HYPERLINK("http://141.218.60.56/~jnz1568/getInfo.php?workbook=20_05.xlsx&amp;sheet=U0&amp;row=11045&amp;col=7&amp;number=0.000109&amp;sourceID=14","0.000109")</f>
        <v>0.000109</v>
      </c>
    </row>
    <row r="11046" spans="1:7">
      <c r="A11046" s="3"/>
      <c r="B11046" s="3"/>
      <c r="C11046" s="3"/>
      <c r="D11046" s="3"/>
      <c r="E11046" s="3">
        <v>3</v>
      </c>
      <c r="F11046" s="4" t="str">
        <f>HYPERLINK("http://141.218.60.56/~jnz1568/getInfo.php?workbook=20_05.xlsx&amp;sheet=U0&amp;row=11046&amp;col=6&amp;number=3.2&amp;sourceID=14","3.2")</f>
        <v>3.2</v>
      </c>
      <c r="G11046" s="4" t="str">
        <f>HYPERLINK("http://141.218.60.56/~jnz1568/getInfo.php?workbook=20_05.xlsx&amp;sheet=U0&amp;row=11046&amp;col=7&amp;number=0.000109&amp;sourceID=14","0.000109")</f>
        <v>0.000109</v>
      </c>
    </row>
    <row r="11047" spans="1:7">
      <c r="A11047" s="3"/>
      <c r="B11047" s="3"/>
      <c r="C11047" s="3"/>
      <c r="D11047" s="3"/>
      <c r="E11047" s="3">
        <v>4</v>
      </c>
      <c r="F11047" s="4" t="str">
        <f>HYPERLINK("http://141.218.60.56/~jnz1568/getInfo.php?workbook=20_05.xlsx&amp;sheet=U0&amp;row=11047&amp;col=6&amp;number=3.3&amp;sourceID=14","3.3")</f>
        <v>3.3</v>
      </c>
      <c r="G11047" s="4" t="str">
        <f>HYPERLINK("http://141.218.60.56/~jnz1568/getInfo.php?workbook=20_05.xlsx&amp;sheet=U0&amp;row=11047&amp;col=7&amp;number=0.000109&amp;sourceID=14","0.000109")</f>
        <v>0.000109</v>
      </c>
    </row>
    <row r="11048" spans="1:7">
      <c r="A11048" s="3"/>
      <c r="B11048" s="3"/>
      <c r="C11048" s="3"/>
      <c r="D11048" s="3"/>
      <c r="E11048" s="3">
        <v>5</v>
      </c>
      <c r="F11048" s="4" t="str">
        <f>HYPERLINK("http://141.218.60.56/~jnz1568/getInfo.php?workbook=20_05.xlsx&amp;sheet=U0&amp;row=11048&amp;col=6&amp;number=3.4&amp;sourceID=14","3.4")</f>
        <v>3.4</v>
      </c>
      <c r="G11048" s="4" t="str">
        <f>HYPERLINK("http://141.218.60.56/~jnz1568/getInfo.php?workbook=20_05.xlsx&amp;sheet=U0&amp;row=11048&amp;col=7&amp;number=0.000109&amp;sourceID=14","0.000109")</f>
        <v>0.000109</v>
      </c>
    </row>
    <row r="11049" spans="1:7">
      <c r="A11049" s="3"/>
      <c r="B11049" s="3"/>
      <c r="C11049" s="3"/>
      <c r="D11049" s="3"/>
      <c r="E11049" s="3">
        <v>6</v>
      </c>
      <c r="F11049" s="4" t="str">
        <f>HYPERLINK("http://141.218.60.56/~jnz1568/getInfo.php?workbook=20_05.xlsx&amp;sheet=U0&amp;row=11049&amp;col=6&amp;number=3.5&amp;sourceID=14","3.5")</f>
        <v>3.5</v>
      </c>
      <c r="G11049" s="4" t="str">
        <f>HYPERLINK("http://141.218.60.56/~jnz1568/getInfo.php?workbook=20_05.xlsx&amp;sheet=U0&amp;row=11049&amp;col=7&amp;number=0.000109&amp;sourceID=14","0.000109")</f>
        <v>0.000109</v>
      </c>
    </row>
    <row r="11050" spans="1:7">
      <c r="A11050" s="3"/>
      <c r="B11050" s="3"/>
      <c r="C11050" s="3"/>
      <c r="D11050" s="3"/>
      <c r="E11050" s="3">
        <v>7</v>
      </c>
      <c r="F11050" s="4" t="str">
        <f>HYPERLINK("http://141.218.60.56/~jnz1568/getInfo.php?workbook=20_05.xlsx&amp;sheet=U0&amp;row=11050&amp;col=6&amp;number=3.6&amp;sourceID=14","3.6")</f>
        <v>3.6</v>
      </c>
      <c r="G11050" s="4" t="str">
        <f>HYPERLINK("http://141.218.60.56/~jnz1568/getInfo.php?workbook=20_05.xlsx&amp;sheet=U0&amp;row=11050&amp;col=7&amp;number=0.000109&amp;sourceID=14","0.000109")</f>
        <v>0.000109</v>
      </c>
    </row>
    <row r="11051" spans="1:7">
      <c r="A11051" s="3"/>
      <c r="B11051" s="3"/>
      <c r="C11051" s="3"/>
      <c r="D11051" s="3"/>
      <c r="E11051" s="3">
        <v>8</v>
      </c>
      <c r="F11051" s="4" t="str">
        <f>HYPERLINK("http://141.218.60.56/~jnz1568/getInfo.php?workbook=20_05.xlsx&amp;sheet=U0&amp;row=11051&amp;col=6&amp;number=3.7&amp;sourceID=14","3.7")</f>
        <v>3.7</v>
      </c>
      <c r="G11051" s="4" t="str">
        <f>HYPERLINK("http://141.218.60.56/~jnz1568/getInfo.php?workbook=20_05.xlsx&amp;sheet=U0&amp;row=11051&amp;col=7&amp;number=0.000109&amp;sourceID=14","0.000109")</f>
        <v>0.000109</v>
      </c>
    </row>
    <row r="11052" spans="1:7">
      <c r="A11052" s="3"/>
      <c r="B11052" s="3"/>
      <c r="C11052" s="3"/>
      <c r="D11052" s="3"/>
      <c r="E11052" s="3">
        <v>9</v>
      </c>
      <c r="F11052" s="4" t="str">
        <f>HYPERLINK("http://141.218.60.56/~jnz1568/getInfo.php?workbook=20_05.xlsx&amp;sheet=U0&amp;row=11052&amp;col=6&amp;number=3.8&amp;sourceID=14","3.8")</f>
        <v>3.8</v>
      </c>
      <c r="G11052" s="4" t="str">
        <f>HYPERLINK("http://141.218.60.56/~jnz1568/getInfo.php?workbook=20_05.xlsx&amp;sheet=U0&amp;row=11052&amp;col=7&amp;number=0.000109&amp;sourceID=14","0.000109")</f>
        <v>0.000109</v>
      </c>
    </row>
    <row r="11053" spans="1:7">
      <c r="A11053" s="3"/>
      <c r="B11053" s="3"/>
      <c r="C11053" s="3"/>
      <c r="D11053" s="3"/>
      <c r="E11053" s="3">
        <v>10</v>
      </c>
      <c r="F11053" s="4" t="str">
        <f>HYPERLINK("http://141.218.60.56/~jnz1568/getInfo.php?workbook=20_05.xlsx&amp;sheet=U0&amp;row=11053&amp;col=6&amp;number=3.9&amp;sourceID=14","3.9")</f>
        <v>3.9</v>
      </c>
      <c r="G11053" s="4" t="str">
        <f>HYPERLINK("http://141.218.60.56/~jnz1568/getInfo.php?workbook=20_05.xlsx&amp;sheet=U0&amp;row=11053&amp;col=7&amp;number=0.000109&amp;sourceID=14","0.000109")</f>
        <v>0.000109</v>
      </c>
    </row>
    <row r="11054" spans="1:7">
      <c r="A11054" s="3"/>
      <c r="B11054" s="3"/>
      <c r="C11054" s="3"/>
      <c r="D11054" s="3"/>
      <c r="E11054" s="3">
        <v>11</v>
      </c>
      <c r="F11054" s="4" t="str">
        <f>HYPERLINK("http://141.218.60.56/~jnz1568/getInfo.php?workbook=20_05.xlsx&amp;sheet=U0&amp;row=11054&amp;col=6&amp;number=4&amp;sourceID=14","4")</f>
        <v>4</v>
      </c>
      <c r="G11054" s="4" t="str">
        <f>HYPERLINK("http://141.218.60.56/~jnz1568/getInfo.php?workbook=20_05.xlsx&amp;sheet=U0&amp;row=11054&amp;col=7&amp;number=0.000109&amp;sourceID=14","0.000109")</f>
        <v>0.000109</v>
      </c>
    </row>
    <row r="11055" spans="1:7">
      <c r="A11055" s="3"/>
      <c r="B11055" s="3"/>
      <c r="C11055" s="3"/>
      <c r="D11055" s="3"/>
      <c r="E11055" s="3">
        <v>12</v>
      </c>
      <c r="F11055" s="4" t="str">
        <f>HYPERLINK("http://141.218.60.56/~jnz1568/getInfo.php?workbook=20_05.xlsx&amp;sheet=U0&amp;row=11055&amp;col=6&amp;number=4.1&amp;sourceID=14","4.1")</f>
        <v>4.1</v>
      </c>
      <c r="G11055" s="4" t="str">
        <f>HYPERLINK("http://141.218.60.56/~jnz1568/getInfo.php?workbook=20_05.xlsx&amp;sheet=U0&amp;row=11055&amp;col=7&amp;number=0.000109&amp;sourceID=14","0.000109")</f>
        <v>0.000109</v>
      </c>
    </row>
    <row r="11056" spans="1:7">
      <c r="A11056" s="3"/>
      <c r="B11056" s="3"/>
      <c r="C11056" s="3"/>
      <c r="D11056" s="3"/>
      <c r="E11056" s="3">
        <v>13</v>
      </c>
      <c r="F11056" s="4" t="str">
        <f>HYPERLINK("http://141.218.60.56/~jnz1568/getInfo.php?workbook=20_05.xlsx&amp;sheet=U0&amp;row=11056&amp;col=6&amp;number=4.2&amp;sourceID=14","4.2")</f>
        <v>4.2</v>
      </c>
      <c r="G11056" s="4" t="str">
        <f>HYPERLINK("http://141.218.60.56/~jnz1568/getInfo.php?workbook=20_05.xlsx&amp;sheet=U0&amp;row=11056&amp;col=7&amp;number=0.000109&amp;sourceID=14","0.000109")</f>
        <v>0.000109</v>
      </c>
    </row>
    <row r="11057" spans="1:7">
      <c r="A11057" s="3"/>
      <c r="B11057" s="3"/>
      <c r="C11057" s="3"/>
      <c r="D11057" s="3"/>
      <c r="E11057" s="3">
        <v>14</v>
      </c>
      <c r="F11057" s="4" t="str">
        <f>HYPERLINK("http://141.218.60.56/~jnz1568/getInfo.php?workbook=20_05.xlsx&amp;sheet=U0&amp;row=11057&amp;col=6&amp;number=4.3&amp;sourceID=14","4.3")</f>
        <v>4.3</v>
      </c>
      <c r="G11057" s="4" t="str">
        <f>HYPERLINK("http://141.218.60.56/~jnz1568/getInfo.php?workbook=20_05.xlsx&amp;sheet=U0&amp;row=11057&amp;col=7&amp;number=0.000109&amp;sourceID=14","0.000109")</f>
        <v>0.000109</v>
      </c>
    </row>
    <row r="11058" spans="1:7">
      <c r="A11058" s="3"/>
      <c r="B11058" s="3"/>
      <c r="C11058" s="3"/>
      <c r="D11058" s="3"/>
      <c r="E11058" s="3">
        <v>15</v>
      </c>
      <c r="F11058" s="4" t="str">
        <f>HYPERLINK("http://141.218.60.56/~jnz1568/getInfo.php?workbook=20_05.xlsx&amp;sheet=U0&amp;row=11058&amp;col=6&amp;number=4.4&amp;sourceID=14","4.4")</f>
        <v>4.4</v>
      </c>
      <c r="G11058" s="4" t="str">
        <f>HYPERLINK("http://141.218.60.56/~jnz1568/getInfo.php?workbook=20_05.xlsx&amp;sheet=U0&amp;row=11058&amp;col=7&amp;number=0.000109&amp;sourceID=14","0.000109")</f>
        <v>0.000109</v>
      </c>
    </row>
    <row r="11059" spans="1:7">
      <c r="A11059" s="3"/>
      <c r="B11059" s="3"/>
      <c r="C11059" s="3"/>
      <c r="D11059" s="3"/>
      <c r="E11059" s="3">
        <v>16</v>
      </c>
      <c r="F11059" s="4" t="str">
        <f>HYPERLINK("http://141.218.60.56/~jnz1568/getInfo.php?workbook=20_05.xlsx&amp;sheet=U0&amp;row=11059&amp;col=6&amp;number=4.5&amp;sourceID=14","4.5")</f>
        <v>4.5</v>
      </c>
      <c r="G11059" s="4" t="str">
        <f>HYPERLINK("http://141.218.60.56/~jnz1568/getInfo.php?workbook=20_05.xlsx&amp;sheet=U0&amp;row=11059&amp;col=7&amp;number=0.000109&amp;sourceID=14","0.000109")</f>
        <v>0.000109</v>
      </c>
    </row>
    <row r="11060" spans="1:7">
      <c r="A11060" s="3"/>
      <c r="B11060" s="3"/>
      <c r="C11060" s="3"/>
      <c r="D11060" s="3"/>
      <c r="E11060" s="3">
        <v>17</v>
      </c>
      <c r="F11060" s="4" t="str">
        <f>HYPERLINK("http://141.218.60.56/~jnz1568/getInfo.php?workbook=20_05.xlsx&amp;sheet=U0&amp;row=11060&amp;col=6&amp;number=4.6&amp;sourceID=14","4.6")</f>
        <v>4.6</v>
      </c>
      <c r="G11060" s="4" t="str">
        <f>HYPERLINK("http://141.218.60.56/~jnz1568/getInfo.php?workbook=20_05.xlsx&amp;sheet=U0&amp;row=11060&amp;col=7&amp;number=0.000108&amp;sourceID=14","0.000108")</f>
        <v>0.000108</v>
      </c>
    </row>
    <row r="11061" spans="1:7">
      <c r="A11061" s="3"/>
      <c r="B11061" s="3"/>
      <c r="C11061" s="3"/>
      <c r="D11061" s="3"/>
      <c r="E11061" s="3">
        <v>18</v>
      </c>
      <c r="F11061" s="4" t="str">
        <f>HYPERLINK("http://141.218.60.56/~jnz1568/getInfo.php?workbook=20_05.xlsx&amp;sheet=U0&amp;row=11061&amp;col=6&amp;number=4.7&amp;sourceID=14","4.7")</f>
        <v>4.7</v>
      </c>
      <c r="G11061" s="4" t="str">
        <f>HYPERLINK("http://141.218.60.56/~jnz1568/getInfo.php?workbook=20_05.xlsx&amp;sheet=U0&amp;row=11061&amp;col=7&amp;number=0.000108&amp;sourceID=14","0.000108")</f>
        <v>0.000108</v>
      </c>
    </row>
    <row r="11062" spans="1:7">
      <c r="A11062" s="3"/>
      <c r="B11062" s="3"/>
      <c r="C11062" s="3"/>
      <c r="D11062" s="3"/>
      <c r="E11062" s="3">
        <v>19</v>
      </c>
      <c r="F11062" s="4" t="str">
        <f>HYPERLINK("http://141.218.60.56/~jnz1568/getInfo.php?workbook=20_05.xlsx&amp;sheet=U0&amp;row=11062&amp;col=6&amp;number=4.8&amp;sourceID=14","4.8")</f>
        <v>4.8</v>
      </c>
      <c r="G11062" s="4" t="str">
        <f>HYPERLINK("http://141.218.60.56/~jnz1568/getInfo.php?workbook=20_05.xlsx&amp;sheet=U0&amp;row=11062&amp;col=7&amp;number=0.000108&amp;sourceID=14","0.000108")</f>
        <v>0.000108</v>
      </c>
    </row>
    <row r="11063" spans="1:7">
      <c r="A11063" s="3"/>
      <c r="B11063" s="3"/>
      <c r="C11063" s="3"/>
      <c r="D11063" s="3"/>
      <c r="E11063" s="3">
        <v>20</v>
      </c>
      <c r="F11063" s="4" t="str">
        <f>HYPERLINK("http://141.218.60.56/~jnz1568/getInfo.php?workbook=20_05.xlsx&amp;sheet=U0&amp;row=11063&amp;col=6&amp;number=4.9&amp;sourceID=14","4.9")</f>
        <v>4.9</v>
      </c>
      <c r="G11063" s="4" t="str">
        <f>HYPERLINK("http://141.218.60.56/~jnz1568/getInfo.php?workbook=20_05.xlsx&amp;sheet=U0&amp;row=11063&amp;col=7&amp;number=0.000108&amp;sourceID=14","0.000108")</f>
        <v>0.000108</v>
      </c>
    </row>
    <row r="11064" spans="1:7">
      <c r="A11064" s="3">
        <v>20</v>
      </c>
      <c r="B11064" s="3">
        <v>5</v>
      </c>
      <c r="C11064" s="3">
        <v>5</v>
      </c>
      <c r="D11064" s="3">
        <v>88</v>
      </c>
      <c r="E11064" s="3">
        <v>1</v>
      </c>
      <c r="F11064" s="4" t="str">
        <f>HYPERLINK("http://141.218.60.56/~jnz1568/getInfo.php?workbook=20_05.xlsx&amp;sheet=U0&amp;row=11064&amp;col=6&amp;number=3&amp;sourceID=14","3")</f>
        <v>3</v>
      </c>
      <c r="G11064" s="4" t="str">
        <f>HYPERLINK("http://141.218.60.56/~jnz1568/getInfo.php?workbook=20_05.xlsx&amp;sheet=U0&amp;row=11064&amp;col=7&amp;number=0.003&amp;sourceID=14","0.003")</f>
        <v>0.003</v>
      </c>
    </row>
    <row r="11065" spans="1:7">
      <c r="A11065" s="3"/>
      <c r="B11065" s="3"/>
      <c r="C11065" s="3"/>
      <c r="D11065" s="3"/>
      <c r="E11065" s="3">
        <v>2</v>
      </c>
      <c r="F11065" s="4" t="str">
        <f>HYPERLINK("http://141.218.60.56/~jnz1568/getInfo.php?workbook=20_05.xlsx&amp;sheet=U0&amp;row=11065&amp;col=6&amp;number=3.1&amp;sourceID=14","3.1")</f>
        <v>3.1</v>
      </c>
      <c r="G11065" s="4" t="str">
        <f>HYPERLINK("http://141.218.60.56/~jnz1568/getInfo.php?workbook=20_05.xlsx&amp;sheet=U0&amp;row=11065&amp;col=7&amp;number=0.003&amp;sourceID=14","0.003")</f>
        <v>0.003</v>
      </c>
    </row>
    <row r="11066" spans="1:7">
      <c r="A11066" s="3"/>
      <c r="B11066" s="3"/>
      <c r="C11066" s="3"/>
      <c r="D11066" s="3"/>
      <c r="E11066" s="3">
        <v>3</v>
      </c>
      <c r="F11066" s="4" t="str">
        <f>HYPERLINK("http://141.218.60.56/~jnz1568/getInfo.php?workbook=20_05.xlsx&amp;sheet=U0&amp;row=11066&amp;col=6&amp;number=3.2&amp;sourceID=14","3.2")</f>
        <v>3.2</v>
      </c>
      <c r="G11066" s="4" t="str">
        <f>HYPERLINK("http://141.218.60.56/~jnz1568/getInfo.php?workbook=20_05.xlsx&amp;sheet=U0&amp;row=11066&amp;col=7&amp;number=0.003&amp;sourceID=14","0.003")</f>
        <v>0.003</v>
      </c>
    </row>
    <row r="11067" spans="1:7">
      <c r="A11067" s="3"/>
      <c r="B11067" s="3"/>
      <c r="C11067" s="3"/>
      <c r="D11067" s="3"/>
      <c r="E11067" s="3">
        <v>4</v>
      </c>
      <c r="F11067" s="4" t="str">
        <f>HYPERLINK("http://141.218.60.56/~jnz1568/getInfo.php?workbook=20_05.xlsx&amp;sheet=U0&amp;row=11067&amp;col=6&amp;number=3.3&amp;sourceID=14","3.3")</f>
        <v>3.3</v>
      </c>
      <c r="G11067" s="4" t="str">
        <f>HYPERLINK("http://141.218.60.56/~jnz1568/getInfo.php?workbook=20_05.xlsx&amp;sheet=U0&amp;row=11067&amp;col=7&amp;number=0.003&amp;sourceID=14","0.003")</f>
        <v>0.003</v>
      </c>
    </row>
    <row r="11068" spans="1:7">
      <c r="A11068" s="3"/>
      <c r="B11068" s="3"/>
      <c r="C11068" s="3"/>
      <c r="D11068" s="3"/>
      <c r="E11068" s="3">
        <v>5</v>
      </c>
      <c r="F11068" s="4" t="str">
        <f>HYPERLINK("http://141.218.60.56/~jnz1568/getInfo.php?workbook=20_05.xlsx&amp;sheet=U0&amp;row=11068&amp;col=6&amp;number=3.4&amp;sourceID=14","3.4")</f>
        <v>3.4</v>
      </c>
      <c r="G11068" s="4" t="str">
        <f>HYPERLINK("http://141.218.60.56/~jnz1568/getInfo.php?workbook=20_05.xlsx&amp;sheet=U0&amp;row=11068&amp;col=7&amp;number=0.003&amp;sourceID=14","0.003")</f>
        <v>0.003</v>
      </c>
    </row>
    <row r="11069" spans="1:7">
      <c r="A11069" s="3"/>
      <c r="B11069" s="3"/>
      <c r="C11069" s="3"/>
      <c r="D11069" s="3"/>
      <c r="E11069" s="3">
        <v>6</v>
      </c>
      <c r="F11069" s="4" t="str">
        <f>HYPERLINK("http://141.218.60.56/~jnz1568/getInfo.php?workbook=20_05.xlsx&amp;sheet=U0&amp;row=11069&amp;col=6&amp;number=3.5&amp;sourceID=14","3.5")</f>
        <v>3.5</v>
      </c>
      <c r="G11069" s="4" t="str">
        <f>HYPERLINK("http://141.218.60.56/~jnz1568/getInfo.php?workbook=20_05.xlsx&amp;sheet=U0&amp;row=11069&amp;col=7&amp;number=0.003&amp;sourceID=14","0.003")</f>
        <v>0.003</v>
      </c>
    </row>
    <row r="11070" spans="1:7">
      <c r="A11070" s="3"/>
      <c r="B11070" s="3"/>
      <c r="C11070" s="3"/>
      <c r="D11070" s="3"/>
      <c r="E11070" s="3">
        <v>7</v>
      </c>
      <c r="F11070" s="4" t="str">
        <f>HYPERLINK("http://141.218.60.56/~jnz1568/getInfo.php?workbook=20_05.xlsx&amp;sheet=U0&amp;row=11070&amp;col=6&amp;number=3.6&amp;sourceID=14","3.6")</f>
        <v>3.6</v>
      </c>
      <c r="G11070" s="4" t="str">
        <f>HYPERLINK("http://141.218.60.56/~jnz1568/getInfo.php?workbook=20_05.xlsx&amp;sheet=U0&amp;row=11070&amp;col=7&amp;number=0.003&amp;sourceID=14","0.003")</f>
        <v>0.003</v>
      </c>
    </row>
    <row r="11071" spans="1:7">
      <c r="A11071" s="3"/>
      <c r="B11071" s="3"/>
      <c r="C11071" s="3"/>
      <c r="D11071" s="3"/>
      <c r="E11071" s="3">
        <v>8</v>
      </c>
      <c r="F11071" s="4" t="str">
        <f>HYPERLINK("http://141.218.60.56/~jnz1568/getInfo.php?workbook=20_05.xlsx&amp;sheet=U0&amp;row=11071&amp;col=6&amp;number=3.7&amp;sourceID=14","3.7")</f>
        <v>3.7</v>
      </c>
      <c r="G11071" s="4" t="str">
        <f>HYPERLINK("http://141.218.60.56/~jnz1568/getInfo.php?workbook=20_05.xlsx&amp;sheet=U0&amp;row=11071&amp;col=7&amp;number=0.003&amp;sourceID=14","0.003")</f>
        <v>0.003</v>
      </c>
    </row>
    <row r="11072" spans="1:7">
      <c r="A11072" s="3"/>
      <c r="B11072" s="3"/>
      <c r="C11072" s="3"/>
      <c r="D11072" s="3"/>
      <c r="E11072" s="3">
        <v>9</v>
      </c>
      <c r="F11072" s="4" t="str">
        <f>HYPERLINK("http://141.218.60.56/~jnz1568/getInfo.php?workbook=20_05.xlsx&amp;sheet=U0&amp;row=11072&amp;col=6&amp;number=3.8&amp;sourceID=14","3.8")</f>
        <v>3.8</v>
      </c>
      <c r="G11072" s="4" t="str">
        <f>HYPERLINK("http://141.218.60.56/~jnz1568/getInfo.php?workbook=20_05.xlsx&amp;sheet=U0&amp;row=11072&amp;col=7&amp;number=0.003&amp;sourceID=14","0.003")</f>
        <v>0.003</v>
      </c>
    </row>
    <row r="11073" spans="1:7">
      <c r="A11073" s="3"/>
      <c r="B11073" s="3"/>
      <c r="C11073" s="3"/>
      <c r="D11073" s="3"/>
      <c r="E11073" s="3">
        <v>10</v>
      </c>
      <c r="F11073" s="4" t="str">
        <f>HYPERLINK("http://141.218.60.56/~jnz1568/getInfo.php?workbook=20_05.xlsx&amp;sheet=U0&amp;row=11073&amp;col=6&amp;number=3.9&amp;sourceID=14","3.9")</f>
        <v>3.9</v>
      </c>
      <c r="G11073" s="4" t="str">
        <f>HYPERLINK("http://141.218.60.56/~jnz1568/getInfo.php?workbook=20_05.xlsx&amp;sheet=U0&amp;row=11073&amp;col=7&amp;number=0.003&amp;sourceID=14","0.003")</f>
        <v>0.003</v>
      </c>
    </row>
    <row r="11074" spans="1:7">
      <c r="A11074" s="3"/>
      <c r="B11074" s="3"/>
      <c r="C11074" s="3"/>
      <c r="D11074" s="3"/>
      <c r="E11074" s="3">
        <v>11</v>
      </c>
      <c r="F11074" s="4" t="str">
        <f>HYPERLINK("http://141.218.60.56/~jnz1568/getInfo.php?workbook=20_05.xlsx&amp;sheet=U0&amp;row=11074&amp;col=6&amp;number=4&amp;sourceID=14","4")</f>
        <v>4</v>
      </c>
      <c r="G11074" s="4" t="str">
        <f>HYPERLINK("http://141.218.60.56/~jnz1568/getInfo.php?workbook=20_05.xlsx&amp;sheet=U0&amp;row=11074&amp;col=7&amp;number=0.00301&amp;sourceID=14","0.00301")</f>
        <v>0.00301</v>
      </c>
    </row>
    <row r="11075" spans="1:7">
      <c r="A11075" s="3"/>
      <c r="B11075" s="3"/>
      <c r="C11075" s="3"/>
      <c r="D11075" s="3"/>
      <c r="E11075" s="3">
        <v>12</v>
      </c>
      <c r="F11075" s="4" t="str">
        <f>HYPERLINK("http://141.218.60.56/~jnz1568/getInfo.php?workbook=20_05.xlsx&amp;sheet=U0&amp;row=11075&amp;col=6&amp;number=4.1&amp;sourceID=14","4.1")</f>
        <v>4.1</v>
      </c>
      <c r="G11075" s="4" t="str">
        <f>HYPERLINK("http://141.218.60.56/~jnz1568/getInfo.php?workbook=20_05.xlsx&amp;sheet=U0&amp;row=11075&amp;col=7&amp;number=0.00301&amp;sourceID=14","0.00301")</f>
        <v>0.00301</v>
      </c>
    </row>
    <row r="11076" spans="1:7">
      <c r="A11076" s="3"/>
      <c r="B11076" s="3"/>
      <c r="C11076" s="3"/>
      <c r="D11076" s="3"/>
      <c r="E11076" s="3">
        <v>13</v>
      </c>
      <c r="F11076" s="4" t="str">
        <f>HYPERLINK("http://141.218.60.56/~jnz1568/getInfo.php?workbook=20_05.xlsx&amp;sheet=U0&amp;row=11076&amp;col=6&amp;number=4.2&amp;sourceID=14","4.2")</f>
        <v>4.2</v>
      </c>
      <c r="G11076" s="4" t="str">
        <f>HYPERLINK("http://141.218.60.56/~jnz1568/getInfo.php?workbook=20_05.xlsx&amp;sheet=U0&amp;row=11076&amp;col=7&amp;number=0.00301&amp;sourceID=14","0.00301")</f>
        <v>0.00301</v>
      </c>
    </row>
    <row r="11077" spans="1:7">
      <c r="A11077" s="3"/>
      <c r="B11077" s="3"/>
      <c r="C11077" s="3"/>
      <c r="D11077" s="3"/>
      <c r="E11077" s="3">
        <v>14</v>
      </c>
      <c r="F11077" s="4" t="str">
        <f>HYPERLINK("http://141.218.60.56/~jnz1568/getInfo.php?workbook=20_05.xlsx&amp;sheet=U0&amp;row=11077&amp;col=6&amp;number=4.3&amp;sourceID=14","4.3")</f>
        <v>4.3</v>
      </c>
      <c r="G11077" s="4" t="str">
        <f>HYPERLINK("http://141.218.60.56/~jnz1568/getInfo.php?workbook=20_05.xlsx&amp;sheet=U0&amp;row=11077&amp;col=7&amp;number=0.00301&amp;sourceID=14","0.00301")</f>
        <v>0.00301</v>
      </c>
    </row>
    <row r="11078" spans="1:7">
      <c r="A11078" s="3"/>
      <c r="B11078" s="3"/>
      <c r="C11078" s="3"/>
      <c r="D11078" s="3"/>
      <c r="E11078" s="3">
        <v>15</v>
      </c>
      <c r="F11078" s="4" t="str">
        <f>HYPERLINK("http://141.218.60.56/~jnz1568/getInfo.php?workbook=20_05.xlsx&amp;sheet=U0&amp;row=11078&amp;col=6&amp;number=4.4&amp;sourceID=14","4.4")</f>
        <v>4.4</v>
      </c>
      <c r="G11078" s="4" t="str">
        <f>HYPERLINK("http://141.218.60.56/~jnz1568/getInfo.php?workbook=20_05.xlsx&amp;sheet=U0&amp;row=11078&amp;col=7&amp;number=0.00302&amp;sourceID=14","0.00302")</f>
        <v>0.00302</v>
      </c>
    </row>
    <row r="11079" spans="1:7">
      <c r="A11079" s="3"/>
      <c r="B11079" s="3"/>
      <c r="C11079" s="3"/>
      <c r="D11079" s="3"/>
      <c r="E11079" s="3">
        <v>16</v>
      </c>
      <c r="F11079" s="4" t="str">
        <f>HYPERLINK("http://141.218.60.56/~jnz1568/getInfo.php?workbook=20_05.xlsx&amp;sheet=U0&amp;row=11079&amp;col=6&amp;number=4.5&amp;sourceID=14","4.5")</f>
        <v>4.5</v>
      </c>
      <c r="G11079" s="4" t="str">
        <f>HYPERLINK("http://141.218.60.56/~jnz1568/getInfo.php?workbook=20_05.xlsx&amp;sheet=U0&amp;row=11079&amp;col=7&amp;number=0.00302&amp;sourceID=14","0.00302")</f>
        <v>0.00302</v>
      </c>
    </row>
    <row r="11080" spans="1:7">
      <c r="A11080" s="3"/>
      <c r="B11080" s="3"/>
      <c r="C11080" s="3"/>
      <c r="D11080" s="3"/>
      <c r="E11080" s="3">
        <v>17</v>
      </c>
      <c r="F11080" s="4" t="str">
        <f>HYPERLINK("http://141.218.60.56/~jnz1568/getInfo.php?workbook=20_05.xlsx&amp;sheet=U0&amp;row=11080&amp;col=6&amp;number=4.6&amp;sourceID=14","4.6")</f>
        <v>4.6</v>
      </c>
      <c r="G11080" s="4" t="str">
        <f>HYPERLINK("http://141.218.60.56/~jnz1568/getInfo.php?workbook=20_05.xlsx&amp;sheet=U0&amp;row=11080&amp;col=7&amp;number=0.00303&amp;sourceID=14","0.00303")</f>
        <v>0.00303</v>
      </c>
    </row>
    <row r="11081" spans="1:7">
      <c r="A11081" s="3"/>
      <c r="B11081" s="3"/>
      <c r="C11081" s="3"/>
      <c r="D11081" s="3"/>
      <c r="E11081" s="3">
        <v>18</v>
      </c>
      <c r="F11081" s="4" t="str">
        <f>HYPERLINK("http://141.218.60.56/~jnz1568/getInfo.php?workbook=20_05.xlsx&amp;sheet=U0&amp;row=11081&amp;col=6&amp;number=4.7&amp;sourceID=14","4.7")</f>
        <v>4.7</v>
      </c>
      <c r="G11081" s="4" t="str">
        <f>HYPERLINK("http://141.218.60.56/~jnz1568/getInfo.php?workbook=20_05.xlsx&amp;sheet=U0&amp;row=11081&amp;col=7&amp;number=0.00304&amp;sourceID=14","0.00304")</f>
        <v>0.00304</v>
      </c>
    </row>
    <row r="11082" spans="1:7">
      <c r="A11082" s="3"/>
      <c r="B11082" s="3"/>
      <c r="C11082" s="3"/>
      <c r="D11082" s="3"/>
      <c r="E11082" s="3">
        <v>19</v>
      </c>
      <c r="F11082" s="4" t="str">
        <f>HYPERLINK("http://141.218.60.56/~jnz1568/getInfo.php?workbook=20_05.xlsx&amp;sheet=U0&amp;row=11082&amp;col=6&amp;number=4.8&amp;sourceID=14","4.8")</f>
        <v>4.8</v>
      </c>
      <c r="G11082" s="4" t="str">
        <f>HYPERLINK("http://141.218.60.56/~jnz1568/getInfo.php?workbook=20_05.xlsx&amp;sheet=U0&amp;row=11082&amp;col=7&amp;number=0.00305&amp;sourceID=14","0.00305")</f>
        <v>0.00305</v>
      </c>
    </row>
    <row r="11083" spans="1:7">
      <c r="A11083" s="3"/>
      <c r="B11083" s="3"/>
      <c r="C11083" s="3"/>
      <c r="D11083" s="3"/>
      <c r="E11083" s="3">
        <v>20</v>
      </c>
      <c r="F11083" s="4" t="str">
        <f>HYPERLINK("http://141.218.60.56/~jnz1568/getInfo.php?workbook=20_05.xlsx&amp;sheet=U0&amp;row=11083&amp;col=6&amp;number=4.9&amp;sourceID=14","4.9")</f>
        <v>4.9</v>
      </c>
      <c r="G11083" s="4" t="str">
        <f>HYPERLINK("http://141.218.60.56/~jnz1568/getInfo.php?workbook=20_05.xlsx&amp;sheet=U0&amp;row=11083&amp;col=7&amp;number=0.00306&amp;sourceID=14","0.00306")</f>
        <v>0.00306</v>
      </c>
    </row>
    <row r="11084" spans="1:7">
      <c r="A11084" s="3">
        <v>20</v>
      </c>
      <c r="B11084" s="3">
        <v>5</v>
      </c>
      <c r="C11084" s="3">
        <v>5</v>
      </c>
      <c r="D11084" s="3">
        <v>89</v>
      </c>
      <c r="E11084" s="3">
        <v>1</v>
      </c>
      <c r="F11084" s="4" t="str">
        <f>HYPERLINK("http://141.218.60.56/~jnz1568/getInfo.php?workbook=20_05.xlsx&amp;sheet=U0&amp;row=11084&amp;col=6&amp;number=3&amp;sourceID=14","3")</f>
        <v>3</v>
      </c>
      <c r="G11084" s="4" t="str">
        <f>HYPERLINK("http://141.218.60.56/~jnz1568/getInfo.php?workbook=20_05.xlsx&amp;sheet=U0&amp;row=11084&amp;col=7&amp;number=0.00314&amp;sourceID=14","0.00314")</f>
        <v>0.00314</v>
      </c>
    </row>
    <row r="11085" spans="1:7">
      <c r="A11085" s="3"/>
      <c r="B11085" s="3"/>
      <c r="C11085" s="3"/>
      <c r="D11085" s="3"/>
      <c r="E11085" s="3">
        <v>2</v>
      </c>
      <c r="F11085" s="4" t="str">
        <f>HYPERLINK("http://141.218.60.56/~jnz1568/getInfo.php?workbook=20_05.xlsx&amp;sheet=U0&amp;row=11085&amp;col=6&amp;number=3.1&amp;sourceID=14","3.1")</f>
        <v>3.1</v>
      </c>
      <c r="G11085" s="4" t="str">
        <f>HYPERLINK("http://141.218.60.56/~jnz1568/getInfo.php?workbook=20_05.xlsx&amp;sheet=U0&amp;row=11085&amp;col=7&amp;number=0.00314&amp;sourceID=14","0.00314")</f>
        <v>0.00314</v>
      </c>
    </row>
    <row r="11086" spans="1:7">
      <c r="A11086" s="3"/>
      <c r="B11086" s="3"/>
      <c r="C11086" s="3"/>
      <c r="D11086" s="3"/>
      <c r="E11086" s="3">
        <v>3</v>
      </c>
      <c r="F11086" s="4" t="str">
        <f>HYPERLINK("http://141.218.60.56/~jnz1568/getInfo.php?workbook=20_05.xlsx&amp;sheet=U0&amp;row=11086&amp;col=6&amp;number=3.2&amp;sourceID=14","3.2")</f>
        <v>3.2</v>
      </c>
      <c r="G11086" s="4" t="str">
        <f>HYPERLINK("http://141.218.60.56/~jnz1568/getInfo.php?workbook=20_05.xlsx&amp;sheet=U0&amp;row=11086&amp;col=7&amp;number=0.00314&amp;sourceID=14","0.00314")</f>
        <v>0.00314</v>
      </c>
    </row>
    <row r="11087" spans="1:7">
      <c r="A11087" s="3"/>
      <c r="B11087" s="3"/>
      <c r="C11087" s="3"/>
      <c r="D11087" s="3"/>
      <c r="E11087" s="3">
        <v>4</v>
      </c>
      <c r="F11087" s="4" t="str">
        <f>HYPERLINK("http://141.218.60.56/~jnz1568/getInfo.php?workbook=20_05.xlsx&amp;sheet=U0&amp;row=11087&amp;col=6&amp;number=3.3&amp;sourceID=14","3.3")</f>
        <v>3.3</v>
      </c>
      <c r="G11087" s="4" t="str">
        <f>HYPERLINK("http://141.218.60.56/~jnz1568/getInfo.php?workbook=20_05.xlsx&amp;sheet=U0&amp;row=11087&amp;col=7&amp;number=0.00314&amp;sourceID=14","0.00314")</f>
        <v>0.00314</v>
      </c>
    </row>
    <row r="11088" spans="1:7">
      <c r="A11088" s="3"/>
      <c r="B11088" s="3"/>
      <c r="C11088" s="3"/>
      <c r="D11088" s="3"/>
      <c r="E11088" s="3">
        <v>5</v>
      </c>
      <c r="F11088" s="4" t="str">
        <f>HYPERLINK("http://141.218.60.56/~jnz1568/getInfo.php?workbook=20_05.xlsx&amp;sheet=U0&amp;row=11088&amp;col=6&amp;number=3.4&amp;sourceID=14","3.4")</f>
        <v>3.4</v>
      </c>
      <c r="G11088" s="4" t="str">
        <f>HYPERLINK("http://141.218.60.56/~jnz1568/getInfo.php?workbook=20_05.xlsx&amp;sheet=U0&amp;row=11088&amp;col=7&amp;number=0.00314&amp;sourceID=14","0.00314")</f>
        <v>0.00314</v>
      </c>
    </row>
    <row r="11089" spans="1:7">
      <c r="A11089" s="3"/>
      <c r="B11089" s="3"/>
      <c r="C11089" s="3"/>
      <c r="D11089" s="3"/>
      <c r="E11089" s="3">
        <v>6</v>
      </c>
      <c r="F11089" s="4" t="str">
        <f>HYPERLINK("http://141.218.60.56/~jnz1568/getInfo.php?workbook=20_05.xlsx&amp;sheet=U0&amp;row=11089&amp;col=6&amp;number=3.5&amp;sourceID=14","3.5")</f>
        <v>3.5</v>
      </c>
      <c r="G11089" s="4" t="str">
        <f>HYPERLINK("http://141.218.60.56/~jnz1568/getInfo.php?workbook=20_05.xlsx&amp;sheet=U0&amp;row=11089&amp;col=7&amp;number=0.00314&amp;sourceID=14","0.00314")</f>
        <v>0.00314</v>
      </c>
    </row>
    <row r="11090" spans="1:7">
      <c r="A11090" s="3"/>
      <c r="B11090" s="3"/>
      <c r="C11090" s="3"/>
      <c r="D11090" s="3"/>
      <c r="E11090" s="3">
        <v>7</v>
      </c>
      <c r="F11090" s="4" t="str">
        <f>HYPERLINK("http://141.218.60.56/~jnz1568/getInfo.php?workbook=20_05.xlsx&amp;sheet=U0&amp;row=11090&amp;col=6&amp;number=3.6&amp;sourceID=14","3.6")</f>
        <v>3.6</v>
      </c>
      <c r="G11090" s="4" t="str">
        <f>HYPERLINK("http://141.218.60.56/~jnz1568/getInfo.php?workbook=20_05.xlsx&amp;sheet=U0&amp;row=11090&amp;col=7&amp;number=0.00314&amp;sourceID=14","0.00314")</f>
        <v>0.00314</v>
      </c>
    </row>
    <row r="11091" spans="1:7">
      <c r="A11091" s="3"/>
      <c r="B11091" s="3"/>
      <c r="C11091" s="3"/>
      <c r="D11091" s="3"/>
      <c r="E11091" s="3">
        <v>8</v>
      </c>
      <c r="F11091" s="4" t="str">
        <f>HYPERLINK("http://141.218.60.56/~jnz1568/getInfo.php?workbook=20_05.xlsx&amp;sheet=U0&amp;row=11091&amp;col=6&amp;number=3.7&amp;sourceID=14","3.7")</f>
        <v>3.7</v>
      </c>
      <c r="G11091" s="4" t="str">
        <f>HYPERLINK("http://141.218.60.56/~jnz1568/getInfo.php?workbook=20_05.xlsx&amp;sheet=U0&amp;row=11091&amp;col=7&amp;number=0.00314&amp;sourceID=14","0.00314")</f>
        <v>0.00314</v>
      </c>
    </row>
    <row r="11092" spans="1:7">
      <c r="A11092" s="3"/>
      <c r="B11092" s="3"/>
      <c r="C11092" s="3"/>
      <c r="D11092" s="3"/>
      <c r="E11092" s="3">
        <v>9</v>
      </c>
      <c r="F11092" s="4" t="str">
        <f>HYPERLINK("http://141.218.60.56/~jnz1568/getInfo.php?workbook=20_05.xlsx&amp;sheet=U0&amp;row=11092&amp;col=6&amp;number=3.8&amp;sourceID=14","3.8")</f>
        <v>3.8</v>
      </c>
      <c r="G11092" s="4" t="str">
        <f>HYPERLINK("http://141.218.60.56/~jnz1568/getInfo.php?workbook=20_05.xlsx&amp;sheet=U0&amp;row=11092&amp;col=7&amp;number=0.00314&amp;sourceID=14","0.00314")</f>
        <v>0.00314</v>
      </c>
    </row>
    <row r="11093" spans="1:7">
      <c r="A11093" s="3"/>
      <c r="B11093" s="3"/>
      <c r="C11093" s="3"/>
      <c r="D11093" s="3"/>
      <c r="E11093" s="3">
        <v>10</v>
      </c>
      <c r="F11093" s="4" t="str">
        <f>HYPERLINK("http://141.218.60.56/~jnz1568/getInfo.php?workbook=20_05.xlsx&amp;sheet=U0&amp;row=11093&amp;col=6&amp;number=3.9&amp;sourceID=14","3.9")</f>
        <v>3.9</v>
      </c>
      <c r="G11093" s="4" t="str">
        <f>HYPERLINK("http://141.218.60.56/~jnz1568/getInfo.php?workbook=20_05.xlsx&amp;sheet=U0&amp;row=11093&amp;col=7&amp;number=0.00314&amp;sourceID=14","0.00314")</f>
        <v>0.00314</v>
      </c>
    </row>
    <row r="11094" spans="1:7">
      <c r="A11094" s="3"/>
      <c r="B11094" s="3"/>
      <c r="C11094" s="3"/>
      <c r="D11094" s="3"/>
      <c r="E11094" s="3">
        <v>11</v>
      </c>
      <c r="F11094" s="4" t="str">
        <f>HYPERLINK("http://141.218.60.56/~jnz1568/getInfo.php?workbook=20_05.xlsx&amp;sheet=U0&amp;row=11094&amp;col=6&amp;number=4&amp;sourceID=14","4")</f>
        <v>4</v>
      </c>
      <c r="G11094" s="4" t="str">
        <f>HYPERLINK("http://141.218.60.56/~jnz1568/getInfo.php?workbook=20_05.xlsx&amp;sheet=U0&amp;row=11094&amp;col=7&amp;number=0.00314&amp;sourceID=14","0.00314")</f>
        <v>0.00314</v>
      </c>
    </row>
    <row r="11095" spans="1:7">
      <c r="A11095" s="3"/>
      <c r="B11095" s="3"/>
      <c r="C11095" s="3"/>
      <c r="D11095" s="3"/>
      <c r="E11095" s="3">
        <v>12</v>
      </c>
      <c r="F11095" s="4" t="str">
        <f>HYPERLINK("http://141.218.60.56/~jnz1568/getInfo.php?workbook=20_05.xlsx&amp;sheet=U0&amp;row=11095&amp;col=6&amp;number=4.1&amp;sourceID=14","4.1")</f>
        <v>4.1</v>
      </c>
      <c r="G11095" s="4" t="str">
        <f>HYPERLINK("http://141.218.60.56/~jnz1568/getInfo.php?workbook=20_05.xlsx&amp;sheet=U0&amp;row=11095&amp;col=7&amp;number=0.00314&amp;sourceID=14","0.00314")</f>
        <v>0.00314</v>
      </c>
    </row>
    <row r="11096" spans="1:7">
      <c r="A11096" s="3"/>
      <c r="B11096" s="3"/>
      <c r="C11096" s="3"/>
      <c r="D11096" s="3"/>
      <c r="E11096" s="3">
        <v>13</v>
      </c>
      <c r="F11096" s="4" t="str">
        <f>HYPERLINK("http://141.218.60.56/~jnz1568/getInfo.php?workbook=20_05.xlsx&amp;sheet=U0&amp;row=11096&amp;col=6&amp;number=4.2&amp;sourceID=14","4.2")</f>
        <v>4.2</v>
      </c>
      <c r="G11096" s="4" t="str">
        <f>HYPERLINK("http://141.218.60.56/~jnz1568/getInfo.php?workbook=20_05.xlsx&amp;sheet=U0&amp;row=11096&amp;col=7&amp;number=0.00313&amp;sourceID=14","0.00313")</f>
        <v>0.00313</v>
      </c>
    </row>
    <row r="11097" spans="1:7">
      <c r="A11097" s="3"/>
      <c r="B11097" s="3"/>
      <c r="C11097" s="3"/>
      <c r="D11097" s="3"/>
      <c r="E11097" s="3">
        <v>14</v>
      </c>
      <c r="F11097" s="4" t="str">
        <f>HYPERLINK("http://141.218.60.56/~jnz1568/getInfo.php?workbook=20_05.xlsx&amp;sheet=U0&amp;row=11097&amp;col=6&amp;number=4.3&amp;sourceID=14","4.3")</f>
        <v>4.3</v>
      </c>
      <c r="G11097" s="4" t="str">
        <f>HYPERLINK("http://141.218.60.56/~jnz1568/getInfo.php?workbook=20_05.xlsx&amp;sheet=U0&amp;row=11097&amp;col=7&amp;number=0.00313&amp;sourceID=14","0.00313")</f>
        <v>0.00313</v>
      </c>
    </row>
    <row r="11098" spans="1:7">
      <c r="A11098" s="3"/>
      <c r="B11098" s="3"/>
      <c r="C11098" s="3"/>
      <c r="D11098" s="3"/>
      <c r="E11098" s="3">
        <v>15</v>
      </c>
      <c r="F11098" s="4" t="str">
        <f>HYPERLINK("http://141.218.60.56/~jnz1568/getInfo.php?workbook=20_05.xlsx&amp;sheet=U0&amp;row=11098&amp;col=6&amp;number=4.4&amp;sourceID=14","4.4")</f>
        <v>4.4</v>
      </c>
      <c r="G11098" s="4" t="str">
        <f>HYPERLINK("http://141.218.60.56/~jnz1568/getInfo.php?workbook=20_05.xlsx&amp;sheet=U0&amp;row=11098&amp;col=7&amp;number=0.00313&amp;sourceID=14","0.00313")</f>
        <v>0.00313</v>
      </c>
    </row>
    <row r="11099" spans="1:7">
      <c r="A11099" s="3"/>
      <c r="B11099" s="3"/>
      <c r="C11099" s="3"/>
      <c r="D11099" s="3"/>
      <c r="E11099" s="3">
        <v>16</v>
      </c>
      <c r="F11099" s="4" t="str">
        <f>HYPERLINK("http://141.218.60.56/~jnz1568/getInfo.php?workbook=20_05.xlsx&amp;sheet=U0&amp;row=11099&amp;col=6&amp;number=4.5&amp;sourceID=14","4.5")</f>
        <v>4.5</v>
      </c>
      <c r="G11099" s="4" t="str">
        <f>HYPERLINK("http://141.218.60.56/~jnz1568/getInfo.php?workbook=20_05.xlsx&amp;sheet=U0&amp;row=11099&amp;col=7&amp;number=0.00312&amp;sourceID=14","0.00312")</f>
        <v>0.00312</v>
      </c>
    </row>
    <row r="11100" spans="1:7">
      <c r="A11100" s="3"/>
      <c r="B11100" s="3"/>
      <c r="C11100" s="3"/>
      <c r="D11100" s="3"/>
      <c r="E11100" s="3">
        <v>17</v>
      </c>
      <c r="F11100" s="4" t="str">
        <f>HYPERLINK("http://141.218.60.56/~jnz1568/getInfo.php?workbook=20_05.xlsx&amp;sheet=U0&amp;row=11100&amp;col=6&amp;number=4.6&amp;sourceID=14","4.6")</f>
        <v>4.6</v>
      </c>
      <c r="G11100" s="4" t="str">
        <f>HYPERLINK("http://141.218.60.56/~jnz1568/getInfo.php?workbook=20_05.xlsx&amp;sheet=U0&amp;row=11100&amp;col=7&amp;number=0.00312&amp;sourceID=14","0.00312")</f>
        <v>0.00312</v>
      </c>
    </row>
    <row r="11101" spans="1:7">
      <c r="A11101" s="3"/>
      <c r="B11101" s="3"/>
      <c r="C11101" s="3"/>
      <c r="D11101" s="3"/>
      <c r="E11101" s="3">
        <v>18</v>
      </c>
      <c r="F11101" s="4" t="str">
        <f>HYPERLINK("http://141.218.60.56/~jnz1568/getInfo.php?workbook=20_05.xlsx&amp;sheet=U0&amp;row=11101&amp;col=6&amp;number=4.7&amp;sourceID=14","4.7")</f>
        <v>4.7</v>
      </c>
      <c r="G11101" s="4" t="str">
        <f>HYPERLINK("http://141.218.60.56/~jnz1568/getInfo.php?workbook=20_05.xlsx&amp;sheet=U0&amp;row=11101&amp;col=7&amp;number=0.00311&amp;sourceID=14","0.00311")</f>
        <v>0.00311</v>
      </c>
    </row>
    <row r="11102" spans="1:7">
      <c r="A11102" s="3"/>
      <c r="B11102" s="3"/>
      <c r="C11102" s="3"/>
      <c r="D11102" s="3"/>
      <c r="E11102" s="3">
        <v>19</v>
      </c>
      <c r="F11102" s="4" t="str">
        <f>HYPERLINK("http://141.218.60.56/~jnz1568/getInfo.php?workbook=20_05.xlsx&amp;sheet=U0&amp;row=11102&amp;col=6&amp;number=4.8&amp;sourceID=14","4.8")</f>
        <v>4.8</v>
      </c>
      <c r="G11102" s="4" t="str">
        <f>HYPERLINK("http://141.218.60.56/~jnz1568/getInfo.php?workbook=20_05.xlsx&amp;sheet=U0&amp;row=11102&amp;col=7&amp;number=0.0031&amp;sourceID=14","0.0031")</f>
        <v>0.0031</v>
      </c>
    </row>
    <row r="11103" spans="1:7">
      <c r="A11103" s="3"/>
      <c r="B11103" s="3"/>
      <c r="C11103" s="3"/>
      <c r="D11103" s="3"/>
      <c r="E11103" s="3">
        <v>20</v>
      </c>
      <c r="F11103" s="4" t="str">
        <f>HYPERLINK("http://141.218.60.56/~jnz1568/getInfo.php?workbook=20_05.xlsx&amp;sheet=U0&amp;row=11103&amp;col=6&amp;number=4.9&amp;sourceID=14","4.9")</f>
        <v>4.9</v>
      </c>
      <c r="G11103" s="4" t="str">
        <f>HYPERLINK("http://141.218.60.56/~jnz1568/getInfo.php?workbook=20_05.xlsx&amp;sheet=U0&amp;row=11103&amp;col=7&amp;number=0.00309&amp;sourceID=14","0.00309")</f>
        <v>0.00309</v>
      </c>
    </row>
    <row r="11104" spans="1:7">
      <c r="A11104" s="3">
        <v>20</v>
      </c>
      <c r="B11104" s="3">
        <v>5</v>
      </c>
      <c r="C11104" s="3">
        <v>5</v>
      </c>
      <c r="D11104" s="3">
        <v>90</v>
      </c>
      <c r="E11104" s="3">
        <v>1</v>
      </c>
      <c r="F11104" s="4" t="str">
        <f>HYPERLINK("http://141.218.60.56/~jnz1568/getInfo.php?workbook=20_05.xlsx&amp;sheet=U0&amp;row=11104&amp;col=6&amp;number=3&amp;sourceID=14","3")</f>
        <v>3</v>
      </c>
      <c r="G11104" s="4" t="str">
        <f>HYPERLINK("http://141.218.60.56/~jnz1568/getInfo.php?workbook=20_05.xlsx&amp;sheet=U0&amp;row=11104&amp;col=7&amp;number=0.00206&amp;sourceID=14","0.00206")</f>
        <v>0.00206</v>
      </c>
    </row>
    <row r="11105" spans="1:7">
      <c r="A11105" s="3"/>
      <c r="B11105" s="3"/>
      <c r="C11105" s="3"/>
      <c r="D11105" s="3"/>
      <c r="E11105" s="3">
        <v>2</v>
      </c>
      <c r="F11105" s="4" t="str">
        <f>HYPERLINK("http://141.218.60.56/~jnz1568/getInfo.php?workbook=20_05.xlsx&amp;sheet=U0&amp;row=11105&amp;col=6&amp;number=3.1&amp;sourceID=14","3.1")</f>
        <v>3.1</v>
      </c>
      <c r="G11105" s="4" t="str">
        <f>HYPERLINK("http://141.218.60.56/~jnz1568/getInfo.php?workbook=20_05.xlsx&amp;sheet=U0&amp;row=11105&amp;col=7&amp;number=0.00206&amp;sourceID=14","0.00206")</f>
        <v>0.00206</v>
      </c>
    </row>
    <row r="11106" spans="1:7">
      <c r="A11106" s="3"/>
      <c r="B11106" s="3"/>
      <c r="C11106" s="3"/>
      <c r="D11106" s="3"/>
      <c r="E11106" s="3">
        <v>3</v>
      </c>
      <c r="F11106" s="4" t="str">
        <f>HYPERLINK("http://141.218.60.56/~jnz1568/getInfo.php?workbook=20_05.xlsx&amp;sheet=U0&amp;row=11106&amp;col=6&amp;number=3.2&amp;sourceID=14","3.2")</f>
        <v>3.2</v>
      </c>
      <c r="G11106" s="4" t="str">
        <f>HYPERLINK("http://141.218.60.56/~jnz1568/getInfo.php?workbook=20_05.xlsx&amp;sheet=U0&amp;row=11106&amp;col=7&amp;number=0.00206&amp;sourceID=14","0.00206")</f>
        <v>0.00206</v>
      </c>
    </row>
    <row r="11107" spans="1:7">
      <c r="A11107" s="3"/>
      <c r="B11107" s="3"/>
      <c r="C11107" s="3"/>
      <c r="D11107" s="3"/>
      <c r="E11107" s="3">
        <v>4</v>
      </c>
      <c r="F11107" s="4" t="str">
        <f>HYPERLINK("http://141.218.60.56/~jnz1568/getInfo.php?workbook=20_05.xlsx&amp;sheet=U0&amp;row=11107&amp;col=6&amp;number=3.3&amp;sourceID=14","3.3")</f>
        <v>3.3</v>
      </c>
      <c r="G11107" s="4" t="str">
        <f>HYPERLINK("http://141.218.60.56/~jnz1568/getInfo.php?workbook=20_05.xlsx&amp;sheet=U0&amp;row=11107&amp;col=7&amp;number=0.00206&amp;sourceID=14","0.00206")</f>
        <v>0.00206</v>
      </c>
    </row>
    <row r="11108" spans="1:7">
      <c r="A11108" s="3"/>
      <c r="B11108" s="3"/>
      <c r="C11108" s="3"/>
      <c r="D11108" s="3"/>
      <c r="E11108" s="3">
        <v>5</v>
      </c>
      <c r="F11108" s="4" t="str">
        <f>HYPERLINK("http://141.218.60.56/~jnz1568/getInfo.php?workbook=20_05.xlsx&amp;sheet=U0&amp;row=11108&amp;col=6&amp;number=3.4&amp;sourceID=14","3.4")</f>
        <v>3.4</v>
      </c>
      <c r="G11108" s="4" t="str">
        <f>HYPERLINK("http://141.218.60.56/~jnz1568/getInfo.php?workbook=20_05.xlsx&amp;sheet=U0&amp;row=11108&amp;col=7&amp;number=0.00206&amp;sourceID=14","0.00206")</f>
        <v>0.00206</v>
      </c>
    </row>
    <row r="11109" spans="1:7">
      <c r="A11109" s="3"/>
      <c r="B11109" s="3"/>
      <c r="C11109" s="3"/>
      <c r="D11109" s="3"/>
      <c r="E11109" s="3">
        <v>6</v>
      </c>
      <c r="F11109" s="4" t="str">
        <f>HYPERLINK("http://141.218.60.56/~jnz1568/getInfo.php?workbook=20_05.xlsx&amp;sheet=U0&amp;row=11109&amp;col=6&amp;number=3.5&amp;sourceID=14","3.5")</f>
        <v>3.5</v>
      </c>
      <c r="G11109" s="4" t="str">
        <f>HYPERLINK("http://141.218.60.56/~jnz1568/getInfo.php?workbook=20_05.xlsx&amp;sheet=U0&amp;row=11109&amp;col=7&amp;number=0.00206&amp;sourceID=14","0.00206")</f>
        <v>0.00206</v>
      </c>
    </row>
    <row r="11110" spans="1:7">
      <c r="A11110" s="3"/>
      <c r="B11110" s="3"/>
      <c r="C11110" s="3"/>
      <c r="D11110" s="3"/>
      <c r="E11110" s="3">
        <v>7</v>
      </c>
      <c r="F11110" s="4" t="str">
        <f>HYPERLINK("http://141.218.60.56/~jnz1568/getInfo.php?workbook=20_05.xlsx&amp;sheet=U0&amp;row=11110&amp;col=6&amp;number=3.6&amp;sourceID=14","3.6")</f>
        <v>3.6</v>
      </c>
      <c r="G11110" s="4" t="str">
        <f>HYPERLINK("http://141.218.60.56/~jnz1568/getInfo.php?workbook=20_05.xlsx&amp;sheet=U0&amp;row=11110&amp;col=7&amp;number=0.00206&amp;sourceID=14","0.00206")</f>
        <v>0.00206</v>
      </c>
    </row>
    <row r="11111" spans="1:7">
      <c r="A11111" s="3"/>
      <c r="B11111" s="3"/>
      <c r="C11111" s="3"/>
      <c r="D11111" s="3"/>
      <c r="E11111" s="3">
        <v>8</v>
      </c>
      <c r="F11111" s="4" t="str">
        <f>HYPERLINK("http://141.218.60.56/~jnz1568/getInfo.php?workbook=20_05.xlsx&amp;sheet=U0&amp;row=11111&amp;col=6&amp;number=3.7&amp;sourceID=14","3.7")</f>
        <v>3.7</v>
      </c>
      <c r="G11111" s="4" t="str">
        <f>HYPERLINK("http://141.218.60.56/~jnz1568/getInfo.php?workbook=20_05.xlsx&amp;sheet=U0&amp;row=11111&amp;col=7&amp;number=0.00206&amp;sourceID=14","0.00206")</f>
        <v>0.00206</v>
      </c>
    </row>
    <row r="11112" spans="1:7">
      <c r="A11112" s="3"/>
      <c r="B11112" s="3"/>
      <c r="C11112" s="3"/>
      <c r="D11112" s="3"/>
      <c r="E11112" s="3">
        <v>9</v>
      </c>
      <c r="F11112" s="4" t="str">
        <f>HYPERLINK("http://141.218.60.56/~jnz1568/getInfo.php?workbook=20_05.xlsx&amp;sheet=U0&amp;row=11112&amp;col=6&amp;number=3.8&amp;sourceID=14","3.8")</f>
        <v>3.8</v>
      </c>
      <c r="G11112" s="4" t="str">
        <f>HYPERLINK("http://141.218.60.56/~jnz1568/getInfo.php?workbook=20_05.xlsx&amp;sheet=U0&amp;row=11112&amp;col=7&amp;number=0.00206&amp;sourceID=14","0.00206")</f>
        <v>0.00206</v>
      </c>
    </row>
    <row r="11113" spans="1:7">
      <c r="A11113" s="3"/>
      <c r="B11113" s="3"/>
      <c r="C11113" s="3"/>
      <c r="D11113" s="3"/>
      <c r="E11113" s="3">
        <v>10</v>
      </c>
      <c r="F11113" s="4" t="str">
        <f>HYPERLINK("http://141.218.60.56/~jnz1568/getInfo.php?workbook=20_05.xlsx&amp;sheet=U0&amp;row=11113&amp;col=6&amp;number=3.9&amp;sourceID=14","3.9")</f>
        <v>3.9</v>
      </c>
      <c r="G11113" s="4" t="str">
        <f>HYPERLINK("http://141.218.60.56/~jnz1568/getInfo.php?workbook=20_05.xlsx&amp;sheet=U0&amp;row=11113&amp;col=7&amp;number=0.00206&amp;sourceID=14","0.00206")</f>
        <v>0.00206</v>
      </c>
    </row>
    <row r="11114" spans="1:7">
      <c r="A11114" s="3"/>
      <c r="B11114" s="3"/>
      <c r="C11114" s="3"/>
      <c r="D11114" s="3"/>
      <c r="E11114" s="3">
        <v>11</v>
      </c>
      <c r="F11114" s="4" t="str">
        <f>HYPERLINK("http://141.218.60.56/~jnz1568/getInfo.php?workbook=20_05.xlsx&amp;sheet=U0&amp;row=11114&amp;col=6&amp;number=4&amp;sourceID=14","4")</f>
        <v>4</v>
      </c>
      <c r="G11114" s="4" t="str">
        <f>HYPERLINK("http://141.218.60.56/~jnz1568/getInfo.php?workbook=20_05.xlsx&amp;sheet=U0&amp;row=11114&amp;col=7&amp;number=0.00206&amp;sourceID=14","0.00206")</f>
        <v>0.00206</v>
      </c>
    </row>
    <row r="11115" spans="1:7">
      <c r="A11115" s="3"/>
      <c r="B11115" s="3"/>
      <c r="C11115" s="3"/>
      <c r="D11115" s="3"/>
      <c r="E11115" s="3">
        <v>12</v>
      </c>
      <c r="F11115" s="4" t="str">
        <f>HYPERLINK("http://141.218.60.56/~jnz1568/getInfo.php?workbook=20_05.xlsx&amp;sheet=U0&amp;row=11115&amp;col=6&amp;number=4.1&amp;sourceID=14","4.1")</f>
        <v>4.1</v>
      </c>
      <c r="G11115" s="4" t="str">
        <f>HYPERLINK("http://141.218.60.56/~jnz1568/getInfo.php?workbook=20_05.xlsx&amp;sheet=U0&amp;row=11115&amp;col=7&amp;number=0.00205&amp;sourceID=14","0.00205")</f>
        <v>0.00205</v>
      </c>
    </row>
    <row r="11116" spans="1:7">
      <c r="A11116" s="3"/>
      <c r="B11116" s="3"/>
      <c r="C11116" s="3"/>
      <c r="D11116" s="3"/>
      <c r="E11116" s="3">
        <v>13</v>
      </c>
      <c r="F11116" s="4" t="str">
        <f>HYPERLINK("http://141.218.60.56/~jnz1568/getInfo.php?workbook=20_05.xlsx&amp;sheet=U0&amp;row=11116&amp;col=6&amp;number=4.2&amp;sourceID=14","4.2")</f>
        <v>4.2</v>
      </c>
      <c r="G11116" s="4" t="str">
        <f>HYPERLINK("http://141.218.60.56/~jnz1568/getInfo.php?workbook=20_05.xlsx&amp;sheet=U0&amp;row=11116&amp;col=7&amp;number=0.00205&amp;sourceID=14","0.00205")</f>
        <v>0.00205</v>
      </c>
    </row>
    <row r="11117" spans="1:7">
      <c r="A11117" s="3"/>
      <c r="B11117" s="3"/>
      <c r="C11117" s="3"/>
      <c r="D11117" s="3"/>
      <c r="E11117" s="3">
        <v>14</v>
      </c>
      <c r="F11117" s="4" t="str">
        <f>HYPERLINK("http://141.218.60.56/~jnz1568/getInfo.php?workbook=20_05.xlsx&amp;sheet=U0&amp;row=11117&amp;col=6&amp;number=4.3&amp;sourceID=14","4.3")</f>
        <v>4.3</v>
      </c>
      <c r="G11117" s="4" t="str">
        <f>HYPERLINK("http://141.218.60.56/~jnz1568/getInfo.php?workbook=20_05.xlsx&amp;sheet=U0&amp;row=11117&amp;col=7&amp;number=0.00205&amp;sourceID=14","0.00205")</f>
        <v>0.00205</v>
      </c>
    </row>
    <row r="11118" spans="1:7">
      <c r="A11118" s="3"/>
      <c r="B11118" s="3"/>
      <c r="C11118" s="3"/>
      <c r="D11118" s="3"/>
      <c r="E11118" s="3">
        <v>15</v>
      </c>
      <c r="F11118" s="4" t="str">
        <f>HYPERLINK("http://141.218.60.56/~jnz1568/getInfo.php?workbook=20_05.xlsx&amp;sheet=U0&amp;row=11118&amp;col=6&amp;number=4.4&amp;sourceID=14","4.4")</f>
        <v>4.4</v>
      </c>
      <c r="G11118" s="4" t="str">
        <f>HYPERLINK("http://141.218.60.56/~jnz1568/getInfo.php?workbook=20_05.xlsx&amp;sheet=U0&amp;row=11118&amp;col=7&amp;number=0.00205&amp;sourceID=14","0.00205")</f>
        <v>0.00205</v>
      </c>
    </row>
    <row r="11119" spans="1:7">
      <c r="A11119" s="3"/>
      <c r="B11119" s="3"/>
      <c r="C11119" s="3"/>
      <c r="D11119" s="3"/>
      <c r="E11119" s="3">
        <v>16</v>
      </c>
      <c r="F11119" s="4" t="str">
        <f>HYPERLINK("http://141.218.60.56/~jnz1568/getInfo.php?workbook=20_05.xlsx&amp;sheet=U0&amp;row=11119&amp;col=6&amp;number=4.5&amp;sourceID=14","4.5")</f>
        <v>4.5</v>
      </c>
      <c r="G11119" s="4" t="str">
        <f>HYPERLINK("http://141.218.60.56/~jnz1568/getInfo.php?workbook=20_05.xlsx&amp;sheet=U0&amp;row=11119&amp;col=7&amp;number=0.00204&amp;sourceID=14","0.00204")</f>
        <v>0.00204</v>
      </c>
    </row>
    <row r="11120" spans="1:7">
      <c r="A11120" s="3"/>
      <c r="B11120" s="3"/>
      <c r="C11120" s="3"/>
      <c r="D11120" s="3"/>
      <c r="E11120" s="3">
        <v>17</v>
      </c>
      <c r="F11120" s="4" t="str">
        <f>HYPERLINK("http://141.218.60.56/~jnz1568/getInfo.php?workbook=20_05.xlsx&amp;sheet=U0&amp;row=11120&amp;col=6&amp;number=4.6&amp;sourceID=14","4.6")</f>
        <v>4.6</v>
      </c>
      <c r="G11120" s="4" t="str">
        <f>HYPERLINK("http://141.218.60.56/~jnz1568/getInfo.php?workbook=20_05.xlsx&amp;sheet=U0&amp;row=11120&amp;col=7&amp;number=0.00204&amp;sourceID=14","0.00204")</f>
        <v>0.00204</v>
      </c>
    </row>
    <row r="11121" spans="1:7">
      <c r="A11121" s="3"/>
      <c r="B11121" s="3"/>
      <c r="C11121" s="3"/>
      <c r="D11121" s="3"/>
      <c r="E11121" s="3">
        <v>18</v>
      </c>
      <c r="F11121" s="4" t="str">
        <f>HYPERLINK("http://141.218.60.56/~jnz1568/getInfo.php?workbook=20_05.xlsx&amp;sheet=U0&amp;row=11121&amp;col=6&amp;number=4.7&amp;sourceID=14","4.7")</f>
        <v>4.7</v>
      </c>
      <c r="G11121" s="4" t="str">
        <f>HYPERLINK("http://141.218.60.56/~jnz1568/getInfo.php?workbook=20_05.xlsx&amp;sheet=U0&amp;row=11121&amp;col=7&amp;number=0.00204&amp;sourceID=14","0.00204")</f>
        <v>0.00204</v>
      </c>
    </row>
    <row r="11122" spans="1:7">
      <c r="A11122" s="3"/>
      <c r="B11122" s="3"/>
      <c r="C11122" s="3"/>
      <c r="D11122" s="3"/>
      <c r="E11122" s="3">
        <v>19</v>
      </c>
      <c r="F11122" s="4" t="str">
        <f>HYPERLINK("http://141.218.60.56/~jnz1568/getInfo.php?workbook=20_05.xlsx&amp;sheet=U0&amp;row=11122&amp;col=6&amp;number=4.8&amp;sourceID=14","4.8")</f>
        <v>4.8</v>
      </c>
      <c r="G11122" s="4" t="str">
        <f>HYPERLINK("http://141.218.60.56/~jnz1568/getInfo.php?workbook=20_05.xlsx&amp;sheet=U0&amp;row=11122&amp;col=7&amp;number=0.00203&amp;sourceID=14","0.00203")</f>
        <v>0.00203</v>
      </c>
    </row>
    <row r="11123" spans="1:7">
      <c r="A11123" s="3"/>
      <c r="B11123" s="3"/>
      <c r="C11123" s="3"/>
      <c r="D11123" s="3"/>
      <c r="E11123" s="3">
        <v>20</v>
      </c>
      <c r="F11123" s="4" t="str">
        <f>HYPERLINK("http://141.218.60.56/~jnz1568/getInfo.php?workbook=20_05.xlsx&amp;sheet=U0&amp;row=11123&amp;col=6&amp;number=4.9&amp;sourceID=14","4.9")</f>
        <v>4.9</v>
      </c>
      <c r="G11123" s="4" t="str">
        <f>HYPERLINK("http://141.218.60.56/~jnz1568/getInfo.php?workbook=20_05.xlsx&amp;sheet=U0&amp;row=11123&amp;col=7&amp;number=0.00202&amp;sourceID=14","0.00202")</f>
        <v>0.00202</v>
      </c>
    </row>
    <row r="11124" spans="1:7">
      <c r="A11124" s="3">
        <v>20</v>
      </c>
      <c r="B11124" s="3">
        <v>5</v>
      </c>
      <c r="C11124" s="3">
        <v>5</v>
      </c>
      <c r="D11124" s="3">
        <v>91</v>
      </c>
      <c r="E11124" s="3">
        <v>1</v>
      </c>
      <c r="F11124" s="4" t="str">
        <f>HYPERLINK("http://141.218.60.56/~jnz1568/getInfo.php?workbook=20_05.xlsx&amp;sheet=U0&amp;row=11124&amp;col=6&amp;number=3&amp;sourceID=14","3")</f>
        <v>3</v>
      </c>
      <c r="G11124" s="4" t="str">
        <f>HYPERLINK("http://141.218.60.56/~jnz1568/getInfo.php?workbook=20_05.xlsx&amp;sheet=U0&amp;row=11124&amp;col=7&amp;number=0.00509&amp;sourceID=14","0.00509")</f>
        <v>0.00509</v>
      </c>
    </row>
    <row r="11125" spans="1:7">
      <c r="A11125" s="3"/>
      <c r="B11125" s="3"/>
      <c r="C11125" s="3"/>
      <c r="D11125" s="3"/>
      <c r="E11125" s="3">
        <v>2</v>
      </c>
      <c r="F11125" s="4" t="str">
        <f>HYPERLINK("http://141.218.60.56/~jnz1568/getInfo.php?workbook=20_05.xlsx&amp;sheet=U0&amp;row=11125&amp;col=6&amp;number=3.1&amp;sourceID=14","3.1")</f>
        <v>3.1</v>
      </c>
      <c r="G11125" s="4" t="str">
        <f>HYPERLINK("http://141.218.60.56/~jnz1568/getInfo.php?workbook=20_05.xlsx&amp;sheet=U0&amp;row=11125&amp;col=7&amp;number=0.00509&amp;sourceID=14","0.00509")</f>
        <v>0.00509</v>
      </c>
    </row>
    <row r="11126" spans="1:7">
      <c r="A11126" s="3"/>
      <c r="B11126" s="3"/>
      <c r="C11126" s="3"/>
      <c r="D11126" s="3"/>
      <c r="E11126" s="3">
        <v>3</v>
      </c>
      <c r="F11126" s="4" t="str">
        <f>HYPERLINK("http://141.218.60.56/~jnz1568/getInfo.php?workbook=20_05.xlsx&amp;sheet=U0&amp;row=11126&amp;col=6&amp;number=3.2&amp;sourceID=14","3.2")</f>
        <v>3.2</v>
      </c>
      <c r="G11126" s="4" t="str">
        <f>HYPERLINK("http://141.218.60.56/~jnz1568/getInfo.php?workbook=20_05.xlsx&amp;sheet=U0&amp;row=11126&amp;col=7&amp;number=0.00509&amp;sourceID=14","0.00509")</f>
        <v>0.00509</v>
      </c>
    </row>
    <row r="11127" spans="1:7">
      <c r="A11127" s="3"/>
      <c r="B11127" s="3"/>
      <c r="C11127" s="3"/>
      <c r="D11127" s="3"/>
      <c r="E11127" s="3">
        <v>4</v>
      </c>
      <c r="F11127" s="4" t="str">
        <f>HYPERLINK("http://141.218.60.56/~jnz1568/getInfo.php?workbook=20_05.xlsx&amp;sheet=U0&amp;row=11127&amp;col=6&amp;number=3.3&amp;sourceID=14","3.3")</f>
        <v>3.3</v>
      </c>
      <c r="G11127" s="4" t="str">
        <f>HYPERLINK("http://141.218.60.56/~jnz1568/getInfo.php?workbook=20_05.xlsx&amp;sheet=U0&amp;row=11127&amp;col=7&amp;number=0.00509&amp;sourceID=14","0.00509")</f>
        <v>0.00509</v>
      </c>
    </row>
    <row r="11128" spans="1:7">
      <c r="A11128" s="3"/>
      <c r="B11128" s="3"/>
      <c r="C11128" s="3"/>
      <c r="D11128" s="3"/>
      <c r="E11128" s="3">
        <v>5</v>
      </c>
      <c r="F11128" s="4" t="str">
        <f>HYPERLINK("http://141.218.60.56/~jnz1568/getInfo.php?workbook=20_05.xlsx&amp;sheet=U0&amp;row=11128&amp;col=6&amp;number=3.4&amp;sourceID=14","3.4")</f>
        <v>3.4</v>
      </c>
      <c r="G11128" s="4" t="str">
        <f>HYPERLINK("http://141.218.60.56/~jnz1568/getInfo.php?workbook=20_05.xlsx&amp;sheet=U0&amp;row=11128&amp;col=7&amp;number=0.00509&amp;sourceID=14","0.00509")</f>
        <v>0.00509</v>
      </c>
    </row>
    <row r="11129" spans="1:7">
      <c r="A11129" s="3"/>
      <c r="B11129" s="3"/>
      <c r="C11129" s="3"/>
      <c r="D11129" s="3"/>
      <c r="E11129" s="3">
        <v>6</v>
      </c>
      <c r="F11129" s="4" t="str">
        <f>HYPERLINK("http://141.218.60.56/~jnz1568/getInfo.php?workbook=20_05.xlsx&amp;sheet=U0&amp;row=11129&amp;col=6&amp;number=3.5&amp;sourceID=14","3.5")</f>
        <v>3.5</v>
      </c>
      <c r="G11129" s="4" t="str">
        <f>HYPERLINK("http://141.218.60.56/~jnz1568/getInfo.php?workbook=20_05.xlsx&amp;sheet=U0&amp;row=11129&amp;col=7&amp;number=0.00509&amp;sourceID=14","0.00509")</f>
        <v>0.00509</v>
      </c>
    </row>
    <row r="11130" spans="1:7">
      <c r="A11130" s="3"/>
      <c r="B11130" s="3"/>
      <c r="C11130" s="3"/>
      <c r="D11130" s="3"/>
      <c r="E11130" s="3">
        <v>7</v>
      </c>
      <c r="F11130" s="4" t="str">
        <f>HYPERLINK("http://141.218.60.56/~jnz1568/getInfo.php?workbook=20_05.xlsx&amp;sheet=U0&amp;row=11130&amp;col=6&amp;number=3.6&amp;sourceID=14","3.6")</f>
        <v>3.6</v>
      </c>
      <c r="G11130" s="4" t="str">
        <f>HYPERLINK("http://141.218.60.56/~jnz1568/getInfo.php?workbook=20_05.xlsx&amp;sheet=U0&amp;row=11130&amp;col=7&amp;number=0.00509&amp;sourceID=14","0.00509")</f>
        <v>0.00509</v>
      </c>
    </row>
    <row r="11131" spans="1:7">
      <c r="A11131" s="3"/>
      <c r="B11131" s="3"/>
      <c r="C11131" s="3"/>
      <c r="D11131" s="3"/>
      <c r="E11131" s="3">
        <v>8</v>
      </c>
      <c r="F11131" s="4" t="str">
        <f>HYPERLINK("http://141.218.60.56/~jnz1568/getInfo.php?workbook=20_05.xlsx&amp;sheet=U0&amp;row=11131&amp;col=6&amp;number=3.7&amp;sourceID=14","3.7")</f>
        <v>3.7</v>
      </c>
      <c r="G11131" s="4" t="str">
        <f>HYPERLINK("http://141.218.60.56/~jnz1568/getInfo.php?workbook=20_05.xlsx&amp;sheet=U0&amp;row=11131&amp;col=7&amp;number=0.00509&amp;sourceID=14","0.00509")</f>
        <v>0.00509</v>
      </c>
    </row>
    <row r="11132" spans="1:7">
      <c r="A11132" s="3"/>
      <c r="B11132" s="3"/>
      <c r="C11132" s="3"/>
      <c r="D11132" s="3"/>
      <c r="E11132" s="3">
        <v>9</v>
      </c>
      <c r="F11132" s="4" t="str">
        <f>HYPERLINK("http://141.218.60.56/~jnz1568/getInfo.php?workbook=20_05.xlsx&amp;sheet=U0&amp;row=11132&amp;col=6&amp;number=3.8&amp;sourceID=14","3.8")</f>
        <v>3.8</v>
      </c>
      <c r="G11132" s="4" t="str">
        <f>HYPERLINK("http://141.218.60.56/~jnz1568/getInfo.php?workbook=20_05.xlsx&amp;sheet=U0&amp;row=11132&amp;col=7&amp;number=0.00509&amp;sourceID=14","0.00509")</f>
        <v>0.00509</v>
      </c>
    </row>
    <row r="11133" spans="1:7">
      <c r="A11133" s="3"/>
      <c r="B11133" s="3"/>
      <c r="C11133" s="3"/>
      <c r="D11133" s="3"/>
      <c r="E11133" s="3">
        <v>10</v>
      </c>
      <c r="F11133" s="4" t="str">
        <f>HYPERLINK("http://141.218.60.56/~jnz1568/getInfo.php?workbook=20_05.xlsx&amp;sheet=U0&amp;row=11133&amp;col=6&amp;number=3.9&amp;sourceID=14","3.9")</f>
        <v>3.9</v>
      </c>
      <c r="G11133" s="4" t="str">
        <f>HYPERLINK("http://141.218.60.56/~jnz1568/getInfo.php?workbook=20_05.xlsx&amp;sheet=U0&amp;row=11133&amp;col=7&amp;number=0.00509&amp;sourceID=14","0.00509")</f>
        <v>0.00509</v>
      </c>
    </row>
    <row r="11134" spans="1:7">
      <c r="A11134" s="3"/>
      <c r="B11134" s="3"/>
      <c r="C11134" s="3"/>
      <c r="D11134" s="3"/>
      <c r="E11134" s="3">
        <v>11</v>
      </c>
      <c r="F11134" s="4" t="str">
        <f>HYPERLINK("http://141.218.60.56/~jnz1568/getInfo.php?workbook=20_05.xlsx&amp;sheet=U0&amp;row=11134&amp;col=6&amp;number=4&amp;sourceID=14","4")</f>
        <v>4</v>
      </c>
      <c r="G11134" s="4" t="str">
        <f>HYPERLINK("http://141.218.60.56/~jnz1568/getInfo.php?workbook=20_05.xlsx&amp;sheet=U0&amp;row=11134&amp;col=7&amp;number=0.00509&amp;sourceID=14","0.00509")</f>
        <v>0.00509</v>
      </c>
    </row>
    <row r="11135" spans="1:7">
      <c r="A11135" s="3"/>
      <c r="B11135" s="3"/>
      <c r="C11135" s="3"/>
      <c r="D11135" s="3"/>
      <c r="E11135" s="3">
        <v>12</v>
      </c>
      <c r="F11135" s="4" t="str">
        <f>HYPERLINK("http://141.218.60.56/~jnz1568/getInfo.php?workbook=20_05.xlsx&amp;sheet=U0&amp;row=11135&amp;col=6&amp;number=4.1&amp;sourceID=14","4.1")</f>
        <v>4.1</v>
      </c>
      <c r="G11135" s="4" t="str">
        <f>HYPERLINK("http://141.218.60.56/~jnz1568/getInfo.php?workbook=20_05.xlsx&amp;sheet=U0&amp;row=11135&amp;col=7&amp;number=0.00508&amp;sourceID=14","0.00508")</f>
        <v>0.00508</v>
      </c>
    </row>
    <row r="11136" spans="1:7">
      <c r="A11136" s="3"/>
      <c r="B11136" s="3"/>
      <c r="C11136" s="3"/>
      <c r="D11136" s="3"/>
      <c r="E11136" s="3">
        <v>13</v>
      </c>
      <c r="F11136" s="4" t="str">
        <f>HYPERLINK("http://141.218.60.56/~jnz1568/getInfo.php?workbook=20_05.xlsx&amp;sheet=U0&amp;row=11136&amp;col=6&amp;number=4.2&amp;sourceID=14","4.2")</f>
        <v>4.2</v>
      </c>
      <c r="G11136" s="4" t="str">
        <f>HYPERLINK("http://141.218.60.56/~jnz1568/getInfo.php?workbook=20_05.xlsx&amp;sheet=U0&amp;row=11136&amp;col=7&amp;number=0.00508&amp;sourceID=14","0.00508")</f>
        <v>0.00508</v>
      </c>
    </row>
    <row r="11137" spans="1:7">
      <c r="A11137" s="3"/>
      <c r="B11137" s="3"/>
      <c r="C11137" s="3"/>
      <c r="D11137" s="3"/>
      <c r="E11137" s="3">
        <v>14</v>
      </c>
      <c r="F11137" s="4" t="str">
        <f>HYPERLINK("http://141.218.60.56/~jnz1568/getInfo.php?workbook=20_05.xlsx&amp;sheet=U0&amp;row=11137&amp;col=6&amp;number=4.3&amp;sourceID=14","4.3")</f>
        <v>4.3</v>
      </c>
      <c r="G11137" s="4" t="str">
        <f>HYPERLINK("http://141.218.60.56/~jnz1568/getInfo.php?workbook=20_05.xlsx&amp;sheet=U0&amp;row=11137&amp;col=7&amp;number=0.00508&amp;sourceID=14","0.00508")</f>
        <v>0.00508</v>
      </c>
    </row>
    <row r="11138" spans="1:7">
      <c r="A11138" s="3"/>
      <c r="B11138" s="3"/>
      <c r="C11138" s="3"/>
      <c r="D11138" s="3"/>
      <c r="E11138" s="3">
        <v>15</v>
      </c>
      <c r="F11138" s="4" t="str">
        <f>HYPERLINK("http://141.218.60.56/~jnz1568/getInfo.php?workbook=20_05.xlsx&amp;sheet=U0&amp;row=11138&amp;col=6&amp;number=4.4&amp;sourceID=14","4.4")</f>
        <v>4.4</v>
      </c>
      <c r="G11138" s="4" t="str">
        <f>HYPERLINK("http://141.218.60.56/~jnz1568/getInfo.php?workbook=20_05.xlsx&amp;sheet=U0&amp;row=11138&amp;col=7&amp;number=0.00507&amp;sourceID=14","0.00507")</f>
        <v>0.00507</v>
      </c>
    </row>
    <row r="11139" spans="1:7">
      <c r="A11139" s="3"/>
      <c r="B11139" s="3"/>
      <c r="C11139" s="3"/>
      <c r="D11139" s="3"/>
      <c r="E11139" s="3">
        <v>16</v>
      </c>
      <c r="F11139" s="4" t="str">
        <f>HYPERLINK("http://141.218.60.56/~jnz1568/getInfo.php?workbook=20_05.xlsx&amp;sheet=U0&amp;row=11139&amp;col=6&amp;number=4.5&amp;sourceID=14","4.5")</f>
        <v>4.5</v>
      </c>
      <c r="G11139" s="4" t="str">
        <f>HYPERLINK("http://141.218.60.56/~jnz1568/getInfo.php?workbook=20_05.xlsx&amp;sheet=U0&amp;row=11139&amp;col=7&amp;number=0.00506&amp;sourceID=14","0.00506")</f>
        <v>0.00506</v>
      </c>
    </row>
    <row r="11140" spans="1:7">
      <c r="A11140" s="3"/>
      <c r="B11140" s="3"/>
      <c r="C11140" s="3"/>
      <c r="D11140" s="3"/>
      <c r="E11140" s="3">
        <v>17</v>
      </c>
      <c r="F11140" s="4" t="str">
        <f>HYPERLINK("http://141.218.60.56/~jnz1568/getInfo.php?workbook=20_05.xlsx&amp;sheet=U0&amp;row=11140&amp;col=6&amp;number=4.6&amp;sourceID=14","4.6")</f>
        <v>4.6</v>
      </c>
      <c r="G11140" s="4" t="str">
        <f>HYPERLINK("http://141.218.60.56/~jnz1568/getInfo.php?workbook=20_05.xlsx&amp;sheet=U0&amp;row=11140&amp;col=7&amp;number=0.00506&amp;sourceID=14","0.00506")</f>
        <v>0.00506</v>
      </c>
    </row>
    <row r="11141" spans="1:7">
      <c r="A11141" s="3"/>
      <c r="B11141" s="3"/>
      <c r="C11141" s="3"/>
      <c r="D11141" s="3"/>
      <c r="E11141" s="3">
        <v>18</v>
      </c>
      <c r="F11141" s="4" t="str">
        <f>HYPERLINK("http://141.218.60.56/~jnz1568/getInfo.php?workbook=20_05.xlsx&amp;sheet=U0&amp;row=11141&amp;col=6&amp;number=4.7&amp;sourceID=14","4.7")</f>
        <v>4.7</v>
      </c>
      <c r="G11141" s="4" t="str">
        <f>HYPERLINK("http://141.218.60.56/~jnz1568/getInfo.php?workbook=20_05.xlsx&amp;sheet=U0&amp;row=11141&amp;col=7&amp;number=0.00505&amp;sourceID=14","0.00505")</f>
        <v>0.00505</v>
      </c>
    </row>
    <row r="11142" spans="1:7">
      <c r="A11142" s="3"/>
      <c r="B11142" s="3"/>
      <c r="C11142" s="3"/>
      <c r="D11142" s="3"/>
      <c r="E11142" s="3">
        <v>19</v>
      </c>
      <c r="F11142" s="4" t="str">
        <f>HYPERLINK("http://141.218.60.56/~jnz1568/getInfo.php?workbook=20_05.xlsx&amp;sheet=U0&amp;row=11142&amp;col=6&amp;number=4.8&amp;sourceID=14","4.8")</f>
        <v>4.8</v>
      </c>
      <c r="G11142" s="4" t="str">
        <f>HYPERLINK("http://141.218.60.56/~jnz1568/getInfo.php?workbook=20_05.xlsx&amp;sheet=U0&amp;row=11142&amp;col=7&amp;number=0.00503&amp;sourceID=14","0.00503")</f>
        <v>0.00503</v>
      </c>
    </row>
    <row r="11143" spans="1:7">
      <c r="A11143" s="3"/>
      <c r="B11143" s="3"/>
      <c r="C11143" s="3"/>
      <c r="D11143" s="3"/>
      <c r="E11143" s="3">
        <v>20</v>
      </c>
      <c r="F11143" s="4" t="str">
        <f>HYPERLINK("http://141.218.60.56/~jnz1568/getInfo.php?workbook=20_05.xlsx&amp;sheet=U0&amp;row=11143&amp;col=6&amp;number=4.9&amp;sourceID=14","4.9")</f>
        <v>4.9</v>
      </c>
      <c r="G11143" s="4" t="str">
        <f>HYPERLINK("http://141.218.60.56/~jnz1568/getInfo.php?workbook=20_05.xlsx&amp;sheet=U0&amp;row=11143&amp;col=7&amp;number=0.00502&amp;sourceID=14","0.00502")</f>
        <v>0.00502</v>
      </c>
    </row>
    <row r="11144" spans="1:7">
      <c r="A11144" s="3">
        <v>20</v>
      </c>
      <c r="B11144" s="3">
        <v>5</v>
      </c>
      <c r="C11144" s="3">
        <v>5</v>
      </c>
      <c r="D11144" s="3">
        <v>92</v>
      </c>
      <c r="E11144" s="3">
        <v>1</v>
      </c>
      <c r="F11144" s="4" t="str">
        <f>HYPERLINK("http://141.218.60.56/~jnz1568/getInfo.php?workbook=20_05.xlsx&amp;sheet=U0&amp;row=11144&amp;col=6&amp;number=3&amp;sourceID=14","3")</f>
        <v>3</v>
      </c>
      <c r="G11144" s="4" t="str">
        <f>HYPERLINK("http://141.218.60.56/~jnz1568/getInfo.php?workbook=20_05.xlsx&amp;sheet=U0&amp;row=11144&amp;col=7&amp;number=0.00233&amp;sourceID=14","0.00233")</f>
        <v>0.00233</v>
      </c>
    </row>
    <row r="11145" spans="1:7">
      <c r="A11145" s="3"/>
      <c r="B11145" s="3"/>
      <c r="C11145" s="3"/>
      <c r="D11145" s="3"/>
      <c r="E11145" s="3">
        <v>2</v>
      </c>
      <c r="F11145" s="4" t="str">
        <f>HYPERLINK("http://141.218.60.56/~jnz1568/getInfo.php?workbook=20_05.xlsx&amp;sheet=U0&amp;row=11145&amp;col=6&amp;number=3.1&amp;sourceID=14","3.1")</f>
        <v>3.1</v>
      </c>
      <c r="G11145" s="4" t="str">
        <f>HYPERLINK("http://141.218.60.56/~jnz1568/getInfo.php?workbook=20_05.xlsx&amp;sheet=U0&amp;row=11145&amp;col=7&amp;number=0.00233&amp;sourceID=14","0.00233")</f>
        <v>0.00233</v>
      </c>
    </row>
    <row r="11146" spans="1:7">
      <c r="A11146" s="3"/>
      <c r="B11146" s="3"/>
      <c r="C11146" s="3"/>
      <c r="D11146" s="3"/>
      <c r="E11146" s="3">
        <v>3</v>
      </c>
      <c r="F11146" s="4" t="str">
        <f>HYPERLINK("http://141.218.60.56/~jnz1568/getInfo.php?workbook=20_05.xlsx&amp;sheet=U0&amp;row=11146&amp;col=6&amp;number=3.2&amp;sourceID=14","3.2")</f>
        <v>3.2</v>
      </c>
      <c r="G11146" s="4" t="str">
        <f>HYPERLINK("http://141.218.60.56/~jnz1568/getInfo.php?workbook=20_05.xlsx&amp;sheet=U0&amp;row=11146&amp;col=7&amp;number=0.00233&amp;sourceID=14","0.00233")</f>
        <v>0.00233</v>
      </c>
    </row>
    <row r="11147" spans="1:7">
      <c r="A11147" s="3"/>
      <c r="B11147" s="3"/>
      <c r="C11147" s="3"/>
      <c r="D11147" s="3"/>
      <c r="E11147" s="3">
        <v>4</v>
      </c>
      <c r="F11147" s="4" t="str">
        <f>HYPERLINK("http://141.218.60.56/~jnz1568/getInfo.php?workbook=20_05.xlsx&amp;sheet=U0&amp;row=11147&amp;col=6&amp;number=3.3&amp;sourceID=14","3.3")</f>
        <v>3.3</v>
      </c>
      <c r="G11147" s="4" t="str">
        <f>HYPERLINK("http://141.218.60.56/~jnz1568/getInfo.php?workbook=20_05.xlsx&amp;sheet=U0&amp;row=11147&amp;col=7&amp;number=0.00233&amp;sourceID=14","0.00233")</f>
        <v>0.00233</v>
      </c>
    </row>
    <row r="11148" spans="1:7">
      <c r="A11148" s="3"/>
      <c r="B11148" s="3"/>
      <c r="C11148" s="3"/>
      <c r="D11148" s="3"/>
      <c r="E11148" s="3">
        <v>5</v>
      </c>
      <c r="F11148" s="4" t="str">
        <f>HYPERLINK("http://141.218.60.56/~jnz1568/getInfo.php?workbook=20_05.xlsx&amp;sheet=U0&amp;row=11148&amp;col=6&amp;number=3.4&amp;sourceID=14","3.4")</f>
        <v>3.4</v>
      </c>
      <c r="G11148" s="4" t="str">
        <f>HYPERLINK("http://141.218.60.56/~jnz1568/getInfo.php?workbook=20_05.xlsx&amp;sheet=U0&amp;row=11148&amp;col=7&amp;number=0.00232&amp;sourceID=14","0.00232")</f>
        <v>0.00232</v>
      </c>
    </row>
    <row r="11149" spans="1:7">
      <c r="A11149" s="3"/>
      <c r="B11149" s="3"/>
      <c r="C11149" s="3"/>
      <c r="D11149" s="3"/>
      <c r="E11149" s="3">
        <v>6</v>
      </c>
      <c r="F11149" s="4" t="str">
        <f>HYPERLINK("http://141.218.60.56/~jnz1568/getInfo.php?workbook=20_05.xlsx&amp;sheet=U0&amp;row=11149&amp;col=6&amp;number=3.5&amp;sourceID=14","3.5")</f>
        <v>3.5</v>
      </c>
      <c r="G11149" s="4" t="str">
        <f>HYPERLINK("http://141.218.60.56/~jnz1568/getInfo.php?workbook=20_05.xlsx&amp;sheet=U0&amp;row=11149&amp;col=7&amp;number=0.00232&amp;sourceID=14","0.00232")</f>
        <v>0.00232</v>
      </c>
    </row>
    <row r="11150" spans="1:7">
      <c r="A11150" s="3"/>
      <c r="B11150" s="3"/>
      <c r="C11150" s="3"/>
      <c r="D11150" s="3"/>
      <c r="E11150" s="3">
        <v>7</v>
      </c>
      <c r="F11150" s="4" t="str">
        <f>HYPERLINK("http://141.218.60.56/~jnz1568/getInfo.php?workbook=20_05.xlsx&amp;sheet=U0&amp;row=11150&amp;col=6&amp;number=3.6&amp;sourceID=14","3.6")</f>
        <v>3.6</v>
      </c>
      <c r="G11150" s="4" t="str">
        <f>HYPERLINK("http://141.218.60.56/~jnz1568/getInfo.php?workbook=20_05.xlsx&amp;sheet=U0&amp;row=11150&amp;col=7&amp;number=0.00232&amp;sourceID=14","0.00232")</f>
        <v>0.00232</v>
      </c>
    </row>
    <row r="11151" spans="1:7">
      <c r="A11151" s="3"/>
      <c r="B11151" s="3"/>
      <c r="C11151" s="3"/>
      <c r="D11151" s="3"/>
      <c r="E11151" s="3">
        <v>8</v>
      </c>
      <c r="F11151" s="4" t="str">
        <f>HYPERLINK("http://141.218.60.56/~jnz1568/getInfo.php?workbook=20_05.xlsx&amp;sheet=U0&amp;row=11151&amp;col=6&amp;number=3.7&amp;sourceID=14","3.7")</f>
        <v>3.7</v>
      </c>
      <c r="G11151" s="4" t="str">
        <f>HYPERLINK("http://141.218.60.56/~jnz1568/getInfo.php?workbook=20_05.xlsx&amp;sheet=U0&amp;row=11151&amp;col=7&amp;number=0.00232&amp;sourceID=14","0.00232")</f>
        <v>0.00232</v>
      </c>
    </row>
    <row r="11152" spans="1:7">
      <c r="A11152" s="3"/>
      <c r="B11152" s="3"/>
      <c r="C11152" s="3"/>
      <c r="D11152" s="3"/>
      <c r="E11152" s="3">
        <v>9</v>
      </c>
      <c r="F11152" s="4" t="str">
        <f>HYPERLINK("http://141.218.60.56/~jnz1568/getInfo.php?workbook=20_05.xlsx&amp;sheet=U0&amp;row=11152&amp;col=6&amp;number=3.8&amp;sourceID=14","3.8")</f>
        <v>3.8</v>
      </c>
      <c r="G11152" s="4" t="str">
        <f>HYPERLINK("http://141.218.60.56/~jnz1568/getInfo.php?workbook=20_05.xlsx&amp;sheet=U0&amp;row=11152&amp;col=7&amp;number=0.00232&amp;sourceID=14","0.00232")</f>
        <v>0.00232</v>
      </c>
    </row>
    <row r="11153" spans="1:7">
      <c r="A11153" s="3"/>
      <c r="B11153" s="3"/>
      <c r="C11153" s="3"/>
      <c r="D11153" s="3"/>
      <c r="E11153" s="3">
        <v>10</v>
      </c>
      <c r="F11153" s="4" t="str">
        <f>HYPERLINK("http://141.218.60.56/~jnz1568/getInfo.php?workbook=20_05.xlsx&amp;sheet=U0&amp;row=11153&amp;col=6&amp;number=3.9&amp;sourceID=14","3.9")</f>
        <v>3.9</v>
      </c>
      <c r="G11153" s="4" t="str">
        <f>HYPERLINK("http://141.218.60.56/~jnz1568/getInfo.php?workbook=20_05.xlsx&amp;sheet=U0&amp;row=11153&amp;col=7&amp;number=0.00232&amp;sourceID=14","0.00232")</f>
        <v>0.00232</v>
      </c>
    </row>
    <row r="11154" spans="1:7">
      <c r="A11154" s="3"/>
      <c r="B11154" s="3"/>
      <c r="C11154" s="3"/>
      <c r="D11154" s="3"/>
      <c r="E11154" s="3">
        <v>11</v>
      </c>
      <c r="F11154" s="4" t="str">
        <f>HYPERLINK("http://141.218.60.56/~jnz1568/getInfo.php?workbook=20_05.xlsx&amp;sheet=U0&amp;row=11154&amp;col=6&amp;number=4&amp;sourceID=14","4")</f>
        <v>4</v>
      </c>
      <c r="G11154" s="4" t="str">
        <f>HYPERLINK("http://141.218.60.56/~jnz1568/getInfo.php?workbook=20_05.xlsx&amp;sheet=U0&amp;row=11154&amp;col=7&amp;number=0.00232&amp;sourceID=14","0.00232")</f>
        <v>0.00232</v>
      </c>
    </row>
    <row r="11155" spans="1:7">
      <c r="A11155" s="3"/>
      <c r="B11155" s="3"/>
      <c r="C11155" s="3"/>
      <c r="D11155" s="3"/>
      <c r="E11155" s="3">
        <v>12</v>
      </c>
      <c r="F11155" s="4" t="str">
        <f>HYPERLINK("http://141.218.60.56/~jnz1568/getInfo.php?workbook=20_05.xlsx&amp;sheet=U0&amp;row=11155&amp;col=6&amp;number=4.1&amp;sourceID=14","4.1")</f>
        <v>4.1</v>
      </c>
      <c r="G11155" s="4" t="str">
        <f>HYPERLINK("http://141.218.60.56/~jnz1568/getInfo.php?workbook=20_05.xlsx&amp;sheet=U0&amp;row=11155&amp;col=7&amp;number=0.00232&amp;sourceID=14","0.00232")</f>
        <v>0.00232</v>
      </c>
    </row>
    <row r="11156" spans="1:7">
      <c r="A11156" s="3"/>
      <c r="B11156" s="3"/>
      <c r="C11156" s="3"/>
      <c r="D11156" s="3"/>
      <c r="E11156" s="3">
        <v>13</v>
      </c>
      <c r="F11156" s="4" t="str">
        <f>HYPERLINK("http://141.218.60.56/~jnz1568/getInfo.php?workbook=20_05.xlsx&amp;sheet=U0&amp;row=11156&amp;col=6&amp;number=4.2&amp;sourceID=14","4.2")</f>
        <v>4.2</v>
      </c>
      <c r="G11156" s="4" t="str">
        <f>HYPERLINK("http://141.218.60.56/~jnz1568/getInfo.php?workbook=20_05.xlsx&amp;sheet=U0&amp;row=11156&amp;col=7&amp;number=0.00232&amp;sourceID=14","0.00232")</f>
        <v>0.00232</v>
      </c>
    </row>
    <row r="11157" spans="1:7">
      <c r="A11157" s="3"/>
      <c r="B11157" s="3"/>
      <c r="C11157" s="3"/>
      <c r="D11157" s="3"/>
      <c r="E11157" s="3">
        <v>14</v>
      </c>
      <c r="F11157" s="4" t="str">
        <f>HYPERLINK("http://141.218.60.56/~jnz1568/getInfo.php?workbook=20_05.xlsx&amp;sheet=U0&amp;row=11157&amp;col=6&amp;number=4.3&amp;sourceID=14","4.3")</f>
        <v>4.3</v>
      </c>
      <c r="G11157" s="4" t="str">
        <f>HYPERLINK("http://141.218.60.56/~jnz1568/getInfo.php?workbook=20_05.xlsx&amp;sheet=U0&amp;row=11157&amp;col=7&amp;number=0.00232&amp;sourceID=14","0.00232")</f>
        <v>0.00232</v>
      </c>
    </row>
    <row r="11158" spans="1:7">
      <c r="A11158" s="3"/>
      <c r="B11158" s="3"/>
      <c r="C11158" s="3"/>
      <c r="D11158" s="3"/>
      <c r="E11158" s="3">
        <v>15</v>
      </c>
      <c r="F11158" s="4" t="str">
        <f>HYPERLINK("http://141.218.60.56/~jnz1568/getInfo.php?workbook=20_05.xlsx&amp;sheet=U0&amp;row=11158&amp;col=6&amp;number=4.4&amp;sourceID=14","4.4")</f>
        <v>4.4</v>
      </c>
      <c r="G11158" s="4" t="str">
        <f>HYPERLINK("http://141.218.60.56/~jnz1568/getInfo.php?workbook=20_05.xlsx&amp;sheet=U0&amp;row=11158&amp;col=7&amp;number=0.00231&amp;sourceID=14","0.00231")</f>
        <v>0.00231</v>
      </c>
    </row>
    <row r="11159" spans="1:7">
      <c r="A11159" s="3"/>
      <c r="B11159" s="3"/>
      <c r="C11159" s="3"/>
      <c r="D11159" s="3"/>
      <c r="E11159" s="3">
        <v>16</v>
      </c>
      <c r="F11159" s="4" t="str">
        <f>HYPERLINK("http://141.218.60.56/~jnz1568/getInfo.php?workbook=20_05.xlsx&amp;sheet=U0&amp;row=11159&amp;col=6&amp;number=4.5&amp;sourceID=14","4.5")</f>
        <v>4.5</v>
      </c>
      <c r="G11159" s="4" t="str">
        <f>HYPERLINK("http://141.218.60.56/~jnz1568/getInfo.php?workbook=20_05.xlsx&amp;sheet=U0&amp;row=11159&amp;col=7&amp;number=0.00231&amp;sourceID=14","0.00231")</f>
        <v>0.00231</v>
      </c>
    </row>
    <row r="11160" spans="1:7">
      <c r="A11160" s="3"/>
      <c r="B11160" s="3"/>
      <c r="C11160" s="3"/>
      <c r="D11160" s="3"/>
      <c r="E11160" s="3">
        <v>17</v>
      </c>
      <c r="F11160" s="4" t="str">
        <f>HYPERLINK("http://141.218.60.56/~jnz1568/getInfo.php?workbook=20_05.xlsx&amp;sheet=U0&amp;row=11160&amp;col=6&amp;number=4.6&amp;sourceID=14","4.6")</f>
        <v>4.6</v>
      </c>
      <c r="G11160" s="4" t="str">
        <f>HYPERLINK("http://141.218.60.56/~jnz1568/getInfo.php?workbook=20_05.xlsx&amp;sheet=U0&amp;row=11160&amp;col=7&amp;number=0.0023&amp;sourceID=14","0.0023")</f>
        <v>0.0023</v>
      </c>
    </row>
    <row r="11161" spans="1:7">
      <c r="A11161" s="3"/>
      <c r="B11161" s="3"/>
      <c r="C11161" s="3"/>
      <c r="D11161" s="3"/>
      <c r="E11161" s="3">
        <v>18</v>
      </c>
      <c r="F11161" s="4" t="str">
        <f>HYPERLINK("http://141.218.60.56/~jnz1568/getInfo.php?workbook=20_05.xlsx&amp;sheet=U0&amp;row=11161&amp;col=6&amp;number=4.7&amp;sourceID=14","4.7")</f>
        <v>4.7</v>
      </c>
      <c r="G11161" s="4" t="str">
        <f>HYPERLINK("http://141.218.60.56/~jnz1568/getInfo.php?workbook=20_05.xlsx&amp;sheet=U0&amp;row=11161&amp;col=7&amp;number=0.0023&amp;sourceID=14","0.0023")</f>
        <v>0.0023</v>
      </c>
    </row>
    <row r="11162" spans="1:7">
      <c r="A11162" s="3"/>
      <c r="B11162" s="3"/>
      <c r="C11162" s="3"/>
      <c r="D11162" s="3"/>
      <c r="E11162" s="3">
        <v>19</v>
      </c>
      <c r="F11162" s="4" t="str">
        <f>HYPERLINK("http://141.218.60.56/~jnz1568/getInfo.php?workbook=20_05.xlsx&amp;sheet=U0&amp;row=11162&amp;col=6&amp;number=4.8&amp;sourceID=14","4.8")</f>
        <v>4.8</v>
      </c>
      <c r="G11162" s="4" t="str">
        <f>HYPERLINK("http://141.218.60.56/~jnz1568/getInfo.php?workbook=20_05.xlsx&amp;sheet=U0&amp;row=11162&amp;col=7&amp;number=0.00229&amp;sourceID=14","0.00229")</f>
        <v>0.00229</v>
      </c>
    </row>
    <row r="11163" spans="1:7">
      <c r="A11163" s="3"/>
      <c r="B11163" s="3"/>
      <c r="C11163" s="3"/>
      <c r="D11163" s="3"/>
      <c r="E11163" s="3">
        <v>20</v>
      </c>
      <c r="F11163" s="4" t="str">
        <f>HYPERLINK("http://141.218.60.56/~jnz1568/getInfo.php?workbook=20_05.xlsx&amp;sheet=U0&amp;row=11163&amp;col=6&amp;number=4.9&amp;sourceID=14","4.9")</f>
        <v>4.9</v>
      </c>
      <c r="G11163" s="4" t="str">
        <f>HYPERLINK("http://141.218.60.56/~jnz1568/getInfo.php?workbook=20_05.xlsx&amp;sheet=U0&amp;row=11163&amp;col=7&amp;number=0.00228&amp;sourceID=14","0.00228")</f>
        <v>0.00228</v>
      </c>
    </row>
    <row r="11164" spans="1:7">
      <c r="A11164" s="3">
        <v>20</v>
      </c>
      <c r="B11164" s="3">
        <v>5</v>
      </c>
      <c r="C11164" s="3">
        <v>5</v>
      </c>
      <c r="D11164" s="3">
        <v>93</v>
      </c>
      <c r="E11164" s="3">
        <v>1</v>
      </c>
      <c r="F11164" s="4" t="str">
        <f>HYPERLINK("http://141.218.60.56/~jnz1568/getInfo.php?workbook=20_05.xlsx&amp;sheet=U0&amp;row=11164&amp;col=6&amp;number=3&amp;sourceID=14","3")</f>
        <v>3</v>
      </c>
      <c r="G11164" s="4" t="str">
        <f>HYPERLINK("http://141.218.60.56/~jnz1568/getInfo.php?workbook=20_05.xlsx&amp;sheet=U0&amp;row=11164&amp;col=7&amp;number=0.0049&amp;sourceID=14","0.0049")</f>
        <v>0.0049</v>
      </c>
    </row>
    <row r="11165" spans="1:7">
      <c r="A11165" s="3"/>
      <c r="B11165" s="3"/>
      <c r="C11165" s="3"/>
      <c r="D11165" s="3"/>
      <c r="E11165" s="3">
        <v>2</v>
      </c>
      <c r="F11165" s="4" t="str">
        <f>HYPERLINK("http://141.218.60.56/~jnz1568/getInfo.php?workbook=20_05.xlsx&amp;sheet=U0&amp;row=11165&amp;col=6&amp;number=3.1&amp;sourceID=14","3.1")</f>
        <v>3.1</v>
      </c>
      <c r="G11165" s="4" t="str">
        <f>HYPERLINK("http://141.218.60.56/~jnz1568/getInfo.php?workbook=20_05.xlsx&amp;sheet=U0&amp;row=11165&amp;col=7&amp;number=0.0049&amp;sourceID=14","0.0049")</f>
        <v>0.0049</v>
      </c>
    </row>
    <row r="11166" spans="1:7">
      <c r="A11166" s="3"/>
      <c r="B11166" s="3"/>
      <c r="C11166" s="3"/>
      <c r="D11166" s="3"/>
      <c r="E11166" s="3">
        <v>3</v>
      </c>
      <c r="F11166" s="4" t="str">
        <f>HYPERLINK("http://141.218.60.56/~jnz1568/getInfo.php?workbook=20_05.xlsx&amp;sheet=U0&amp;row=11166&amp;col=6&amp;number=3.2&amp;sourceID=14","3.2")</f>
        <v>3.2</v>
      </c>
      <c r="G11166" s="4" t="str">
        <f>HYPERLINK("http://141.218.60.56/~jnz1568/getInfo.php?workbook=20_05.xlsx&amp;sheet=U0&amp;row=11166&amp;col=7&amp;number=0.0049&amp;sourceID=14","0.0049")</f>
        <v>0.0049</v>
      </c>
    </row>
    <row r="11167" spans="1:7">
      <c r="A11167" s="3"/>
      <c r="B11167" s="3"/>
      <c r="C11167" s="3"/>
      <c r="D11167" s="3"/>
      <c r="E11167" s="3">
        <v>4</v>
      </c>
      <c r="F11167" s="4" t="str">
        <f>HYPERLINK("http://141.218.60.56/~jnz1568/getInfo.php?workbook=20_05.xlsx&amp;sheet=U0&amp;row=11167&amp;col=6&amp;number=3.3&amp;sourceID=14","3.3")</f>
        <v>3.3</v>
      </c>
      <c r="G11167" s="4" t="str">
        <f>HYPERLINK("http://141.218.60.56/~jnz1568/getInfo.php?workbook=20_05.xlsx&amp;sheet=U0&amp;row=11167&amp;col=7&amp;number=0.0049&amp;sourceID=14","0.0049")</f>
        <v>0.0049</v>
      </c>
    </row>
    <row r="11168" spans="1:7">
      <c r="A11168" s="3"/>
      <c r="B11168" s="3"/>
      <c r="C11168" s="3"/>
      <c r="D11168" s="3"/>
      <c r="E11168" s="3">
        <v>5</v>
      </c>
      <c r="F11168" s="4" t="str">
        <f>HYPERLINK("http://141.218.60.56/~jnz1568/getInfo.php?workbook=20_05.xlsx&amp;sheet=U0&amp;row=11168&amp;col=6&amp;number=3.4&amp;sourceID=14","3.4")</f>
        <v>3.4</v>
      </c>
      <c r="G11168" s="4" t="str">
        <f>HYPERLINK("http://141.218.60.56/~jnz1568/getInfo.php?workbook=20_05.xlsx&amp;sheet=U0&amp;row=11168&amp;col=7&amp;number=0.0049&amp;sourceID=14","0.0049")</f>
        <v>0.0049</v>
      </c>
    </row>
    <row r="11169" spans="1:7">
      <c r="A11169" s="3"/>
      <c r="B11169" s="3"/>
      <c r="C11169" s="3"/>
      <c r="D11169" s="3"/>
      <c r="E11169" s="3">
        <v>6</v>
      </c>
      <c r="F11169" s="4" t="str">
        <f>HYPERLINK("http://141.218.60.56/~jnz1568/getInfo.php?workbook=20_05.xlsx&amp;sheet=U0&amp;row=11169&amp;col=6&amp;number=3.5&amp;sourceID=14","3.5")</f>
        <v>3.5</v>
      </c>
      <c r="G11169" s="4" t="str">
        <f>HYPERLINK("http://141.218.60.56/~jnz1568/getInfo.php?workbook=20_05.xlsx&amp;sheet=U0&amp;row=11169&amp;col=7&amp;number=0.0049&amp;sourceID=14","0.0049")</f>
        <v>0.0049</v>
      </c>
    </row>
    <row r="11170" spans="1:7">
      <c r="A11170" s="3"/>
      <c r="B11170" s="3"/>
      <c r="C11170" s="3"/>
      <c r="D11170" s="3"/>
      <c r="E11170" s="3">
        <v>7</v>
      </c>
      <c r="F11170" s="4" t="str">
        <f>HYPERLINK("http://141.218.60.56/~jnz1568/getInfo.php?workbook=20_05.xlsx&amp;sheet=U0&amp;row=11170&amp;col=6&amp;number=3.6&amp;sourceID=14","3.6")</f>
        <v>3.6</v>
      </c>
      <c r="G11170" s="4" t="str">
        <f>HYPERLINK("http://141.218.60.56/~jnz1568/getInfo.php?workbook=20_05.xlsx&amp;sheet=U0&amp;row=11170&amp;col=7&amp;number=0.0049&amp;sourceID=14","0.0049")</f>
        <v>0.0049</v>
      </c>
    </row>
    <row r="11171" spans="1:7">
      <c r="A11171" s="3"/>
      <c r="B11171" s="3"/>
      <c r="C11171" s="3"/>
      <c r="D11171" s="3"/>
      <c r="E11171" s="3">
        <v>8</v>
      </c>
      <c r="F11171" s="4" t="str">
        <f>HYPERLINK("http://141.218.60.56/~jnz1568/getInfo.php?workbook=20_05.xlsx&amp;sheet=U0&amp;row=11171&amp;col=6&amp;number=3.7&amp;sourceID=14","3.7")</f>
        <v>3.7</v>
      </c>
      <c r="G11171" s="4" t="str">
        <f>HYPERLINK("http://141.218.60.56/~jnz1568/getInfo.php?workbook=20_05.xlsx&amp;sheet=U0&amp;row=11171&amp;col=7&amp;number=0.0049&amp;sourceID=14","0.0049")</f>
        <v>0.0049</v>
      </c>
    </row>
    <row r="11172" spans="1:7">
      <c r="A11172" s="3"/>
      <c r="B11172" s="3"/>
      <c r="C11172" s="3"/>
      <c r="D11172" s="3"/>
      <c r="E11172" s="3">
        <v>9</v>
      </c>
      <c r="F11172" s="4" t="str">
        <f>HYPERLINK("http://141.218.60.56/~jnz1568/getInfo.php?workbook=20_05.xlsx&amp;sheet=U0&amp;row=11172&amp;col=6&amp;number=3.8&amp;sourceID=14","3.8")</f>
        <v>3.8</v>
      </c>
      <c r="G11172" s="4" t="str">
        <f>HYPERLINK("http://141.218.60.56/~jnz1568/getInfo.php?workbook=20_05.xlsx&amp;sheet=U0&amp;row=11172&amp;col=7&amp;number=0.00489&amp;sourceID=14","0.00489")</f>
        <v>0.00489</v>
      </c>
    </row>
    <row r="11173" spans="1:7">
      <c r="A11173" s="3"/>
      <c r="B11173" s="3"/>
      <c r="C11173" s="3"/>
      <c r="D11173" s="3"/>
      <c r="E11173" s="3">
        <v>10</v>
      </c>
      <c r="F11173" s="4" t="str">
        <f>HYPERLINK("http://141.218.60.56/~jnz1568/getInfo.php?workbook=20_05.xlsx&amp;sheet=U0&amp;row=11173&amp;col=6&amp;number=3.9&amp;sourceID=14","3.9")</f>
        <v>3.9</v>
      </c>
      <c r="G11173" s="4" t="str">
        <f>HYPERLINK("http://141.218.60.56/~jnz1568/getInfo.php?workbook=20_05.xlsx&amp;sheet=U0&amp;row=11173&amp;col=7&amp;number=0.00489&amp;sourceID=14","0.00489")</f>
        <v>0.00489</v>
      </c>
    </row>
    <row r="11174" spans="1:7">
      <c r="A11174" s="3"/>
      <c r="B11174" s="3"/>
      <c r="C11174" s="3"/>
      <c r="D11174" s="3"/>
      <c r="E11174" s="3">
        <v>11</v>
      </c>
      <c r="F11174" s="4" t="str">
        <f>HYPERLINK("http://141.218.60.56/~jnz1568/getInfo.php?workbook=20_05.xlsx&amp;sheet=U0&amp;row=11174&amp;col=6&amp;number=4&amp;sourceID=14","4")</f>
        <v>4</v>
      </c>
      <c r="G11174" s="4" t="str">
        <f>HYPERLINK("http://141.218.60.56/~jnz1568/getInfo.php?workbook=20_05.xlsx&amp;sheet=U0&amp;row=11174&amp;col=7&amp;number=0.00489&amp;sourceID=14","0.00489")</f>
        <v>0.00489</v>
      </c>
    </row>
    <row r="11175" spans="1:7">
      <c r="A11175" s="3"/>
      <c r="B11175" s="3"/>
      <c r="C11175" s="3"/>
      <c r="D11175" s="3"/>
      <c r="E11175" s="3">
        <v>12</v>
      </c>
      <c r="F11175" s="4" t="str">
        <f>HYPERLINK("http://141.218.60.56/~jnz1568/getInfo.php?workbook=20_05.xlsx&amp;sheet=U0&amp;row=11175&amp;col=6&amp;number=4.1&amp;sourceID=14","4.1")</f>
        <v>4.1</v>
      </c>
      <c r="G11175" s="4" t="str">
        <f>HYPERLINK("http://141.218.60.56/~jnz1568/getInfo.php?workbook=20_05.xlsx&amp;sheet=U0&amp;row=11175&amp;col=7&amp;number=0.00489&amp;sourceID=14","0.00489")</f>
        <v>0.00489</v>
      </c>
    </row>
    <row r="11176" spans="1:7">
      <c r="A11176" s="3"/>
      <c r="B11176" s="3"/>
      <c r="C11176" s="3"/>
      <c r="D11176" s="3"/>
      <c r="E11176" s="3">
        <v>13</v>
      </c>
      <c r="F11176" s="4" t="str">
        <f>HYPERLINK("http://141.218.60.56/~jnz1568/getInfo.php?workbook=20_05.xlsx&amp;sheet=U0&amp;row=11176&amp;col=6&amp;number=4.2&amp;sourceID=14","4.2")</f>
        <v>4.2</v>
      </c>
      <c r="G11176" s="4" t="str">
        <f>HYPERLINK("http://141.218.60.56/~jnz1568/getInfo.php?workbook=20_05.xlsx&amp;sheet=U0&amp;row=11176&amp;col=7&amp;number=0.00488&amp;sourceID=14","0.00488")</f>
        <v>0.00488</v>
      </c>
    </row>
    <row r="11177" spans="1:7">
      <c r="A11177" s="3"/>
      <c r="B11177" s="3"/>
      <c r="C11177" s="3"/>
      <c r="D11177" s="3"/>
      <c r="E11177" s="3">
        <v>14</v>
      </c>
      <c r="F11177" s="4" t="str">
        <f>HYPERLINK("http://141.218.60.56/~jnz1568/getInfo.php?workbook=20_05.xlsx&amp;sheet=U0&amp;row=11177&amp;col=6&amp;number=4.3&amp;sourceID=14","4.3")</f>
        <v>4.3</v>
      </c>
      <c r="G11177" s="4" t="str">
        <f>HYPERLINK("http://141.218.60.56/~jnz1568/getInfo.php?workbook=20_05.xlsx&amp;sheet=U0&amp;row=11177&amp;col=7&amp;number=0.00488&amp;sourceID=14","0.00488")</f>
        <v>0.00488</v>
      </c>
    </row>
    <row r="11178" spans="1:7">
      <c r="A11178" s="3"/>
      <c r="B11178" s="3"/>
      <c r="C11178" s="3"/>
      <c r="D11178" s="3"/>
      <c r="E11178" s="3">
        <v>15</v>
      </c>
      <c r="F11178" s="4" t="str">
        <f>HYPERLINK("http://141.218.60.56/~jnz1568/getInfo.php?workbook=20_05.xlsx&amp;sheet=U0&amp;row=11178&amp;col=6&amp;number=4.4&amp;sourceID=14","4.4")</f>
        <v>4.4</v>
      </c>
      <c r="G11178" s="4" t="str">
        <f>HYPERLINK("http://141.218.60.56/~jnz1568/getInfo.php?workbook=20_05.xlsx&amp;sheet=U0&amp;row=11178&amp;col=7&amp;number=0.00487&amp;sourceID=14","0.00487")</f>
        <v>0.00487</v>
      </c>
    </row>
    <row r="11179" spans="1:7">
      <c r="A11179" s="3"/>
      <c r="B11179" s="3"/>
      <c r="C11179" s="3"/>
      <c r="D11179" s="3"/>
      <c r="E11179" s="3">
        <v>16</v>
      </c>
      <c r="F11179" s="4" t="str">
        <f>HYPERLINK("http://141.218.60.56/~jnz1568/getInfo.php?workbook=20_05.xlsx&amp;sheet=U0&amp;row=11179&amp;col=6&amp;number=4.5&amp;sourceID=14","4.5")</f>
        <v>4.5</v>
      </c>
      <c r="G11179" s="4" t="str">
        <f>HYPERLINK("http://141.218.60.56/~jnz1568/getInfo.php?workbook=20_05.xlsx&amp;sheet=U0&amp;row=11179&amp;col=7&amp;number=0.00486&amp;sourceID=14","0.00486")</f>
        <v>0.00486</v>
      </c>
    </row>
    <row r="11180" spans="1:7">
      <c r="A11180" s="3"/>
      <c r="B11180" s="3"/>
      <c r="C11180" s="3"/>
      <c r="D11180" s="3"/>
      <c r="E11180" s="3">
        <v>17</v>
      </c>
      <c r="F11180" s="4" t="str">
        <f>HYPERLINK("http://141.218.60.56/~jnz1568/getInfo.php?workbook=20_05.xlsx&amp;sheet=U0&amp;row=11180&amp;col=6&amp;number=4.6&amp;sourceID=14","4.6")</f>
        <v>4.6</v>
      </c>
      <c r="G11180" s="4" t="str">
        <f>HYPERLINK("http://141.218.60.56/~jnz1568/getInfo.php?workbook=20_05.xlsx&amp;sheet=U0&amp;row=11180&amp;col=7&amp;number=0.00485&amp;sourceID=14","0.00485")</f>
        <v>0.00485</v>
      </c>
    </row>
    <row r="11181" spans="1:7">
      <c r="A11181" s="3"/>
      <c r="B11181" s="3"/>
      <c r="C11181" s="3"/>
      <c r="D11181" s="3"/>
      <c r="E11181" s="3">
        <v>18</v>
      </c>
      <c r="F11181" s="4" t="str">
        <f>HYPERLINK("http://141.218.60.56/~jnz1568/getInfo.php?workbook=20_05.xlsx&amp;sheet=U0&amp;row=11181&amp;col=6&amp;number=4.7&amp;sourceID=14","4.7")</f>
        <v>4.7</v>
      </c>
      <c r="G11181" s="4" t="str">
        <f>HYPERLINK("http://141.218.60.56/~jnz1568/getInfo.php?workbook=20_05.xlsx&amp;sheet=U0&amp;row=11181&amp;col=7&amp;number=0.00484&amp;sourceID=14","0.00484")</f>
        <v>0.00484</v>
      </c>
    </row>
    <row r="11182" spans="1:7">
      <c r="A11182" s="3"/>
      <c r="B11182" s="3"/>
      <c r="C11182" s="3"/>
      <c r="D11182" s="3"/>
      <c r="E11182" s="3">
        <v>19</v>
      </c>
      <c r="F11182" s="4" t="str">
        <f>HYPERLINK("http://141.218.60.56/~jnz1568/getInfo.php?workbook=20_05.xlsx&amp;sheet=U0&amp;row=11182&amp;col=6&amp;number=4.8&amp;sourceID=14","4.8")</f>
        <v>4.8</v>
      </c>
      <c r="G11182" s="4" t="str">
        <f>HYPERLINK("http://141.218.60.56/~jnz1568/getInfo.php?workbook=20_05.xlsx&amp;sheet=U0&amp;row=11182&amp;col=7&amp;number=0.00482&amp;sourceID=14","0.00482")</f>
        <v>0.00482</v>
      </c>
    </row>
    <row r="11183" spans="1:7">
      <c r="A11183" s="3"/>
      <c r="B11183" s="3"/>
      <c r="C11183" s="3"/>
      <c r="D11183" s="3"/>
      <c r="E11183" s="3">
        <v>20</v>
      </c>
      <c r="F11183" s="4" t="str">
        <f>HYPERLINK("http://141.218.60.56/~jnz1568/getInfo.php?workbook=20_05.xlsx&amp;sheet=U0&amp;row=11183&amp;col=6&amp;number=4.9&amp;sourceID=14","4.9")</f>
        <v>4.9</v>
      </c>
      <c r="G11183" s="4" t="str">
        <f>HYPERLINK("http://141.218.60.56/~jnz1568/getInfo.php?workbook=20_05.xlsx&amp;sheet=U0&amp;row=11183&amp;col=7&amp;number=0.0048&amp;sourceID=14","0.0048")</f>
        <v>0.0048</v>
      </c>
    </row>
    <row r="11184" spans="1:7">
      <c r="A11184" s="3">
        <v>20</v>
      </c>
      <c r="B11184" s="3">
        <v>5</v>
      </c>
      <c r="C11184" s="3">
        <v>5</v>
      </c>
      <c r="D11184" s="3">
        <v>94</v>
      </c>
      <c r="E11184" s="3">
        <v>1</v>
      </c>
      <c r="F11184" s="4" t="str">
        <f>HYPERLINK("http://141.218.60.56/~jnz1568/getInfo.php?workbook=20_05.xlsx&amp;sheet=U0&amp;row=11184&amp;col=6&amp;number=3&amp;sourceID=14","3")</f>
        <v>3</v>
      </c>
      <c r="G11184" s="4" t="str">
        <f>HYPERLINK("http://141.218.60.56/~jnz1568/getInfo.php?workbook=20_05.xlsx&amp;sheet=U0&amp;row=11184&amp;col=7&amp;number=0.0453&amp;sourceID=14","0.0453")</f>
        <v>0.0453</v>
      </c>
    </row>
    <row r="11185" spans="1:7">
      <c r="A11185" s="3"/>
      <c r="B11185" s="3"/>
      <c r="C11185" s="3"/>
      <c r="D11185" s="3"/>
      <c r="E11185" s="3">
        <v>2</v>
      </c>
      <c r="F11185" s="4" t="str">
        <f>HYPERLINK("http://141.218.60.56/~jnz1568/getInfo.php?workbook=20_05.xlsx&amp;sheet=U0&amp;row=11185&amp;col=6&amp;number=3.1&amp;sourceID=14","3.1")</f>
        <v>3.1</v>
      </c>
      <c r="G11185" s="4" t="str">
        <f>HYPERLINK("http://141.218.60.56/~jnz1568/getInfo.php?workbook=20_05.xlsx&amp;sheet=U0&amp;row=11185&amp;col=7&amp;number=0.0453&amp;sourceID=14","0.0453")</f>
        <v>0.0453</v>
      </c>
    </row>
    <row r="11186" spans="1:7">
      <c r="A11186" s="3"/>
      <c r="B11186" s="3"/>
      <c r="C11186" s="3"/>
      <c r="D11186" s="3"/>
      <c r="E11186" s="3">
        <v>3</v>
      </c>
      <c r="F11186" s="4" t="str">
        <f>HYPERLINK("http://141.218.60.56/~jnz1568/getInfo.php?workbook=20_05.xlsx&amp;sheet=U0&amp;row=11186&amp;col=6&amp;number=3.2&amp;sourceID=14","3.2")</f>
        <v>3.2</v>
      </c>
      <c r="G11186" s="4" t="str">
        <f>HYPERLINK("http://141.218.60.56/~jnz1568/getInfo.php?workbook=20_05.xlsx&amp;sheet=U0&amp;row=11186&amp;col=7&amp;number=0.0453&amp;sourceID=14","0.0453")</f>
        <v>0.0453</v>
      </c>
    </row>
    <row r="11187" spans="1:7">
      <c r="A11187" s="3"/>
      <c r="B11187" s="3"/>
      <c r="C11187" s="3"/>
      <c r="D11187" s="3"/>
      <c r="E11187" s="3">
        <v>4</v>
      </c>
      <c r="F11187" s="4" t="str">
        <f>HYPERLINK("http://141.218.60.56/~jnz1568/getInfo.php?workbook=20_05.xlsx&amp;sheet=U0&amp;row=11187&amp;col=6&amp;number=3.3&amp;sourceID=14","3.3")</f>
        <v>3.3</v>
      </c>
      <c r="G11187" s="4" t="str">
        <f>HYPERLINK("http://141.218.60.56/~jnz1568/getInfo.php?workbook=20_05.xlsx&amp;sheet=U0&amp;row=11187&amp;col=7&amp;number=0.0453&amp;sourceID=14","0.0453")</f>
        <v>0.0453</v>
      </c>
    </row>
    <row r="11188" spans="1:7">
      <c r="A11188" s="3"/>
      <c r="B11188" s="3"/>
      <c r="C11188" s="3"/>
      <c r="D11188" s="3"/>
      <c r="E11188" s="3">
        <v>5</v>
      </c>
      <c r="F11188" s="4" t="str">
        <f>HYPERLINK("http://141.218.60.56/~jnz1568/getInfo.php?workbook=20_05.xlsx&amp;sheet=U0&amp;row=11188&amp;col=6&amp;number=3.4&amp;sourceID=14","3.4")</f>
        <v>3.4</v>
      </c>
      <c r="G11188" s="4" t="str">
        <f>HYPERLINK("http://141.218.60.56/~jnz1568/getInfo.php?workbook=20_05.xlsx&amp;sheet=U0&amp;row=11188&amp;col=7&amp;number=0.0453&amp;sourceID=14","0.0453")</f>
        <v>0.0453</v>
      </c>
    </row>
    <row r="11189" spans="1:7">
      <c r="A11189" s="3"/>
      <c r="B11189" s="3"/>
      <c r="C11189" s="3"/>
      <c r="D11189" s="3"/>
      <c r="E11189" s="3">
        <v>6</v>
      </c>
      <c r="F11189" s="4" t="str">
        <f>HYPERLINK("http://141.218.60.56/~jnz1568/getInfo.php?workbook=20_05.xlsx&amp;sheet=U0&amp;row=11189&amp;col=6&amp;number=3.5&amp;sourceID=14","3.5")</f>
        <v>3.5</v>
      </c>
      <c r="G11189" s="4" t="str">
        <f>HYPERLINK("http://141.218.60.56/~jnz1568/getInfo.php?workbook=20_05.xlsx&amp;sheet=U0&amp;row=11189&amp;col=7&amp;number=0.0453&amp;sourceID=14","0.0453")</f>
        <v>0.0453</v>
      </c>
    </row>
    <row r="11190" spans="1:7">
      <c r="A11190" s="3"/>
      <c r="B11190" s="3"/>
      <c r="C11190" s="3"/>
      <c r="D11190" s="3"/>
      <c r="E11190" s="3">
        <v>7</v>
      </c>
      <c r="F11190" s="4" t="str">
        <f>HYPERLINK("http://141.218.60.56/~jnz1568/getInfo.php?workbook=20_05.xlsx&amp;sheet=U0&amp;row=11190&amp;col=6&amp;number=3.6&amp;sourceID=14","3.6")</f>
        <v>3.6</v>
      </c>
      <c r="G11190" s="4" t="str">
        <f>HYPERLINK("http://141.218.60.56/~jnz1568/getInfo.php?workbook=20_05.xlsx&amp;sheet=U0&amp;row=11190&amp;col=7&amp;number=0.0453&amp;sourceID=14","0.0453")</f>
        <v>0.0453</v>
      </c>
    </row>
    <row r="11191" spans="1:7">
      <c r="A11191" s="3"/>
      <c r="B11191" s="3"/>
      <c r="C11191" s="3"/>
      <c r="D11191" s="3"/>
      <c r="E11191" s="3">
        <v>8</v>
      </c>
      <c r="F11191" s="4" t="str">
        <f>HYPERLINK("http://141.218.60.56/~jnz1568/getInfo.php?workbook=20_05.xlsx&amp;sheet=U0&amp;row=11191&amp;col=6&amp;number=3.7&amp;sourceID=14","3.7")</f>
        <v>3.7</v>
      </c>
      <c r="G11191" s="4" t="str">
        <f>HYPERLINK("http://141.218.60.56/~jnz1568/getInfo.php?workbook=20_05.xlsx&amp;sheet=U0&amp;row=11191&amp;col=7&amp;number=0.0453&amp;sourceID=14","0.0453")</f>
        <v>0.0453</v>
      </c>
    </row>
    <row r="11192" spans="1:7">
      <c r="A11192" s="3"/>
      <c r="B11192" s="3"/>
      <c r="C11192" s="3"/>
      <c r="D11192" s="3"/>
      <c r="E11192" s="3">
        <v>9</v>
      </c>
      <c r="F11192" s="4" t="str">
        <f>HYPERLINK("http://141.218.60.56/~jnz1568/getInfo.php?workbook=20_05.xlsx&amp;sheet=U0&amp;row=11192&amp;col=6&amp;number=3.8&amp;sourceID=14","3.8")</f>
        <v>3.8</v>
      </c>
      <c r="G11192" s="4" t="str">
        <f>HYPERLINK("http://141.218.60.56/~jnz1568/getInfo.php?workbook=20_05.xlsx&amp;sheet=U0&amp;row=11192&amp;col=7&amp;number=0.0453&amp;sourceID=14","0.0453")</f>
        <v>0.0453</v>
      </c>
    </row>
    <row r="11193" spans="1:7">
      <c r="A11193" s="3"/>
      <c r="B11193" s="3"/>
      <c r="C11193" s="3"/>
      <c r="D11193" s="3"/>
      <c r="E11193" s="3">
        <v>10</v>
      </c>
      <c r="F11193" s="4" t="str">
        <f>HYPERLINK("http://141.218.60.56/~jnz1568/getInfo.php?workbook=20_05.xlsx&amp;sheet=U0&amp;row=11193&amp;col=6&amp;number=3.9&amp;sourceID=14","3.9")</f>
        <v>3.9</v>
      </c>
      <c r="G11193" s="4" t="str">
        <f>HYPERLINK("http://141.218.60.56/~jnz1568/getInfo.php?workbook=20_05.xlsx&amp;sheet=U0&amp;row=11193&amp;col=7&amp;number=0.0453&amp;sourceID=14","0.0453")</f>
        <v>0.0453</v>
      </c>
    </row>
    <row r="11194" spans="1:7">
      <c r="A11194" s="3"/>
      <c r="B11194" s="3"/>
      <c r="C11194" s="3"/>
      <c r="D11194" s="3"/>
      <c r="E11194" s="3">
        <v>11</v>
      </c>
      <c r="F11194" s="4" t="str">
        <f>HYPERLINK("http://141.218.60.56/~jnz1568/getInfo.php?workbook=20_05.xlsx&amp;sheet=U0&amp;row=11194&amp;col=6&amp;number=4&amp;sourceID=14","4")</f>
        <v>4</v>
      </c>
      <c r="G11194" s="4" t="str">
        <f>HYPERLINK("http://141.218.60.56/~jnz1568/getInfo.php?workbook=20_05.xlsx&amp;sheet=U0&amp;row=11194&amp;col=7&amp;number=0.0453&amp;sourceID=14","0.0453")</f>
        <v>0.0453</v>
      </c>
    </row>
    <row r="11195" spans="1:7">
      <c r="A11195" s="3"/>
      <c r="B11195" s="3"/>
      <c r="C11195" s="3"/>
      <c r="D11195" s="3"/>
      <c r="E11195" s="3">
        <v>12</v>
      </c>
      <c r="F11195" s="4" t="str">
        <f>HYPERLINK("http://141.218.60.56/~jnz1568/getInfo.php?workbook=20_05.xlsx&amp;sheet=U0&amp;row=11195&amp;col=6&amp;number=4.1&amp;sourceID=14","4.1")</f>
        <v>4.1</v>
      </c>
      <c r="G11195" s="4" t="str">
        <f>HYPERLINK("http://141.218.60.56/~jnz1568/getInfo.php?workbook=20_05.xlsx&amp;sheet=U0&amp;row=11195&amp;col=7&amp;number=0.0454&amp;sourceID=14","0.0454")</f>
        <v>0.0454</v>
      </c>
    </row>
    <row r="11196" spans="1:7">
      <c r="A11196" s="3"/>
      <c r="B11196" s="3"/>
      <c r="C11196" s="3"/>
      <c r="D11196" s="3"/>
      <c r="E11196" s="3">
        <v>13</v>
      </c>
      <c r="F11196" s="4" t="str">
        <f>HYPERLINK("http://141.218.60.56/~jnz1568/getInfo.php?workbook=20_05.xlsx&amp;sheet=U0&amp;row=11196&amp;col=6&amp;number=4.2&amp;sourceID=14","4.2")</f>
        <v>4.2</v>
      </c>
      <c r="G11196" s="4" t="str">
        <f>HYPERLINK("http://141.218.60.56/~jnz1568/getInfo.php?workbook=20_05.xlsx&amp;sheet=U0&amp;row=11196&amp;col=7&amp;number=0.0454&amp;sourceID=14","0.0454")</f>
        <v>0.0454</v>
      </c>
    </row>
    <row r="11197" spans="1:7">
      <c r="A11197" s="3"/>
      <c r="B11197" s="3"/>
      <c r="C11197" s="3"/>
      <c r="D11197" s="3"/>
      <c r="E11197" s="3">
        <v>14</v>
      </c>
      <c r="F11197" s="4" t="str">
        <f>HYPERLINK("http://141.218.60.56/~jnz1568/getInfo.php?workbook=20_05.xlsx&amp;sheet=U0&amp;row=11197&amp;col=6&amp;number=4.3&amp;sourceID=14","4.3")</f>
        <v>4.3</v>
      </c>
      <c r="G11197" s="4" t="str">
        <f>HYPERLINK("http://141.218.60.56/~jnz1568/getInfo.php?workbook=20_05.xlsx&amp;sheet=U0&amp;row=11197&amp;col=7&amp;number=0.0454&amp;sourceID=14","0.0454")</f>
        <v>0.0454</v>
      </c>
    </row>
    <row r="11198" spans="1:7">
      <c r="A11198" s="3"/>
      <c r="B11198" s="3"/>
      <c r="C11198" s="3"/>
      <c r="D11198" s="3"/>
      <c r="E11198" s="3">
        <v>15</v>
      </c>
      <c r="F11198" s="4" t="str">
        <f>HYPERLINK("http://141.218.60.56/~jnz1568/getInfo.php?workbook=20_05.xlsx&amp;sheet=U0&amp;row=11198&amp;col=6&amp;number=4.4&amp;sourceID=14","4.4")</f>
        <v>4.4</v>
      </c>
      <c r="G11198" s="4" t="str">
        <f>HYPERLINK("http://141.218.60.56/~jnz1568/getInfo.php?workbook=20_05.xlsx&amp;sheet=U0&amp;row=11198&amp;col=7&amp;number=0.0454&amp;sourceID=14","0.0454")</f>
        <v>0.0454</v>
      </c>
    </row>
    <row r="11199" spans="1:7">
      <c r="A11199" s="3"/>
      <c r="B11199" s="3"/>
      <c r="C11199" s="3"/>
      <c r="D11199" s="3"/>
      <c r="E11199" s="3">
        <v>16</v>
      </c>
      <c r="F11199" s="4" t="str">
        <f>HYPERLINK("http://141.218.60.56/~jnz1568/getInfo.php?workbook=20_05.xlsx&amp;sheet=U0&amp;row=11199&amp;col=6&amp;number=4.5&amp;sourceID=14","4.5")</f>
        <v>4.5</v>
      </c>
      <c r="G11199" s="4" t="str">
        <f>HYPERLINK("http://141.218.60.56/~jnz1568/getInfo.php?workbook=20_05.xlsx&amp;sheet=U0&amp;row=11199&amp;col=7&amp;number=0.0455&amp;sourceID=14","0.0455")</f>
        <v>0.0455</v>
      </c>
    </row>
    <row r="11200" spans="1:7">
      <c r="A11200" s="3"/>
      <c r="B11200" s="3"/>
      <c r="C11200" s="3"/>
      <c r="D11200" s="3"/>
      <c r="E11200" s="3">
        <v>17</v>
      </c>
      <c r="F11200" s="4" t="str">
        <f>HYPERLINK("http://141.218.60.56/~jnz1568/getInfo.php?workbook=20_05.xlsx&amp;sheet=U0&amp;row=11200&amp;col=6&amp;number=4.6&amp;sourceID=14","4.6")</f>
        <v>4.6</v>
      </c>
      <c r="G11200" s="4" t="str">
        <f>HYPERLINK("http://141.218.60.56/~jnz1568/getInfo.php?workbook=20_05.xlsx&amp;sheet=U0&amp;row=11200&amp;col=7&amp;number=0.0455&amp;sourceID=14","0.0455")</f>
        <v>0.0455</v>
      </c>
    </row>
    <row r="11201" spans="1:7">
      <c r="A11201" s="3"/>
      <c r="B11201" s="3"/>
      <c r="C11201" s="3"/>
      <c r="D11201" s="3"/>
      <c r="E11201" s="3">
        <v>18</v>
      </c>
      <c r="F11201" s="4" t="str">
        <f>HYPERLINK("http://141.218.60.56/~jnz1568/getInfo.php?workbook=20_05.xlsx&amp;sheet=U0&amp;row=11201&amp;col=6&amp;number=4.7&amp;sourceID=14","4.7")</f>
        <v>4.7</v>
      </c>
      <c r="G11201" s="4" t="str">
        <f>HYPERLINK("http://141.218.60.56/~jnz1568/getInfo.php?workbook=20_05.xlsx&amp;sheet=U0&amp;row=11201&amp;col=7&amp;number=0.0456&amp;sourceID=14","0.0456")</f>
        <v>0.0456</v>
      </c>
    </row>
    <row r="11202" spans="1:7">
      <c r="A11202" s="3"/>
      <c r="B11202" s="3"/>
      <c r="C11202" s="3"/>
      <c r="D11202" s="3"/>
      <c r="E11202" s="3">
        <v>19</v>
      </c>
      <c r="F11202" s="4" t="str">
        <f>HYPERLINK("http://141.218.60.56/~jnz1568/getInfo.php?workbook=20_05.xlsx&amp;sheet=U0&amp;row=11202&amp;col=6&amp;number=4.8&amp;sourceID=14","4.8")</f>
        <v>4.8</v>
      </c>
      <c r="G11202" s="4" t="str">
        <f>HYPERLINK("http://141.218.60.56/~jnz1568/getInfo.php?workbook=20_05.xlsx&amp;sheet=U0&amp;row=11202&amp;col=7&amp;number=0.0457&amp;sourceID=14","0.0457")</f>
        <v>0.0457</v>
      </c>
    </row>
    <row r="11203" spans="1:7">
      <c r="A11203" s="3"/>
      <c r="B11203" s="3"/>
      <c r="C11203" s="3"/>
      <c r="D11203" s="3"/>
      <c r="E11203" s="3">
        <v>20</v>
      </c>
      <c r="F11203" s="4" t="str">
        <f>HYPERLINK("http://141.218.60.56/~jnz1568/getInfo.php?workbook=20_05.xlsx&amp;sheet=U0&amp;row=11203&amp;col=6&amp;number=4.9&amp;sourceID=14","4.9")</f>
        <v>4.9</v>
      </c>
      <c r="G11203" s="4" t="str">
        <f>HYPERLINK("http://141.218.60.56/~jnz1568/getInfo.php?workbook=20_05.xlsx&amp;sheet=U0&amp;row=11203&amp;col=7&amp;number=0.0458&amp;sourceID=14","0.0458")</f>
        <v>0.0458</v>
      </c>
    </row>
    <row r="11204" spans="1:7">
      <c r="A11204" s="3">
        <v>20</v>
      </c>
      <c r="B11204" s="3">
        <v>5</v>
      </c>
      <c r="C11204" s="3">
        <v>5</v>
      </c>
      <c r="D11204" s="3">
        <v>95</v>
      </c>
      <c r="E11204" s="3">
        <v>1</v>
      </c>
      <c r="F11204" s="4" t="str">
        <f>HYPERLINK("http://141.218.60.56/~jnz1568/getInfo.php?workbook=20_05.xlsx&amp;sheet=U0&amp;row=11204&amp;col=6&amp;number=3&amp;sourceID=14","3")</f>
        <v>3</v>
      </c>
      <c r="G11204" s="4" t="str">
        <f>HYPERLINK("http://141.218.60.56/~jnz1568/getInfo.php?workbook=20_05.xlsx&amp;sheet=U0&amp;row=11204&amp;col=7&amp;number=0.00927&amp;sourceID=14","0.00927")</f>
        <v>0.00927</v>
      </c>
    </row>
    <row r="11205" spans="1:7">
      <c r="A11205" s="3"/>
      <c r="B11205" s="3"/>
      <c r="C11205" s="3"/>
      <c r="D11205" s="3"/>
      <c r="E11205" s="3">
        <v>2</v>
      </c>
      <c r="F11205" s="4" t="str">
        <f>HYPERLINK("http://141.218.60.56/~jnz1568/getInfo.php?workbook=20_05.xlsx&amp;sheet=U0&amp;row=11205&amp;col=6&amp;number=3.1&amp;sourceID=14","3.1")</f>
        <v>3.1</v>
      </c>
      <c r="G11205" s="4" t="str">
        <f>HYPERLINK("http://141.218.60.56/~jnz1568/getInfo.php?workbook=20_05.xlsx&amp;sheet=U0&amp;row=11205&amp;col=7&amp;number=0.00927&amp;sourceID=14","0.00927")</f>
        <v>0.00927</v>
      </c>
    </row>
    <row r="11206" spans="1:7">
      <c r="A11206" s="3"/>
      <c r="B11206" s="3"/>
      <c r="C11206" s="3"/>
      <c r="D11206" s="3"/>
      <c r="E11206" s="3">
        <v>3</v>
      </c>
      <c r="F11206" s="4" t="str">
        <f>HYPERLINK("http://141.218.60.56/~jnz1568/getInfo.php?workbook=20_05.xlsx&amp;sheet=U0&amp;row=11206&amp;col=6&amp;number=3.2&amp;sourceID=14","3.2")</f>
        <v>3.2</v>
      </c>
      <c r="G11206" s="4" t="str">
        <f>HYPERLINK("http://141.218.60.56/~jnz1568/getInfo.php?workbook=20_05.xlsx&amp;sheet=U0&amp;row=11206&amp;col=7&amp;number=0.00926&amp;sourceID=14","0.00926")</f>
        <v>0.00926</v>
      </c>
    </row>
    <row r="11207" spans="1:7">
      <c r="A11207" s="3"/>
      <c r="B11207" s="3"/>
      <c r="C11207" s="3"/>
      <c r="D11207" s="3"/>
      <c r="E11207" s="3">
        <v>4</v>
      </c>
      <c r="F11207" s="4" t="str">
        <f>HYPERLINK("http://141.218.60.56/~jnz1568/getInfo.php?workbook=20_05.xlsx&amp;sheet=U0&amp;row=11207&amp;col=6&amp;number=3.3&amp;sourceID=14","3.3")</f>
        <v>3.3</v>
      </c>
      <c r="G11207" s="4" t="str">
        <f>HYPERLINK("http://141.218.60.56/~jnz1568/getInfo.php?workbook=20_05.xlsx&amp;sheet=U0&amp;row=11207&amp;col=7&amp;number=0.00926&amp;sourceID=14","0.00926")</f>
        <v>0.00926</v>
      </c>
    </row>
    <row r="11208" spans="1:7">
      <c r="A11208" s="3"/>
      <c r="B11208" s="3"/>
      <c r="C11208" s="3"/>
      <c r="D11208" s="3"/>
      <c r="E11208" s="3">
        <v>5</v>
      </c>
      <c r="F11208" s="4" t="str">
        <f>HYPERLINK("http://141.218.60.56/~jnz1568/getInfo.php?workbook=20_05.xlsx&amp;sheet=U0&amp;row=11208&amp;col=6&amp;number=3.4&amp;sourceID=14","3.4")</f>
        <v>3.4</v>
      </c>
      <c r="G11208" s="4" t="str">
        <f>HYPERLINK("http://141.218.60.56/~jnz1568/getInfo.php?workbook=20_05.xlsx&amp;sheet=U0&amp;row=11208&amp;col=7&amp;number=0.00926&amp;sourceID=14","0.00926")</f>
        <v>0.00926</v>
      </c>
    </row>
    <row r="11209" spans="1:7">
      <c r="A11209" s="3"/>
      <c r="B11209" s="3"/>
      <c r="C11209" s="3"/>
      <c r="D11209" s="3"/>
      <c r="E11209" s="3">
        <v>6</v>
      </c>
      <c r="F11209" s="4" t="str">
        <f>HYPERLINK("http://141.218.60.56/~jnz1568/getInfo.php?workbook=20_05.xlsx&amp;sheet=U0&amp;row=11209&amp;col=6&amp;number=3.5&amp;sourceID=14","3.5")</f>
        <v>3.5</v>
      </c>
      <c r="G11209" s="4" t="str">
        <f>HYPERLINK("http://141.218.60.56/~jnz1568/getInfo.php?workbook=20_05.xlsx&amp;sheet=U0&amp;row=11209&amp;col=7&amp;number=0.00926&amp;sourceID=14","0.00926")</f>
        <v>0.00926</v>
      </c>
    </row>
    <row r="11210" spans="1:7">
      <c r="A11210" s="3"/>
      <c r="B11210" s="3"/>
      <c r="C11210" s="3"/>
      <c r="D11210" s="3"/>
      <c r="E11210" s="3">
        <v>7</v>
      </c>
      <c r="F11210" s="4" t="str">
        <f>HYPERLINK("http://141.218.60.56/~jnz1568/getInfo.php?workbook=20_05.xlsx&amp;sheet=U0&amp;row=11210&amp;col=6&amp;number=3.6&amp;sourceID=14","3.6")</f>
        <v>3.6</v>
      </c>
      <c r="G11210" s="4" t="str">
        <f>HYPERLINK("http://141.218.60.56/~jnz1568/getInfo.php?workbook=20_05.xlsx&amp;sheet=U0&amp;row=11210&amp;col=7&amp;number=0.00926&amp;sourceID=14","0.00926")</f>
        <v>0.00926</v>
      </c>
    </row>
    <row r="11211" spans="1:7">
      <c r="A11211" s="3"/>
      <c r="B11211" s="3"/>
      <c r="C11211" s="3"/>
      <c r="D11211" s="3"/>
      <c r="E11211" s="3">
        <v>8</v>
      </c>
      <c r="F11211" s="4" t="str">
        <f>HYPERLINK("http://141.218.60.56/~jnz1568/getInfo.php?workbook=20_05.xlsx&amp;sheet=U0&amp;row=11211&amp;col=6&amp;number=3.7&amp;sourceID=14","3.7")</f>
        <v>3.7</v>
      </c>
      <c r="G11211" s="4" t="str">
        <f>HYPERLINK("http://141.218.60.56/~jnz1568/getInfo.php?workbook=20_05.xlsx&amp;sheet=U0&amp;row=11211&amp;col=7&amp;number=0.00926&amp;sourceID=14","0.00926")</f>
        <v>0.00926</v>
      </c>
    </row>
    <row r="11212" spans="1:7">
      <c r="A11212" s="3"/>
      <c r="B11212" s="3"/>
      <c r="C11212" s="3"/>
      <c r="D11212" s="3"/>
      <c r="E11212" s="3">
        <v>9</v>
      </c>
      <c r="F11212" s="4" t="str">
        <f>HYPERLINK("http://141.218.60.56/~jnz1568/getInfo.php?workbook=20_05.xlsx&amp;sheet=U0&amp;row=11212&amp;col=6&amp;number=3.8&amp;sourceID=14","3.8")</f>
        <v>3.8</v>
      </c>
      <c r="G11212" s="4" t="str">
        <f>HYPERLINK("http://141.218.60.56/~jnz1568/getInfo.php?workbook=20_05.xlsx&amp;sheet=U0&amp;row=11212&amp;col=7&amp;number=0.00925&amp;sourceID=14","0.00925")</f>
        <v>0.00925</v>
      </c>
    </row>
    <row r="11213" spans="1:7">
      <c r="A11213" s="3"/>
      <c r="B11213" s="3"/>
      <c r="C11213" s="3"/>
      <c r="D11213" s="3"/>
      <c r="E11213" s="3">
        <v>10</v>
      </c>
      <c r="F11213" s="4" t="str">
        <f>HYPERLINK("http://141.218.60.56/~jnz1568/getInfo.php?workbook=20_05.xlsx&amp;sheet=U0&amp;row=11213&amp;col=6&amp;number=3.9&amp;sourceID=14","3.9")</f>
        <v>3.9</v>
      </c>
      <c r="G11213" s="4" t="str">
        <f>HYPERLINK("http://141.218.60.56/~jnz1568/getInfo.php?workbook=20_05.xlsx&amp;sheet=U0&amp;row=11213&amp;col=7&amp;number=0.00925&amp;sourceID=14","0.00925")</f>
        <v>0.00925</v>
      </c>
    </row>
    <row r="11214" spans="1:7">
      <c r="A11214" s="3"/>
      <c r="B11214" s="3"/>
      <c r="C11214" s="3"/>
      <c r="D11214" s="3"/>
      <c r="E11214" s="3">
        <v>11</v>
      </c>
      <c r="F11214" s="4" t="str">
        <f>HYPERLINK("http://141.218.60.56/~jnz1568/getInfo.php?workbook=20_05.xlsx&amp;sheet=U0&amp;row=11214&amp;col=6&amp;number=4&amp;sourceID=14","4")</f>
        <v>4</v>
      </c>
      <c r="G11214" s="4" t="str">
        <f>HYPERLINK("http://141.218.60.56/~jnz1568/getInfo.php?workbook=20_05.xlsx&amp;sheet=U0&amp;row=11214&amp;col=7&amp;number=0.00924&amp;sourceID=14","0.00924")</f>
        <v>0.00924</v>
      </c>
    </row>
    <row r="11215" spans="1:7">
      <c r="A11215" s="3"/>
      <c r="B11215" s="3"/>
      <c r="C11215" s="3"/>
      <c r="D11215" s="3"/>
      <c r="E11215" s="3">
        <v>12</v>
      </c>
      <c r="F11215" s="4" t="str">
        <f>HYPERLINK("http://141.218.60.56/~jnz1568/getInfo.php?workbook=20_05.xlsx&amp;sheet=U0&amp;row=11215&amp;col=6&amp;number=4.1&amp;sourceID=14","4.1")</f>
        <v>4.1</v>
      </c>
      <c r="G11215" s="4" t="str">
        <f>HYPERLINK("http://141.218.60.56/~jnz1568/getInfo.php?workbook=20_05.xlsx&amp;sheet=U0&amp;row=11215&amp;col=7&amp;number=0.00924&amp;sourceID=14","0.00924")</f>
        <v>0.00924</v>
      </c>
    </row>
    <row r="11216" spans="1:7">
      <c r="A11216" s="3"/>
      <c r="B11216" s="3"/>
      <c r="C11216" s="3"/>
      <c r="D11216" s="3"/>
      <c r="E11216" s="3">
        <v>13</v>
      </c>
      <c r="F11216" s="4" t="str">
        <f>HYPERLINK("http://141.218.60.56/~jnz1568/getInfo.php?workbook=20_05.xlsx&amp;sheet=U0&amp;row=11216&amp;col=6&amp;number=4.2&amp;sourceID=14","4.2")</f>
        <v>4.2</v>
      </c>
      <c r="G11216" s="4" t="str">
        <f>HYPERLINK("http://141.218.60.56/~jnz1568/getInfo.php?workbook=20_05.xlsx&amp;sheet=U0&amp;row=11216&amp;col=7&amp;number=0.00923&amp;sourceID=14","0.00923")</f>
        <v>0.00923</v>
      </c>
    </row>
    <row r="11217" spans="1:7">
      <c r="A11217" s="3"/>
      <c r="B11217" s="3"/>
      <c r="C11217" s="3"/>
      <c r="D11217" s="3"/>
      <c r="E11217" s="3">
        <v>14</v>
      </c>
      <c r="F11217" s="4" t="str">
        <f>HYPERLINK("http://141.218.60.56/~jnz1568/getInfo.php?workbook=20_05.xlsx&amp;sheet=U0&amp;row=11217&amp;col=6&amp;number=4.3&amp;sourceID=14","4.3")</f>
        <v>4.3</v>
      </c>
      <c r="G11217" s="4" t="str">
        <f>HYPERLINK("http://141.218.60.56/~jnz1568/getInfo.php?workbook=20_05.xlsx&amp;sheet=U0&amp;row=11217&amp;col=7&amp;number=0.00922&amp;sourceID=14","0.00922")</f>
        <v>0.00922</v>
      </c>
    </row>
    <row r="11218" spans="1:7">
      <c r="A11218" s="3"/>
      <c r="B11218" s="3"/>
      <c r="C11218" s="3"/>
      <c r="D11218" s="3"/>
      <c r="E11218" s="3">
        <v>15</v>
      </c>
      <c r="F11218" s="4" t="str">
        <f>HYPERLINK("http://141.218.60.56/~jnz1568/getInfo.php?workbook=20_05.xlsx&amp;sheet=U0&amp;row=11218&amp;col=6&amp;number=4.4&amp;sourceID=14","4.4")</f>
        <v>4.4</v>
      </c>
      <c r="G11218" s="4" t="str">
        <f>HYPERLINK("http://141.218.60.56/~jnz1568/getInfo.php?workbook=20_05.xlsx&amp;sheet=U0&amp;row=11218&amp;col=7&amp;number=0.0092&amp;sourceID=14","0.0092")</f>
        <v>0.0092</v>
      </c>
    </row>
    <row r="11219" spans="1:7">
      <c r="A11219" s="3"/>
      <c r="B11219" s="3"/>
      <c r="C11219" s="3"/>
      <c r="D11219" s="3"/>
      <c r="E11219" s="3">
        <v>16</v>
      </c>
      <c r="F11219" s="4" t="str">
        <f>HYPERLINK("http://141.218.60.56/~jnz1568/getInfo.php?workbook=20_05.xlsx&amp;sheet=U0&amp;row=11219&amp;col=6&amp;number=4.5&amp;sourceID=14","4.5")</f>
        <v>4.5</v>
      </c>
      <c r="G11219" s="4" t="str">
        <f>HYPERLINK("http://141.218.60.56/~jnz1568/getInfo.php?workbook=20_05.xlsx&amp;sheet=U0&amp;row=11219&amp;col=7&amp;number=0.00919&amp;sourceID=14","0.00919")</f>
        <v>0.00919</v>
      </c>
    </row>
    <row r="11220" spans="1:7">
      <c r="A11220" s="3"/>
      <c r="B11220" s="3"/>
      <c r="C11220" s="3"/>
      <c r="D11220" s="3"/>
      <c r="E11220" s="3">
        <v>17</v>
      </c>
      <c r="F11220" s="4" t="str">
        <f>HYPERLINK("http://141.218.60.56/~jnz1568/getInfo.php?workbook=20_05.xlsx&amp;sheet=U0&amp;row=11220&amp;col=6&amp;number=4.6&amp;sourceID=14","4.6")</f>
        <v>4.6</v>
      </c>
      <c r="G11220" s="4" t="str">
        <f>HYPERLINK("http://141.218.60.56/~jnz1568/getInfo.php?workbook=20_05.xlsx&amp;sheet=U0&amp;row=11220&amp;col=7&amp;number=0.00916&amp;sourceID=14","0.00916")</f>
        <v>0.00916</v>
      </c>
    </row>
    <row r="11221" spans="1:7">
      <c r="A11221" s="3"/>
      <c r="B11221" s="3"/>
      <c r="C11221" s="3"/>
      <c r="D11221" s="3"/>
      <c r="E11221" s="3">
        <v>18</v>
      </c>
      <c r="F11221" s="4" t="str">
        <f>HYPERLINK("http://141.218.60.56/~jnz1568/getInfo.php?workbook=20_05.xlsx&amp;sheet=U0&amp;row=11221&amp;col=6&amp;number=4.7&amp;sourceID=14","4.7")</f>
        <v>4.7</v>
      </c>
      <c r="G11221" s="4" t="str">
        <f>HYPERLINK("http://141.218.60.56/~jnz1568/getInfo.php?workbook=20_05.xlsx&amp;sheet=U0&amp;row=11221&amp;col=7&amp;number=0.00914&amp;sourceID=14","0.00914")</f>
        <v>0.00914</v>
      </c>
    </row>
    <row r="11222" spans="1:7">
      <c r="A11222" s="3"/>
      <c r="B11222" s="3"/>
      <c r="C11222" s="3"/>
      <c r="D11222" s="3"/>
      <c r="E11222" s="3">
        <v>19</v>
      </c>
      <c r="F11222" s="4" t="str">
        <f>HYPERLINK("http://141.218.60.56/~jnz1568/getInfo.php?workbook=20_05.xlsx&amp;sheet=U0&amp;row=11222&amp;col=6&amp;number=4.8&amp;sourceID=14","4.8")</f>
        <v>4.8</v>
      </c>
      <c r="G11222" s="4" t="str">
        <f>HYPERLINK("http://141.218.60.56/~jnz1568/getInfo.php?workbook=20_05.xlsx&amp;sheet=U0&amp;row=11222&amp;col=7&amp;number=0.0091&amp;sourceID=14","0.0091")</f>
        <v>0.0091</v>
      </c>
    </row>
    <row r="11223" spans="1:7">
      <c r="A11223" s="3"/>
      <c r="B11223" s="3"/>
      <c r="C11223" s="3"/>
      <c r="D11223" s="3"/>
      <c r="E11223" s="3">
        <v>20</v>
      </c>
      <c r="F11223" s="4" t="str">
        <f>HYPERLINK("http://141.218.60.56/~jnz1568/getInfo.php?workbook=20_05.xlsx&amp;sheet=U0&amp;row=11223&amp;col=6&amp;number=4.9&amp;sourceID=14","4.9")</f>
        <v>4.9</v>
      </c>
      <c r="G11223" s="4" t="str">
        <f>HYPERLINK("http://141.218.60.56/~jnz1568/getInfo.php?workbook=20_05.xlsx&amp;sheet=U0&amp;row=11223&amp;col=7&amp;number=0.00906&amp;sourceID=14","0.00906")</f>
        <v>0.00906</v>
      </c>
    </row>
    <row r="11224" spans="1:7">
      <c r="A11224" s="3">
        <v>20</v>
      </c>
      <c r="B11224" s="3">
        <v>5</v>
      </c>
      <c r="C11224" s="3">
        <v>5</v>
      </c>
      <c r="D11224" s="3">
        <v>96</v>
      </c>
      <c r="E11224" s="3">
        <v>1</v>
      </c>
      <c r="F11224" s="4" t="str">
        <f>HYPERLINK("http://141.218.60.56/~jnz1568/getInfo.php?workbook=20_05.xlsx&amp;sheet=U0&amp;row=11224&amp;col=6&amp;number=3&amp;sourceID=14","3")</f>
        <v>3</v>
      </c>
      <c r="G11224" s="4" t="str">
        <f>HYPERLINK("http://141.218.60.56/~jnz1568/getInfo.php?workbook=20_05.xlsx&amp;sheet=U0&amp;row=11224&amp;col=7&amp;number=0.000171&amp;sourceID=14","0.000171")</f>
        <v>0.000171</v>
      </c>
    </row>
    <row r="11225" spans="1:7">
      <c r="A11225" s="3"/>
      <c r="B11225" s="3"/>
      <c r="C11225" s="3"/>
      <c r="D11225" s="3"/>
      <c r="E11225" s="3">
        <v>2</v>
      </c>
      <c r="F11225" s="4" t="str">
        <f>HYPERLINK("http://141.218.60.56/~jnz1568/getInfo.php?workbook=20_05.xlsx&amp;sheet=U0&amp;row=11225&amp;col=6&amp;number=3.1&amp;sourceID=14","3.1")</f>
        <v>3.1</v>
      </c>
      <c r="G11225" s="4" t="str">
        <f>HYPERLINK("http://141.218.60.56/~jnz1568/getInfo.php?workbook=20_05.xlsx&amp;sheet=U0&amp;row=11225&amp;col=7&amp;number=0.000171&amp;sourceID=14","0.000171")</f>
        <v>0.000171</v>
      </c>
    </row>
    <row r="11226" spans="1:7">
      <c r="A11226" s="3"/>
      <c r="B11226" s="3"/>
      <c r="C11226" s="3"/>
      <c r="D11226" s="3"/>
      <c r="E11226" s="3">
        <v>3</v>
      </c>
      <c r="F11226" s="4" t="str">
        <f>HYPERLINK("http://141.218.60.56/~jnz1568/getInfo.php?workbook=20_05.xlsx&amp;sheet=U0&amp;row=11226&amp;col=6&amp;number=3.2&amp;sourceID=14","3.2")</f>
        <v>3.2</v>
      </c>
      <c r="G11226" s="4" t="str">
        <f>HYPERLINK("http://141.218.60.56/~jnz1568/getInfo.php?workbook=20_05.xlsx&amp;sheet=U0&amp;row=11226&amp;col=7&amp;number=0.000171&amp;sourceID=14","0.000171")</f>
        <v>0.000171</v>
      </c>
    </row>
    <row r="11227" spans="1:7">
      <c r="A11227" s="3"/>
      <c r="B11227" s="3"/>
      <c r="C11227" s="3"/>
      <c r="D11227" s="3"/>
      <c r="E11227" s="3">
        <v>4</v>
      </c>
      <c r="F11227" s="4" t="str">
        <f>HYPERLINK("http://141.218.60.56/~jnz1568/getInfo.php?workbook=20_05.xlsx&amp;sheet=U0&amp;row=11227&amp;col=6&amp;number=3.3&amp;sourceID=14","3.3")</f>
        <v>3.3</v>
      </c>
      <c r="G11227" s="4" t="str">
        <f>HYPERLINK("http://141.218.60.56/~jnz1568/getInfo.php?workbook=20_05.xlsx&amp;sheet=U0&amp;row=11227&amp;col=7&amp;number=0.000171&amp;sourceID=14","0.000171")</f>
        <v>0.000171</v>
      </c>
    </row>
    <row r="11228" spans="1:7">
      <c r="A11228" s="3"/>
      <c r="B11228" s="3"/>
      <c r="C11228" s="3"/>
      <c r="D11228" s="3"/>
      <c r="E11228" s="3">
        <v>5</v>
      </c>
      <c r="F11228" s="4" t="str">
        <f>HYPERLINK("http://141.218.60.56/~jnz1568/getInfo.php?workbook=20_05.xlsx&amp;sheet=U0&amp;row=11228&amp;col=6&amp;number=3.4&amp;sourceID=14","3.4")</f>
        <v>3.4</v>
      </c>
      <c r="G11228" s="4" t="str">
        <f>HYPERLINK("http://141.218.60.56/~jnz1568/getInfo.php?workbook=20_05.xlsx&amp;sheet=U0&amp;row=11228&amp;col=7&amp;number=0.000171&amp;sourceID=14","0.000171")</f>
        <v>0.000171</v>
      </c>
    </row>
    <row r="11229" spans="1:7">
      <c r="A11229" s="3"/>
      <c r="B11229" s="3"/>
      <c r="C11229" s="3"/>
      <c r="D11229" s="3"/>
      <c r="E11229" s="3">
        <v>6</v>
      </c>
      <c r="F11229" s="4" t="str">
        <f>HYPERLINK("http://141.218.60.56/~jnz1568/getInfo.php?workbook=20_05.xlsx&amp;sheet=U0&amp;row=11229&amp;col=6&amp;number=3.5&amp;sourceID=14","3.5")</f>
        <v>3.5</v>
      </c>
      <c r="G11229" s="4" t="str">
        <f>HYPERLINK("http://141.218.60.56/~jnz1568/getInfo.php?workbook=20_05.xlsx&amp;sheet=U0&amp;row=11229&amp;col=7&amp;number=0.000171&amp;sourceID=14","0.000171")</f>
        <v>0.000171</v>
      </c>
    </row>
    <row r="11230" spans="1:7">
      <c r="A11230" s="3"/>
      <c r="B11230" s="3"/>
      <c r="C11230" s="3"/>
      <c r="D11230" s="3"/>
      <c r="E11230" s="3">
        <v>7</v>
      </c>
      <c r="F11230" s="4" t="str">
        <f>HYPERLINK("http://141.218.60.56/~jnz1568/getInfo.php?workbook=20_05.xlsx&amp;sheet=U0&amp;row=11230&amp;col=6&amp;number=3.6&amp;sourceID=14","3.6")</f>
        <v>3.6</v>
      </c>
      <c r="G11230" s="4" t="str">
        <f>HYPERLINK("http://141.218.60.56/~jnz1568/getInfo.php?workbook=20_05.xlsx&amp;sheet=U0&amp;row=11230&amp;col=7&amp;number=0.000171&amp;sourceID=14","0.000171")</f>
        <v>0.000171</v>
      </c>
    </row>
    <row r="11231" spans="1:7">
      <c r="A11231" s="3"/>
      <c r="B11231" s="3"/>
      <c r="C11231" s="3"/>
      <c r="D11231" s="3"/>
      <c r="E11231" s="3">
        <v>8</v>
      </c>
      <c r="F11231" s="4" t="str">
        <f>HYPERLINK("http://141.218.60.56/~jnz1568/getInfo.php?workbook=20_05.xlsx&amp;sheet=U0&amp;row=11231&amp;col=6&amp;number=3.7&amp;sourceID=14","3.7")</f>
        <v>3.7</v>
      </c>
      <c r="G11231" s="4" t="str">
        <f>HYPERLINK("http://141.218.60.56/~jnz1568/getInfo.php?workbook=20_05.xlsx&amp;sheet=U0&amp;row=11231&amp;col=7&amp;number=0.000171&amp;sourceID=14","0.000171")</f>
        <v>0.000171</v>
      </c>
    </row>
    <row r="11232" spans="1:7">
      <c r="A11232" s="3"/>
      <c r="B11232" s="3"/>
      <c r="C11232" s="3"/>
      <c r="D11232" s="3"/>
      <c r="E11232" s="3">
        <v>9</v>
      </c>
      <c r="F11232" s="4" t="str">
        <f>HYPERLINK("http://141.218.60.56/~jnz1568/getInfo.php?workbook=20_05.xlsx&amp;sheet=U0&amp;row=11232&amp;col=6&amp;number=3.8&amp;sourceID=14","3.8")</f>
        <v>3.8</v>
      </c>
      <c r="G11232" s="4" t="str">
        <f>HYPERLINK("http://141.218.60.56/~jnz1568/getInfo.php?workbook=20_05.xlsx&amp;sheet=U0&amp;row=11232&amp;col=7&amp;number=0.000171&amp;sourceID=14","0.000171")</f>
        <v>0.000171</v>
      </c>
    </row>
    <row r="11233" spans="1:7">
      <c r="A11233" s="3"/>
      <c r="B11233" s="3"/>
      <c r="C11233" s="3"/>
      <c r="D11233" s="3"/>
      <c r="E11233" s="3">
        <v>10</v>
      </c>
      <c r="F11233" s="4" t="str">
        <f>HYPERLINK("http://141.218.60.56/~jnz1568/getInfo.php?workbook=20_05.xlsx&amp;sheet=U0&amp;row=11233&amp;col=6&amp;number=3.9&amp;sourceID=14","3.9")</f>
        <v>3.9</v>
      </c>
      <c r="G11233" s="4" t="str">
        <f>HYPERLINK("http://141.218.60.56/~jnz1568/getInfo.php?workbook=20_05.xlsx&amp;sheet=U0&amp;row=11233&amp;col=7&amp;number=0.000171&amp;sourceID=14","0.000171")</f>
        <v>0.000171</v>
      </c>
    </row>
    <row r="11234" spans="1:7">
      <c r="A11234" s="3"/>
      <c r="B11234" s="3"/>
      <c r="C11234" s="3"/>
      <c r="D11234" s="3"/>
      <c r="E11234" s="3">
        <v>11</v>
      </c>
      <c r="F11234" s="4" t="str">
        <f>HYPERLINK("http://141.218.60.56/~jnz1568/getInfo.php?workbook=20_05.xlsx&amp;sheet=U0&amp;row=11234&amp;col=6&amp;number=4&amp;sourceID=14","4")</f>
        <v>4</v>
      </c>
      <c r="G11234" s="4" t="str">
        <f>HYPERLINK("http://141.218.60.56/~jnz1568/getInfo.php?workbook=20_05.xlsx&amp;sheet=U0&amp;row=11234&amp;col=7&amp;number=0.000171&amp;sourceID=14","0.000171")</f>
        <v>0.000171</v>
      </c>
    </row>
    <row r="11235" spans="1:7">
      <c r="A11235" s="3"/>
      <c r="B11235" s="3"/>
      <c r="C11235" s="3"/>
      <c r="D11235" s="3"/>
      <c r="E11235" s="3">
        <v>12</v>
      </c>
      <c r="F11235" s="4" t="str">
        <f>HYPERLINK("http://141.218.60.56/~jnz1568/getInfo.php?workbook=20_05.xlsx&amp;sheet=U0&amp;row=11235&amp;col=6&amp;number=4.1&amp;sourceID=14","4.1")</f>
        <v>4.1</v>
      </c>
      <c r="G11235" s="4" t="str">
        <f>HYPERLINK("http://141.218.60.56/~jnz1568/getInfo.php?workbook=20_05.xlsx&amp;sheet=U0&amp;row=11235&amp;col=7&amp;number=0.000171&amp;sourceID=14","0.000171")</f>
        <v>0.000171</v>
      </c>
    </row>
    <row r="11236" spans="1:7">
      <c r="A11236" s="3"/>
      <c r="B11236" s="3"/>
      <c r="C11236" s="3"/>
      <c r="D11236" s="3"/>
      <c r="E11236" s="3">
        <v>13</v>
      </c>
      <c r="F11236" s="4" t="str">
        <f>HYPERLINK("http://141.218.60.56/~jnz1568/getInfo.php?workbook=20_05.xlsx&amp;sheet=U0&amp;row=11236&amp;col=6&amp;number=4.2&amp;sourceID=14","4.2")</f>
        <v>4.2</v>
      </c>
      <c r="G11236" s="4" t="str">
        <f>HYPERLINK("http://141.218.60.56/~jnz1568/getInfo.php?workbook=20_05.xlsx&amp;sheet=U0&amp;row=11236&amp;col=7&amp;number=0.000171&amp;sourceID=14","0.000171")</f>
        <v>0.000171</v>
      </c>
    </row>
    <row r="11237" spans="1:7">
      <c r="A11237" s="3"/>
      <c r="B11237" s="3"/>
      <c r="C11237" s="3"/>
      <c r="D11237" s="3"/>
      <c r="E11237" s="3">
        <v>14</v>
      </c>
      <c r="F11237" s="4" t="str">
        <f>HYPERLINK("http://141.218.60.56/~jnz1568/getInfo.php?workbook=20_05.xlsx&amp;sheet=U0&amp;row=11237&amp;col=6&amp;number=4.3&amp;sourceID=14","4.3")</f>
        <v>4.3</v>
      </c>
      <c r="G11237" s="4" t="str">
        <f>HYPERLINK("http://141.218.60.56/~jnz1568/getInfo.php?workbook=20_05.xlsx&amp;sheet=U0&amp;row=11237&amp;col=7&amp;number=0.000171&amp;sourceID=14","0.000171")</f>
        <v>0.000171</v>
      </c>
    </row>
    <row r="11238" spans="1:7">
      <c r="A11238" s="3"/>
      <c r="B11238" s="3"/>
      <c r="C11238" s="3"/>
      <c r="D11238" s="3"/>
      <c r="E11238" s="3">
        <v>15</v>
      </c>
      <c r="F11238" s="4" t="str">
        <f>HYPERLINK("http://141.218.60.56/~jnz1568/getInfo.php?workbook=20_05.xlsx&amp;sheet=U0&amp;row=11238&amp;col=6&amp;number=4.4&amp;sourceID=14","4.4")</f>
        <v>4.4</v>
      </c>
      <c r="G11238" s="4" t="str">
        <f>HYPERLINK("http://141.218.60.56/~jnz1568/getInfo.php?workbook=20_05.xlsx&amp;sheet=U0&amp;row=11238&amp;col=7&amp;number=0.00017&amp;sourceID=14","0.00017")</f>
        <v>0.00017</v>
      </c>
    </row>
    <row r="11239" spans="1:7">
      <c r="A11239" s="3"/>
      <c r="B11239" s="3"/>
      <c r="C11239" s="3"/>
      <c r="D11239" s="3"/>
      <c r="E11239" s="3">
        <v>16</v>
      </c>
      <c r="F11239" s="4" t="str">
        <f>HYPERLINK("http://141.218.60.56/~jnz1568/getInfo.php?workbook=20_05.xlsx&amp;sheet=U0&amp;row=11239&amp;col=6&amp;number=4.5&amp;sourceID=14","4.5")</f>
        <v>4.5</v>
      </c>
      <c r="G11239" s="4" t="str">
        <f>HYPERLINK("http://141.218.60.56/~jnz1568/getInfo.php?workbook=20_05.xlsx&amp;sheet=U0&amp;row=11239&amp;col=7&amp;number=0.00017&amp;sourceID=14","0.00017")</f>
        <v>0.00017</v>
      </c>
    </row>
    <row r="11240" spans="1:7">
      <c r="A11240" s="3"/>
      <c r="B11240" s="3"/>
      <c r="C11240" s="3"/>
      <c r="D11240" s="3"/>
      <c r="E11240" s="3">
        <v>17</v>
      </c>
      <c r="F11240" s="4" t="str">
        <f>HYPERLINK("http://141.218.60.56/~jnz1568/getInfo.php?workbook=20_05.xlsx&amp;sheet=U0&amp;row=11240&amp;col=6&amp;number=4.6&amp;sourceID=14","4.6")</f>
        <v>4.6</v>
      </c>
      <c r="G11240" s="4" t="str">
        <f>HYPERLINK("http://141.218.60.56/~jnz1568/getInfo.php?workbook=20_05.xlsx&amp;sheet=U0&amp;row=11240&amp;col=7&amp;number=0.00017&amp;sourceID=14","0.00017")</f>
        <v>0.00017</v>
      </c>
    </row>
    <row r="11241" spans="1:7">
      <c r="A11241" s="3"/>
      <c r="B11241" s="3"/>
      <c r="C11241" s="3"/>
      <c r="D11241" s="3"/>
      <c r="E11241" s="3">
        <v>18</v>
      </c>
      <c r="F11241" s="4" t="str">
        <f>HYPERLINK("http://141.218.60.56/~jnz1568/getInfo.php?workbook=20_05.xlsx&amp;sheet=U0&amp;row=11241&amp;col=6&amp;number=4.7&amp;sourceID=14","4.7")</f>
        <v>4.7</v>
      </c>
      <c r="G11241" s="4" t="str">
        <f>HYPERLINK("http://141.218.60.56/~jnz1568/getInfo.php?workbook=20_05.xlsx&amp;sheet=U0&amp;row=11241&amp;col=7&amp;number=0.000169&amp;sourceID=14","0.000169")</f>
        <v>0.000169</v>
      </c>
    </row>
    <row r="11242" spans="1:7">
      <c r="A11242" s="3"/>
      <c r="B11242" s="3"/>
      <c r="C11242" s="3"/>
      <c r="D11242" s="3"/>
      <c r="E11242" s="3">
        <v>19</v>
      </c>
      <c r="F11242" s="4" t="str">
        <f>HYPERLINK("http://141.218.60.56/~jnz1568/getInfo.php?workbook=20_05.xlsx&amp;sheet=U0&amp;row=11242&amp;col=6&amp;number=4.8&amp;sourceID=14","4.8")</f>
        <v>4.8</v>
      </c>
      <c r="G11242" s="4" t="str">
        <f>HYPERLINK("http://141.218.60.56/~jnz1568/getInfo.php?workbook=20_05.xlsx&amp;sheet=U0&amp;row=11242&amp;col=7&amp;number=0.000169&amp;sourceID=14","0.000169")</f>
        <v>0.000169</v>
      </c>
    </row>
    <row r="11243" spans="1:7">
      <c r="A11243" s="3"/>
      <c r="B11243" s="3"/>
      <c r="C11243" s="3"/>
      <c r="D11243" s="3"/>
      <c r="E11243" s="3">
        <v>20</v>
      </c>
      <c r="F11243" s="4" t="str">
        <f>HYPERLINK("http://141.218.60.56/~jnz1568/getInfo.php?workbook=20_05.xlsx&amp;sheet=U0&amp;row=11243&amp;col=6&amp;number=4.9&amp;sourceID=14","4.9")</f>
        <v>4.9</v>
      </c>
      <c r="G11243" s="4" t="str">
        <f>HYPERLINK("http://141.218.60.56/~jnz1568/getInfo.php?workbook=20_05.xlsx&amp;sheet=U0&amp;row=11243&amp;col=7&amp;number=0.000168&amp;sourceID=14","0.000168")</f>
        <v>0.000168</v>
      </c>
    </row>
    <row r="11244" spans="1:7">
      <c r="A11244" s="3">
        <v>20</v>
      </c>
      <c r="B11244" s="3">
        <v>5</v>
      </c>
      <c r="C11244" s="3">
        <v>5</v>
      </c>
      <c r="D11244" s="3">
        <v>97</v>
      </c>
      <c r="E11244" s="3">
        <v>1</v>
      </c>
      <c r="F11244" s="4" t="str">
        <f>HYPERLINK("http://141.218.60.56/~jnz1568/getInfo.php?workbook=20_05.xlsx&amp;sheet=U0&amp;row=11244&amp;col=6&amp;number=3&amp;sourceID=14","3")</f>
        <v>3</v>
      </c>
      <c r="G11244" s="4" t="str">
        <f>HYPERLINK("http://141.218.60.56/~jnz1568/getInfo.php?workbook=20_05.xlsx&amp;sheet=U0&amp;row=11244&amp;col=7&amp;number=8.5e-06&amp;sourceID=14","8.5e-06")</f>
        <v>8.5e-06</v>
      </c>
    </row>
    <row r="11245" spans="1:7">
      <c r="A11245" s="3"/>
      <c r="B11245" s="3"/>
      <c r="C11245" s="3"/>
      <c r="D11245" s="3"/>
      <c r="E11245" s="3">
        <v>2</v>
      </c>
      <c r="F11245" s="4" t="str">
        <f>HYPERLINK("http://141.218.60.56/~jnz1568/getInfo.php?workbook=20_05.xlsx&amp;sheet=U0&amp;row=11245&amp;col=6&amp;number=3.1&amp;sourceID=14","3.1")</f>
        <v>3.1</v>
      </c>
      <c r="G11245" s="4" t="str">
        <f>HYPERLINK("http://141.218.60.56/~jnz1568/getInfo.php?workbook=20_05.xlsx&amp;sheet=U0&amp;row=11245&amp;col=7&amp;number=8.5e-06&amp;sourceID=14","8.5e-06")</f>
        <v>8.5e-06</v>
      </c>
    </row>
    <row r="11246" spans="1:7">
      <c r="A11246" s="3"/>
      <c r="B11246" s="3"/>
      <c r="C11246" s="3"/>
      <c r="D11246" s="3"/>
      <c r="E11246" s="3">
        <v>3</v>
      </c>
      <c r="F11246" s="4" t="str">
        <f>HYPERLINK("http://141.218.60.56/~jnz1568/getInfo.php?workbook=20_05.xlsx&amp;sheet=U0&amp;row=11246&amp;col=6&amp;number=3.2&amp;sourceID=14","3.2")</f>
        <v>3.2</v>
      </c>
      <c r="G11246" s="4" t="str">
        <f>HYPERLINK("http://141.218.60.56/~jnz1568/getInfo.php?workbook=20_05.xlsx&amp;sheet=U0&amp;row=11246&amp;col=7&amp;number=8.5e-06&amp;sourceID=14","8.5e-06")</f>
        <v>8.5e-06</v>
      </c>
    </row>
    <row r="11247" spans="1:7">
      <c r="A11247" s="3"/>
      <c r="B11247" s="3"/>
      <c r="C11247" s="3"/>
      <c r="D11247" s="3"/>
      <c r="E11247" s="3">
        <v>4</v>
      </c>
      <c r="F11247" s="4" t="str">
        <f>HYPERLINK("http://141.218.60.56/~jnz1568/getInfo.php?workbook=20_05.xlsx&amp;sheet=U0&amp;row=11247&amp;col=6&amp;number=3.3&amp;sourceID=14","3.3")</f>
        <v>3.3</v>
      </c>
      <c r="G11247" s="4" t="str">
        <f>HYPERLINK("http://141.218.60.56/~jnz1568/getInfo.php?workbook=20_05.xlsx&amp;sheet=U0&amp;row=11247&amp;col=7&amp;number=8.5e-06&amp;sourceID=14","8.5e-06")</f>
        <v>8.5e-06</v>
      </c>
    </row>
    <row r="11248" spans="1:7">
      <c r="A11248" s="3"/>
      <c r="B11248" s="3"/>
      <c r="C11248" s="3"/>
      <c r="D11248" s="3"/>
      <c r="E11248" s="3">
        <v>5</v>
      </c>
      <c r="F11248" s="4" t="str">
        <f>HYPERLINK("http://141.218.60.56/~jnz1568/getInfo.php?workbook=20_05.xlsx&amp;sheet=U0&amp;row=11248&amp;col=6&amp;number=3.4&amp;sourceID=14","3.4")</f>
        <v>3.4</v>
      </c>
      <c r="G11248" s="4" t="str">
        <f>HYPERLINK("http://141.218.60.56/~jnz1568/getInfo.php?workbook=20_05.xlsx&amp;sheet=U0&amp;row=11248&amp;col=7&amp;number=8.5e-06&amp;sourceID=14","8.5e-06")</f>
        <v>8.5e-06</v>
      </c>
    </row>
    <row r="11249" spans="1:7">
      <c r="A11249" s="3"/>
      <c r="B11249" s="3"/>
      <c r="C11249" s="3"/>
      <c r="D11249" s="3"/>
      <c r="E11249" s="3">
        <v>6</v>
      </c>
      <c r="F11249" s="4" t="str">
        <f>HYPERLINK("http://141.218.60.56/~jnz1568/getInfo.php?workbook=20_05.xlsx&amp;sheet=U0&amp;row=11249&amp;col=6&amp;number=3.5&amp;sourceID=14","3.5")</f>
        <v>3.5</v>
      </c>
      <c r="G11249" s="4" t="str">
        <f>HYPERLINK("http://141.218.60.56/~jnz1568/getInfo.php?workbook=20_05.xlsx&amp;sheet=U0&amp;row=11249&amp;col=7&amp;number=8.5e-06&amp;sourceID=14","8.5e-06")</f>
        <v>8.5e-06</v>
      </c>
    </row>
    <row r="11250" spans="1:7">
      <c r="A11250" s="3"/>
      <c r="B11250" s="3"/>
      <c r="C11250" s="3"/>
      <c r="D11250" s="3"/>
      <c r="E11250" s="3">
        <v>7</v>
      </c>
      <c r="F11250" s="4" t="str">
        <f>HYPERLINK("http://141.218.60.56/~jnz1568/getInfo.php?workbook=20_05.xlsx&amp;sheet=U0&amp;row=11250&amp;col=6&amp;number=3.6&amp;sourceID=14","3.6")</f>
        <v>3.6</v>
      </c>
      <c r="G11250" s="4" t="str">
        <f>HYPERLINK("http://141.218.60.56/~jnz1568/getInfo.php?workbook=20_05.xlsx&amp;sheet=U0&amp;row=11250&amp;col=7&amp;number=8.5e-06&amp;sourceID=14","8.5e-06")</f>
        <v>8.5e-06</v>
      </c>
    </row>
    <row r="11251" spans="1:7">
      <c r="A11251" s="3"/>
      <c r="B11251" s="3"/>
      <c r="C11251" s="3"/>
      <c r="D11251" s="3"/>
      <c r="E11251" s="3">
        <v>8</v>
      </c>
      <c r="F11251" s="4" t="str">
        <f>HYPERLINK("http://141.218.60.56/~jnz1568/getInfo.php?workbook=20_05.xlsx&amp;sheet=U0&amp;row=11251&amp;col=6&amp;number=3.7&amp;sourceID=14","3.7")</f>
        <v>3.7</v>
      </c>
      <c r="G11251" s="4" t="str">
        <f>HYPERLINK("http://141.218.60.56/~jnz1568/getInfo.php?workbook=20_05.xlsx&amp;sheet=U0&amp;row=11251&amp;col=7&amp;number=8.5e-06&amp;sourceID=14","8.5e-06")</f>
        <v>8.5e-06</v>
      </c>
    </row>
    <row r="11252" spans="1:7">
      <c r="A11252" s="3"/>
      <c r="B11252" s="3"/>
      <c r="C11252" s="3"/>
      <c r="D11252" s="3"/>
      <c r="E11252" s="3">
        <v>9</v>
      </c>
      <c r="F11252" s="4" t="str">
        <f>HYPERLINK("http://141.218.60.56/~jnz1568/getInfo.php?workbook=20_05.xlsx&amp;sheet=U0&amp;row=11252&amp;col=6&amp;number=3.8&amp;sourceID=14","3.8")</f>
        <v>3.8</v>
      </c>
      <c r="G11252" s="4" t="str">
        <f>HYPERLINK("http://141.218.60.56/~jnz1568/getInfo.php?workbook=20_05.xlsx&amp;sheet=U0&amp;row=11252&amp;col=7&amp;number=8.5e-06&amp;sourceID=14","8.5e-06")</f>
        <v>8.5e-06</v>
      </c>
    </row>
    <row r="11253" spans="1:7">
      <c r="A11253" s="3"/>
      <c r="B11253" s="3"/>
      <c r="C11253" s="3"/>
      <c r="D11253" s="3"/>
      <c r="E11253" s="3">
        <v>10</v>
      </c>
      <c r="F11253" s="4" t="str">
        <f>HYPERLINK("http://141.218.60.56/~jnz1568/getInfo.php?workbook=20_05.xlsx&amp;sheet=U0&amp;row=11253&amp;col=6&amp;number=3.9&amp;sourceID=14","3.9")</f>
        <v>3.9</v>
      </c>
      <c r="G11253" s="4" t="str">
        <f>HYPERLINK("http://141.218.60.56/~jnz1568/getInfo.php?workbook=20_05.xlsx&amp;sheet=U0&amp;row=11253&amp;col=7&amp;number=8.5e-06&amp;sourceID=14","8.5e-06")</f>
        <v>8.5e-06</v>
      </c>
    </row>
    <row r="11254" spans="1:7">
      <c r="A11254" s="3"/>
      <c r="B11254" s="3"/>
      <c r="C11254" s="3"/>
      <c r="D11254" s="3"/>
      <c r="E11254" s="3">
        <v>11</v>
      </c>
      <c r="F11254" s="4" t="str">
        <f>HYPERLINK("http://141.218.60.56/~jnz1568/getInfo.php?workbook=20_05.xlsx&amp;sheet=U0&amp;row=11254&amp;col=6&amp;number=4&amp;sourceID=14","4")</f>
        <v>4</v>
      </c>
      <c r="G11254" s="4" t="str">
        <f>HYPERLINK("http://141.218.60.56/~jnz1568/getInfo.php?workbook=20_05.xlsx&amp;sheet=U0&amp;row=11254&amp;col=7&amp;number=8.5e-06&amp;sourceID=14","8.5e-06")</f>
        <v>8.5e-06</v>
      </c>
    </row>
    <row r="11255" spans="1:7">
      <c r="A11255" s="3"/>
      <c r="B11255" s="3"/>
      <c r="C11255" s="3"/>
      <c r="D11255" s="3"/>
      <c r="E11255" s="3">
        <v>12</v>
      </c>
      <c r="F11255" s="4" t="str">
        <f>HYPERLINK("http://141.218.60.56/~jnz1568/getInfo.php?workbook=20_05.xlsx&amp;sheet=U0&amp;row=11255&amp;col=6&amp;number=4.1&amp;sourceID=14","4.1")</f>
        <v>4.1</v>
      </c>
      <c r="G11255" s="4" t="str">
        <f>HYPERLINK("http://141.218.60.56/~jnz1568/getInfo.php?workbook=20_05.xlsx&amp;sheet=U0&amp;row=11255&amp;col=7&amp;number=8.5e-06&amp;sourceID=14","8.5e-06")</f>
        <v>8.5e-06</v>
      </c>
    </row>
    <row r="11256" spans="1:7">
      <c r="A11256" s="3"/>
      <c r="B11256" s="3"/>
      <c r="C11256" s="3"/>
      <c r="D11256" s="3"/>
      <c r="E11256" s="3">
        <v>13</v>
      </c>
      <c r="F11256" s="4" t="str">
        <f>HYPERLINK("http://141.218.60.56/~jnz1568/getInfo.php?workbook=20_05.xlsx&amp;sheet=U0&amp;row=11256&amp;col=6&amp;number=4.2&amp;sourceID=14","4.2")</f>
        <v>4.2</v>
      </c>
      <c r="G11256" s="4" t="str">
        <f>HYPERLINK("http://141.218.60.56/~jnz1568/getInfo.php?workbook=20_05.xlsx&amp;sheet=U0&amp;row=11256&amp;col=7&amp;number=8.5e-06&amp;sourceID=14","8.5e-06")</f>
        <v>8.5e-06</v>
      </c>
    </row>
    <row r="11257" spans="1:7">
      <c r="A11257" s="3"/>
      <c r="B11257" s="3"/>
      <c r="C11257" s="3"/>
      <c r="D11257" s="3"/>
      <c r="E11257" s="3">
        <v>14</v>
      </c>
      <c r="F11257" s="4" t="str">
        <f>HYPERLINK("http://141.218.60.56/~jnz1568/getInfo.php?workbook=20_05.xlsx&amp;sheet=U0&amp;row=11257&amp;col=6&amp;number=4.3&amp;sourceID=14","4.3")</f>
        <v>4.3</v>
      </c>
      <c r="G11257" s="4" t="str">
        <f>HYPERLINK("http://141.218.60.56/~jnz1568/getInfo.php?workbook=20_05.xlsx&amp;sheet=U0&amp;row=11257&amp;col=7&amp;number=8.5e-06&amp;sourceID=14","8.5e-06")</f>
        <v>8.5e-06</v>
      </c>
    </row>
    <row r="11258" spans="1:7">
      <c r="A11258" s="3"/>
      <c r="B11258" s="3"/>
      <c r="C11258" s="3"/>
      <c r="D11258" s="3"/>
      <c r="E11258" s="3">
        <v>15</v>
      </c>
      <c r="F11258" s="4" t="str">
        <f>HYPERLINK("http://141.218.60.56/~jnz1568/getInfo.php?workbook=20_05.xlsx&amp;sheet=U0&amp;row=11258&amp;col=6&amp;number=4.4&amp;sourceID=14","4.4")</f>
        <v>4.4</v>
      </c>
      <c r="G11258" s="4" t="str">
        <f>HYPERLINK("http://141.218.60.56/~jnz1568/getInfo.php?workbook=20_05.xlsx&amp;sheet=U0&amp;row=11258&amp;col=7&amp;number=8.5e-06&amp;sourceID=14","8.5e-06")</f>
        <v>8.5e-06</v>
      </c>
    </row>
    <row r="11259" spans="1:7">
      <c r="A11259" s="3"/>
      <c r="B11259" s="3"/>
      <c r="C11259" s="3"/>
      <c r="D11259" s="3"/>
      <c r="E11259" s="3">
        <v>16</v>
      </c>
      <c r="F11259" s="4" t="str">
        <f>HYPERLINK("http://141.218.60.56/~jnz1568/getInfo.php?workbook=20_05.xlsx&amp;sheet=U0&amp;row=11259&amp;col=6&amp;number=4.5&amp;sourceID=14","4.5")</f>
        <v>4.5</v>
      </c>
      <c r="G11259" s="4" t="str">
        <f>HYPERLINK("http://141.218.60.56/~jnz1568/getInfo.php?workbook=20_05.xlsx&amp;sheet=U0&amp;row=11259&amp;col=7&amp;number=8.5e-06&amp;sourceID=14","8.5e-06")</f>
        <v>8.5e-06</v>
      </c>
    </row>
    <row r="11260" spans="1:7">
      <c r="A11260" s="3"/>
      <c r="B11260" s="3"/>
      <c r="C11260" s="3"/>
      <c r="D11260" s="3"/>
      <c r="E11260" s="3">
        <v>17</v>
      </c>
      <c r="F11260" s="4" t="str">
        <f>HYPERLINK("http://141.218.60.56/~jnz1568/getInfo.php?workbook=20_05.xlsx&amp;sheet=U0&amp;row=11260&amp;col=6&amp;number=4.6&amp;sourceID=14","4.6")</f>
        <v>4.6</v>
      </c>
      <c r="G11260" s="4" t="str">
        <f>HYPERLINK("http://141.218.60.56/~jnz1568/getInfo.php?workbook=20_05.xlsx&amp;sheet=U0&amp;row=11260&amp;col=7&amp;number=8.5e-06&amp;sourceID=14","8.5e-06")</f>
        <v>8.5e-06</v>
      </c>
    </row>
    <row r="11261" spans="1:7">
      <c r="A11261" s="3"/>
      <c r="B11261" s="3"/>
      <c r="C11261" s="3"/>
      <c r="D11261" s="3"/>
      <c r="E11261" s="3">
        <v>18</v>
      </c>
      <c r="F11261" s="4" t="str">
        <f>HYPERLINK("http://141.218.60.56/~jnz1568/getInfo.php?workbook=20_05.xlsx&amp;sheet=U0&amp;row=11261&amp;col=6&amp;number=4.7&amp;sourceID=14","4.7")</f>
        <v>4.7</v>
      </c>
      <c r="G11261" s="4" t="str">
        <f>HYPERLINK("http://141.218.60.56/~jnz1568/getInfo.php?workbook=20_05.xlsx&amp;sheet=U0&amp;row=11261&amp;col=7&amp;number=8.5e-06&amp;sourceID=14","8.5e-06")</f>
        <v>8.5e-06</v>
      </c>
    </row>
    <row r="11262" spans="1:7">
      <c r="A11262" s="3"/>
      <c r="B11262" s="3"/>
      <c r="C11262" s="3"/>
      <c r="D11262" s="3"/>
      <c r="E11262" s="3">
        <v>19</v>
      </c>
      <c r="F11262" s="4" t="str">
        <f>HYPERLINK("http://141.218.60.56/~jnz1568/getInfo.php?workbook=20_05.xlsx&amp;sheet=U0&amp;row=11262&amp;col=6&amp;number=4.8&amp;sourceID=14","4.8")</f>
        <v>4.8</v>
      </c>
      <c r="G11262" s="4" t="str">
        <f>HYPERLINK("http://141.218.60.56/~jnz1568/getInfo.php?workbook=20_05.xlsx&amp;sheet=U0&amp;row=11262&amp;col=7&amp;number=8.5e-06&amp;sourceID=14","8.5e-06")</f>
        <v>8.5e-06</v>
      </c>
    </row>
    <row r="11263" spans="1:7">
      <c r="A11263" s="3"/>
      <c r="B11263" s="3"/>
      <c r="C11263" s="3"/>
      <c r="D11263" s="3"/>
      <c r="E11263" s="3">
        <v>20</v>
      </c>
      <c r="F11263" s="4" t="str">
        <f>HYPERLINK("http://141.218.60.56/~jnz1568/getInfo.php?workbook=20_05.xlsx&amp;sheet=U0&amp;row=11263&amp;col=6&amp;number=4.9&amp;sourceID=14","4.9")</f>
        <v>4.9</v>
      </c>
      <c r="G11263" s="4" t="str">
        <f>HYPERLINK("http://141.218.60.56/~jnz1568/getInfo.php?workbook=20_05.xlsx&amp;sheet=U0&amp;row=11263&amp;col=7&amp;number=8.51e-06&amp;sourceID=14","8.51e-06")</f>
        <v>8.51e-06</v>
      </c>
    </row>
    <row r="11264" spans="1:7">
      <c r="A11264" s="3">
        <v>20</v>
      </c>
      <c r="B11264" s="3">
        <v>5</v>
      </c>
      <c r="C11264" s="3">
        <v>5</v>
      </c>
      <c r="D11264" s="3">
        <v>98</v>
      </c>
      <c r="E11264" s="3">
        <v>1</v>
      </c>
      <c r="F11264" s="4" t="str">
        <f>HYPERLINK("http://141.218.60.56/~jnz1568/getInfo.php?workbook=20_05.xlsx&amp;sheet=U0&amp;row=11264&amp;col=6&amp;number=3&amp;sourceID=14","3")</f>
        <v>3</v>
      </c>
      <c r="G11264" s="4" t="str">
        <f>HYPERLINK("http://141.218.60.56/~jnz1568/getInfo.php?workbook=20_05.xlsx&amp;sheet=U0&amp;row=11264&amp;col=7&amp;number=0.000141&amp;sourceID=14","0.000141")</f>
        <v>0.000141</v>
      </c>
    </row>
    <row r="11265" spans="1:7">
      <c r="A11265" s="3"/>
      <c r="B11265" s="3"/>
      <c r="C11265" s="3"/>
      <c r="D11265" s="3"/>
      <c r="E11265" s="3">
        <v>2</v>
      </c>
      <c r="F11265" s="4" t="str">
        <f>HYPERLINK("http://141.218.60.56/~jnz1568/getInfo.php?workbook=20_05.xlsx&amp;sheet=U0&amp;row=11265&amp;col=6&amp;number=3.1&amp;sourceID=14","3.1")</f>
        <v>3.1</v>
      </c>
      <c r="G11265" s="4" t="str">
        <f>HYPERLINK("http://141.218.60.56/~jnz1568/getInfo.php?workbook=20_05.xlsx&amp;sheet=U0&amp;row=11265&amp;col=7&amp;number=0.000141&amp;sourceID=14","0.000141")</f>
        <v>0.000141</v>
      </c>
    </row>
    <row r="11266" spans="1:7">
      <c r="A11266" s="3"/>
      <c r="B11266" s="3"/>
      <c r="C11266" s="3"/>
      <c r="D11266" s="3"/>
      <c r="E11266" s="3">
        <v>3</v>
      </c>
      <c r="F11266" s="4" t="str">
        <f>HYPERLINK("http://141.218.60.56/~jnz1568/getInfo.php?workbook=20_05.xlsx&amp;sheet=U0&amp;row=11266&amp;col=6&amp;number=3.2&amp;sourceID=14","3.2")</f>
        <v>3.2</v>
      </c>
      <c r="G11266" s="4" t="str">
        <f>HYPERLINK("http://141.218.60.56/~jnz1568/getInfo.php?workbook=20_05.xlsx&amp;sheet=U0&amp;row=11266&amp;col=7&amp;number=0.000141&amp;sourceID=14","0.000141")</f>
        <v>0.000141</v>
      </c>
    </row>
    <row r="11267" spans="1:7">
      <c r="A11267" s="3"/>
      <c r="B11267" s="3"/>
      <c r="C11267" s="3"/>
      <c r="D11267" s="3"/>
      <c r="E11267" s="3">
        <v>4</v>
      </c>
      <c r="F11267" s="4" t="str">
        <f>HYPERLINK("http://141.218.60.56/~jnz1568/getInfo.php?workbook=20_05.xlsx&amp;sheet=U0&amp;row=11267&amp;col=6&amp;number=3.3&amp;sourceID=14","3.3")</f>
        <v>3.3</v>
      </c>
      <c r="G11267" s="4" t="str">
        <f>HYPERLINK("http://141.218.60.56/~jnz1568/getInfo.php?workbook=20_05.xlsx&amp;sheet=U0&amp;row=11267&amp;col=7&amp;number=0.000141&amp;sourceID=14","0.000141")</f>
        <v>0.000141</v>
      </c>
    </row>
    <row r="11268" spans="1:7">
      <c r="A11268" s="3"/>
      <c r="B11268" s="3"/>
      <c r="C11268" s="3"/>
      <c r="D11268" s="3"/>
      <c r="E11268" s="3">
        <v>5</v>
      </c>
      <c r="F11268" s="4" t="str">
        <f>HYPERLINK("http://141.218.60.56/~jnz1568/getInfo.php?workbook=20_05.xlsx&amp;sheet=U0&amp;row=11268&amp;col=6&amp;number=3.4&amp;sourceID=14","3.4")</f>
        <v>3.4</v>
      </c>
      <c r="G11268" s="4" t="str">
        <f>HYPERLINK("http://141.218.60.56/~jnz1568/getInfo.php?workbook=20_05.xlsx&amp;sheet=U0&amp;row=11268&amp;col=7&amp;number=0.000141&amp;sourceID=14","0.000141")</f>
        <v>0.000141</v>
      </c>
    </row>
    <row r="11269" spans="1:7">
      <c r="A11269" s="3"/>
      <c r="B11269" s="3"/>
      <c r="C11269" s="3"/>
      <c r="D11269" s="3"/>
      <c r="E11269" s="3">
        <v>6</v>
      </c>
      <c r="F11269" s="4" t="str">
        <f>HYPERLINK("http://141.218.60.56/~jnz1568/getInfo.php?workbook=20_05.xlsx&amp;sheet=U0&amp;row=11269&amp;col=6&amp;number=3.5&amp;sourceID=14","3.5")</f>
        <v>3.5</v>
      </c>
      <c r="G11269" s="4" t="str">
        <f>HYPERLINK("http://141.218.60.56/~jnz1568/getInfo.php?workbook=20_05.xlsx&amp;sheet=U0&amp;row=11269&amp;col=7&amp;number=0.000141&amp;sourceID=14","0.000141")</f>
        <v>0.000141</v>
      </c>
    </row>
    <row r="11270" spans="1:7">
      <c r="A11270" s="3"/>
      <c r="B11270" s="3"/>
      <c r="C11270" s="3"/>
      <c r="D11270" s="3"/>
      <c r="E11270" s="3">
        <v>7</v>
      </c>
      <c r="F11270" s="4" t="str">
        <f>HYPERLINK("http://141.218.60.56/~jnz1568/getInfo.php?workbook=20_05.xlsx&amp;sheet=U0&amp;row=11270&amp;col=6&amp;number=3.6&amp;sourceID=14","3.6")</f>
        <v>3.6</v>
      </c>
      <c r="G11270" s="4" t="str">
        <f>HYPERLINK("http://141.218.60.56/~jnz1568/getInfo.php?workbook=20_05.xlsx&amp;sheet=U0&amp;row=11270&amp;col=7&amp;number=0.000141&amp;sourceID=14","0.000141")</f>
        <v>0.000141</v>
      </c>
    </row>
    <row r="11271" spans="1:7">
      <c r="A11271" s="3"/>
      <c r="B11271" s="3"/>
      <c r="C11271" s="3"/>
      <c r="D11271" s="3"/>
      <c r="E11271" s="3">
        <v>8</v>
      </c>
      <c r="F11271" s="4" t="str">
        <f>HYPERLINK("http://141.218.60.56/~jnz1568/getInfo.php?workbook=20_05.xlsx&amp;sheet=U0&amp;row=11271&amp;col=6&amp;number=3.7&amp;sourceID=14","3.7")</f>
        <v>3.7</v>
      </c>
      <c r="G11271" s="4" t="str">
        <f>HYPERLINK("http://141.218.60.56/~jnz1568/getInfo.php?workbook=20_05.xlsx&amp;sheet=U0&amp;row=11271&amp;col=7&amp;number=0.000141&amp;sourceID=14","0.000141")</f>
        <v>0.000141</v>
      </c>
    </row>
    <row r="11272" spans="1:7">
      <c r="A11272" s="3"/>
      <c r="B11272" s="3"/>
      <c r="C11272" s="3"/>
      <c r="D11272" s="3"/>
      <c r="E11272" s="3">
        <v>9</v>
      </c>
      <c r="F11272" s="4" t="str">
        <f>HYPERLINK("http://141.218.60.56/~jnz1568/getInfo.php?workbook=20_05.xlsx&amp;sheet=U0&amp;row=11272&amp;col=6&amp;number=3.8&amp;sourceID=14","3.8")</f>
        <v>3.8</v>
      </c>
      <c r="G11272" s="4" t="str">
        <f>HYPERLINK("http://141.218.60.56/~jnz1568/getInfo.php?workbook=20_05.xlsx&amp;sheet=U0&amp;row=11272&amp;col=7&amp;number=0.000141&amp;sourceID=14","0.000141")</f>
        <v>0.000141</v>
      </c>
    </row>
    <row r="11273" spans="1:7">
      <c r="A11273" s="3"/>
      <c r="B11273" s="3"/>
      <c r="C11273" s="3"/>
      <c r="D11273" s="3"/>
      <c r="E11273" s="3">
        <v>10</v>
      </c>
      <c r="F11273" s="4" t="str">
        <f>HYPERLINK("http://141.218.60.56/~jnz1568/getInfo.php?workbook=20_05.xlsx&amp;sheet=U0&amp;row=11273&amp;col=6&amp;number=3.9&amp;sourceID=14","3.9")</f>
        <v>3.9</v>
      </c>
      <c r="G11273" s="4" t="str">
        <f>HYPERLINK("http://141.218.60.56/~jnz1568/getInfo.php?workbook=20_05.xlsx&amp;sheet=U0&amp;row=11273&amp;col=7&amp;number=0.000141&amp;sourceID=14","0.000141")</f>
        <v>0.000141</v>
      </c>
    </row>
    <row r="11274" spans="1:7">
      <c r="A11274" s="3"/>
      <c r="B11274" s="3"/>
      <c r="C11274" s="3"/>
      <c r="D11274" s="3"/>
      <c r="E11274" s="3">
        <v>11</v>
      </c>
      <c r="F11274" s="4" t="str">
        <f>HYPERLINK("http://141.218.60.56/~jnz1568/getInfo.php?workbook=20_05.xlsx&amp;sheet=U0&amp;row=11274&amp;col=6&amp;number=4&amp;sourceID=14","4")</f>
        <v>4</v>
      </c>
      <c r="G11274" s="4" t="str">
        <f>HYPERLINK("http://141.218.60.56/~jnz1568/getInfo.php?workbook=20_05.xlsx&amp;sheet=U0&amp;row=11274&amp;col=7&amp;number=0.000141&amp;sourceID=14","0.000141")</f>
        <v>0.000141</v>
      </c>
    </row>
    <row r="11275" spans="1:7">
      <c r="A11275" s="3"/>
      <c r="B11275" s="3"/>
      <c r="C11275" s="3"/>
      <c r="D11275" s="3"/>
      <c r="E11275" s="3">
        <v>12</v>
      </c>
      <c r="F11275" s="4" t="str">
        <f>HYPERLINK("http://141.218.60.56/~jnz1568/getInfo.php?workbook=20_05.xlsx&amp;sheet=U0&amp;row=11275&amp;col=6&amp;number=4.1&amp;sourceID=14","4.1")</f>
        <v>4.1</v>
      </c>
      <c r="G11275" s="4" t="str">
        <f>HYPERLINK("http://141.218.60.56/~jnz1568/getInfo.php?workbook=20_05.xlsx&amp;sheet=U0&amp;row=11275&amp;col=7&amp;number=0.000141&amp;sourceID=14","0.000141")</f>
        <v>0.000141</v>
      </c>
    </row>
    <row r="11276" spans="1:7">
      <c r="A11276" s="3"/>
      <c r="B11276" s="3"/>
      <c r="C11276" s="3"/>
      <c r="D11276" s="3"/>
      <c r="E11276" s="3">
        <v>13</v>
      </c>
      <c r="F11276" s="4" t="str">
        <f>HYPERLINK("http://141.218.60.56/~jnz1568/getInfo.php?workbook=20_05.xlsx&amp;sheet=U0&amp;row=11276&amp;col=6&amp;number=4.2&amp;sourceID=14","4.2")</f>
        <v>4.2</v>
      </c>
      <c r="G11276" s="4" t="str">
        <f>HYPERLINK("http://141.218.60.56/~jnz1568/getInfo.php?workbook=20_05.xlsx&amp;sheet=U0&amp;row=11276&amp;col=7&amp;number=0.000141&amp;sourceID=14","0.000141")</f>
        <v>0.000141</v>
      </c>
    </row>
    <row r="11277" spans="1:7">
      <c r="A11277" s="3"/>
      <c r="B11277" s="3"/>
      <c r="C11277" s="3"/>
      <c r="D11277" s="3"/>
      <c r="E11277" s="3">
        <v>14</v>
      </c>
      <c r="F11277" s="4" t="str">
        <f>HYPERLINK("http://141.218.60.56/~jnz1568/getInfo.php?workbook=20_05.xlsx&amp;sheet=U0&amp;row=11277&amp;col=6&amp;number=4.3&amp;sourceID=14","4.3")</f>
        <v>4.3</v>
      </c>
      <c r="G11277" s="4" t="str">
        <f>HYPERLINK("http://141.218.60.56/~jnz1568/getInfo.php?workbook=20_05.xlsx&amp;sheet=U0&amp;row=11277&amp;col=7&amp;number=0.000141&amp;sourceID=14","0.000141")</f>
        <v>0.000141</v>
      </c>
    </row>
    <row r="11278" spans="1:7">
      <c r="A11278" s="3"/>
      <c r="B11278" s="3"/>
      <c r="C11278" s="3"/>
      <c r="D11278" s="3"/>
      <c r="E11278" s="3">
        <v>15</v>
      </c>
      <c r="F11278" s="4" t="str">
        <f>HYPERLINK("http://141.218.60.56/~jnz1568/getInfo.php?workbook=20_05.xlsx&amp;sheet=U0&amp;row=11278&amp;col=6&amp;number=4.4&amp;sourceID=14","4.4")</f>
        <v>4.4</v>
      </c>
      <c r="G11278" s="4" t="str">
        <f>HYPERLINK("http://141.218.60.56/~jnz1568/getInfo.php?workbook=20_05.xlsx&amp;sheet=U0&amp;row=11278&amp;col=7&amp;number=0.000141&amp;sourceID=14","0.000141")</f>
        <v>0.000141</v>
      </c>
    </row>
    <row r="11279" spans="1:7">
      <c r="A11279" s="3"/>
      <c r="B11279" s="3"/>
      <c r="C11279" s="3"/>
      <c r="D11279" s="3"/>
      <c r="E11279" s="3">
        <v>16</v>
      </c>
      <c r="F11279" s="4" t="str">
        <f>HYPERLINK("http://141.218.60.56/~jnz1568/getInfo.php?workbook=20_05.xlsx&amp;sheet=U0&amp;row=11279&amp;col=6&amp;number=4.5&amp;sourceID=14","4.5")</f>
        <v>4.5</v>
      </c>
      <c r="G11279" s="4" t="str">
        <f>HYPERLINK("http://141.218.60.56/~jnz1568/getInfo.php?workbook=20_05.xlsx&amp;sheet=U0&amp;row=11279&amp;col=7&amp;number=0.000141&amp;sourceID=14","0.000141")</f>
        <v>0.000141</v>
      </c>
    </row>
    <row r="11280" spans="1:7">
      <c r="A11280" s="3"/>
      <c r="B11280" s="3"/>
      <c r="C11280" s="3"/>
      <c r="D11280" s="3"/>
      <c r="E11280" s="3">
        <v>17</v>
      </c>
      <c r="F11280" s="4" t="str">
        <f>HYPERLINK("http://141.218.60.56/~jnz1568/getInfo.php?workbook=20_05.xlsx&amp;sheet=U0&amp;row=11280&amp;col=6&amp;number=4.6&amp;sourceID=14","4.6")</f>
        <v>4.6</v>
      </c>
      <c r="G11280" s="4" t="str">
        <f>HYPERLINK("http://141.218.60.56/~jnz1568/getInfo.php?workbook=20_05.xlsx&amp;sheet=U0&amp;row=11280&amp;col=7&amp;number=0.000141&amp;sourceID=14","0.000141")</f>
        <v>0.000141</v>
      </c>
    </row>
    <row r="11281" spans="1:7">
      <c r="A11281" s="3"/>
      <c r="B11281" s="3"/>
      <c r="C11281" s="3"/>
      <c r="D11281" s="3"/>
      <c r="E11281" s="3">
        <v>18</v>
      </c>
      <c r="F11281" s="4" t="str">
        <f>HYPERLINK("http://141.218.60.56/~jnz1568/getInfo.php?workbook=20_05.xlsx&amp;sheet=U0&amp;row=11281&amp;col=6&amp;number=4.7&amp;sourceID=14","4.7")</f>
        <v>4.7</v>
      </c>
      <c r="G11281" s="4" t="str">
        <f>HYPERLINK("http://141.218.60.56/~jnz1568/getInfo.php?workbook=20_05.xlsx&amp;sheet=U0&amp;row=11281&amp;col=7&amp;number=0.000141&amp;sourceID=14","0.000141")</f>
        <v>0.000141</v>
      </c>
    </row>
    <row r="11282" spans="1:7">
      <c r="A11282" s="3"/>
      <c r="B11282" s="3"/>
      <c r="C11282" s="3"/>
      <c r="D11282" s="3"/>
      <c r="E11282" s="3">
        <v>19</v>
      </c>
      <c r="F11282" s="4" t="str">
        <f>HYPERLINK("http://141.218.60.56/~jnz1568/getInfo.php?workbook=20_05.xlsx&amp;sheet=U0&amp;row=11282&amp;col=6&amp;number=4.8&amp;sourceID=14","4.8")</f>
        <v>4.8</v>
      </c>
      <c r="G11282" s="4" t="str">
        <f>HYPERLINK("http://141.218.60.56/~jnz1568/getInfo.php?workbook=20_05.xlsx&amp;sheet=U0&amp;row=11282&amp;col=7&amp;number=0.00014&amp;sourceID=14","0.00014")</f>
        <v>0.00014</v>
      </c>
    </row>
    <row r="11283" spans="1:7">
      <c r="A11283" s="3"/>
      <c r="B11283" s="3"/>
      <c r="C11283" s="3"/>
      <c r="D11283" s="3"/>
      <c r="E11283" s="3">
        <v>20</v>
      </c>
      <c r="F11283" s="4" t="str">
        <f>HYPERLINK("http://141.218.60.56/~jnz1568/getInfo.php?workbook=20_05.xlsx&amp;sheet=U0&amp;row=11283&amp;col=6&amp;number=4.9&amp;sourceID=14","4.9")</f>
        <v>4.9</v>
      </c>
      <c r="G11283" s="4" t="str">
        <f>HYPERLINK("http://141.218.60.56/~jnz1568/getInfo.php?workbook=20_05.xlsx&amp;sheet=U0&amp;row=11283&amp;col=7&amp;number=0.00014&amp;sourceID=14","0.00014")</f>
        <v>0.00014</v>
      </c>
    </row>
    <row r="11284" spans="1:7">
      <c r="A11284" s="3">
        <v>20</v>
      </c>
      <c r="B11284" s="3">
        <v>5</v>
      </c>
      <c r="C11284" s="3">
        <v>5</v>
      </c>
      <c r="D11284" s="3">
        <v>99</v>
      </c>
      <c r="E11284" s="3">
        <v>1</v>
      </c>
      <c r="F11284" s="4" t="str">
        <f>HYPERLINK("http://141.218.60.56/~jnz1568/getInfo.php?workbook=20_05.xlsx&amp;sheet=U0&amp;row=11284&amp;col=6&amp;number=3&amp;sourceID=14","3")</f>
        <v>3</v>
      </c>
      <c r="G11284" s="4" t="str">
        <f>HYPERLINK("http://141.218.60.56/~jnz1568/getInfo.php?workbook=20_05.xlsx&amp;sheet=U0&amp;row=11284&amp;col=7&amp;number=0.00138&amp;sourceID=14","0.00138")</f>
        <v>0.00138</v>
      </c>
    </row>
    <row r="11285" spans="1:7">
      <c r="A11285" s="3"/>
      <c r="B11285" s="3"/>
      <c r="C11285" s="3"/>
      <c r="D11285" s="3"/>
      <c r="E11285" s="3">
        <v>2</v>
      </c>
      <c r="F11285" s="4" t="str">
        <f>HYPERLINK("http://141.218.60.56/~jnz1568/getInfo.php?workbook=20_05.xlsx&amp;sheet=U0&amp;row=11285&amp;col=6&amp;number=3.1&amp;sourceID=14","3.1")</f>
        <v>3.1</v>
      </c>
      <c r="G11285" s="4" t="str">
        <f>HYPERLINK("http://141.218.60.56/~jnz1568/getInfo.php?workbook=20_05.xlsx&amp;sheet=U0&amp;row=11285&amp;col=7&amp;number=0.00138&amp;sourceID=14","0.00138")</f>
        <v>0.00138</v>
      </c>
    </row>
    <row r="11286" spans="1:7">
      <c r="A11286" s="3"/>
      <c r="B11286" s="3"/>
      <c r="C11286" s="3"/>
      <c r="D11286" s="3"/>
      <c r="E11286" s="3">
        <v>3</v>
      </c>
      <c r="F11286" s="4" t="str">
        <f>HYPERLINK("http://141.218.60.56/~jnz1568/getInfo.php?workbook=20_05.xlsx&amp;sheet=U0&amp;row=11286&amp;col=6&amp;number=3.2&amp;sourceID=14","3.2")</f>
        <v>3.2</v>
      </c>
      <c r="G11286" s="4" t="str">
        <f>HYPERLINK("http://141.218.60.56/~jnz1568/getInfo.php?workbook=20_05.xlsx&amp;sheet=U0&amp;row=11286&amp;col=7&amp;number=0.00138&amp;sourceID=14","0.00138")</f>
        <v>0.00138</v>
      </c>
    </row>
    <row r="11287" spans="1:7">
      <c r="A11287" s="3"/>
      <c r="B11287" s="3"/>
      <c r="C11287" s="3"/>
      <c r="D11287" s="3"/>
      <c r="E11287" s="3">
        <v>4</v>
      </c>
      <c r="F11287" s="4" t="str">
        <f>HYPERLINK("http://141.218.60.56/~jnz1568/getInfo.php?workbook=20_05.xlsx&amp;sheet=U0&amp;row=11287&amp;col=6&amp;number=3.3&amp;sourceID=14","3.3")</f>
        <v>3.3</v>
      </c>
      <c r="G11287" s="4" t="str">
        <f>HYPERLINK("http://141.218.60.56/~jnz1568/getInfo.php?workbook=20_05.xlsx&amp;sheet=U0&amp;row=11287&amp;col=7&amp;number=0.00138&amp;sourceID=14","0.00138")</f>
        <v>0.00138</v>
      </c>
    </row>
    <row r="11288" spans="1:7">
      <c r="A11288" s="3"/>
      <c r="B11288" s="3"/>
      <c r="C11288" s="3"/>
      <c r="D11288" s="3"/>
      <c r="E11288" s="3">
        <v>5</v>
      </c>
      <c r="F11288" s="4" t="str">
        <f>HYPERLINK("http://141.218.60.56/~jnz1568/getInfo.php?workbook=20_05.xlsx&amp;sheet=U0&amp;row=11288&amp;col=6&amp;number=3.4&amp;sourceID=14","3.4")</f>
        <v>3.4</v>
      </c>
      <c r="G11288" s="4" t="str">
        <f>HYPERLINK("http://141.218.60.56/~jnz1568/getInfo.php?workbook=20_05.xlsx&amp;sheet=U0&amp;row=11288&amp;col=7&amp;number=0.00138&amp;sourceID=14","0.00138")</f>
        <v>0.00138</v>
      </c>
    </row>
    <row r="11289" spans="1:7">
      <c r="A11289" s="3"/>
      <c r="B11289" s="3"/>
      <c r="C11289" s="3"/>
      <c r="D11289" s="3"/>
      <c r="E11289" s="3">
        <v>6</v>
      </c>
      <c r="F11289" s="4" t="str">
        <f>HYPERLINK("http://141.218.60.56/~jnz1568/getInfo.php?workbook=20_05.xlsx&amp;sheet=U0&amp;row=11289&amp;col=6&amp;number=3.5&amp;sourceID=14","3.5")</f>
        <v>3.5</v>
      </c>
      <c r="G11289" s="4" t="str">
        <f>HYPERLINK("http://141.218.60.56/~jnz1568/getInfo.php?workbook=20_05.xlsx&amp;sheet=U0&amp;row=11289&amp;col=7&amp;number=0.00138&amp;sourceID=14","0.00138")</f>
        <v>0.00138</v>
      </c>
    </row>
    <row r="11290" spans="1:7">
      <c r="A11290" s="3"/>
      <c r="B11290" s="3"/>
      <c r="C11290" s="3"/>
      <c r="D11290" s="3"/>
      <c r="E11290" s="3">
        <v>7</v>
      </c>
      <c r="F11290" s="4" t="str">
        <f>HYPERLINK("http://141.218.60.56/~jnz1568/getInfo.php?workbook=20_05.xlsx&amp;sheet=U0&amp;row=11290&amp;col=6&amp;number=3.6&amp;sourceID=14","3.6")</f>
        <v>3.6</v>
      </c>
      <c r="G11290" s="4" t="str">
        <f>HYPERLINK("http://141.218.60.56/~jnz1568/getInfo.php?workbook=20_05.xlsx&amp;sheet=U0&amp;row=11290&amp;col=7&amp;number=0.00138&amp;sourceID=14","0.00138")</f>
        <v>0.00138</v>
      </c>
    </row>
    <row r="11291" spans="1:7">
      <c r="A11291" s="3"/>
      <c r="B11291" s="3"/>
      <c r="C11291" s="3"/>
      <c r="D11291" s="3"/>
      <c r="E11291" s="3">
        <v>8</v>
      </c>
      <c r="F11291" s="4" t="str">
        <f>HYPERLINK("http://141.218.60.56/~jnz1568/getInfo.php?workbook=20_05.xlsx&amp;sheet=U0&amp;row=11291&amp;col=6&amp;number=3.7&amp;sourceID=14","3.7")</f>
        <v>3.7</v>
      </c>
      <c r="G11291" s="4" t="str">
        <f>HYPERLINK("http://141.218.60.56/~jnz1568/getInfo.php?workbook=20_05.xlsx&amp;sheet=U0&amp;row=11291&amp;col=7&amp;number=0.00138&amp;sourceID=14","0.00138")</f>
        <v>0.00138</v>
      </c>
    </row>
    <row r="11292" spans="1:7">
      <c r="A11292" s="3"/>
      <c r="B11292" s="3"/>
      <c r="C11292" s="3"/>
      <c r="D11292" s="3"/>
      <c r="E11292" s="3">
        <v>9</v>
      </c>
      <c r="F11292" s="4" t="str">
        <f>HYPERLINK("http://141.218.60.56/~jnz1568/getInfo.php?workbook=20_05.xlsx&amp;sheet=U0&amp;row=11292&amp;col=6&amp;number=3.8&amp;sourceID=14","3.8")</f>
        <v>3.8</v>
      </c>
      <c r="G11292" s="4" t="str">
        <f>HYPERLINK("http://141.218.60.56/~jnz1568/getInfo.php?workbook=20_05.xlsx&amp;sheet=U0&amp;row=11292&amp;col=7&amp;number=0.00138&amp;sourceID=14","0.00138")</f>
        <v>0.00138</v>
      </c>
    </row>
    <row r="11293" spans="1:7">
      <c r="A11293" s="3"/>
      <c r="B11293" s="3"/>
      <c r="C11293" s="3"/>
      <c r="D11293" s="3"/>
      <c r="E11293" s="3">
        <v>10</v>
      </c>
      <c r="F11293" s="4" t="str">
        <f>HYPERLINK("http://141.218.60.56/~jnz1568/getInfo.php?workbook=20_05.xlsx&amp;sheet=U0&amp;row=11293&amp;col=6&amp;number=3.9&amp;sourceID=14","3.9")</f>
        <v>3.9</v>
      </c>
      <c r="G11293" s="4" t="str">
        <f>HYPERLINK("http://141.218.60.56/~jnz1568/getInfo.php?workbook=20_05.xlsx&amp;sheet=U0&amp;row=11293&amp;col=7&amp;number=0.00138&amp;sourceID=14","0.00138")</f>
        <v>0.00138</v>
      </c>
    </row>
    <row r="11294" spans="1:7">
      <c r="A11294" s="3"/>
      <c r="B11294" s="3"/>
      <c r="C11294" s="3"/>
      <c r="D11294" s="3"/>
      <c r="E11294" s="3">
        <v>11</v>
      </c>
      <c r="F11294" s="4" t="str">
        <f>HYPERLINK("http://141.218.60.56/~jnz1568/getInfo.php?workbook=20_05.xlsx&amp;sheet=U0&amp;row=11294&amp;col=6&amp;number=4&amp;sourceID=14","4")</f>
        <v>4</v>
      </c>
      <c r="G11294" s="4" t="str">
        <f>HYPERLINK("http://141.218.60.56/~jnz1568/getInfo.php?workbook=20_05.xlsx&amp;sheet=U0&amp;row=11294&amp;col=7&amp;number=0.00139&amp;sourceID=14","0.00139")</f>
        <v>0.00139</v>
      </c>
    </row>
    <row r="11295" spans="1:7">
      <c r="A11295" s="3"/>
      <c r="B11295" s="3"/>
      <c r="C11295" s="3"/>
      <c r="D11295" s="3"/>
      <c r="E11295" s="3">
        <v>12</v>
      </c>
      <c r="F11295" s="4" t="str">
        <f>HYPERLINK("http://141.218.60.56/~jnz1568/getInfo.php?workbook=20_05.xlsx&amp;sheet=U0&amp;row=11295&amp;col=6&amp;number=4.1&amp;sourceID=14","4.1")</f>
        <v>4.1</v>
      </c>
      <c r="G11295" s="4" t="str">
        <f>HYPERLINK("http://141.218.60.56/~jnz1568/getInfo.php?workbook=20_05.xlsx&amp;sheet=U0&amp;row=11295&amp;col=7&amp;number=0.00139&amp;sourceID=14","0.00139")</f>
        <v>0.00139</v>
      </c>
    </row>
    <row r="11296" spans="1:7">
      <c r="A11296" s="3"/>
      <c r="B11296" s="3"/>
      <c r="C11296" s="3"/>
      <c r="D11296" s="3"/>
      <c r="E11296" s="3">
        <v>13</v>
      </c>
      <c r="F11296" s="4" t="str">
        <f>HYPERLINK("http://141.218.60.56/~jnz1568/getInfo.php?workbook=20_05.xlsx&amp;sheet=U0&amp;row=11296&amp;col=6&amp;number=4.2&amp;sourceID=14","4.2")</f>
        <v>4.2</v>
      </c>
      <c r="G11296" s="4" t="str">
        <f>HYPERLINK("http://141.218.60.56/~jnz1568/getInfo.php?workbook=20_05.xlsx&amp;sheet=U0&amp;row=11296&amp;col=7&amp;number=0.00139&amp;sourceID=14","0.00139")</f>
        <v>0.00139</v>
      </c>
    </row>
    <row r="11297" spans="1:7">
      <c r="A11297" s="3"/>
      <c r="B11297" s="3"/>
      <c r="C11297" s="3"/>
      <c r="D11297" s="3"/>
      <c r="E11297" s="3">
        <v>14</v>
      </c>
      <c r="F11297" s="4" t="str">
        <f>HYPERLINK("http://141.218.60.56/~jnz1568/getInfo.php?workbook=20_05.xlsx&amp;sheet=U0&amp;row=11297&amp;col=6&amp;number=4.3&amp;sourceID=14","4.3")</f>
        <v>4.3</v>
      </c>
      <c r="G11297" s="4" t="str">
        <f>HYPERLINK("http://141.218.60.56/~jnz1568/getInfo.php?workbook=20_05.xlsx&amp;sheet=U0&amp;row=11297&amp;col=7&amp;number=0.00139&amp;sourceID=14","0.00139")</f>
        <v>0.00139</v>
      </c>
    </row>
    <row r="11298" spans="1:7">
      <c r="A11298" s="3"/>
      <c r="B11298" s="3"/>
      <c r="C11298" s="3"/>
      <c r="D11298" s="3"/>
      <c r="E11298" s="3">
        <v>15</v>
      </c>
      <c r="F11298" s="4" t="str">
        <f>HYPERLINK("http://141.218.60.56/~jnz1568/getInfo.php?workbook=20_05.xlsx&amp;sheet=U0&amp;row=11298&amp;col=6&amp;number=4.4&amp;sourceID=14","4.4")</f>
        <v>4.4</v>
      </c>
      <c r="G11298" s="4" t="str">
        <f>HYPERLINK("http://141.218.60.56/~jnz1568/getInfo.php?workbook=20_05.xlsx&amp;sheet=U0&amp;row=11298&amp;col=7&amp;number=0.00139&amp;sourceID=14","0.00139")</f>
        <v>0.00139</v>
      </c>
    </row>
    <row r="11299" spans="1:7">
      <c r="A11299" s="3"/>
      <c r="B11299" s="3"/>
      <c r="C11299" s="3"/>
      <c r="D11299" s="3"/>
      <c r="E11299" s="3">
        <v>16</v>
      </c>
      <c r="F11299" s="4" t="str">
        <f>HYPERLINK("http://141.218.60.56/~jnz1568/getInfo.php?workbook=20_05.xlsx&amp;sheet=U0&amp;row=11299&amp;col=6&amp;number=4.5&amp;sourceID=14","4.5")</f>
        <v>4.5</v>
      </c>
      <c r="G11299" s="4" t="str">
        <f>HYPERLINK("http://141.218.60.56/~jnz1568/getInfo.php?workbook=20_05.xlsx&amp;sheet=U0&amp;row=11299&amp;col=7&amp;number=0.00139&amp;sourceID=14","0.00139")</f>
        <v>0.00139</v>
      </c>
    </row>
    <row r="11300" spans="1:7">
      <c r="A11300" s="3"/>
      <c r="B11300" s="3"/>
      <c r="C11300" s="3"/>
      <c r="D11300" s="3"/>
      <c r="E11300" s="3">
        <v>17</v>
      </c>
      <c r="F11300" s="4" t="str">
        <f>HYPERLINK("http://141.218.60.56/~jnz1568/getInfo.php?workbook=20_05.xlsx&amp;sheet=U0&amp;row=11300&amp;col=6&amp;number=4.6&amp;sourceID=14","4.6")</f>
        <v>4.6</v>
      </c>
      <c r="G11300" s="4" t="str">
        <f>HYPERLINK("http://141.218.60.56/~jnz1568/getInfo.php?workbook=20_05.xlsx&amp;sheet=U0&amp;row=11300&amp;col=7&amp;number=0.0014&amp;sourceID=14","0.0014")</f>
        <v>0.0014</v>
      </c>
    </row>
    <row r="11301" spans="1:7">
      <c r="A11301" s="3"/>
      <c r="B11301" s="3"/>
      <c r="C11301" s="3"/>
      <c r="D11301" s="3"/>
      <c r="E11301" s="3">
        <v>18</v>
      </c>
      <c r="F11301" s="4" t="str">
        <f>HYPERLINK("http://141.218.60.56/~jnz1568/getInfo.php?workbook=20_05.xlsx&amp;sheet=U0&amp;row=11301&amp;col=6&amp;number=4.7&amp;sourceID=14","4.7")</f>
        <v>4.7</v>
      </c>
      <c r="G11301" s="4" t="str">
        <f>HYPERLINK("http://141.218.60.56/~jnz1568/getInfo.php?workbook=20_05.xlsx&amp;sheet=U0&amp;row=11301&amp;col=7&amp;number=0.0014&amp;sourceID=14","0.0014")</f>
        <v>0.0014</v>
      </c>
    </row>
    <row r="11302" spans="1:7">
      <c r="A11302" s="3"/>
      <c r="B11302" s="3"/>
      <c r="C11302" s="3"/>
      <c r="D11302" s="3"/>
      <c r="E11302" s="3">
        <v>19</v>
      </c>
      <c r="F11302" s="4" t="str">
        <f>HYPERLINK("http://141.218.60.56/~jnz1568/getInfo.php?workbook=20_05.xlsx&amp;sheet=U0&amp;row=11302&amp;col=6&amp;number=4.8&amp;sourceID=14","4.8")</f>
        <v>4.8</v>
      </c>
      <c r="G11302" s="4" t="str">
        <f>HYPERLINK("http://141.218.60.56/~jnz1568/getInfo.php?workbook=20_05.xlsx&amp;sheet=U0&amp;row=11302&amp;col=7&amp;number=0.0014&amp;sourceID=14","0.0014")</f>
        <v>0.0014</v>
      </c>
    </row>
    <row r="11303" spans="1:7">
      <c r="A11303" s="3"/>
      <c r="B11303" s="3"/>
      <c r="C11303" s="3"/>
      <c r="D11303" s="3"/>
      <c r="E11303" s="3">
        <v>20</v>
      </c>
      <c r="F11303" s="4" t="str">
        <f>HYPERLINK("http://141.218.60.56/~jnz1568/getInfo.php?workbook=20_05.xlsx&amp;sheet=U0&amp;row=11303&amp;col=6&amp;number=4.9&amp;sourceID=14","4.9")</f>
        <v>4.9</v>
      </c>
      <c r="G11303" s="4" t="str">
        <f>HYPERLINK("http://141.218.60.56/~jnz1568/getInfo.php?workbook=20_05.xlsx&amp;sheet=U0&amp;row=11303&amp;col=7&amp;number=0.00141&amp;sourceID=14","0.00141")</f>
        <v>0.00141</v>
      </c>
    </row>
    <row r="11304" spans="1:7">
      <c r="A11304" s="3">
        <v>20</v>
      </c>
      <c r="B11304" s="3">
        <v>5</v>
      </c>
      <c r="C11304" s="3">
        <v>5</v>
      </c>
      <c r="D11304" s="3">
        <v>100</v>
      </c>
      <c r="E11304" s="3">
        <v>1</v>
      </c>
      <c r="F11304" s="4" t="str">
        <f>HYPERLINK("http://141.218.60.56/~jnz1568/getInfo.php?workbook=20_05.xlsx&amp;sheet=U0&amp;row=11304&amp;col=6&amp;number=3&amp;sourceID=14","3")</f>
        <v>3</v>
      </c>
      <c r="G11304" s="4" t="str">
        <f>HYPERLINK("http://141.218.60.56/~jnz1568/getInfo.php?workbook=20_05.xlsx&amp;sheet=U0&amp;row=11304&amp;col=7&amp;number=0.000379&amp;sourceID=14","0.000379")</f>
        <v>0.000379</v>
      </c>
    </row>
    <row r="11305" spans="1:7">
      <c r="A11305" s="3"/>
      <c r="B11305" s="3"/>
      <c r="C11305" s="3"/>
      <c r="D11305" s="3"/>
      <c r="E11305" s="3">
        <v>2</v>
      </c>
      <c r="F11305" s="4" t="str">
        <f>HYPERLINK("http://141.218.60.56/~jnz1568/getInfo.php?workbook=20_05.xlsx&amp;sheet=U0&amp;row=11305&amp;col=6&amp;number=3.1&amp;sourceID=14","3.1")</f>
        <v>3.1</v>
      </c>
      <c r="G11305" s="4" t="str">
        <f>HYPERLINK("http://141.218.60.56/~jnz1568/getInfo.php?workbook=20_05.xlsx&amp;sheet=U0&amp;row=11305&amp;col=7&amp;number=0.000379&amp;sourceID=14","0.000379")</f>
        <v>0.000379</v>
      </c>
    </row>
    <row r="11306" spans="1:7">
      <c r="A11306" s="3"/>
      <c r="B11306" s="3"/>
      <c r="C11306" s="3"/>
      <c r="D11306" s="3"/>
      <c r="E11306" s="3">
        <v>3</v>
      </c>
      <c r="F11306" s="4" t="str">
        <f>HYPERLINK("http://141.218.60.56/~jnz1568/getInfo.php?workbook=20_05.xlsx&amp;sheet=U0&amp;row=11306&amp;col=6&amp;number=3.2&amp;sourceID=14","3.2")</f>
        <v>3.2</v>
      </c>
      <c r="G11306" s="4" t="str">
        <f>HYPERLINK("http://141.218.60.56/~jnz1568/getInfo.php?workbook=20_05.xlsx&amp;sheet=U0&amp;row=11306&amp;col=7&amp;number=0.000379&amp;sourceID=14","0.000379")</f>
        <v>0.000379</v>
      </c>
    </row>
    <row r="11307" spans="1:7">
      <c r="A11307" s="3"/>
      <c r="B11307" s="3"/>
      <c r="C11307" s="3"/>
      <c r="D11307" s="3"/>
      <c r="E11307" s="3">
        <v>4</v>
      </c>
      <c r="F11307" s="4" t="str">
        <f>HYPERLINK("http://141.218.60.56/~jnz1568/getInfo.php?workbook=20_05.xlsx&amp;sheet=U0&amp;row=11307&amp;col=6&amp;number=3.3&amp;sourceID=14","3.3")</f>
        <v>3.3</v>
      </c>
      <c r="G11307" s="4" t="str">
        <f>HYPERLINK("http://141.218.60.56/~jnz1568/getInfo.php?workbook=20_05.xlsx&amp;sheet=U0&amp;row=11307&amp;col=7&amp;number=0.000379&amp;sourceID=14","0.000379")</f>
        <v>0.000379</v>
      </c>
    </row>
    <row r="11308" spans="1:7">
      <c r="A11308" s="3"/>
      <c r="B11308" s="3"/>
      <c r="C11308" s="3"/>
      <c r="D11308" s="3"/>
      <c r="E11308" s="3">
        <v>5</v>
      </c>
      <c r="F11308" s="4" t="str">
        <f>HYPERLINK("http://141.218.60.56/~jnz1568/getInfo.php?workbook=20_05.xlsx&amp;sheet=U0&amp;row=11308&amp;col=6&amp;number=3.4&amp;sourceID=14","3.4")</f>
        <v>3.4</v>
      </c>
      <c r="G11308" s="4" t="str">
        <f>HYPERLINK("http://141.218.60.56/~jnz1568/getInfo.php?workbook=20_05.xlsx&amp;sheet=U0&amp;row=11308&amp;col=7&amp;number=0.000379&amp;sourceID=14","0.000379")</f>
        <v>0.000379</v>
      </c>
    </row>
    <row r="11309" spans="1:7">
      <c r="A11309" s="3"/>
      <c r="B11309" s="3"/>
      <c r="C11309" s="3"/>
      <c r="D11309" s="3"/>
      <c r="E11309" s="3">
        <v>6</v>
      </c>
      <c r="F11309" s="4" t="str">
        <f>HYPERLINK("http://141.218.60.56/~jnz1568/getInfo.php?workbook=20_05.xlsx&amp;sheet=U0&amp;row=11309&amp;col=6&amp;number=3.5&amp;sourceID=14","3.5")</f>
        <v>3.5</v>
      </c>
      <c r="G11309" s="4" t="str">
        <f>HYPERLINK("http://141.218.60.56/~jnz1568/getInfo.php?workbook=20_05.xlsx&amp;sheet=U0&amp;row=11309&amp;col=7&amp;number=0.000379&amp;sourceID=14","0.000379")</f>
        <v>0.000379</v>
      </c>
    </row>
    <row r="11310" spans="1:7">
      <c r="A11310" s="3"/>
      <c r="B11310" s="3"/>
      <c r="C11310" s="3"/>
      <c r="D11310" s="3"/>
      <c r="E11310" s="3">
        <v>7</v>
      </c>
      <c r="F11310" s="4" t="str">
        <f>HYPERLINK("http://141.218.60.56/~jnz1568/getInfo.php?workbook=20_05.xlsx&amp;sheet=U0&amp;row=11310&amp;col=6&amp;number=3.6&amp;sourceID=14","3.6")</f>
        <v>3.6</v>
      </c>
      <c r="G11310" s="4" t="str">
        <f>HYPERLINK("http://141.218.60.56/~jnz1568/getInfo.php?workbook=20_05.xlsx&amp;sheet=U0&amp;row=11310&amp;col=7&amp;number=0.000379&amp;sourceID=14","0.000379")</f>
        <v>0.000379</v>
      </c>
    </row>
    <row r="11311" spans="1:7">
      <c r="A11311" s="3"/>
      <c r="B11311" s="3"/>
      <c r="C11311" s="3"/>
      <c r="D11311" s="3"/>
      <c r="E11311" s="3">
        <v>8</v>
      </c>
      <c r="F11311" s="4" t="str">
        <f>HYPERLINK("http://141.218.60.56/~jnz1568/getInfo.php?workbook=20_05.xlsx&amp;sheet=U0&amp;row=11311&amp;col=6&amp;number=3.7&amp;sourceID=14","3.7")</f>
        <v>3.7</v>
      </c>
      <c r="G11311" s="4" t="str">
        <f>HYPERLINK("http://141.218.60.56/~jnz1568/getInfo.php?workbook=20_05.xlsx&amp;sheet=U0&amp;row=11311&amp;col=7&amp;number=0.000379&amp;sourceID=14","0.000379")</f>
        <v>0.000379</v>
      </c>
    </row>
    <row r="11312" spans="1:7">
      <c r="A11312" s="3"/>
      <c r="B11312" s="3"/>
      <c r="C11312" s="3"/>
      <c r="D11312" s="3"/>
      <c r="E11312" s="3">
        <v>9</v>
      </c>
      <c r="F11312" s="4" t="str">
        <f>HYPERLINK("http://141.218.60.56/~jnz1568/getInfo.php?workbook=20_05.xlsx&amp;sheet=U0&amp;row=11312&amp;col=6&amp;number=3.8&amp;sourceID=14","3.8")</f>
        <v>3.8</v>
      </c>
      <c r="G11312" s="4" t="str">
        <f>HYPERLINK("http://141.218.60.56/~jnz1568/getInfo.php?workbook=20_05.xlsx&amp;sheet=U0&amp;row=11312&amp;col=7&amp;number=0.000379&amp;sourceID=14","0.000379")</f>
        <v>0.000379</v>
      </c>
    </row>
    <row r="11313" spans="1:7">
      <c r="A11313" s="3"/>
      <c r="B11313" s="3"/>
      <c r="C11313" s="3"/>
      <c r="D11313" s="3"/>
      <c r="E11313" s="3">
        <v>10</v>
      </c>
      <c r="F11313" s="4" t="str">
        <f>HYPERLINK("http://141.218.60.56/~jnz1568/getInfo.php?workbook=20_05.xlsx&amp;sheet=U0&amp;row=11313&amp;col=6&amp;number=3.9&amp;sourceID=14","3.9")</f>
        <v>3.9</v>
      </c>
      <c r="G11313" s="4" t="str">
        <f>HYPERLINK("http://141.218.60.56/~jnz1568/getInfo.php?workbook=20_05.xlsx&amp;sheet=U0&amp;row=11313&amp;col=7&amp;number=0.00038&amp;sourceID=14","0.00038")</f>
        <v>0.00038</v>
      </c>
    </row>
    <row r="11314" spans="1:7">
      <c r="A11314" s="3"/>
      <c r="B11314" s="3"/>
      <c r="C11314" s="3"/>
      <c r="D11314" s="3"/>
      <c r="E11314" s="3">
        <v>11</v>
      </c>
      <c r="F11314" s="4" t="str">
        <f>HYPERLINK("http://141.218.60.56/~jnz1568/getInfo.php?workbook=20_05.xlsx&amp;sheet=U0&amp;row=11314&amp;col=6&amp;number=4&amp;sourceID=14","4")</f>
        <v>4</v>
      </c>
      <c r="G11314" s="4" t="str">
        <f>HYPERLINK("http://141.218.60.56/~jnz1568/getInfo.php?workbook=20_05.xlsx&amp;sheet=U0&amp;row=11314&amp;col=7&amp;number=0.00038&amp;sourceID=14","0.00038")</f>
        <v>0.00038</v>
      </c>
    </row>
    <row r="11315" spans="1:7">
      <c r="A11315" s="3"/>
      <c r="B11315" s="3"/>
      <c r="C11315" s="3"/>
      <c r="D11315" s="3"/>
      <c r="E11315" s="3">
        <v>12</v>
      </c>
      <c r="F11315" s="4" t="str">
        <f>HYPERLINK("http://141.218.60.56/~jnz1568/getInfo.php?workbook=20_05.xlsx&amp;sheet=U0&amp;row=11315&amp;col=6&amp;number=4.1&amp;sourceID=14","4.1")</f>
        <v>4.1</v>
      </c>
      <c r="G11315" s="4" t="str">
        <f>HYPERLINK("http://141.218.60.56/~jnz1568/getInfo.php?workbook=20_05.xlsx&amp;sheet=U0&amp;row=11315&amp;col=7&amp;number=0.00038&amp;sourceID=14","0.00038")</f>
        <v>0.00038</v>
      </c>
    </row>
    <row r="11316" spans="1:7">
      <c r="A11316" s="3"/>
      <c r="B11316" s="3"/>
      <c r="C11316" s="3"/>
      <c r="D11316" s="3"/>
      <c r="E11316" s="3">
        <v>13</v>
      </c>
      <c r="F11316" s="4" t="str">
        <f>HYPERLINK("http://141.218.60.56/~jnz1568/getInfo.php?workbook=20_05.xlsx&amp;sheet=U0&amp;row=11316&amp;col=6&amp;number=4.2&amp;sourceID=14","4.2")</f>
        <v>4.2</v>
      </c>
      <c r="G11316" s="4" t="str">
        <f>HYPERLINK("http://141.218.60.56/~jnz1568/getInfo.php?workbook=20_05.xlsx&amp;sheet=U0&amp;row=11316&amp;col=7&amp;number=0.00038&amp;sourceID=14","0.00038")</f>
        <v>0.00038</v>
      </c>
    </row>
    <row r="11317" spans="1:7">
      <c r="A11317" s="3"/>
      <c r="B11317" s="3"/>
      <c r="C11317" s="3"/>
      <c r="D11317" s="3"/>
      <c r="E11317" s="3">
        <v>14</v>
      </c>
      <c r="F11317" s="4" t="str">
        <f>HYPERLINK("http://141.218.60.56/~jnz1568/getInfo.php?workbook=20_05.xlsx&amp;sheet=U0&amp;row=11317&amp;col=6&amp;number=4.3&amp;sourceID=14","4.3")</f>
        <v>4.3</v>
      </c>
      <c r="G11317" s="4" t="str">
        <f>HYPERLINK("http://141.218.60.56/~jnz1568/getInfo.php?workbook=20_05.xlsx&amp;sheet=U0&amp;row=11317&amp;col=7&amp;number=0.00038&amp;sourceID=14","0.00038")</f>
        <v>0.00038</v>
      </c>
    </row>
    <row r="11318" spans="1:7">
      <c r="A11318" s="3"/>
      <c r="B11318" s="3"/>
      <c r="C11318" s="3"/>
      <c r="D11318" s="3"/>
      <c r="E11318" s="3">
        <v>15</v>
      </c>
      <c r="F11318" s="4" t="str">
        <f>HYPERLINK("http://141.218.60.56/~jnz1568/getInfo.php?workbook=20_05.xlsx&amp;sheet=U0&amp;row=11318&amp;col=6&amp;number=4.4&amp;sourceID=14","4.4")</f>
        <v>4.4</v>
      </c>
      <c r="G11318" s="4" t="str">
        <f>HYPERLINK("http://141.218.60.56/~jnz1568/getInfo.php?workbook=20_05.xlsx&amp;sheet=U0&amp;row=11318&amp;col=7&amp;number=0.00038&amp;sourceID=14","0.00038")</f>
        <v>0.00038</v>
      </c>
    </row>
    <row r="11319" spans="1:7">
      <c r="A11319" s="3"/>
      <c r="B11319" s="3"/>
      <c r="C11319" s="3"/>
      <c r="D11319" s="3"/>
      <c r="E11319" s="3">
        <v>16</v>
      </c>
      <c r="F11319" s="4" t="str">
        <f>HYPERLINK("http://141.218.60.56/~jnz1568/getInfo.php?workbook=20_05.xlsx&amp;sheet=U0&amp;row=11319&amp;col=6&amp;number=4.5&amp;sourceID=14","4.5")</f>
        <v>4.5</v>
      </c>
      <c r="G11319" s="4" t="str">
        <f>HYPERLINK("http://141.218.60.56/~jnz1568/getInfo.php?workbook=20_05.xlsx&amp;sheet=U0&amp;row=11319&amp;col=7&amp;number=0.00038&amp;sourceID=14","0.00038")</f>
        <v>0.00038</v>
      </c>
    </row>
    <row r="11320" spans="1:7">
      <c r="A11320" s="3"/>
      <c r="B11320" s="3"/>
      <c r="C11320" s="3"/>
      <c r="D11320" s="3"/>
      <c r="E11320" s="3">
        <v>17</v>
      </c>
      <c r="F11320" s="4" t="str">
        <f>HYPERLINK("http://141.218.60.56/~jnz1568/getInfo.php?workbook=20_05.xlsx&amp;sheet=U0&amp;row=11320&amp;col=6&amp;number=4.6&amp;sourceID=14","4.6")</f>
        <v>4.6</v>
      </c>
      <c r="G11320" s="4" t="str">
        <f>HYPERLINK("http://141.218.60.56/~jnz1568/getInfo.php?workbook=20_05.xlsx&amp;sheet=U0&amp;row=11320&amp;col=7&amp;number=0.000381&amp;sourceID=14","0.000381")</f>
        <v>0.000381</v>
      </c>
    </row>
    <row r="11321" spans="1:7">
      <c r="A11321" s="3"/>
      <c r="B11321" s="3"/>
      <c r="C11321" s="3"/>
      <c r="D11321" s="3"/>
      <c r="E11321" s="3">
        <v>18</v>
      </c>
      <c r="F11321" s="4" t="str">
        <f>HYPERLINK("http://141.218.60.56/~jnz1568/getInfo.php?workbook=20_05.xlsx&amp;sheet=U0&amp;row=11321&amp;col=6&amp;number=4.7&amp;sourceID=14","4.7")</f>
        <v>4.7</v>
      </c>
      <c r="G11321" s="4" t="str">
        <f>HYPERLINK("http://141.218.60.56/~jnz1568/getInfo.php?workbook=20_05.xlsx&amp;sheet=U0&amp;row=11321&amp;col=7&amp;number=0.000381&amp;sourceID=14","0.000381")</f>
        <v>0.000381</v>
      </c>
    </row>
    <row r="11322" spans="1:7">
      <c r="A11322" s="3"/>
      <c r="B11322" s="3"/>
      <c r="C11322" s="3"/>
      <c r="D11322" s="3"/>
      <c r="E11322" s="3">
        <v>19</v>
      </c>
      <c r="F11322" s="4" t="str">
        <f>HYPERLINK("http://141.218.60.56/~jnz1568/getInfo.php?workbook=20_05.xlsx&amp;sheet=U0&amp;row=11322&amp;col=6&amp;number=4.8&amp;sourceID=14","4.8")</f>
        <v>4.8</v>
      </c>
      <c r="G11322" s="4" t="str">
        <f>HYPERLINK("http://141.218.60.56/~jnz1568/getInfo.php?workbook=20_05.xlsx&amp;sheet=U0&amp;row=11322&amp;col=7&amp;number=0.000381&amp;sourceID=14","0.000381")</f>
        <v>0.000381</v>
      </c>
    </row>
    <row r="11323" spans="1:7">
      <c r="A11323" s="3"/>
      <c r="B11323" s="3"/>
      <c r="C11323" s="3"/>
      <c r="D11323" s="3"/>
      <c r="E11323" s="3">
        <v>20</v>
      </c>
      <c r="F11323" s="4" t="str">
        <f>HYPERLINK("http://141.218.60.56/~jnz1568/getInfo.php?workbook=20_05.xlsx&amp;sheet=U0&amp;row=11323&amp;col=6&amp;number=4.9&amp;sourceID=14","4.9")</f>
        <v>4.9</v>
      </c>
      <c r="G11323" s="4" t="str">
        <f>HYPERLINK("http://141.218.60.56/~jnz1568/getInfo.php?workbook=20_05.xlsx&amp;sheet=U0&amp;row=11323&amp;col=7&amp;number=0.000382&amp;sourceID=14","0.000382")</f>
        <v>0.000382</v>
      </c>
    </row>
    <row r="11324" spans="1:7">
      <c r="A11324" s="3">
        <v>20</v>
      </c>
      <c r="B11324" s="3">
        <v>5</v>
      </c>
      <c r="C11324" s="3">
        <v>5</v>
      </c>
      <c r="D11324" s="3">
        <v>101</v>
      </c>
      <c r="E11324" s="3">
        <v>1</v>
      </c>
      <c r="F11324" s="4" t="str">
        <f>HYPERLINK("http://141.218.60.56/~jnz1568/getInfo.php?workbook=20_05.xlsx&amp;sheet=U0&amp;row=11324&amp;col=6&amp;number=3&amp;sourceID=14","3")</f>
        <v>3</v>
      </c>
      <c r="G11324" s="4" t="str">
        <f>HYPERLINK("http://141.218.60.56/~jnz1568/getInfo.php?workbook=20_05.xlsx&amp;sheet=U0&amp;row=11324&amp;col=7&amp;number=0.00447&amp;sourceID=14","0.00447")</f>
        <v>0.00447</v>
      </c>
    </row>
    <row r="11325" spans="1:7">
      <c r="A11325" s="3"/>
      <c r="B11325" s="3"/>
      <c r="C11325" s="3"/>
      <c r="D11325" s="3"/>
      <c r="E11325" s="3">
        <v>2</v>
      </c>
      <c r="F11325" s="4" t="str">
        <f>HYPERLINK("http://141.218.60.56/~jnz1568/getInfo.php?workbook=20_05.xlsx&amp;sheet=U0&amp;row=11325&amp;col=6&amp;number=3.1&amp;sourceID=14","3.1")</f>
        <v>3.1</v>
      </c>
      <c r="G11325" s="4" t="str">
        <f>HYPERLINK("http://141.218.60.56/~jnz1568/getInfo.php?workbook=20_05.xlsx&amp;sheet=U0&amp;row=11325&amp;col=7&amp;number=0.00447&amp;sourceID=14","0.00447")</f>
        <v>0.00447</v>
      </c>
    </row>
    <row r="11326" spans="1:7">
      <c r="A11326" s="3"/>
      <c r="B11326" s="3"/>
      <c r="C11326" s="3"/>
      <c r="D11326" s="3"/>
      <c r="E11326" s="3">
        <v>3</v>
      </c>
      <c r="F11326" s="4" t="str">
        <f>HYPERLINK("http://141.218.60.56/~jnz1568/getInfo.php?workbook=20_05.xlsx&amp;sheet=U0&amp;row=11326&amp;col=6&amp;number=3.2&amp;sourceID=14","3.2")</f>
        <v>3.2</v>
      </c>
      <c r="G11326" s="4" t="str">
        <f>HYPERLINK("http://141.218.60.56/~jnz1568/getInfo.php?workbook=20_05.xlsx&amp;sheet=U0&amp;row=11326&amp;col=7&amp;number=0.00447&amp;sourceID=14","0.00447")</f>
        <v>0.00447</v>
      </c>
    </row>
    <row r="11327" spans="1:7">
      <c r="A11327" s="3"/>
      <c r="B11327" s="3"/>
      <c r="C11327" s="3"/>
      <c r="D11327" s="3"/>
      <c r="E11327" s="3">
        <v>4</v>
      </c>
      <c r="F11327" s="4" t="str">
        <f>HYPERLINK("http://141.218.60.56/~jnz1568/getInfo.php?workbook=20_05.xlsx&amp;sheet=U0&amp;row=11327&amp;col=6&amp;number=3.3&amp;sourceID=14","3.3")</f>
        <v>3.3</v>
      </c>
      <c r="G11327" s="4" t="str">
        <f>HYPERLINK("http://141.218.60.56/~jnz1568/getInfo.php?workbook=20_05.xlsx&amp;sheet=U0&amp;row=11327&amp;col=7&amp;number=0.00447&amp;sourceID=14","0.00447")</f>
        <v>0.00447</v>
      </c>
    </row>
    <row r="11328" spans="1:7">
      <c r="A11328" s="3"/>
      <c r="B11328" s="3"/>
      <c r="C11328" s="3"/>
      <c r="D11328" s="3"/>
      <c r="E11328" s="3">
        <v>5</v>
      </c>
      <c r="F11328" s="4" t="str">
        <f>HYPERLINK("http://141.218.60.56/~jnz1568/getInfo.php?workbook=20_05.xlsx&amp;sheet=U0&amp;row=11328&amp;col=6&amp;number=3.4&amp;sourceID=14","3.4")</f>
        <v>3.4</v>
      </c>
      <c r="G11328" s="4" t="str">
        <f>HYPERLINK("http://141.218.60.56/~jnz1568/getInfo.php?workbook=20_05.xlsx&amp;sheet=U0&amp;row=11328&amp;col=7&amp;number=0.00447&amp;sourceID=14","0.00447")</f>
        <v>0.00447</v>
      </c>
    </row>
    <row r="11329" spans="1:7">
      <c r="A11329" s="3"/>
      <c r="B11329" s="3"/>
      <c r="C11329" s="3"/>
      <c r="D11329" s="3"/>
      <c r="E11329" s="3">
        <v>6</v>
      </c>
      <c r="F11329" s="4" t="str">
        <f>HYPERLINK("http://141.218.60.56/~jnz1568/getInfo.php?workbook=20_05.xlsx&amp;sheet=U0&amp;row=11329&amp;col=6&amp;number=3.5&amp;sourceID=14","3.5")</f>
        <v>3.5</v>
      </c>
      <c r="G11329" s="4" t="str">
        <f>HYPERLINK("http://141.218.60.56/~jnz1568/getInfo.php?workbook=20_05.xlsx&amp;sheet=U0&amp;row=11329&amp;col=7&amp;number=0.00447&amp;sourceID=14","0.00447")</f>
        <v>0.00447</v>
      </c>
    </row>
    <row r="11330" spans="1:7">
      <c r="A11330" s="3"/>
      <c r="B11330" s="3"/>
      <c r="C11330" s="3"/>
      <c r="D11330" s="3"/>
      <c r="E11330" s="3">
        <v>7</v>
      </c>
      <c r="F11330" s="4" t="str">
        <f>HYPERLINK("http://141.218.60.56/~jnz1568/getInfo.php?workbook=20_05.xlsx&amp;sheet=U0&amp;row=11330&amp;col=6&amp;number=3.6&amp;sourceID=14","3.6")</f>
        <v>3.6</v>
      </c>
      <c r="G11330" s="4" t="str">
        <f>HYPERLINK("http://141.218.60.56/~jnz1568/getInfo.php?workbook=20_05.xlsx&amp;sheet=U0&amp;row=11330&amp;col=7&amp;number=0.00447&amp;sourceID=14","0.00447")</f>
        <v>0.00447</v>
      </c>
    </row>
    <row r="11331" spans="1:7">
      <c r="A11331" s="3"/>
      <c r="B11331" s="3"/>
      <c r="C11331" s="3"/>
      <c r="D11331" s="3"/>
      <c r="E11331" s="3">
        <v>8</v>
      </c>
      <c r="F11331" s="4" t="str">
        <f>HYPERLINK("http://141.218.60.56/~jnz1568/getInfo.php?workbook=20_05.xlsx&amp;sheet=U0&amp;row=11331&amp;col=6&amp;number=3.7&amp;sourceID=14","3.7")</f>
        <v>3.7</v>
      </c>
      <c r="G11331" s="4" t="str">
        <f>HYPERLINK("http://141.218.60.56/~jnz1568/getInfo.php?workbook=20_05.xlsx&amp;sheet=U0&amp;row=11331&amp;col=7&amp;number=0.00447&amp;sourceID=14","0.00447")</f>
        <v>0.00447</v>
      </c>
    </row>
    <row r="11332" spans="1:7">
      <c r="A11332" s="3"/>
      <c r="B11332" s="3"/>
      <c r="C11332" s="3"/>
      <c r="D11332" s="3"/>
      <c r="E11332" s="3">
        <v>9</v>
      </c>
      <c r="F11332" s="4" t="str">
        <f>HYPERLINK("http://141.218.60.56/~jnz1568/getInfo.php?workbook=20_05.xlsx&amp;sheet=U0&amp;row=11332&amp;col=6&amp;number=3.8&amp;sourceID=14","3.8")</f>
        <v>3.8</v>
      </c>
      <c r="G11332" s="4" t="str">
        <f>HYPERLINK("http://141.218.60.56/~jnz1568/getInfo.php?workbook=20_05.xlsx&amp;sheet=U0&amp;row=11332&amp;col=7&amp;number=0.00448&amp;sourceID=14","0.00448")</f>
        <v>0.00448</v>
      </c>
    </row>
    <row r="11333" spans="1:7">
      <c r="A11333" s="3"/>
      <c r="B11333" s="3"/>
      <c r="C11333" s="3"/>
      <c r="D11333" s="3"/>
      <c r="E11333" s="3">
        <v>10</v>
      </c>
      <c r="F11333" s="4" t="str">
        <f>HYPERLINK("http://141.218.60.56/~jnz1568/getInfo.php?workbook=20_05.xlsx&amp;sheet=U0&amp;row=11333&amp;col=6&amp;number=3.9&amp;sourceID=14","3.9")</f>
        <v>3.9</v>
      </c>
      <c r="G11333" s="4" t="str">
        <f>HYPERLINK("http://141.218.60.56/~jnz1568/getInfo.php?workbook=20_05.xlsx&amp;sheet=U0&amp;row=11333&amp;col=7&amp;number=0.00448&amp;sourceID=14","0.00448")</f>
        <v>0.00448</v>
      </c>
    </row>
    <row r="11334" spans="1:7">
      <c r="A11334" s="3"/>
      <c r="B11334" s="3"/>
      <c r="C11334" s="3"/>
      <c r="D11334" s="3"/>
      <c r="E11334" s="3">
        <v>11</v>
      </c>
      <c r="F11334" s="4" t="str">
        <f>HYPERLINK("http://141.218.60.56/~jnz1568/getInfo.php?workbook=20_05.xlsx&amp;sheet=U0&amp;row=11334&amp;col=6&amp;number=4&amp;sourceID=14","4")</f>
        <v>4</v>
      </c>
      <c r="G11334" s="4" t="str">
        <f>HYPERLINK("http://141.218.60.56/~jnz1568/getInfo.php?workbook=20_05.xlsx&amp;sheet=U0&amp;row=11334&amp;col=7&amp;number=0.00448&amp;sourceID=14","0.00448")</f>
        <v>0.00448</v>
      </c>
    </row>
    <row r="11335" spans="1:7">
      <c r="A11335" s="3"/>
      <c r="B11335" s="3"/>
      <c r="C11335" s="3"/>
      <c r="D11335" s="3"/>
      <c r="E11335" s="3">
        <v>12</v>
      </c>
      <c r="F11335" s="4" t="str">
        <f>HYPERLINK("http://141.218.60.56/~jnz1568/getInfo.php?workbook=20_05.xlsx&amp;sheet=U0&amp;row=11335&amp;col=6&amp;number=4.1&amp;sourceID=14","4.1")</f>
        <v>4.1</v>
      </c>
      <c r="G11335" s="4" t="str">
        <f>HYPERLINK("http://141.218.60.56/~jnz1568/getInfo.php?workbook=20_05.xlsx&amp;sheet=U0&amp;row=11335&amp;col=7&amp;number=0.00448&amp;sourceID=14","0.00448")</f>
        <v>0.00448</v>
      </c>
    </row>
    <row r="11336" spans="1:7">
      <c r="A11336" s="3"/>
      <c r="B11336" s="3"/>
      <c r="C11336" s="3"/>
      <c r="D11336" s="3"/>
      <c r="E11336" s="3">
        <v>13</v>
      </c>
      <c r="F11336" s="4" t="str">
        <f>HYPERLINK("http://141.218.60.56/~jnz1568/getInfo.php?workbook=20_05.xlsx&amp;sheet=U0&amp;row=11336&amp;col=6&amp;number=4.2&amp;sourceID=14","4.2")</f>
        <v>4.2</v>
      </c>
      <c r="G11336" s="4" t="str">
        <f>HYPERLINK("http://141.218.60.56/~jnz1568/getInfo.php?workbook=20_05.xlsx&amp;sheet=U0&amp;row=11336&amp;col=7&amp;number=0.00449&amp;sourceID=14","0.00449")</f>
        <v>0.00449</v>
      </c>
    </row>
    <row r="11337" spans="1:7">
      <c r="A11337" s="3"/>
      <c r="B11337" s="3"/>
      <c r="C11337" s="3"/>
      <c r="D11337" s="3"/>
      <c r="E11337" s="3">
        <v>14</v>
      </c>
      <c r="F11337" s="4" t="str">
        <f>HYPERLINK("http://141.218.60.56/~jnz1568/getInfo.php?workbook=20_05.xlsx&amp;sheet=U0&amp;row=11337&amp;col=6&amp;number=4.3&amp;sourceID=14","4.3")</f>
        <v>4.3</v>
      </c>
      <c r="G11337" s="4" t="str">
        <f>HYPERLINK("http://141.218.60.56/~jnz1568/getInfo.php?workbook=20_05.xlsx&amp;sheet=U0&amp;row=11337&amp;col=7&amp;number=0.00449&amp;sourceID=14","0.00449")</f>
        <v>0.00449</v>
      </c>
    </row>
    <row r="11338" spans="1:7">
      <c r="A11338" s="3"/>
      <c r="B11338" s="3"/>
      <c r="C11338" s="3"/>
      <c r="D11338" s="3"/>
      <c r="E11338" s="3">
        <v>15</v>
      </c>
      <c r="F11338" s="4" t="str">
        <f>HYPERLINK("http://141.218.60.56/~jnz1568/getInfo.php?workbook=20_05.xlsx&amp;sheet=U0&amp;row=11338&amp;col=6&amp;number=4.4&amp;sourceID=14","4.4")</f>
        <v>4.4</v>
      </c>
      <c r="G11338" s="4" t="str">
        <f>HYPERLINK("http://141.218.60.56/~jnz1568/getInfo.php?workbook=20_05.xlsx&amp;sheet=U0&amp;row=11338&amp;col=7&amp;number=0.0045&amp;sourceID=14","0.0045")</f>
        <v>0.0045</v>
      </c>
    </row>
    <row r="11339" spans="1:7">
      <c r="A11339" s="3"/>
      <c r="B11339" s="3"/>
      <c r="C11339" s="3"/>
      <c r="D11339" s="3"/>
      <c r="E11339" s="3">
        <v>16</v>
      </c>
      <c r="F11339" s="4" t="str">
        <f>HYPERLINK("http://141.218.60.56/~jnz1568/getInfo.php?workbook=20_05.xlsx&amp;sheet=U0&amp;row=11339&amp;col=6&amp;number=4.5&amp;sourceID=14","4.5")</f>
        <v>4.5</v>
      </c>
      <c r="G11339" s="4" t="str">
        <f>HYPERLINK("http://141.218.60.56/~jnz1568/getInfo.php?workbook=20_05.xlsx&amp;sheet=U0&amp;row=11339&amp;col=7&amp;number=0.00451&amp;sourceID=14","0.00451")</f>
        <v>0.00451</v>
      </c>
    </row>
    <row r="11340" spans="1:7">
      <c r="A11340" s="3"/>
      <c r="B11340" s="3"/>
      <c r="C11340" s="3"/>
      <c r="D11340" s="3"/>
      <c r="E11340" s="3">
        <v>17</v>
      </c>
      <c r="F11340" s="4" t="str">
        <f>HYPERLINK("http://141.218.60.56/~jnz1568/getInfo.php?workbook=20_05.xlsx&amp;sheet=U0&amp;row=11340&amp;col=6&amp;number=4.6&amp;sourceID=14","4.6")</f>
        <v>4.6</v>
      </c>
      <c r="G11340" s="4" t="str">
        <f>HYPERLINK("http://141.218.60.56/~jnz1568/getInfo.php?workbook=20_05.xlsx&amp;sheet=U0&amp;row=11340&amp;col=7&amp;number=0.00452&amp;sourceID=14","0.00452")</f>
        <v>0.00452</v>
      </c>
    </row>
    <row r="11341" spans="1:7">
      <c r="A11341" s="3"/>
      <c r="B11341" s="3"/>
      <c r="C11341" s="3"/>
      <c r="D11341" s="3"/>
      <c r="E11341" s="3">
        <v>18</v>
      </c>
      <c r="F11341" s="4" t="str">
        <f>HYPERLINK("http://141.218.60.56/~jnz1568/getInfo.php?workbook=20_05.xlsx&amp;sheet=U0&amp;row=11341&amp;col=6&amp;number=4.7&amp;sourceID=14","4.7")</f>
        <v>4.7</v>
      </c>
      <c r="G11341" s="4" t="str">
        <f>HYPERLINK("http://141.218.60.56/~jnz1568/getInfo.php?workbook=20_05.xlsx&amp;sheet=U0&amp;row=11341&amp;col=7&amp;number=0.00454&amp;sourceID=14","0.00454")</f>
        <v>0.00454</v>
      </c>
    </row>
    <row r="11342" spans="1:7">
      <c r="A11342" s="3"/>
      <c r="B11342" s="3"/>
      <c r="C11342" s="3"/>
      <c r="D11342" s="3"/>
      <c r="E11342" s="3">
        <v>19</v>
      </c>
      <c r="F11342" s="4" t="str">
        <f>HYPERLINK("http://141.218.60.56/~jnz1568/getInfo.php?workbook=20_05.xlsx&amp;sheet=U0&amp;row=11342&amp;col=6&amp;number=4.8&amp;sourceID=14","4.8")</f>
        <v>4.8</v>
      </c>
      <c r="G11342" s="4" t="str">
        <f>HYPERLINK("http://141.218.60.56/~jnz1568/getInfo.php?workbook=20_05.xlsx&amp;sheet=U0&amp;row=11342&amp;col=7&amp;number=0.00456&amp;sourceID=14","0.00456")</f>
        <v>0.00456</v>
      </c>
    </row>
    <row r="11343" spans="1:7">
      <c r="A11343" s="3"/>
      <c r="B11343" s="3"/>
      <c r="C11343" s="3"/>
      <c r="D11343" s="3"/>
      <c r="E11343" s="3">
        <v>20</v>
      </c>
      <c r="F11343" s="4" t="str">
        <f>HYPERLINK("http://141.218.60.56/~jnz1568/getInfo.php?workbook=20_05.xlsx&amp;sheet=U0&amp;row=11343&amp;col=6&amp;number=4.9&amp;sourceID=14","4.9")</f>
        <v>4.9</v>
      </c>
      <c r="G11343" s="4" t="str">
        <f>HYPERLINK("http://141.218.60.56/~jnz1568/getInfo.php?workbook=20_05.xlsx&amp;sheet=U0&amp;row=11343&amp;col=7&amp;number=0.00458&amp;sourceID=14","0.00458")</f>
        <v>0.00458</v>
      </c>
    </row>
    <row r="11344" spans="1:7">
      <c r="A11344" s="3">
        <v>20</v>
      </c>
      <c r="B11344" s="3">
        <v>5</v>
      </c>
      <c r="C11344" s="3">
        <v>5</v>
      </c>
      <c r="D11344" s="3">
        <v>102</v>
      </c>
      <c r="E11344" s="3">
        <v>1</v>
      </c>
      <c r="F11344" s="4" t="str">
        <f>HYPERLINK("http://141.218.60.56/~jnz1568/getInfo.php?workbook=20_05.xlsx&amp;sheet=U0&amp;row=11344&amp;col=6&amp;number=3&amp;sourceID=14","3")</f>
        <v>3</v>
      </c>
      <c r="G11344" s="4" t="str">
        <f>HYPERLINK("http://141.218.60.56/~jnz1568/getInfo.php?workbook=20_05.xlsx&amp;sheet=U0&amp;row=11344&amp;col=7&amp;number=0.00156&amp;sourceID=14","0.00156")</f>
        <v>0.00156</v>
      </c>
    </row>
    <row r="11345" spans="1:7">
      <c r="A11345" s="3"/>
      <c r="B11345" s="3"/>
      <c r="C11345" s="3"/>
      <c r="D11345" s="3"/>
      <c r="E11345" s="3">
        <v>2</v>
      </c>
      <c r="F11345" s="4" t="str">
        <f>HYPERLINK("http://141.218.60.56/~jnz1568/getInfo.php?workbook=20_05.xlsx&amp;sheet=U0&amp;row=11345&amp;col=6&amp;number=3.1&amp;sourceID=14","3.1")</f>
        <v>3.1</v>
      </c>
      <c r="G11345" s="4" t="str">
        <f>HYPERLINK("http://141.218.60.56/~jnz1568/getInfo.php?workbook=20_05.xlsx&amp;sheet=U0&amp;row=11345&amp;col=7&amp;number=0.00156&amp;sourceID=14","0.00156")</f>
        <v>0.00156</v>
      </c>
    </row>
    <row r="11346" spans="1:7">
      <c r="A11346" s="3"/>
      <c r="B11346" s="3"/>
      <c r="C11346" s="3"/>
      <c r="D11346" s="3"/>
      <c r="E11346" s="3">
        <v>3</v>
      </c>
      <c r="F11346" s="4" t="str">
        <f>HYPERLINK("http://141.218.60.56/~jnz1568/getInfo.php?workbook=20_05.xlsx&amp;sheet=U0&amp;row=11346&amp;col=6&amp;number=3.2&amp;sourceID=14","3.2")</f>
        <v>3.2</v>
      </c>
      <c r="G11346" s="4" t="str">
        <f>HYPERLINK("http://141.218.60.56/~jnz1568/getInfo.php?workbook=20_05.xlsx&amp;sheet=U0&amp;row=11346&amp;col=7&amp;number=0.00156&amp;sourceID=14","0.00156")</f>
        <v>0.00156</v>
      </c>
    </row>
    <row r="11347" spans="1:7">
      <c r="A11347" s="3"/>
      <c r="B11347" s="3"/>
      <c r="C11347" s="3"/>
      <c r="D11347" s="3"/>
      <c r="E11347" s="3">
        <v>4</v>
      </c>
      <c r="F11347" s="4" t="str">
        <f>HYPERLINK("http://141.218.60.56/~jnz1568/getInfo.php?workbook=20_05.xlsx&amp;sheet=U0&amp;row=11347&amp;col=6&amp;number=3.3&amp;sourceID=14","3.3")</f>
        <v>3.3</v>
      </c>
      <c r="G11347" s="4" t="str">
        <f>HYPERLINK("http://141.218.60.56/~jnz1568/getInfo.php?workbook=20_05.xlsx&amp;sheet=U0&amp;row=11347&amp;col=7&amp;number=0.00156&amp;sourceID=14","0.00156")</f>
        <v>0.00156</v>
      </c>
    </row>
    <row r="11348" spans="1:7">
      <c r="A11348" s="3"/>
      <c r="B11348" s="3"/>
      <c r="C11348" s="3"/>
      <c r="D11348" s="3"/>
      <c r="E11348" s="3">
        <v>5</v>
      </c>
      <c r="F11348" s="4" t="str">
        <f>HYPERLINK("http://141.218.60.56/~jnz1568/getInfo.php?workbook=20_05.xlsx&amp;sheet=U0&amp;row=11348&amp;col=6&amp;number=3.4&amp;sourceID=14","3.4")</f>
        <v>3.4</v>
      </c>
      <c r="G11348" s="4" t="str">
        <f>HYPERLINK("http://141.218.60.56/~jnz1568/getInfo.php?workbook=20_05.xlsx&amp;sheet=U0&amp;row=11348&amp;col=7&amp;number=0.00156&amp;sourceID=14","0.00156")</f>
        <v>0.00156</v>
      </c>
    </row>
    <row r="11349" spans="1:7">
      <c r="A11349" s="3"/>
      <c r="B11349" s="3"/>
      <c r="C11349" s="3"/>
      <c r="D11349" s="3"/>
      <c r="E11349" s="3">
        <v>6</v>
      </c>
      <c r="F11349" s="4" t="str">
        <f>HYPERLINK("http://141.218.60.56/~jnz1568/getInfo.php?workbook=20_05.xlsx&amp;sheet=U0&amp;row=11349&amp;col=6&amp;number=3.5&amp;sourceID=14","3.5")</f>
        <v>3.5</v>
      </c>
      <c r="G11349" s="4" t="str">
        <f>HYPERLINK("http://141.218.60.56/~jnz1568/getInfo.php?workbook=20_05.xlsx&amp;sheet=U0&amp;row=11349&amp;col=7&amp;number=0.00156&amp;sourceID=14","0.00156")</f>
        <v>0.00156</v>
      </c>
    </row>
    <row r="11350" spans="1:7">
      <c r="A11350" s="3"/>
      <c r="B11350" s="3"/>
      <c r="C11350" s="3"/>
      <c r="D11350" s="3"/>
      <c r="E11350" s="3">
        <v>7</v>
      </c>
      <c r="F11350" s="4" t="str">
        <f>HYPERLINK("http://141.218.60.56/~jnz1568/getInfo.php?workbook=20_05.xlsx&amp;sheet=U0&amp;row=11350&amp;col=6&amp;number=3.6&amp;sourceID=14","3.6")</f>
        <v>3.6</v>
      </c>
      <c r="G11350" s="4" t="str">
        <f>HYPERLINK("http://141.218.60.56/~jnz1568/getInfo.php?workbook=20_05.xlsx&amp;sheet=U0&amp;row=11350&amp;col=7&amp;number=0.00156&amp;sourceID=14","0.00156")</f>
        <v>0.00156</v>
      </c>
    </row>
    <row r="11351" spans="1:7">
      <c r="A11351" s="3"/>
      <c r="B11351" s="3"/>
      <c r="C11351" s="3"/>
      <c r="D11351" s="3"/>
      <c r="E11351" s="3">
        <v>8</v>
      </c>
      <c r="F11351" s="4" t="str">
        <f>HYPERLINK("http://141.218.60.56/~jnz1568/getInfo.php?workbook=20_05.xlsx&amp;sheet=U0&amp;row=11351&amp;col=6&amp;number=3.7&amp;sourceID=14","3.7")</f>
        <v>3.7</v>
      </c>
      <c r="G11351" s="4" t="str">
        <f>HYPERLINK("http://141.218.60.56/~jnz1568/getInfo.php?workbook=20_05.xlsx&amp;sheet=U0&amp;row=11351&amp;col=7&amp;number=0.00156&amp;sourceID=14","0.00156")</f>
        <v>0.00156</v>
      </c>
    </row>
    <row r="11352" spans="1:7">
      <c r="A11352" s="3"/>
      <c r="B11352" s="3"/>
      <c r="C11352" s="3"/>
      <c r="D11352" s="3"/>
      <c r="E11352" s="3">
        <v>9</v>
      </c>
      <c r="F11352" s="4" t="str">
        <f>HYPERLINK("http://141.218.60.56/~jnz1568/getInfo.php?workbook=20_05.xlsx&amp;sheet=U0&amp;row=11352&amp;col=6&amp;number=3.8&amp;sourceID=14","3.8")</f>
        <v>3.8</v>
      </c>
      <c r="G11352" s="4" t="str">
        <f>HYPERLINK("http://141.218.60.56/~jnz1568/getInfo.php?workbook=20_05.xlsx&amp;sheet=U0&amp;row=11352&amp;col=7&amp;number=0.00157&amp;sourceID=14","0.00157")</f>
        <v>0.00157</v>
      </c>
    </row>
    <row r="11353" spans="1:7">
      <c r="A11353" s="3"/>
      <c r="B11353" s="3"/>
      <c r="C11353" s="3"/>
      <c r="D11353" s="3"/>
      <c r="E11353" s="3">
        <v>10</v>
      </c>
      <c r="F11353" s="4" t="str">
        <f>HYPERLINK("http://141.218.60.56/~jnz1568/getInfo.php?workbook=20_05.xlsx&amp;sheet=U0&amp;row=11353&amp;col=6&amp;number=3.9&amp;sourceID=14","3.9")</f>
        <v>3.9</v>
      </c>
      <c r="G11353" s="4" t="str">
        <f>HYPERLINK("http://141.218.60.56/~jnz1568/getInfo.php?workbook=20_05.xlsx&amp;sheet=U0&amp;row=11353&amp;col=7&amp;number=0.00157&amp;sourceID=14","0.00157")</f>
        <v>0.00157</v>
      </c>
    </row>
    <row r="11354" spans="1:7">
      <c r="A11354" s="3"/>
      <c r="B11354" s="3"/>
      <c r="C11354" s="3"/>
      <c r="D11354" s="3"/>
      <c r="E11354" s="3">
        <v>11</v>
      </c>
      <c r="F11354" s="4" t="str">
        <f>HYPERLINK("http://141.218.60.56/~jnz1568/getInfo.php?workbook=20_05.xlsx&amp;sheet=U0&amp;row=11354&amp;col=6&amp;number=4&amp;sourceID=14","4")</f>
        <v>4</v>
      </c>
      <c r="G11354" s="4" t="str">
        <f>HYPERLINK("http://141.218.60.56/~jnz1568/getInfo.php?workbook=20_05.xlsx&amp;sheet=U0&amp;row=11354&amp;col=7&amp;number=0.00157&amp;sourceID=14","0.00157")</f>
        <v>0.00157</v>
      </c>
    </row>
    <row r="11355" spans="1:7">
      <c r="A11355" s="3"/>
      <c r="B11355" s="3"/>
      <c r="C11355" s="3"/>
      <c r="D11355" s="3"/>
      <c r="E11355" s="3">
        <v>12</v>
      </c>
      <c r="F11355" s="4" t="str">
        <f>HYPERLINK("http://141.218.60.56/~jnz1568/getInfo.php?workbook=20_05.xlsx&amp;sheet=U0&amp;row=11355&amp;col=6&amp;number=4.1&amp;sourceID=14","4.1")</f>
        <v>4.1</v>
      </c>
      <c r="G11355" s="4" t="str">
        <f>HYPERLINK("http://141.218.60.56/~jnz1568/getInfo.php?workbook=20_05.xlsx&amp;sheet=U0&amp;row=11355&amp;col=7&amp;number=0.00157&amp;sourceID=14","0.00157")</f>
        <v>0.00157</v>
      </c>
    </row>
    <row r="11356" spans="1:7">
      <c r="A11356" s="3"/>
      <c r="B11356" s="3"/>
      <c r="C11356" s="3"/>
      <c r="D11356" s="3"/>
      <c r="E11356" s="3">
        <v>13</v>
      </c>
      <c r="F11356" s="4" t="str">
        <f>HYPERLINK("http://141.218.60.56/~jnz1568/getInfo.php?workbook=20_05.xlsx&amp;sheet=U0&amp;row=11356&amp;col=6&amp;number=4.2&amp;sourceID=14","4.2")</f>
        <v>4.2</v>
      </c>
      <c r="G11356" s="4" t="str">
        <f>HYPERLINK("http://141.218.60.56/~jnz1568/getInfo.php?workbook=20_05.xlsx&amp;sheet=U0&amp;row=11356&amp;col=7&amp;number=0.00157&amp;sourceID=14","0.00157")</f>
        <v>0.00157</v>
      </c>
    </row>
    <row r="11357" spans="1:7">
      <c r="A11357" s="3"/>
      <c r="B11357" s="3"/>
      <c r="C11357" s="3"/>
      <c r="D11357" s="3"/>
      <c r="E11357" s="3">
        <v>14</v>
      </c>
      <c r="F11357" s="4" t="str">
        <f>HYPERLINK("http://141.218.60.56/~jnz1568/getInfo.php?workbook=20_05.xlsx&amp;sheet=U0&amp;row=11357&amp;col=6&amp;number=4.3&amp;sourceID=14","4.3")</f>
        <v>4.3</v>
      </c>
      <c r="G11357" s="4" t="str">
        <f>HYPERLINK("http://141.218.60.56/~jnz1568/getInfo.php?workbook=20_05.xlsx&amp;sheet=U0&amp;row=11357&amp;col=7&amp;number=0.00157&amp;sourceID=14","0.00157")</f>
        <v>0.00157</v>
      </c>
    </row>
    <row r="11358" spans="1:7">
      <c r="A11358" s="3"/>
      <c r="B11358" s="3"/>
      <c r="C11358" s="3"/>
      <c r="D11358" s="3"/>
      <c r="E11358" s="3">
        <v>15</v>
      </c>
      <c r="F11358" s="4" t="str">
        <f>HYPERLINK("http://141.218.60.56/~jnz1568/getInfo.php?workbook=20_05.xlsx&amp;sheet=U0&amp;row=11358&amp;col=6&amp;number=4.4&amp;sourceID=14","4.4")</f>
        <v>4.4</v>
      </c>
      <c r="G11358" s="4" t="str">
        <f>HYPERLINK("http://141.218.60.56/~jnz1568/getInfo.php?workbook=20_05.xlsx&amp;sheet=U0&amp;row=11358&amp;col=7&amp;number=0.00157&amp;sourceID=14","0.00157")</f>
        <v>0.00157</v>
      </c>
    </row>
    <row r="11359" spans="1:7">
      <c r="A11359" s="3"/>
      <c r="B11359" s="3"/>
      <c r="C11359" s="3"/>
      <c r="D11359" s="3"/>
      <c r="E11359" s="3">
        <v>16</v>
      </c>
      <c r="F11359" s="4" t="str">
        <f>HYPERLINK("http://141.218.60.56/~jnz1568/getInfo.php?workbook=20_05.xlsx&amp;sheet=U0&amp;row=11359&amp;col=6&amp;number=4.5&amp;sourceID=14","4.5")</f>
        <v>4.5</v>
      </c>
      <c r="G11359" s="4" t="str">
        <f>HYPERLINK("http://141.218.60.56/~jnz1568/getInfo.php?workbook=20_05.xlsx&amp;sheet=U0&amp;row=11359&amp;col=7&amp;number=0.00157&amp;sourceID=14","0.00157")</f>
        <v>0.00157</v>
      </c>
    </row>
    <row r="11360" spans="1:7">
      <c r="A11360" s="3"/>
      <c r="B11360" s="3"/>
      <c r="C11360" s="3"/>
      <c r="D11360" s="3"/>
      <c r="E11360" s="3">
        <v>17</v>
      </c>
      <c r="F11360" s="4" t="str">
        <f>HYPERLINK("http://141.218.60.56/~jnz1568/getInfo.php?workbook=20_05.xlsx&amp;sheet=U0&amp;row=11360&amp;col=6&amp;number=4.6&amp;sourceID=14","4.6")</f>
        <v>4.6</v>
      </c>
      <c r="G11360" s="4" t="str">
        <f>HYPERLINK("http://141.218.60.56/~jnz1568/getInfo.php?workbook=20_05.xlsx&amp;sheet=U0&amp;row=11360&amp;col=7&amp;number=0.00157&amp;sourceID=14","0.00157")</f>
        <v>0.00157</v>
      </c>
    </row>
    <row r="11361" spans="1:7">
      <c r="A11361" s="3"/>
      <c r="B11361" s="3"/>
      <c r="C11361" s="3"/>
      <c r="D11361" s="3"/>
      <c r="E11361" s="3">
        <v>18</v>
      </c>
      <c r="F11361" s="4" t="str">
        <f>HYPERLINK("http://141.218.60.56/~jnz1568/getInfo.php?workbook=20_05.xlsx&amp;sheet=U0&amp;row=11361&amp;col=6&amp;number=4.7&amp;sourceID=14","4.7")</f>
        <v>4.7</v>
      </c>
      <c r="G11361" s="4" t="str">
        <f>HYPERLINK("http://141.218.60.56/~jnz1568/getInfo.php?workbook=20_05.xlsx&amp;sheet=U0&amp;row=11361&amp;col=7&amp;number=0.00157&amp;sourceID=14","0.00157")</f>
        <v>0.00157</v>
      </c>
    </row>
    <row r="11362" spans="1:7">
      <c r="A11362" s="3"/>
      <c r="B11362" s="3"/>
      <c r="C11362" s="3"/>
      <c r="D11362" s="3"/>
      <c r="E11362" s="3">
        <v>19</v>
      </c>
      <c r="F11362" s="4" t="str">
        <f>HYPERLINK("http://141.218.60.56/~jnz1568/getInfo.php?workbook=20_05.xlsx&amp;sheet=U0&amp;row=11362&amp;col=6&amp;number=4.8&amp;sourceID=14","4.8")</f>
        <v>4.8</v>
      </c>
      <c r="G11362" s="4" t="str">
        <f>HYPERLINK("http://141.218.60.56/~jnz1568/getInfo.php?workbook=20_05.xlsx&amp;sheet=U0&amp;row=11362&amp;col=7&amp;number=0.00158&amp;sourceID=14","0.00158")</f>
        <v>0.00158</v>
      </c>
    </row>
    <row r="11363" spans="1:7">
      <c r="A11363" s="3"/>
      <c r="B11363" s="3"/>
      <c r="C11363" s="3"/>
      <c r="D11363" s="3"/>
      <c r="E11363" s="3">
        <v>20</v>
      </c>
      <c r="F11363" s="4" t="str">
        <f>HYPERLINK("http://141.218.60.56/~jnz1568/getInfo.php?workbook=20_05.xlsx&amp;sheet=U0&amp;row=11363&amp;col=6&amp;number=4.9&amp;sourceID=14","4.9")</f>
        <v>4.9</v>
      </c>
      <c r="G11363" s="4" t="str">
        <f>HYPERLINK("http://141.218.60.56/~jnz1568/getInfo.php?workbook=20_05.xlsx&amp;sheet=U0&amp;row=11363&amp;col=7&amp;number=0.00158&amp;sourceID=14","0.00158")</f>
        <v>0.00158</v>
      </c>
    </row>
    <row r="11364" spans="1:7">
      <c r="A11364" s="3">
        <v>20</v>
      </c>
      <c r="B11364" s="3">
        <v>5</v>
      </c>
      <c r="C11364" s="3">
        <v>5</v>
      </c>
      <c r="D11364" s="3">
        <v>103</v>
      </c>
      <c r="E11364" s="3">
        <v>1</v>
      </c>
      <c r="F11364" s="4" t="str">
        <f>HYPERLINK("http://141.218.60.56/~jnz1568/getInfo.php?workbook=20_05.xlsx&amp;sheet=U0&amp;row=11364&amp;col=6&amp;number=3&amp;sourceID=14","3")</f>
        <v>3</v>
      </c>
      <c r="G11364" s="4" t="str">
        <f>HYPERLINK("http://141.218.60.56/~jnz1568/getInfo.php?workbook=20_05.xlsx&amp;sheet=U0&amp;row=11364&amp;col=7&amp;number=4.38e-05&amp;sourceID=14","4.38e-05")</f>
        <v>4.38e-05</v>
      </c>
    </row>
    <row r="11365" spans="1:7">
      <c r="A11365" s="3"/>
      <c r="B11365" s="3"/>
      <c r="C11365" s="3"/>
      <c r="D11365" s="3"/>
      <c r="E11365" s="3">
        <v>2</v>
      </c>
      <c r="F11365" s="4" t="str">
        <f>HYPERLINK("http://141.218.60.56/~jnz1568/getInfo.php?workbook=20_05.xlsx&amp;sheet=U0&amp;row=11365&amp;col=6&amp;number=3.1&amp;sourceID=14","3.1")</f>
        <v>3.1</v>
      </c>
      <c r="G11365" s="4" t="str">
        <f>HYPERLINK("http://141.218.60.56/~jnz1568/getInfo.php?workbook=20_05.xlsx&amp;sheet=U0&amp;row=11365&amp;col=7&amp;number=4.38e-05&amp;sourceID=14","4.38e-05")</f>
        <v>4.38e-05</v>
      </c>
    </row>
    <row r="11366" spans="1:7">
      <c r="A11366" s="3"/>
      <c r="B11366" s="3"/>
      <c r="C11366" s="3"/>
      <c r="D11366" s="3"/>
      <c r="E11366" s="3">
        <v>3</v>
      </c>
      <c r="F11366" s="4" t="str">
        <f>HYPERLINK("http://141.218.60.56/~jnz1568/getInfo.php?workbook=20_05.xlsx&amp;sheet=U0&amp;row=11366&amp;col=6&amp;number=3.2&amp;sourceID=14","3.2")</f>
        <v>3.2</v>
      </c>
      <c r="G11366" s="4" t="str">
        <f>HYPERLINK("http://141.218.60.56/~jnz1568/getInfo.php?workbook=20_05.xlsx&amp;sheet=U0&amp;row=11366&amp;col=7&amp;number=4.38e-05&amp;sourceID=14","4.38e-05")</f>
        <v>4.38e-05</v>
      </c>
    </row>
    <row r="11367" spans="1:7">
      <c r="A11367" s="3"/>
      <c r="B11367" s="3"/>
      <c r="C11367" s="3"/>
      <c r="D11367" s="3"/>
      <c r="E11367" s="3">
        <v>4</v>
      </c>
      <c r="F11367" s="4" t="str">
        <f>HYPERLINK("http://141.218.60.56/~jnz1568/getInfo.php?workbook=20_05.xlsx&amp;sheet=U0&amp;row=11367&amp;col=6&amp;number=3.3&amp;sourceID=14","3.3")</f>
        <v>3.3</v>
      </c>
      <c r="G11367" s="4" t="str">
        <f>HYPERLINK("http://141.218.60.56/~jnz1568/getInfo.php?workbook=20_05.xlsx&amp;sheet=U0&amp;row=11367&amp;col=7&amp;number=4.38e-05&amp;sourceID=14","4.38e-05")</f>
        <v>4.38e-05</v>
      </c>
    </row>
    <row r="11368" spans="1:7">
      <c r="A11368" s="3"/>
      <c r="B11368" s="3"/>
      <c r="C11368" s="3"/>
      <c r="D11368" s="3"/>
      <c r="E11368" s="3">
        <v>5</v>
      </c>
      <c r="F11368" s="4" t="str">
        <f>HYPERLINK("http://141.218.60.56/~jnz1568/getInfo.php?workbook=20_05.xlsx&amp;sheet=U0&amp;row=11368&amp;col=6&amp;number=3.4&amp;sourceID=14","3.4")</f>
        <v>3.4</v>
      </c>
      <c r="G11368" s="4" t="str">
        <f>HYPERLINK("http://141.218.60.56/~jnz1568/getInfo.php?workbook=20_05.xlsx&amp;sheet=U0&amp;row=11368&amp;col=7&amp;number=4.38e-05&amp;sourceID=14","4.38e-05")</f>
        <v>4.38e-05</v>
      </c>
    </row>
    <row r="11369" spans="1:7">
      <c r="A11369" s="3"/>
      <c r="B11369" s="3"/>
      <c r="C11369" s="3"/>
      <c r="D11369" s="3"/>
      <c r="E11369" s="3">
        <v>6</v>
      </c>
      <c r="F11369" s="4" t="str">
        <f>HYPERLINK("http://141.218.60.56/~jnz1568/getInfo.php?workbook=20_05.xlsx&amp;sheet=U0&amp;row=11369&amp;col=6&amp;number=3.5&amp;sourceID=14","3.5")</f>
        <v>3.5</v>
      </c>
      <c r="G11369" s="4" t="str">
        <f>HYPERLINK("http://141.218.60.56/~jnz1568/getInfo.php?workbook=20_05.xlsx&amp;sheet=U0&amp;row=11369&amp;col=7&amp;number=4.38e-05&amp;sourceID=14","4.38e-05")</f>
        <v>4.38e-05</v>
      </c>
    </row>
    <row r="11370" spans="1:7">
      <c r="A11370" s="3"/>
      <c r="B11370" s="3"/>
      <c r="C11370" s="3"/>
      <c r="D11370" s="3"/>
      <c r="E11370" s="3">
        <v>7</v>
      </c>
      <c r="F11370" s="4" t="str">
        <f>HYPERLINK("http://141.218.60.56/~jnz1568/getInfo.php?workbook=20_05.xlsx&amp;sheet=U0&amp;row=11370&amp;col=6&amp;number=3.6&amp;sourceID=14","3.6")</f>
        <v>3.6</v>
      </c>
      <c r="G11370" s="4" t="str">
        <f>HYPERLINK("http://141.218.60.56/~jnz1568/getInfo.php?workbook=20_05.xlsx&amp;sheet=U0&amp;row=11370&amp;col=7&amp;number=4.38e-05&amp;sourceID=14","4.38e-05")</f>
        <v>4.38e-05</v>
      </c>
    </row>
    <row r="11371" spans="1:7">
      <c r="A11371" s="3"/>
      <c r="B11371" s="3"/>
      <c r="C11371" s="3"/>
      <c r="D11371" s="3"/>
      <c r="E11371" s="3">
        <v>8</v>
      </c>
      <c r="F11371" s="4" t="str">
        <f>HYPERLINK("http://141.218.60.56/~jnz1568/getInfo.php?workbook=20_05.xlsx&amp;sheet=U0&amp;row=11371&amp;col=6&amp;number=3.7&amp;sourceID=14","3.7")</f>
        <v>3.7</v>
      </c>
      <c r="G11371" s="4" t="str">
        <f>HYPERLINK("http://141.218.60.56/~jnz1568/getInfo.php?workbook=20_05.xlsx&amp;sheet=U0&amp;row=11371&amp;col=7&amp;number=4.38e-05&amp;sourceID=14","4.38e-05")</f>
        <v>4.38e-05</v>
      </c>
    </row>
    <row r="11372" spans="1:7">
      <c r="A11372" s="3"/>
      <c r="B11372" s="3"/>
      <c r="C11372" s="3"/>
      <c r="D11372" s="3"/>
      <c r="E11372" s="3">
        <v>9</v>
      </c>
      <c r="F11372" s="4" t="str">
        <f>HYPERLINK("http://141.218.60.56/~jnz1568/getInfo.php?workbook=20_05.xlsx&amp;sheet=U0&amp;row=11372&amp;col=6&amp;number=3.8&amp;sourceID=14","3.8")</f>
        <v>3.8</v>
      </c>
      <c r="G11372" s="4" t="str">
        <f>HYPERLINK("http://141.218.60.56/~jnz1568/getInfo.php?workbook=20_05.xlsx&amp;sheet=U0&amp;row=11372&amp;col=7&amp;number=4.38e-05&amp;sourceID=14","4.38e-05")</f>
        <v>4.38e-05</v>
      </c>
    </row>
    <row r="11373" spans="1:7">
      <c r="A11373" s="3"/>
      <c r="B11373" s="3"/>
      <c r="C11373" s="3"/>
      <c r="D11373" s="3"/>
      <c r="E11373" s="3">
        <v>10</v>
      </c>
      <c r="F11373" s="4" t="str">
        <f>HYPERLINK("http://141.218.60.56/~jnz1568/getInfo.php?workbook=20_05.xlsx&amp;sheet=U0&amp;row=11373&amp;col=6&amp;number=3.9&amp;sourceID=14","3.9")</f>
        <v>3.9</v>
      </c>
      <c r="G11373" s="4" t="str">
        <f>HYPERLINK("http://141.218.60.56/~jnz1568/getInfo.php?workbook=20_05.xlsx&amp;sheet=U0&amp;row=11373&amp;col=7&amp;number=4.38e-05&amp;sourceID=14","4.38e-05")</f>
        <v>4.38e-05</v>
      </c>
    </row>
    <row r="11374" spans="1:7">
      <c r="A11374" s="3"/>
      <c r="B11374" s="3"/>
      <c r="C11374" s="3"/>
      <c r="D11374" s="3"/>
      <c r="E11374" s="3">
        <v>11</v>
      </c>
      <c r="F11374" s="4" t="str">
        <f>HYPERLINK("http://141.218.60.56/~jnz1568/getInfo.php?workbook=20_05.xlsx&amp;sheet=U0&amp;row=11374&amp;col=6&amp;number=4&amp;sourceID=14","4")</f>
        <v>4</v>
      </c>
      <c r="G11374" s="4" t="str">
        <f>HYPERLINK("http://141.218.60.56/~jnz1568/getInfo.php?workbook=20_05.xlsx&amp;sheet=U0&amp;row=11374&amp;col=7&amp;number=4.38e-05&amp;sourceID=14","4.38e-05")</f>
        <v>4.38e-05</v>
      </c>
    </row>
    <row r="11375" spans="1:7">
      <c r="A11375" s="3"/>
      <c r="B11375" s="3"/>
      <c r="C11375" s="3"/>
      <c r="D11375" s="3"/>
      <c r="E11375" s="3">
        <v>12</v>
      </c>
      <c r="F11375" s="4" t="str">
        <f>HYPERLINK("http://141.218.60.56/~jnz1568/getInfo.php?workbook=20_05.xlsx&amp;sheet=U0&amp;row=11375&amp;col=6&amp;number=4.1&amp;sourceID=14","4.1")</f>
        <v>4.1</v>
      </c>
      <c r="G11375" s="4" t="str">
        <f>HYPERLINK("http://141.218.60.56/~jnz1568/getInfo.php?workbook=20_05.xlsx&amp;sheet=U0&amp;row=11375&amp;col=7&amp;number=4.38e-05&amp;sourceID=14","4.38e-05")</f>
        <v>4.38e-05</v>
      </c>
    </row>
    <row r="11376" spans="1:7">
      <c r="A11376" s="3"/>
      <c r="B11376" s="3"/>
      <c r="C11376" s="3"/>
      <c r="D11376" s="3"/>
      <c r="E11376" s="3">
        <v>13</v>
      </c>
      <c r="F11376" s="4" t="str">
        <f>HYPERLINK("http://141.218.60.56/~jnz1568/getInfo.php?workbook=20_05.xlsx&amp;sheet=U0&amp;row=11376&amp;col=6&amp;number=4.2&amp;sourceID=14","4.2")</f>
        <v>4.2</v>
      </c>
      <c r="G11376" s="4" t="str">
        <f>HYPERLINK("http://141.218.60.56/~jnz1568/getInfo.php?workbook=20_05.xlsx&amp;sheet=U0&amp;row=11376&amp;col=7&amp;number=4.38e-05&amp;sourceID=14","4.38e-05")</f>
        <v>4.38e-05</v>
      </c>
    </row>
    <row r="11377" spans="1:7">
      <c r="A11377" s="3"/>
      <c r="B11377" s="3"/>
      <c r="C11377" s="3"/>
      <c r="D11377" s="3"/>
      <c r="E11377" s="3">
        <v>14</v>
      </c>
      <c r="F11377" s="4" t="str">
        <f>HYPERLINK("http://141.218.60.56/~jnz1568/getInfo.php?workbook=20_05.xlsx&amp;sheet=U0&amp;row=11377&amp;col=6&amp;number=4.3&amp;sourceID=14","4.3")</f>
        <v>4.3</v>
      </c>
      <c r="G11377" s="4" t="str">
        <f>HYPERLINK("http://141.218.60.56/~jnz1568/getInfo.php?workbook=20_05.xlsx&amp;sheet=U0&amp;row=11377&amp;col=7&amp;number=4.38e-05&amp;sourceID=14","4.38e-05")</f>
        <v>4.38e-05</v>
      </c>
    </row>
    <row r="11378" spans="1:7">
      <c r="A11378" s="3"/>
      <c r="B11378" s="3"/>
      <c r="C11378" s="3"/>
      <c r="D11378" s="3"/>
      <c r="E11378" s="3">
        <v>15</v>
      </c>
      <c r="F11378" s="4" t="str">
        <f>HYPERLINK("http://141.218.60.56/~jnz1568/getInfo.php?workbook=20_05.xlsx&amp;sheet=U0&amp;row=11378&amp;col=6&amp;number=4.4&amp;sourceID=14","4.4")</f>
        <v>4.4</v>
      </c>
      <c r="G11378" s="4" t="str">
        <f>HYPERLINK("http://141.218.60.56/~jnz1568/getInfo.php?workbook=20_05.xlsx&amp;sheet=U0&amp;row=11378&amp;col=7&amp;number=4.38e-05&amp;sourceID=14","4.38e-05")</f>
        <v>4.38e-05</v>
      </c>
    </row>
    <row r="11379" spans="1:7">
      <c r="A11379" s="3"/>
      <c r="B11379" s="3"/>
      <c r="C11379" s="3"/>
      <c r="D11379" s="3"/>
      <c r="E11379" s="3">
        <v>16</v>
      </c>
      <c r="F11379" s="4" t="str">
        <f>HYPERLINK("http://141.218.60.56/~jnz1568/getInfo.php?workbook=20_05.xlsx&amp;sheet=U0&amp;row=11379&amp;col=6&amp;number=4.5&amp;sourceID=14","4.5")</f>
        <v>4.5</v>
      </c>
      <c r="G11379" s="4" t="str">
        <f>HYPERLINK("http://141.218.60.56/~jnz1568/getInfo.php?workbook=20_05.xlsx&amp;sheet=U0&amp;row=11379&amp;col=7&amp;number=4.38e-05&amp;sourceID=14","4.38e-05")</f>
        <v>4.38e-05</v>
      </c>
    </row>
    <row r="11380" spans="1:7">
      <c r="A11380" s="3"/>
      <c r="B11380" s="3"/>
      <c r="C11380" s="3"/>
      <c r="D11380" s="3"/>
      <c r="E11380" s="3">
        <v>17</v>
      </c>
      <c r="F11380" s="4" t="str">
        <f>HYPERLINK("http://141.218.60.56/~jnz1568/getInfo.php?workbook=20_05.xlsx&amp;sheet=U0&amp;row=11380&amp;col=6&amp;number=4.6&amp;sourceID=14","4.6")</f>
        <v>4.6</v>
      </c>
      <c r="G11380" s="4" t="str">
        <f>HYPERLINK("http://141.218.60.56/~jnz1568/getInfo.php?workbook=20_05.xlsx&amp;sheet=U0&amp;row=11380&amp;col=7&amp;number=4.38e-05&amp;sourceID=14","4.38e-05")</f>
        <v>4.38e-05</v>
      </c>
    </row>
    <row r="11381" spans="1:7">
      <c r="A11381" s="3"/>
      <c r="B11381" s="3"/>
      <c r="C11381" s="3"/>
      <c r="D11381" s="3"/>
      <c r="E11381" s="3">
        <v>18</v>
      </c>
      <c r="F11381" s="4" t="str">
        <f>HYPERLINK("http://141.218.60.56/~jnz1568/getInfo.php?workbook=20_05.xlsx&amp;sheet=U0&amp;row=11381&amp;col=6&amp;number=4.7&amp;sourceID=14","4.7")</f>
        <v>4.7</v>
      </c>
      <c r="G11381" s="4" t="str">
        <f>HYPERLINK("http://141.218.60.56/~jnz1568/getInfo.php?workbook=20_05.xlsx&amp;sheet=U0&amp;row=11381&amp;col=7&amp;number=4.37e-05&amp;sourceID=14","4.37e-05")</f>
        <v>4.37e-05</v>
      </c>
    </row>
    <row r="11382" spans="1:7">
      <c r="A11382" s="3"/>
      <c r="B11382" s="3"/>
      <c r="C11382" s="3"/>
      <c r="D11382" s="3"/>
      <c r="E11382" s="3">
        <v>19</v>
      </c>
      <c r="F11382" s="4" t="str">
        <f>HYPERLINK("http://141.218.60.56/~jnz1568/getInfo.php?workbook=20_05.xlsx&amp;sheet=U0&amp;row=11382&amp;col=6&amp;number=4.8&amp;sourceID=14","4.8")</f>
        <v>4.8</v>
      </c>
      <c r="G11382" s="4" t="str">
        <f>HYPERLINK("http://141.218.60.56/~jnz1568/getInfo.php?workbook=20_05.xlsx&amp;sheet=U0&amp;row=11382&amp;col=7&amp;number=4.37e-05&amp;sourceID=14","4.37e-05")</f>
        <v>4.37e-05</v>
      </c>
    </row>
    <row r="11383" spans="1:7">
      <c r="A11383" s="3"/>
      <c r="B11383" s="3"/>
      <c r="C11383" s="3"/>
      <c r="D11383" s="3"/>
      <c r="E11383" s="3">
        <v>20</v>
      </c>
      <c r="F11383" s="4" t="str">
        <f>HYPERLINK("http://141.218.60.56/~jnz1568/getInfo.php?workbook=20_05.xlsx&amp;sheet=U0&amp;row=11383&amp;col=6&amp;number=4.9&amp;sourceID=14","4.9")</f>
        <v>4.9</v>
      </c>
      <c r="G11383" s="4" t="str">
        <f>HYPERLINK("http://141.218.60.56/~jnz1568/getInfo.php?workbook=20_05.xlsx&amp;sheet=U0&amp;row=11383&amp;col=7&amp;number=4.37e-05&amp;sourceID=14","4.37e-05")</f>
        <v>4.37e-05</v>
      </c>
    </row>
    <row r="11384" spans="1:7">
      <c r="A11384" s="3">
        <v>20</v>
      </c>
      <c r="B11384" s="3">
        <v>5</v>
      </c>
      <c r="C11384" s="3">
        <v>5</v>
      </c>
      <c r="D11384" s="3">
        <v>104</v>
      </c>
      <c r="E11384" s="3">
        <v>1</v>
      </c>
      <c r="F11384" s="4" t="str">
        <f>HYPERLINK("http://141.218.60.56/~jnz1568/getInfo.php?workbook=20_05.xlsx&amp;sheet=U0&amp;row=11384&amp;col=6&amp;number=3&amp;sourceID=14","3")</f>
        <v>3</v>
      </c>
      <c r="G11384" s="4" t="str">
        <f>HYPERLINK("http://141.218.60.56/~jnz1568/getInfo.php?workbook=20_05.xlsx&amp;sheet=U0&amp;row=11384&amp;col=7&amp;number=0.000457&amp;sourceID=14","0.000457")</f>
        <v>0.000457</v>
      </c>
    </row>
    <row r="11385" spans="1:7">
      <c r="A11385" s="3"/>
      <c r="B11385" s="3"/>
      <c r="C11385" s="3"/>
      <c r="D11385" s="3"/>
      <c r="E11385" s="3">
        <v>2</v>
      </c>
      <c r="F11385" s="4" t="str">
        <f>HYPERLINK("http://141.218.60.56/~jnz1568/getInfo.php?workbook=20_05.xlsx&amp;sheet=U0&amp;row=11385&amp;col=6&amp;number=3.1&amp;sourceID=14","3.1")</f>
        <v>3.1</v>
      </c>
      <c r="G11385" s="4" t="str">
        <f>HYPERLINK("http://141.218.60.56/~jnz1568/getInfo.php?workbook=20_05.xlsx&amp;sheet=U0&amp;row=11385&amp;col=7&amp;number=0.000457&amp;sourceID=14","0.000457")</f>
        <v>0.000457</v>
      </c>
    </row>
    <row r="11386" spans="1:7">
      <c r="A11386" s="3"/>
      <c r="B11386" s="3"/>
      <c r="C11386" s="3"/>
      <c r="D11386" s="3"/>
      <c r="E11386" s="3">
        <v>3</v>
      </c>
      <c r="F11386" s="4" t="str">
        <f>HYPERLINK("http://141.218.60.56/~jnz1568/getInfo.php?workbook=20_05.xlsx&amp;sheet=U0&amp;row=11386&amp;col=6&amp;number=3.2&amp;sourceID=14","3.2")</f>
        <v>3.2</v>
      </c>
      <c r="G11386" s="4" t="str">
        <f>HYPERLINK("http://141.218.60.56/~jnz1568/getInfo.php?workbook=20_05.xlsx&amp;sheet=U0&amp;row=11386&amp;col=7&amp;number=0.000457&amp;sourceID=14","0.000457")</f>
        <v>0.000457</v>
      </c>
    </row>
    <row r="11387" spans="1:7">
      <c r="A11387" s="3"/>
      <c r="B11387" s="3"/>
      <c r="C11387" s="3"/>
      <c r="D11387" s="3"/>
      <c r="E11387" s="3">
        <v>4</v>
      </c>
      <c r="F11387" s="4" t="str">
        <f>HYPERLINK("http://141.218.60.56/~jnz1568/getInfo.php?workbook=20_05.xlsx&amp;sheet=U0&amp;row=11387&amp;col=6&amp;number=3.3&amp;sourceID=14","3.3")</f>
        <v>3.3</v>
      </c>
      <c r="G11387" s="4" t="str">
        <f>HYPERLINK("http://141.218.60.56/~jnz1568/getInfo.php?workbook=20_05.xlsx&amp;sheet=U0&amp;row=11387&amp;col=7&amp;number=0.000456&amp;sourceID=14","0.000456")</f>
        <v>0.000456</v>
      </c>
    </row>
    <row r="11388" spans="1:7">
      <c r="A11388" s="3"/>
      <c r="B11388" s="3"/>
      <c r="C11388" s="3"/>
      <c r="D11388" s="3"/>
      <c r="E11388" s="3">
        <v>5</v>
      </c>
      <c r="F11388" s="4" t="str">
        <f>HYPERLINK("http://141.218.60.56/~jnz1568/getInfo.php?workbook=20_05.xlsx&amp;sheet=U0&amp;row=11388&amp;col=6&amp;number=3.4&amp;sourceID=14","3.4")</f>
        <v>3.4</v>
      </c>
      <c r="G11388" s="4" t="str">
        <f>HYPERLINK("http://141.218.60.56/~jnz1568/getInfo.php?workbook=20_05.xlsx&amp;sheet=U0&amp;row=11388&amp;col=7&amp;number=0.000456&amp;sourceID=14","0.000456")</f>
        <v>0.000456</v>
      </c>
    </row>
    <row r="11389" spans="1:7">
      <c r="A11389" s="3"/>
      <c r="B11389" s="3"/>
      <c r="C11389" s="3"/>
      <c r="D11389" s="3"/>
      <c r="E11389" s="3">
        <v>6</v>
      </c>
      <c r="F11389" s="4" t="str">
        <f>HYPERLINK("http://141.218.60.56/~jnz1568/getInfo.php?workbook=20_05.xlsx&amp;sheet=U0&amp;row=11389&amp;col=6&amp;number=3.5&amp;sourceID=14","3.5")</f>
        <v>3.5</v>
      </c>
      <c r="G11389" s="4" t="str">
        <f>HYPERLINK("http://141.218.60.56/~jnz1568/getInfo.php?workbook=20_05.xlsx&amp;sheet=U0&amp;row=11389&amp;col=7&amp;number=0.000456&amp;sourceID=14","0.000456")</f>
        <v>0.000456</v>
      </c>
    </row>
    <row r="11390" spans="1:7">
      <c r="A11390" s="3"/>
      <c r="B11390" s="3"/>
      <c r="C11390" s="3"/>
      <c r="D11390" s="3"/>
      <c r="E11390" s="3">
        <v>7</v>
      </c>
      <c r="F11390" s="4" t="str">
        <f>HYPERLINK("http://141.218.60.56/~jnz1568/getInfo.php?workbook=20_05.xlsx&amp;sheet=U0&amp;row=11390&amp;col=6&amp;number=3.6&amp;sourceID=14","3.6")</f>
        <v>3.6</v>
      </c>
      <c r="G11390" s="4" t="str">
        <f>HYPERLINK("http://141.218.60.56/~jnz1568/getInfo.php?workbook=20_05.xlsx&amp;sheet=U0&amp;row=11390&amp;col=7&amp;number=0.000456&amp;sourceID=14","0.000456")</f>
        <v>0.000456</v>
      </c>
    </row>
    <row r="11391" spans="1:7">
      <c r="A11391" s="3"/>
      <c r="B11391" s="3"/>
      <c r="C11391" s="3"/>
      <c r="D11391" s="3"/>
      <c r="E11391" s="3">
        <v>8</v>
      </c>
      <c r="F11391" s="4" t="str">
        <f>HYPERLINK("http://141.218.60.56/~jnz1568/getInfo.php?workbook=20_05.xlsx&amp;sheet=U0&amp;row=11391&amp;col=6&amp;number=3.7&amp;sourceID=14","3.7")</f>
        <v>3.7</v>
      </c>
      <c r="G11391" s="4" t="str">
        <f>HYPERLINK("http://141.218.60.56/~jnz1568/getInfo.php?workbook=20_05.xlsx&amp;sheet=U0&amp;row=11391&amp;col=7&amp;number=0.000456&amp;sourceID=14","0.000456")</f>
        <v>0.000456</v>
      </c>
    </row>
    <row r="11392" spans="1:7">
      <c r="A11392" s="3"/>
      <c r="B11392" s="3"/>
      <c r="C11392" s="3"/>
      <c r="D11392" s="3"/>
      <c r="E11392" s="3">
        <v>9</v>
      </c>
      <c r="F11392" s="4" t="str">
        <f>HYPERLINK("http://141.218.60.56/~jnz1568/getInfo.php?workbook=20_05.xlsx&amp;sheet=U0&amp;row=11392&amp;col=6&amp;number=3.8&amp;sourceID=14","3.8")</f>
        <v>3.8</v>
      </c>
      <c r="G11392" s="4" t="str">
        <f>HYPERLINK("http://141.218.60.56/~jnz1568/getInfo.php?workbook=20_05.xlsx&amp;sheet=U0&amp;row=11392&amp;col=7&amp;number=0.000456&amp;sourceID=14","0.000456")</f>
        <v>0.000456</v>
      </c>
    </row>
    <row r="11393" spans="1:7">
      <c r="A11393" s="3"/>
      <c r="B11393" s="3"/>
      <c r="C11393" s="3"/>
      <c r="D11393" s="3"/>
      <c r="E11393" s="3">
        <v>10</v>
      </c>
      <c r="F11393" s="4" t="str">
        <f>HYPERLINK("http://141.218.60.56/~jnz1568/getInfo.php?workbook=20_05.xlsx&amp;sheet=U0&amp;row=11393&amp;col=6&amp;number=3.9&amp;sourceID=14","3.9")</f>
        <v>3.9</v>
      </c>
      <c r="G11393" s="4" t="str">
        <f>HYPERLINK("http://141.218.60.56/~jnz1568/getInfo.php?workbook=20_05.xlsx&amp;sheet=U0&amp;row=11393&amp;col=7&amp;number=0.000456&amp;sourceID=14","0.000456")</f>
        <v>0.000456</v>
      </c>
    </row>
    <row r="11394" spans="1:7">
      <c r="A11394" s="3"/>
      <c r="B11394" s="3"/>
      <c r="C11394" s="3"/>
      <c r="D11394" s="3"/>
      <c r="E11394" s="3">
        <v>11</v>
      </c>
      <c r="F11394" s="4" t="str">
        <f>HYPERLINK("http://141.218.60.56/~jnz1568/getInfo.php?workbook=20_05.xlsx&amp;sheet=U0&amp;row=11394&amp;col=6&amp;number=4&amp;sourceID=14","4")</f>
        <v>4</v>
      </c>
      <c r="G11394" s="4" t="str">
        <f>HYPERLINK("http://141.218.60.56/~jnz1568/getInfo.php?workbook=20_05.xlsx&amp;sheet=U0&amp;row=11394&amp;col=7&amp;number=0.000456&amp;sourceID=14","0.000456")</f>
        <v>0.000456</v>
      </c>
    </row>
    <row r="11395" spans="1:7">
      <c r="A11395" s="3"/>
      <c r="B11395" s="3"/>
      <c r="C11395" s="3"/>
      <c r="D11395" s="3"/>
      <c r="E11395" s="3">
        <v>12</v>
      </c>
      <c r="F11395" s="4" t="str">
        <f>HYPERLINK("http://141.218.60.56/~jnz1568/getInfo.php?workbook=20_05.xlsx&amp;sheet=U0&amp;row=11395&amp;col=6&amp;number=4.1&amp;sourceID=14","4.1")</f>
        <v>4.1</v>
      </c>
      <c r="G11395" s="4" t="str">
        <f>HYPERLINK("http://141.218.60.56/~jnz1568/getInfo.php?workbook=20_05.xlsx&amp;sheet=U0&amp;row=11395&amp;col=7&amp;number=0.000456&amp;sourceID=14","0.000456")</f>
        <v>0.000456</v>
      </c>
    </row>
    <row r="11396" spans="1:7">
      <c r="A11396" s="3"/>
      <c r="B11396" s="3"/>
      <c r="C11396" s="3"/>
      <c r="D11396" s="3"/>
      <c r="E11396" s="3">
        <v>13</v>
      </c>
      <c r="F11396" s="4" t="str">
        <f>HYPERLINK("http://141.218.60.56/~jnz1568/getInfo.php?workbook=20_05.xlsx&amp;sheet=U0&amp;row=11396&amp;col=6&amp;number=4.2&amp;sourceID=14","4.2")</f>
        <v>4.2</v>
      </c>
      <c r="G11396" s="4" t="str">
        <f>HYPERLINK("http://141.218.60.56/~jnz1568/getInfo.php?workbook=20_05.xlsx&amp;sheet=U0&amp;row=11396&amp;col=7&amp;number=0.000455&amp;sourceID=14","0.000455")</f>
        <v>0.000455</v>
      </c>
    </row>
    <row r="11397" spans="1:7">
      <c r="A11397" s="3"/>
      <c r="B11397" s="3"/>
      <c r="C11397" s="3"/>
      <c r="D11397" s="3"/>
      <c r="E11397" s="3">
        <v>14</v>
      </c>
      <c r="F11397" s="4" t="str">
        <f>HYPERLINK("http://141.218.60.56/~jnz1568/getInfo.php?workbook=20_05.xlsx&amp;sheet=U0&amp;row=11397&amp;col=6&amp;number=4.3&amp;sourceID=14","4.3")</f>
        <v>4.3</v>
      </c>
      <c r="G11397" s="4" t="str">
        <f>HYPERLINK("http://141.218.60.56/~jnz1568/getInfo.php?workbook=20_05.xlsx&amp;sheet=U0&amp;row=11397&amp;col=7&amp;number=0.000455&amp;sourceID=14","0.000455")</f>
        <v>0.000455</v>
      </c>
    </row>
    <row r="11398" spans="1:7">
      <c r="A11398" s="3"/>
      <c r="B11398" s="3"/>
      <c r="C11398" s="3"/>
      <c r="D11398" s="3"/>
      <c r="E11398" s="3">
        <v>15</v>
      </c>
      <c r="F11398" s="4" t="str">
        <f>HYPERLINK("http://141.218.60.56/~jnz1568/getInfo.php?workbook=20_05.xlsx&amp;sheet=U0&amp;row=11398&amp;col=6&amp;number=4.4&amp;sourceID=14","4.4")</f>
        <v>4.4</v>
      </c>
      <c r="G11398" s="4" t="str">
        <f>HYPERLINK("http://141.218.60.56/~jnz1568/getInfo.php?workbook=20_05.xlsx&amp;sheet=U0&amp;row=11398&amp;col=7&amp;number=0.000454&amp;sourceID=14","0.000454")</f>
        <v>0.000454</v>
      </c>
    </row>
    <row r="11399" spans="1:7">
      <c r="A11399" s="3"/>
      <c r="B11399" s="3"/>
      <c r="C11399" s="3"/>
      <c r="D11399" s="3"/>
      <c r="E11399" s="3">
        <v>16</v>
      </c>
      <c r="F11399" s="4" t="str">
        <f>HYPERLINK("http://141.218.60.56/~jnz1568/getInfo.php?workbook=20_05.xlsx&amp;sheet=U0&amp;row=11399&amp;col=6&amp;number=4.5&amp;sourceID=14","4.5")</f>
        <v>4.5</v>
      </c>
      <c r="G11399" s="4" t="str">
        <f>HYPERLINK("http://141.218.60.56/~jnz1568/getInfo.php?workbook=20_05.xlsx&amp;sheet=U0&amp;row=11399&amp;col=7&amp;number=0.000454&amp;sourceID=14","0.000454")</f>
        <v>0.000454</v>
      </c>
    </row>
    <row r="11400" spans="1:7">
      <c r="A11400" s="3"/>
      <c r="B11400" s="3"/>
      <c r="C11400" s="3"/>
      <c r="D11400" s="3"/>
      <c r="E11400" s="3">
        <v>17</v>
      </c>
      <c r="F11400" s="4" t="str">
        <f>HYPERLINK("http://141.218.60.56/~jnz1568/getInfo.php?workbook=20_05.xlsx&amp;sheet=U0&amp;row=11400&amp;col=6&amp;number=4.6&amp;sourceID=14","4.6")</f>
        <v>4.6</v>
      </c>
      <c r="G11400" s="4" t="str">
        <f>HYPERLINK("http://141.218.60.56/~jnz1568/getInfo.php?workbook=20_05.xlsx&amp;sheet=U0&amp;row=11400&amp;col=7&amp;number=0.000453&amp;sourceID=14","0.000453")</f>
        <v>0.000453</v>
      </c>
    </row>
    <row r="11401" spans="1:7">
      <c r="A11401" s="3"/>
      <c r="B11401" s="3"/>
      <c r="C11401" s="3"/>
      <c r="D11401" s="3"/>
      <c r="E11401" s="3">
        <v>18</v>
      </c>
      <c r="F11401" s="4" t="str">
        <f>HYPERLINK("http://141.218.60.56/~jnz1568/getInfo.php?workbook=20_05.xlsx&amp;sheet=U0&amp;row=11401&amp;col=6&amp;number=4.7&amp;sourceID=14","4.7")</f>
        <v>4.7</v>
      </c>
      <c r="G11401" s="4" t="str">
        <f>HYPERLINK("http://141.218.60.56/~jnz1568/getInfo.php?workbook=20_05.xlsx&amp;sheet=U0&amp;row=11401&amp;col=7&amp;number=0.000452&amp;sourceID=14","0.000452")</f>
        <v>0.000452</v>
      </c>
    </row>
    <row r="11402" spans="1:7">
      <c r="A11402" s="3"/>
      <c r="B11402" s="3"/>
      <c r="C11402" s="3"/>
      <c r="D11402" s="3"/>
      <c r="E11402" s="3">
        <v>19</v>
      </c>
      <c r="F11402" s="4" t="str">
        <f>HYPERLINK("http://141.218.60.56/~jnz1568/getInfo.php?workbook=20_05.xlsx&amp;sheet=U0&amp;row=11402&amp;col=6&amp;number=4.8&amp;sourceID=14","4.8")</f>
        <v>4.8</v>
      </c>
      <c r="G11402" s="4" t="str">
        <f>HYPERLINK("http://141.218.60.56/~jnz1568/getInfo.php?workbook=20_05.xlsx&amp;sheet=U0&amp;row=11402&amp;col=7&amp;number=0.000451&amp;sourceID=14","0.000451")</f>
        <v>0.000451</v>
      </c>
    </row>
    <row r="11403" spans="1:7">
      <c r="A11403" s="3"/>
      <c r="B11403" s="3"/>
      <c r="C11403" s="3"/>
      <c r="D11403" s="3"/>
      <c r="E11403" s="3">
        <v>20</v>
      </c>
      <c r="F11403" s="4" t="str">
        <f>HYPERLINK("http://141.218.60.56/~jnz1568/getInfo.php?workbook=20_05.xlsx&amp;sheet=U0&amp;row=11403&amp;col=6&amp;number=4.9&amp;sourceID=14","4.9")</f>
        <v>4.9</v>
      </c>
      <c r="G11403" s="4" t="str">
        <f>HYPERLINK("http://141.218.60.56/~jnz1568/getInfo.php?workbook=20_05.xlsx&amp;sheet=U0&amp;row=11403&amp;col=7&amp;number=0.00045&amp;sourceID=14","0.00045")</f>
        <v>0.00045</v>
      </c>
    </row>
    <row r="11404" spans="1:7">
      <c r="A11404" s="3">
        <v>20</v>
      </c>
      <c r="B11404" s="3">
        <v>5</v>
      </c>
      <c r="C11404" s="3">
        <v>5</v>
      </c>
      <c r="D11404" s="3">
        <v>105</v>
      </c>
      <c r="E11404" s="3">
        <v>1</v>
      </c>
      <c r="F11404" s="4" t="str">
        <f>HYPERLINK("http://141.218.60.56/~jnz1568/getInfo.php?workbook=20_05.xlsx&amp;sheet=U0&amp;row=11404&amp;col=6&amp;number=3&amp;sourceID=14","3")</f>
        <v>3</v>
      </c>
      <c r="G11404" s="4" t="str">
        <f>HYPERLINK("http://141.218.60.56/~jnz1568/getInfo.php?workbook=20_05.xlsx&amp;sheet=U0&amp;row=11404&amp;col=7&amp;number=1.84e-05&amp;sourceID=14","1.84e-05")</f>
        <v>1.84e-05</v>
      </c>
    </row>
    <row r="11405" spans="1:7">
      <c r="A11405" s="3"/>
      <c r="B11405" s="3"/>
      <c r="C11405" s="3"/>
      <c r="D11405" s="3"/>
      <c r="E11405" s="3">
        <v>2</v>
      </c>
      <c r="F11405" s="4" t="str">
        <f>HYPERLINK("http://141.218.60.56/~jnz1568/getInfo.php?workbook=20_05.xlsx&amp;sheet=U0&amp;row=11405&amp;col=6&amp;number=3.1&amp;sourceID=14","3.1")</f>
        <v>3.1</v>
      </c>
      <c r="G11405" s="4" t="str">
        <f>HYPERLINK("http://141.218.60.56/~jnz1568/getInfo.php?workbook=20_05.xlsx&amp;sheet=U0&amp;row=11405&amp;col=7&amp;number=1.84e-05&amp;sourceID=14","1.84e-05")</f>
        <v>1.84e-05</v>
      </c>
    </row>
    <row r="11406" spans="1:7">
      <c r="A11406" s="3"/>
      <c r="B11406" s="3"/>
      <c r="C11406" s="3"/>
      <c r="D11406" s="3"/>
      <c r="E11406" s="3">
        <v>3</v>
      </c>
      <c r="F11406" s="4" t="str">
        <f>HYPERLINK("http://141.218.60.56/~jnz1568/getInfo.php?workbook=20_05.xlsx&amp;sheet=U0&amp;row=11406&amp;col=6&amp;number=3.2&amp;sourceID=14","3.2")</f>
        <v>3.2</v>
      </c>
      <c r="G11406" s="4" t="str">
        <f>HYPERLINK("http://141.218.60.56/~jnz1568/getInfo.php?workbook=20_05.xlsx&amp;sheet=U0&amp;row=11406&amp;col=7&amp;number=1.84e-05&amp;sourceID=14","1.84e-05")</f>
        <v>1.84e-05</v>
      </c>
    </row>
    <row r="11407" spans="1:7">
      <c r="A11407" s="3"/>
      <c r="B11407" s="3"/>
      <c r="C11407" s="3"/>
      <c r="D11407" s="3"/>
      <c r="E11407" s="3">
        <v>4</v>
      </c>
      <c r="F11407" s="4" t="str">
        <f>HYPERLINK("http://141.218.60.56/~jnz1568/getInfo.php?workbook=20_05.xlsx&amp;sheet=U0&amp;row=11407&amp;col=6&amp;number=3.3&amp;sourceID=14","3.3")</f>
        <v>3.3</v>
      </c>
      <c r="G11407" s="4" t="str">
        <f>HYPERLINK("http://141.218.60.56/~jnz1568/getInfo.php?workbook=20_05.xlsx&amp;sheet=U0&amp;row=11407&amp;col=7&amp;number=1.84e-05&amp;sourceID=14","1.84e-05")</f>
        <v>1.84e-05</v>
      </c>
    </row>
    <row r="11408" spans="1:7">
      <c r="A11408" s="3"/>
      <c r="B11408" s="3"/>
      <c r="C11408" s="3"/>
      <c r="D11408" s="3"/>
      <c r="E11408" s="3">
        <v>5</v>
      </c>
      <c r="F11408" s="4" t="str">
        <f>HYPERLINK("http://141.218.60.56/~jnz1568/getInfo.php?workbook=20_05.xlsx&amp;sheet=U0&amp;row=11408&amp;col=6&amp;number=3.4&amp;sourceID=14","3.4")</f>
        <v>3.4</v>
      </c>
      <c r="G11408" s="4" t="str">
        <f>HYPERLINK("http://141.218.60.56/~jnz1568/getInfo.php?workbook=20_05.xlsx&amp;sheet=U0&amp;row=11408&amp;col=7&amp;number=1.83e-05&amp;sourceID=14","1.83e-05")</f>
        <v>1.83e-05</v>
      </c>
    </row>
    <row r="11409" spans="1:7">
      <c r="A11409" s="3"/>
      <c r="B11409" s="3"/>
      <c r="C11409" s="3"/>
      <c r="D11409" s="3"/>
      <c r="E11409" s="3">
        <v>6</v>
      </c>
      <c r="F11409" s="4" t="str">
        <f>HYPERLINK("http://141.218.60.56/~jnz1568/getInfo.php?workbook=20_05.xlsx&amp;sheet=U0&amp;row=11409&amp;col=6&amp;number=3.5&amp;sourceID=14","3.5")</f>
        <v>3.5</v>
      </c>
      <c r="G11409" s="4" t="str">
        <f>HYPERLINK("http://141.218.60.56/~jnz1568/getInfo.php?workbook=20_05.xlsx&amp;sheet=U0&amp;row=11409&amp;col=7&amp;number=1.83e-05&amp;sourceID=14","1.83e-05")</f>
        <v>1.83e-05</v>
      </c>
    </row>
    <row r="11410" spans="1:7">
      <c r="A11410" s="3"/>
      <c r="B11410" s="3"/>
      <c r="C11410" s="3"/>
      <c r="D11410" s="3"/>
      <c r="E11410" s="3">
        <v>7</v>
      </c>
      <c r="F11410" s="4" t="str">
        <f>HYPERLINK("http://141.218.60.56/~jnz1568/getInfo.php?workbook=20_05.xlsx&amp;sheet=U0&amp;row=11410&amp;col=6&amp;number=3.6&amp;sourceID=14","3.6")</f>
        <v>3.6</v>
      </c>
      <c r="G11410" s="4" t="str">
        <f>HYPERLINK("http://141.218.60.56/~jnz1568/getInfo.php?workbook=20_05.xlsx&amp;sheet=U0&amp;row=11410&amp;col=7&amp;number=1.83e-05&amp;sourceID=14","1.83e-05")</f>
        <v>1.83e-05</v>
      </c>
    </row>
    <row r="11411" spans="1:7">
      <c r="A11411" s="3"/>
      <c r="B11411" s="3"/>
      <c r="C11411" s="3"/>
      <c r="D11411" s="3"/>
      <c r="E11411" s="3">
        <v>8</v>
      </c>
      <c r="F11411" s="4" t="str">
        <f>HYPERLINK("http://141.218.60.56/~jnz1568/getInfo.php?workbook=20_05.xlsx&amp;sheet=U0&amp;row=11411&amp;col=6&amp;number=3.7&amp;sourceID=14","3.7")</f>
        <v>3.7</v>
      </c>
      <c r="G11411" s="4" t="str">
        <f>HYPERLINK("http://141.218.60.56/~jnz1568/getInfo.php?workbook=20_05.xlsx&amp;sheet=U0&amp;row=11411&amp;col=7&amp;number=1.83e-05&amp;sourceID=14","1.83e-05")</f>
        <v>1.83e-05</v>
      </c>
    </row>
    <row r="11412" spans="1:7">
      <c r="A11412" s="3"/>
      <c r="B11412" s="3"/>
      <c r="C11412" s="3"/>
      <c r="D11412" s="3"/>
      <c r="E11412" s="3">
        <v>9</v>
      </c>
      <c r="F11412" s="4" t="str">
        <f>HYPERLINK("http://141.218.60.56/~jnz1568/getInfo.php?workbook=20_05.xlsx&amp;sheet=U0&amp;row=11412&amp;col=6&amp;number=3.8&amp;sourceID=14","3.8")</f>
        <v>3.8</v>
      </c>
      <c r="G11412" s="4" t="str">
        <f>HYPERLINK("http://141.218.60.56/~jnz1568/getInfo.php?workbook=20_05.xlsx&amp;sheet=U0&amp;row=11412&amp;col=7&amp;number=1.83e-05&amp;sourceID=14","1.83e-05")</f>
        <v>1.83e-05</v>
      </c>
    </row>
    <row r="11413" spans="1:7">
      <c r="A11413" s="3"/>
      <c r="B11413" s="3"/>
      <c r="C11413" s="3"/>
      <c r="D11413" s="3"/>
      <c r="E11413" s="3">
        <v>10</v>
      </c>
      <c r="F11413" s="4" t="str">
        <f>HYPERLINK("http://141.218.60.56/~jnz1568/getInfo.php?workbook=20_05.xlsx&amp;sheet=U0&amp;row=11413&amp;col=6&amp;number=3.9&amp;sourceID=14","3.9")</f>
        <v>3.9</v>
      </c>
      <c r="G11413" s="4" t="str">
        <f>HYPERLINK("http://141.218.60.56/~jnz1568/getInfo.php?workbook=20_05.xlsx&amp;sheet=U0&amp;row=11413&amp;col=7&amp;number=1.83e-05&amp;sourceID=14","1.83e-05")</f>
        <v>1.83e-05</v>
      </c>
    </row>
    <row r="11414" spans="1:7">
      <c r="A11414" s="3"/>
      <c r="B11414" s="3"/>
      <c r="C11414" s="3"/>
      <c r="D11414" s="3"/>
      <c r="E11414" s="3">
        <v>11</v>
      </c>
      <c r="F11414" s="4" t="str">
        <f>HYPERLINK("http://141.218.60.56/~jnz1568/getInfo.php?workbook=20_05.xlsx&amp;sheet=U0&amp;row=11414&amp;col=6&amp;number=4&amp;sourceID=14","4")</f>
        <v>4</v>
      </c>
      <c r="G11414" s="4" t="str">
        <f>HYPERLINK("http://141.218.60.56/~jnz1568/getInfo.php?workbook=20_05.xlsx&amp;sheet=U0&amp;row=11414&amp;col=7&amp;number=1.83e-05&amp;sourceID=14","1.83e-05")</f>
        <v>1.83e-05</v>
      </c>
    </row>
    <row r="11415" spans="1:7">
      <c r="A11415" s="3"/>
      <c r="B11415" s="3"/>
      <c r="C11415" s="3"/>
      <c r="D11415" s="3"/>
      <c r="E11415" s="3">
        <v>12</v>
      </c>
      <c r="F11415" s="4" t="str">
        <f>HYPERLINK("http://141.218.60.56/~jnz1568/getInfo.php?workbook=20_05.xlsx&amp;sheet=U0&amp;row=11415&amp;col=6&amp;number=4.1&amp;sourceID=14","4.1")</f>
        <v>4.1</v>
      </c>
      <c r="G11415" s="4" t="str">
        <f>HYPERLINK("http://141.218.60.56/~jnz1568/getInfo.php?workbook=20_05.xlsx&amp;sheet=U0&amp;row=11415&amp;col=7&amp;number=1.83e-05&amp;sourceID=14","1.83e-05")</f>
        <v>1.83e-05</v>
      </c>
    </row>
    <row r="11416" spans="1:7">
      <c r="A11416" s="3"/>
      <c r="B11416" s="3"/>
      <c r="C11416" s="3"/>
      <c r="D11416" s="3"/>
      <c r="E11416" s="3">
        <v>13</v>
      </c>
      <c r="F11416" s="4" t="str">
        <f>HYPERLINK("http://141.218.60.56/~jnz1568/getInfo.php?workbook=20_05.xlsx&amp;sheet=U0&amp;row=11416&amp;col=6&amp;number=4.2&amp;sourceID=14","4.2")</f>
        <v>4.2</v>
      </c>
      <c r="G11416" s="4" t="str">
        <f>HYPERLINK("http://141.218.60.56/~jnz1568/getInfo.php?workbook=20_05.xlsx&amp;sheet=U0&amp;row=11416&amp;col=7&amp;number=1.83e-05&amp;sourceID=14","1.83e-05")</f>
        <v>1.83e-05</v>
      </c>
    </row>
    <row r="11417" spans="1:7">
      <c r="A11417" s="3"/>
      <c r="B11417" s="3"/>
      <c r="C11417" s="3"/>
      <c r="D11417" s="3"/>
      <c r="E11417" s="3">
        <v>14</v>
      </c>
      <c r="F11417" s="4" t="str">
        <f>HYPERLINK("http://141.218.60.56/~jnz1568/getInfo.php?workbook=20_05.xlsx&amp;sheet=U0&amp;row=11417&amp;col=6&amp;number=4.3&amp;sourceID=14","4.3")</f>
        <v>4.3</v>
      </c>
      <c r="G11417" s="4" t="str">
        <f>HYPERLINK("http://141.218.60.56/~jnz1568/getInfo.php?workbook=20_05.xlsx&amp;sheet=U0&amp;row=11417&amp;col=7&amp;number=1.83e-05&amp;sourceID=14","1.83e-05")</f>
        <v>1.83e-05</v>
      </c>
    </row>
    <row r="11418" spans="1:7">
      <c r="A11418" s="3"/>
      <c r="B11418" s="3"/>
      <c r="C11418" s="3"/>
      <c r="D11418" s="3"/>
      <c r="E11418" s="3">
        <v>15</v>
      </c>
      <c r="F11418" s="4" t="str">
        <f>HYPERLINK("http://141.218.60.56/~jnz1568/getInfo.php?workbook=20_05.xlsx&amp;sheet=U0&amp;row=11418&amp;col=6&amp;number=4.4&amp;sourceID=14","4.4")</f>
        <v>4.4</v>
      </c>
      <c r="G11418" s="4" t="str">
        <f>HYPERLINK("http://141.218.60.56/~jnz1568/getInfo.php?workbook=20_05.xlsx&amp;sheet=U0&amp;row=11418&amp;col=7&amp;number=1.83e-05&amp;sourceID=14","1.83e-05")</f>
        <v>1.83e-05</v>
      </c>
    </row>
    <row r="11419" spans="1:7">
      <c r="A11419" s="3"/>
      <c r="B11419" s="3"/>
      <c r="C11419" s="3"/>
      <c r="D11419" s="3"/>
      <c r="E11419" s="3">
        <v>16</v>
      </c>
      <c r="F11419" s="4" t="str">
        <f>HYPERLINK("http://141.218.60.56/~jnz1568/getInfo.php?workbook=20_05.xlsx&amp;sheet=U0&amp;row=11419&amp;col=6&amp;number=4.5&amp;sourceID=14","4.5")</f>
        <v>4.5</v>
      </c>
      <c r="G11419" s="4" t="str">
        <f>HYPERLINK("http://141.218.60.56/~jnz1568/getInfo.php?workbook=20_05.xlsx&amp;sheet=U0&amp;row=11419&amp;col=7&amp;number=1.82e-05&amp;sourceID=14","1.82e-05")</f>
        <v>1.82e-05</v>
      </c>
    </row>
    <row r="11420" spans="1:7">
      <c r="A11420" s="3"/>
      <c r="B11420" s="3"/>
      <c r="C11420" s="3"/>
      <c r="D11420" s="3"/>
      <c r="E11420" s="3">
        <v>17</v>
      </c>
      <c r="F11420" s="4" t="str">
        <f>HYPERLINK("http://141.218.60.56/~jnz1568/getInfo.php?workbook=20_05.xlsx&amp;sheet=U0&amp;row=11420&amp;col=6&amp;number=4.6&amp;sourceID=14","4.6")</f>
        <v>4.6</v>
      </c>
      <c r="G11420" s="4" t="str">
        <f>HYPERLINK("http://141.218.60.56/~jnz1568/getInfo.php?workbook=20_05.xlsx&amp;sheet=U0&amp;row=11420&amp;col=7&amp;number=1.82e-05&amp;sourceID=14","1.82e-05")</f>
        <v>1.82e-05</v>
      </c>
    </row>
    <row r="11421" spans="1:7">
      <c r="A11421" s="3"/>
      <c r="B11421" s="3"/>
      <c r="C11421" s="3"/>
      <c r="D11421" s="3"/>
      <c r="E11421" s="3">
        <v>18</v>
      </c>
      <c r="F11421" s="4" t="str">
        <f>HYPERLINK("http://141.218.60.56/~jnz1568/getInfo.php?workbook=20_05.xlsx&amp;sheet=U0&amp;row=11421&amp;col=6&amp;number=4.7&amp;sourceID=14","4.7")</f>
        <v>4.7</v>
      </c>
      <c r="G11421" s="4" t="str">
        <f>HYPERLINK("http://141.218.60.56/~jnz1568/getInfo.php?workbook=20_05.xlsx&amp;sheet=U0&amp;row=11421&amp;col=7&amp;number=1.82e-05&amp;sourceID=14","1.82e-05")</f>
        <v>1.82e-05</v>
      </c>
    </row>
    <row r="11422" spans="1:7">
      <c r="A11422" s="3"/>
      <c r="B11422" s="3"/>
      <c r="C11422" s="3"/>
      <c r="D11422" s="3"/>
      <c r="E11422" s="3">
        <v>19</v>
      </c>
      <c r="F11422" s="4" t="str">
        <f>HYPERLINK("http://141.218.60.56/~jnz1568/getInfo.php?workbook=20_05.xlsx&amp;sheet=U0&amp;row=11422&amp;col=6&amp;number=4.8&amp;sourceID=14","4.8")</f>
        <v>4.8</v>
      </c>
      <c r="G11422" s="4" t="str">
        <f>HYPERLINK("http://141.218.60.56/~jnz1568/getInfo.php?workbook=20_05.xlsx&amp;sheet=U0&amp;row=11422&amp;col=7&amp;number=1.81e-05&amp;sourceID=14","1.81e-05")</f>
        <v>1.81e-05</v>
      </c>
    </row>
    <row r="11423" spans="1:7">
      <c r="A11423" s="3"/>
      <c r="B11423" s="3"/>
      <c r="C11423" s="3"/>
      <c r="D11423" s="3"/>
      <c r="E11423" s="3">
        <v>20</v>
      </c>
      <c r="F11423" s="4" t="str">
        <f>HYPERLINK("http://141.218.60.56/~jnz1568/getInfo.php?workbook=20_05.xlsx&amp;sheet=U0&amp;row=11423&amp;col=6&amp;number=4.9&amp;sourceID=14","4.9")</f>
        <v>4.9</v>
      </c>
      <c r="G11423" s="4" t="str">
        <f>HYPERLINK("http://141.218.60.56/~jnz1568/getInfo.php?workbook=20_05.xlsx&amp;sheet=U0&amp;row=11423&amp;col=7&amp;number=1.81e-05&amp;sourceID=14","1.81e-05")</f>
        <v>1.81e-05</v>
      </c>
    </row>
    <row r="11424" spans="1:7">
      <c r="A11424" s="3">
        <v>20</v>
      </c>
      <c r="B11424" s="3">
        <v>5</v>
      </c>
      <c r="C11424" s="3">
        <v>5</v>
      </c>
      <c r="D11424" s="3">
        <v>106</v>
      </c>
      <c r="E11424" s="3">
        <v>1</v>
      </c>
      <c r="F11424" s="4" t="str">
        <f>HYPERLINK("http://141.218.60.56/~jnz1568/getInfo.php?workbook=20_05.xlsx&amp;sheet=U0&amp;row=11424&amp;col=6&amp;number=3&amp;sourceID=14","3")</f>
        <v>3</v>
      </c>
      <c r="G11424" s="4" t="str">
        <f>HYPERLINK("http://141.218.60.56/~jnz1568/getInfo.php?workbook=20_05.xlsx&amp;sheet=U0&amp;row=11424&amp;col=7&amp;number=0.0067&amp;sourceID=14","0.0067")</f>
        <v>0.0067</v>
      </c>
    </row>
    <row r="11425" spans="1:7">
      <c r="A11425" s="3"/>
      <c r="B11425" s="3"/>
      <c r="C11425" s="3"/>
      <c r="D11425" s="3"/>
      <c r="E11425" s="3">
        <v>2</v>
      </c>
      <c r="F11425" s="4" t="str">
        <f>HYPERLINK("http://141.218.60.56/~jnz1568/getInfo.php?workbook=20_05.xlsx&amp;sheet=U0&amp;row=11425&amp;col=6&amp;number=3.1&amp;sourceID=14","3.1")</f>
        <v>3.1</v>
      </c>
      <c r="G11425" s="4" t="str">
        <f>HYPERLINK("http://141.218.60.56/~jnz1568/getInfo.php?workbook=20_05.xlsx&amp;sheet=U0&amp;row=11425&amp;col=7&amp;number=0.0067&amp;sourceID=14","0.0067")</f>
        <v>0.0067</v>
      </c>
    </row>
    <row r="11426" spans="1:7">
      <c r="A11426" s="3"/>
      <c r="B11426" s="3"/>
      <c r="C11426" s="3"/>
      <c r="D11426" s="3"/>
      <c r="E11426" s="3">
        <v>3</v>
      </c>
      <c r="F11426" s="4" t="str">
        <f>HYPERLINK("http://141.218.60.56/~jnz1568/getInfo.php?workbook=20_05.xlsx&amp;sheet=U0&amp;row=11426&amp;col=6&amp;number=3.2&amp;sourceID=14","3.2")</f>
        <v>3.2</v>
      </c>
      <c r="G11426" s="4" t="str">
        <f>HYPERLINK("http://141.218.60.56/~jnz1568/getInfo.php?workbook=20_05.xlsx&amp;sheet=U0&amp;row=11426&amp;col=7&amp;number=0.0067&amp;sourceID=14","0.0067")</f>
        <v>0.0067</v>
      </c>
    </row>
    <row r="11427" spans="1:7">
      <c r="A11427" s="3"/>
      <c r="B11427" s="3"/>
      <c r="C11427" s="3"/>
      <c r="D11427" s="3"/>
      <c r="E11427" s="3">
        <v>4</v>
      </c>
      <c r="F11427" s="4" t="str">
        <f>HYPERLINK("http://141.218.60.56/~jnz1568/getInfo.php?workbook=20_05.xlsx&amp;sheet=U0&amp;row=11427&amp;col=6&amp;number=3.3&amp;sourceID=14","3.3")</f>
        <v>3.3</v>
      </c>
      <c r="G11427" s="4" t="str">
        <f>HYPERLINK("http://141.218.60.56/~jnz1568/getInfo.php?workbook=20_05.xlsx&amp;sheet=U0&amp;row=11427&amp;col=7&amp;number=0.0067&amp;sourceID=14","0.0067")</f>
        <v>0.0067</v>
      </c>
    </row>
    <row r="11428" spans="1:7">
      <c r="A11428" s="3"/>
      <c r="B11428" s="3"/>
      <c r="C11428" s="3"/>
      <c r="D11428" s="3"/>
      <c r="E11428" s="3">
        <v>5</v>
      </c>
      <c r="F11428" s="4" t="str">
        <f>HYPERLINK("http://141.218.60.56/~jnz1568/getInfo.php?workbook=20_05.xlsx&amp;sheet=U0&amp;row=11428&amp;col=6&amp;number=3.4&amp;sourceID=14","3.4")</f>
        <v>3.4</v>
      </c>
      <c r="G11428" s="4" t="str">
        <f>HYPERLINK("http://141.218.60.56/~jnz1568/getInfo.php?workbook=20_05.xlsx&amp;sheet=U0&amp;row=11428&amp;col=7&amp;number=0.00671&amp;sourceID=14","0.00671")</f>
        <v>0.00671</v>
      </c>
    </row>
    <row r="11429" spans="1:7">
      <c r="A11429" s="3"/>
      <c r="B11429" s="3"/>
      <c r="C11429" s="3"/>
      <c r="D11429" s="3"/>
      <c r="E11429" s="3">
        <v>6</v>
      </c>
      <c r="F11429" s="4" t="str">
        <f>HYPERLINK("http://141.218.60.56/~jnz1568/getInfo.php?workbook=20_05.xlsx&amp;sheet=U0&amp;row=11429&amp;col=6&amp;number=3.5&amp;sourceID=14","3.5")</f>
        <v>3.5</v>
      </c>
      <c r="G11429" s="4" t="str">
        <f>HYPERLINK("http://141.218.60.56/~jnz1568/getInfo.php?workbook=20_05.xlsx&amp;sheet=U0&amp;row=11429&amp;col=7&amp;number=0.00671&amp;sourceID=14","0.00671")</f>
        <v>0.00671</v>
      </c>
    </row>
    <row r="11430" spans="1:7">
      <c r="A11430" s="3"/>
      <c r="B11430" s="3"/>
      <c r="C11430" s="3"/>
      <c r="D11430" s="3"/>
      <c r="E11430" s="3">
        <v>7</v>
      </c>
      <c r="F11430" s="4" t="str">
        <f>HYPERLINK("http://141.218.60.56/~jnz1568/getInfo.php?workbook=20_05.xlsx&amp;sheet=U0&amp;row=11430&amp;col=6&amp;number=3.6&amp;sourceID=14","3.6")</f>
        <v>3.6</v>
      </c>
      <c r="G11430" s="4" t="str">
        <f>HYPERLINK("http://141.218.60.56/~jnz1568/getInfo.php?workbook=20_05.xlsx&amp;sheet=U0&amp;row=11430&amp;col=7&amp;number=0.00671&amp;sourceID=14","0.00671")</f>
        <v>0.00671</v>
      </c>
    </row>
    <row r="11431" spans="1:7">
      <c r="A11431" s="3"/>
      <c r="B11431" s="3"/>
      <c r="C11431" s="3"/>
      <c r="D11431" s="3"/>
      <c r="E11431" s="3">
        <v>8</v>
      </c>
      <c r="F11431" s="4" t="str">
        <f>HYPERLINK("http://141.218.60.56/~jnz1568/getInfo.php?workbook=20_05.xlsx&amp;sheet=U0&amp;row=11431&amp;col=6&amp;number=3.7&amp;sourceID=14","3.7")</f>
        <v>3.7</v>
      </c>
      <c r="G11431" s="4" t="str">
        <f>HYPERLINK("http://141.218.60.56/~jnz1568/getInfo.php?workbook=20_05.xlsx&amp;sheet=U0&amp;row=11431&amp;col=7&amp;number=0.00671&amp;sourceID=14","0.00671")</f>
        <v>0.00671</v>
      </c>
    </row>
    <row r="11432" spans="1:7">
      <c r="A11432" s="3"/>
      <c r="B11432" s="3"/>
      <c r="C11432" s="3"/>
      <c r="D11432" s="3"/>
      <c r="E11432" s="3">
        <v>9</v>
      </c>
      <c r="F11432" s="4" t="str">
        <f>HYPERLINK("http://141.218.60.56/~jnz1568/getInfo.php?workbook=20_05.xlsx&amp;sheet=U0&amp;row=11432&amp;col=6&amp;number=3.8&amp;sourceID=14","3.8")</f>
        <v>3.8</v>
      </c>
      <c r="G11432" s="4" t="str">
        <f>HYPERLINK("http://141.218.60.56/~jnz1568/getInfo.php?workbook=20_05.xlsx&amp;sheet=U0&amp;row=11432&amp;col=7&amp;number=0.00671&amp;sourceID=14","0.00671")</f>
        <v>0.00671</v>
      </c>
    </row>
    <row r="11433" spans="1:7">
      <c r="A11433" s="3"/>
      <c r="B11433" s="3"/>
      <c r="C11433" s="3"/>
      <c r="D11433" s="3"/>
      <c r="E11433" s="3">
        <v>10</v>
      </c>
      <c r="F11433" s="4" t="str">
        <f>HYPERLINK("http://141.218.60.56/~jnz1568/getInfo.php?workbook=20_05.xlsx&amp;sheet=U0&amp;row=11433&amp;col=6&amp;number=3.9&amp;sourceID=14","3.9")</f>
        <v>3.9</v>
      </c>
      <c r="G11433" s="4" t="str">
        <f>HYPERLINK("http://141.218.60.56/~jnz1568/getInfo.php?workbook=20_05.xlsx&amp;sheet=U0&amp;row=11433&amp;col=7&amp;number=0.00672&amp;sourceID=14","0.00672")</f>
        <v>0.00672</v>
      </c>
    </row>
    <row r="11434" spans="1:7">
      <c r="A11434" s="3"/>
      <c r="B11434" s="3"/>
      <c r="C11434" s="3"/>
      <c r="D11434" s="3"/>
      <c r="E11434" s="3">
        <v>11</v>
      </c>
      <c r="F11434" s="4" t="str">
        <f>HYPERLINK("http://141.218.60.56/~jnz1568/getInfo.php?workbook=20_05.xlsx&amp;sheet=U0&amp;row=11434&amp;col=6&amp;number=4&amp;sourceID=14","4")</f>
        <v>4</v>
      </c>
      <c r="G11434" s="4" t="str">
        <f>HYPERLINK("http://141.218.60.56/~jnz1568/getInfo.php?workbook=20_05.xlsx&amp;sheet=U0&amp;row=11434&amp;col=7&amp;number=0.00672&amp;sourceID=14","0.00672")</f>
        <v>0.00672</v>
      </c>
    </row>
    <row r="11435" spans="1:7">
      <c r="A11435" s="3"/>
      <c r="B11435" s="3"/>
      <c r="C11435" s="3"/>
      <c r="D11435" s="3"/>
      <c r="E11435" s="3">
        <v>12</v>
      </c>
      <c r="F11435" s="4" t="str">
        <f>HYPERLINK("http://141.218.60.56/~jnz1568/getInfo.php?workbook=20_05.xlsx&amp;sheet=U0&amp;row=11435&amp;col=6&amp;number=4.1&amp;sourceID=14","4.1")</f>
        <v>4.1</v>
      </c>
      <c r="G11435" s="4" t="str">
        <f>HYPERLINK("http://141.218.60.56/~jnz1568/getInfo.php?workbook=20_05.xlsx&amp;sheet=U0&amp;row=11435&amp;col=7&amp;number=0.00673&amp;sourceID=14","0.00673")</f>
        <v>0.00673</v>
      </c>
    </row>
    <row r="11436" spans="1:7">
      <c r="A11436" s="3"/>
      <c r="B11436" s="3"/>
      <c r="C11436" s="3"/>
      <c r="D11436" s="3"/>
      <c r="E11436" s="3">
        <v>13</v>
      </c>
      <c r="F11436" s="4" t="str">
        <f>HYPERLINK("http://141.218.60.56/~jnz1568/getInfo.php?workbook=20_05.xlsx&amp;sheet=U0&amp;row=11436&amp;col=6&amp;number=4.2&amp;sourceID=14","4.2")</f>
        <v>4.2</v>
      </c>
      <c r="G11436" s="4" t="str">
        <f>HYPERLINK("http://141.218.60.56/~jnz1568/getInfo.php?workbook=20_05.xlsx&amp;sheet=U0&amp;row=11436&amp;col=7&amp;number=0.00673&amp;sourceID=14","0.00673")</f>
        <v>0.00673</v>
      </c>
    </row>
    <row r="11437" spans="1:7">
      <c r="A11437" s="3"/>
      <c r="B11437" s="3"/>
      <c r="C11437" s="3"/>
      <c r="D11437" s="3"/>
      <c r="E11437" s="3">
        <v>14</v>
      </c>
      <c r="F11437" s="4" t="str">
        <f>HYPERLINK("http://141.218.60.56/~jnz1568/getInfo.php?workbook=20_05.xlsx&amp;sheet=U0&amp;row=11437&amp;col=6&amp;number=4.3&amp;sourceID=14","4.3")</f>
        <v>4.3</v>
      </c>
      <c r="G11437" s="4" t="str">
        <f>HYPERLINK("http://141.218.60.56/~jnz1568/getInfo.php?workbook=20_05.xlsx&amp;sheet=U0&amp;row=11437&amp;col=7&amp;number=0.00674&amp;sourceID=14","0.00674")</f>
        <v>0.00674</v>
      </c>
    </row>
    <row r="11438" spans="1:7">
      <c r="A11438" s="3"/>
      <c r="B11438" s="3"/>
      <c r="C11438" s="3"/>
      <c r="D11438" s="3"/>
      <c r="E11438" s="3">
        <v>15</v>
      </c>
      <c r="F11438" s="4" t="str">
        <f>HYPERLINK("http://141.218.60.56/~jnz1568/getInfo.php?workbook=20_05.xlsx&amp;sheet=U0&amp;row=11438&amp;col=6&amp;number=4.4&amp;sourceID=14","4.4")</f>
        <v>4.4</v>
      </c>
      <c r="G11438" s="4" t="str">
        <f>HYPERLINK("http://141.218.60.56/~jnz1568/getInfo.php?workbook=20_05.xlsx&amp;sheet=U0&amp;row=11438&amp;col=7&amp;number=0.00675&amp;sourceID=14","0.00675")</f>
        <v>0.00675</v>
      </c>
    </row>
    <row r="11439" spans="1:7">
      <c r="A11439" s="3"/>
      <c r="B11439" s="3"/>
      <c r="C11439" s="3"/>
      <c r="D11439" s="3"/>
      <c r="E11439" s="3">
        <v>16</v>
      </c>
      <c r="F11439" s="4" t="str">
        <f>HYPERLINK("http://141.218.60.56/~jnz1568/getInfo.php?workbook=20_05.xlsx&amp;sheet=U0&amp;row=11439&amp;col=6&amp;number=4.5&amp;sourceID=14","4.5")</f>
        <v>4.5</v>
      </c>
      <c r="G11439" s="4" t="str">
        <f>HYPERLINK("http://141.218.60.56/~jnz1568/getInfo.php?workbook=20_05.xlsx&amp;sheet=U0&amp;row=11439&amp;col=7&amp;number=0.00676&amp;sourceID=14","0.00676")</f>
        <v>0.00676</v>
      </c>
    </row>
    <row r="11440" spans="1:7">
      <c r="A11440" s="3"/>
      <c r="B11440" s="3"/>
      <c r="C11440" s="3"/>
      <c r="D11440" s="3"/>
      <c r="E11440" s="3">
        <v>17</v>
      </c>
      <c r="F11440" s="4" t="str">
        <f>HYPERLINK("http://141.218.60.56/~jnz1568/getInfo.php?workbook=20_05.xlsx&amp;sheet=U0&amp;row=11440&amp;col=6&amp;number=4.6&amp;sourceID=14","4.6")</f>
        <v>4.6</v>
      </c>
      <c r="G11440" s="4" t="str">
        <f>HYPERLINK("http://141.218.60.56/~jnz1568/getInfo.php?workbook=20_05.xlsx&amp;sheet=U0&amp;row=11440&amp;col=7&amp;number=0.00678&amp;sourceID=14","0.00678")</f>
        <v>0.00678</v>
      </c>
    </row>
    <row r="11441" spans="1:7">
      <c r="A11441" s="3"/>
      <c r="B11441" s="3"/>
      <c r="C11441" s="3"/>
      <c r="D11441" s="3"/>
      <c r="E11441" s="3">
        <v>18</v>
      </c>
      <c r="F11441" s="4" t="str">
        <f>HYPERLINK("http://141.218.60.56/~jnz1568/getInfo.php?workbook=20_05.xlsx&amp;sheet=U0&amp;row=11441&amp;col=6&amp;number=4.7&amp;sourceID=14","4.7")</f>
        <v>4.7</v>
      </c>
      <c r="G11441" s="4" t="str">
        <f>HYPERLINK("http://141.218.60.56/~jnz1568/getInfo.php?workbook=20_05.xlsx&amp;sheet=U0&amp;row=11441&amp;col=7&amp;number=0.0068&amp;sourceID=14","0.0068")</f>
        <v>0.0068</v>
      </c>
    </row>
    <row r="11442" spans="1:7">
      <c r="A11442" s="3"/>
      <c r="B11442" s="3"/>
      <c r="C11442" s="3"/>
      <c r="D11442" s="3"/>
      <c r="E11442" s="3">
        <v>19</v>
      </c>
      <c r="F11442" s="4" t="str">
        <f>HYPERLINK("http://141.218.60.56/~jnz1568/getInfo.php?workbook=20_05.xlsx&amp;sheet=U0&amp;row=11442&amp;col=6&amp;number=4.8&amp;sourceID=14","4.8")</f>
        <v>4.8</v>
      </c>
      <c r="G11442" s="4" t="str">
        <f>HYPERLINK("http://141.218.60.56/~jnz1568/getInfo.php?workbook=20_05.xlsx&amp;sheet=U0&amp;row=11442&amp;col=7&amp;number=0.00683&amp;sourceID=14","0.00683")</f>
        <v>0.00683</v>
      </c>
    </row>
    <row r="11443" spans="1:7">
      <c r="A11443" s="3"/>
      <c r="B11443" s="3"/>
      <c r="C11443" s="3"/>
      <c r="D11443" s="3"/>
      <c r="E11443" s="3">
        <v>20</v>
      </c>
      <c r="F11443" s="4" t="str">
        <f>HYPERLINK("http://141.218.60.56/~jnz1568/getInfo.php?workbook=20_05.xlsx&amp;sheet=U0&amp;row=11443&amp;col=6&amp;number=4.9&amp;sourceID=14","4.9")</f>
        <v>4.9</v>
      </c>
      <c r="G11443" s="4" t="str">
        <f>HYPERLINK("http://141.218.60.56/~jnz1568/getInfo.php?workbook=20_05.xlsx&amp;sheet=U0&amp;row=11443&amp;col=7&amp;number=0.00686&amp;sourceID=14","0.00686")</f>
        <v>0.00686</v>
      </c>
    </row>
    <row r="11444" spans="1:7">
      <c r="A11444" s="3">
        <v>20</v>
      </c>
      <c r="B11444" s="3">
        <v>5</v>
      </c>
      <c r="C11444" s="3">
        <v>5</v>
      </c>
      <c r="D11444" s="3">
        <v>107</v>
      </c>
      <c r="E11444" s="3">
        <v>1</v>
      </c>
      <c r="F11444" s="4" t="str">
        <f>HYPERLINK("http://141.218.60.56/~jnz1568/getInfo.php?workbook=20_05.xlsx&amp;sheet=U0&amp;row=11444&amp;col=6&amp;number=3&amp;sourceID=14","3")</f>
        <v>3</v>
      </c>
      <c r="G11444" s="4" t="str">
        <f>HYPERLINK("http://141.218.60.56/~jnz1568/getInfo.php?workbook=20_05.xlsx&amp;sheet=U0&amp;row=11444&amp;col=7&amp;number=0.00848&amp;sourceID=14","0.00848")</f>
        <v>0.00848</v>
      </c>
    </row>
    <row r="11445" spans="1:7">
      <c r="A11445" s="3"/>
      <c r="B11445" s="3"/>
      <c r="C11445" s="3"/>
      <c r="D11445" s="3"/>
      <c r="E11445" s="3">
        <v>2</v>
      </c>
      <c r="F11445" s="4" t="str">
        <f>HYPERLINK("http://141.218.60.56/~jnz1568/getInfo.php?workbook=20_05.xlsx&amp;sheet=U0&amp;row=11445&amp;col=6&amp;number=3.1&amp;sourceID=14","3.1")</f>
        <v>3.1</v>
      </c>
      <c r="G11445" s="4" t="str">
        <f>HYPERLINK("http://141.218.60.56/~jnz1568/getInfo.php?workbook=20_05.xlsx&amp;sheet=U0&amp;row=11445&amp;col=7&amp;number=0.00848&amp;sourceID=14","0.00848")</f>
        <v>0.00848</v>
      </c>
    </row>
    <row r="11446" spans="1:7">
      <c r="A11446" s="3"/>
      <c r="B11446" s="3"/>
      <c r="C11446" s="3"/>
      <c r="D11446" s="3"/>
      <c r="E11446" s="3">
        <v>3</v>
      </c>
      <c r="F11446" s="4" t="str">
        <f>HYPERLINK("http://141.218.60.56/~jnz1568/getInfo.php?workbook=20_05.xlsx&amp;sheet=U0&amp;row=11446&amp;col=6&amp;number=3.2&amp;sourceID=14","3.2")</f>
        <v>3.2</v>
      </c>
      <c r="G11446" s="4" t="str">
        <f>HYPERLINK("http://141.218.60.56/~jnz1568/getInfo.php?workbook=20_05.xlsx&amp;sheet=U0&amp;row=11446&amp;col=7&amp;number=0.00848&amp;sourceID=14","0.00848")</f>
        <v>0.00848</v>
      </c>
    </row>
    <row r="11447" spans="1:7">
      <c r="A11447" s="3"/>
      <c r="B11447" s="3"/>
      <c r="C11447" s="3"/>
      <c r="D11447" s="3"/>
      <c r="E11447" s="3">
        <v>4</v>
      </c>
      <c r="F11447" s="4" t="str">
        <f>HYPERLINK("http://141.218.60.56/~jnz1568/getInfo.php?workbook=20_05.xlsx&amp;sheet=U0&amp;row=11447&amp;col=6&amp;number=3.3&amp;sourceID=14","3.3")</f>
        <v>3.3</v>
      </c>
      <c r="G11447" s="4" t="str">
        <f>HYPERLINK("http://141.218.60.56/~jnz1568/getInfo.php?workbook=20_05.xlsx&amp;sheet=U0&amp;row=11447&amp;col=7&amp;number=0.00848&amp;sourceID=14","0.00848")</f>
        <v>0.00848</v>
      </c>
    </row>
    <row r="11448" spans="1:7">
      <c r="A11448" s="3"/>
      <c r="B11448" s="3"/>
      <c r="C11448" s="3"/>
      <c r="D11448" s="3"/>
      <c r="E11448" s="3">
        <v>5</v>
      </c>
      <c r="F11448" s="4" t="str">
        <f>HYPERLINK("http://141.218.60.56/~jnz1568/getInfo.php?workbook=20_05.xlsx&amp;sheet=U0&amp;row=11448&amp;col=6&amp;number=3.4&amp;sourceID=14","3.4")</f>
        <v>3.4</v>
      </c>
      <c r="G11448" s="4" t="str">
        <f>HYPERLINK("http://141.218.60.56/~jnz1568/getInfo.php?workbook=20_05.xlsx&amp;sheet=U0&amp;row=11448&amp;col=7&amp;number=0.00848&amp;sourceID=14","0.00848")</f>
        <v>0.00848</v>
      </c>
    </row>
    <row r="11449" spans="1:7">
      <c r="A11449" s="3"/>
      <c r="B11449" s="3"/>
      <c r="C11449" s="3"/>
      <c r="D11449" s="3"/>
      <c r="E11449" s="3">
        <v>6</v>
      </c>
      <c r="F11449" s="4" t="str">
        <f>HYPERLINK("http://141.218.60.56/~jnz1568/getInfo.php?workbook=20_05.xlsx&amp;sheet=U0&amp;row=11449&amp;col=6&amp;number=3.5&amp;sourceID=14","3.5")</f>
        <v>3.5</v>
      </c>
      <c r="G11449" s="4" t="str">
        <f>HYPERLINK("http://141.218.60.56/~jnz1568/getInfo.php?workbook=20_05.xlsx&amp;sheet=U0&amp;row=11449&amp;col=7&amp;number=0.00848&amp;sourceID=14","0.00848")</f>
        <v>0.00848</v>
      </c>
    </row>
    <row r="11450" spans="1:7">
      <c r="A11450" s="3"/>
      <c r="B11450" s="3"/>
      <c r="C11450" s="3"/>
      <c r="D11450" s="3"/>
      <c r="E11450" s="3">
        <v>7</v>
      </c>
      <c r="F11450" s="4" t="str">
        <f>HYPERLINK("http://141.218.60.56/~jnz1568/getInfo.php?workbook=20_05.xlsx&amp;sheet=U0&amp;row=11450&amp;col=6&amp;number=3.6&amp;sourceID=14","3.6")</f>
        <v>3.6</v>
      </c>
      <c r="G11450" s="4" t="str">
        <f>HYPERLINK("http://141.218.60.56/~jnz1568/getInfo.php?workbook=20_05.xlsx&amp;sheet=U0&amp;row=11450&amp;col=7&amp;number=0.00848&amp;sourceID=14","0.00848")</f>
        <v>0.00848</v>
      </c>
    </row>
    <row r="11451" spans="1:7">
      <c r="A11451" s="3"/>
      <c r="B11451" s="3"/>
      <c r="C11451" s="3"/>
      <c r="D11451" s="3"/>
      <c r="E11451" s="3">
        <v>8</v>
      </c>
      <c r="F11451" s="4" t="str">
        <f>HYPERLINK("http://141.218.60.56/~jnz1568/getInfo.php?workbook=20_05.xlsx&amp;sheet=U0&amp;row=11451&amp;col=6&amp;number=3.7&amp;sourceID=14","3.7")</f>
        <v>3.7</v>
      </c>
      <c r="G11451" s="4" t="str">
        <f>HYPERLINK("http://141.218.60.56/~jnz1568/getInfo.php?workbook=20_05.xlsx&amp;sheet=U0&amp;row=11451&amp;col=7&amp;number=0.00848&amp;sourceID=14","0.00848")</f>
        <v>0.00848</v>
      </c>
    </row>
    <row r="11452" spans="1:7">
      <c r="A11452" s="3"/>
      <c r="B11452" s="3"/>
      <c r="C11452" s="3"/>
      <c r="D11452" s="3"/>
      <c r="E11452" s="3">
        <v>9</v>
      </c>
      <c r="F11452" s="4" t="str">
        <f>HYPERLINK("http://141.218.60.56/~jnz1568/getInfo.php?workbook=20_05.xlsx&amp;sheet=U0&amp;row=11452&amp;col=6&amp;number=3.8&amp;sourceID=14","3.8")</f>
        <v>3.8</v>
      </c>
      <c r="G11452" s="4" t="str">
        <f>HYPERLINK("http://141.218.60.56/~jnz1568/getInfo.php?workbook=20_05.xlsx&amp;sheet=U0&amp;row=11452&amp;col=7&amp;number=0.00848&amp;sourceID=14","0.00848")</f>
        <v>0.00848</v>
      </c>
    </row>
    <row r="11453" spans="1:7">
      <c r="A11453" s="3"/>
      <c r="B11453" s="3"/>
      <c r="C11453" s="3"/>
      <c r="D11453" s="3"/>
      <c r="E11453" s="3">
        <v>10</v>
      </c>
      <c r="F11453" s="4" t="str">
        <f>HYPERLINK("http://141.218.60.56/~jnz1568/getInfo.php?workbook=20_05.xlsx&amp;sheet=U0&amp;row=11453&amp;col=6&amp;number=3.9&amp;sourceID=14","3.9")</f>
        <v>3.9</v>
      </c>
      <c r="G11453" s="4" t="str">
        <f>HYPERLINK("http://141.218.60.56/~jnz1568/getInfo.php?workbook=20_05.xlsx&amp;sheet=U0&amp;row=11453&amp;col=7&amp;number=0.00847&amp;sourceID=14","0.00847")</f>
        <v>0.00847</v>
      </c>
    </row>
    <row r="11454" spans="1:7">
      <c r="A11454" s="3"/>
      <c r="B11454" s="3"/>
      <c r="C11454" s="3"/>
      <c r="D11454" s="3"/>
      <c r="E11454" s="3">
        <v>11</v>
      </c>
      <c r="F11454" s="4" t="str">
        <f>HYPERLINK("http://141.218.60.56/~jnz1568/getInfo.php?workbook=20_05.xlsx&amp;sheet=U0&amp;row=11454&amp;col=6&amp;number=4&amp;sourceID=14","4")</f>
        <v>4</v>
      </c>
      <c r="G11454" s="4" t="str">
        <f>HYPERLINK("http://141.218.60.56/~jnz1568/getInfo.php?workbook=20_05.xlsx&amp;sheet=U0&amp;row=11454&amp;col=7&amp;number=0.00847&amp;sourceID=14","0.00847")</f>
        <v>0.00847</v>
      </c>
    </row>
    <row r="11455" spans="1:7">
      <c r="A11455" s="3"/>
      <c r="B11455" s="3"/>
      <c r="C11455" s="3"/>
      <c r="D11455" s="3"/>
      <c r="E11455" s="3">
        <v>12</v>
      </c>
      <c r="F11455" s="4" t="str">
        <f>HYPERLINK("http://141.218.60.56/~jnz1568/getInfo.php?workbook=20_05.xlsx&amp;sheet=U0&amp;row=11455&amp;col=6&amp;number=4.1&amp;sourceID=14","4.1")</f>
        <v>4.1</v>
      </c>
      <c r="G11455" s="4" t="str">
        <f>HYPERLINK("http://141.218.60.56/~jnz1568/getInfo.php?workbook=20_05.xlsx&amp;sheet=U0&amp;row=11455&amp;col=7&amp;number=0.00847&amp;sourceID=14","0.00847")</f>
        <v>0.00847</v>
      </c>
    </row>
    <row r="11456" spans="1:7">
      <c r="A11456" s="3"/>
      <c r="B11456" s="3"/>
      <c r="C11456" s="3"/>
      <c r="D11456" s="3"/>
      <c r="E11456" s="3">
        <v>13</v>
      </c>
      <c r="F11456" s="4" t="str">
        <f>HYPERLINK("http://141.218.60.56/~jnz1568/getInfo.php?workbook=20_05.xlsx&amp;sheet=U0&amp;row=11456&amp;col=6&amp;number=4.2&amp;sourceID=14","4.2")</f>
        <v>4.2</v>
      </c>
      <c r="G11456" s="4" t="str">
        <f>HYPERLINK("http://141.218.60.56/~jnz1568/getInfo.php?workbook=20_05.xlsx&amp;sheet=U0&amp;row=11456&amp;col=7&amp;number=0.00847&amp;sourceID=14","0.00847")</f>
        <v>0.00847</v>
      </c>
    </row>
    <row r="11457" spans="1:7">
      <c r="A11457" s="3"/>
      <c r="B11457" s="3"/>
      <c r="C11457" s="3"/>
      <c r="D11457" s="3"/>
      <c r="E11457" s="3">
        <v>14</v>
      </c>
      <c r="F11457" s="4" t="str">
        <f>HYPERLINK("http://141.218.60.56/~jnz1568/getInfo.php?workbook=20_05.xlsx&amp;sheet=U0&amp;row=11457&amp;col=6&amp;number=4.3&amp;sourceID=14","4.3")</f>
        <v>4.3</v>
      </c>
      <c r="G11457" s="4" t="str">
        <f>HYPERLINK("http://141.218.60.56/~jnz1568/getInfo.php?workbook=20_05.xlsx&amp;sheet=U0&amp;row=11457&amp;col=7&amp;number=0.00847&amp;sourceID=14","0.00847")</f>
        <v>0.00847</v>
      </c>
    </row>
    <row r="11458" spans="1:7">
      <c r="A11458" s="3"/>
      <c r="B11458" s="3"/>
      <c r="C11458" s="3"/>
      <c r="D11458" s="3"/>
      <c r="E11458" s="3">
        <v>15</v>
      </c>
      <c r="F11458" s="4" t="str">
        <f>HYPERLINK("http://141.218.60.56/~jnz1568/getInfo.php?workbook=20_05.xlsx&amp;sheet=U0&amp;row=11458&amp;col=6&amp;number=4.4&amp;sourceID=14","4.4")</f>
        <v>4.4</v>
      </c>
      <c r="G11458" s="4" t="str">
        <f>HYPERLINK("http://141.218.60.56/~jnz1568/getInfo.php?workbook=20_05.xlsx&amp;sheet=U0&amp;row=11458&amp;col=7&amp;number=0.00847&amp;sourceID=14","0.00847")</f>
        <v>0.00847</v>
      </c>
    </row>
    <row r="11459" spans="1:7">
      <c r="A11459" s="3"/>
      <c r="B11459" s="3"/>
      <c r="C11459" s="3"/>
      <c r="D11459" s="3"/>
      <c r="E11459" s="3">
        <v>16</v>
      </c>
      <c r="F11459" s="4" t="str">
        <f>HYPERLINK("http://141.218.60.56/~jnz1568/getInfo.php?workbook=20_05.xlsx&amp;sheet=U0&amp;row=11459&amp;col=6&amp;number=4.5&amp;sourceID=14","4.5")</f>
        <v>4.5</v>
      </c>
      <c r="G11459" s="4" t="str">
        <f>HYPERLINK("http://141.218.60.56/~jnz1568/getInfo.php?workbook=20_05.xlsx&amp;sheet=U0&amp;row=11459&amp;col=7&amp;number=0.00846&amp;sourceID=14","0.00846")</f>
        <v>0.00846</v>
      </c>
    </row>
    <row r="11460" spans="1:7">
      <c r="A11460" s="3"/>
      <c r="B11460" s="3"/>
      <c r="C11460" s="3"/>
      <c r="D11460" s="3"/>
      <c r="E11460" s="3">
        <v>17</v>
      </c>
      <c r="F11460" s="4" t="str">
        <f>HYPERLINK("http://141.218.60.56/~jnz1568/getInfo.php?workbook=20_05.xlsx&amp;sheet=U0&amp;row=11460&amp;col=6&amp;number=4.6&amp;sourceID=14","4.6")</f>
        <v>4.6</v>
      </c>
      <c r="G11460" s="4" t="str">
        <f>HYPERLINK("http://141.218.60.56/~jnz1568/getInfo.php?workbook=20_05.xlsx&amp;sheet=U0&amp;row=11460&amp;col=7&amp;number=0.00846&amp;sourceID=14","0.00846")</f>
        <v>0.00846</v>
      </c>
    </row>
    <row r="11461" spans="1:7">
      <c r="A11461" s="3"/>
      <c r="B11461" s="3"/>
      <c r="C11461" s="3"/>
      <c r="D11461" s="3"/>
      <c r="E11461" s="3">
        <v>18</v>
      </c>
      <c r="F11461" s="4" t="str">
        <f>HYPERLINK("http://141.218.60.56/~jnz1568/getInfo.php?workbook=20_05.xlsx&amp;sheet=U0&amp;row=11461&amp;col=6&amp;number=4.7&amp;sourceID=14","4.7")</f>
        <v>4.7</v>
      </c>
      <c r="G11461" s="4" t="str">
        <f>HYPERLINK("http://141.218.60.56/~jnz1568/getInfo.php?workbook=20_05.xlsx&amp;sheet=U0&amp;row=11461&amp;col=7&amp;number=0.00845&amp;sourceID=14","0.00845")</f>
        <v>0.00845</v>
      </c>
    </row>
    <row r="11462" spans="1:7">
      <c r="A11462" s="3"/>
      <c r="B11462" s="3"/>
      <c r="C11462" s="3"/>
      <c r="D11462" s="3"/>
      <c r="E11462" s="3">
        <v>19</v>
      </c>
      <c r="F11462" s="4" t="str">
        <f>HYPERLINK("http://141.218.60.56/~jnz1568/getInfo.php?workbook=20_05.xlsx&amp;sheet=U0&amp;row=11462&amp;col=6&amp;number=4.8&amp;sourceID=14","4.8")</f>
        <v>4.8</v>
      </c>
      <c r="G11462" s="4" t="str">
        <f>HYPERLINK("http://141.218.60.56/~jnz1568/getInfo.php?workbook=20_05.xlsx&amp;sheet=U0&amp;row=11462&amp;col=7&amp;number=0.00844&amp;sourceID=14","0.00844")</f>
        <v>0.00844</v>
      </c>
    </row>
    <row r="11463" spans="1:7">
      <c r="A11463" s="3"/>
      <c r="B11463" s="3"/>
      <c r="C11463" s="3"/>
      <c r="D11463" s="3"/>
      <c r="E11463" s="3">
        <v>20</v>
      </c>
      <c r="F11463" s="4" t="str">
        <f>HYPERLINK("http://141.218.60.56/~jnz1568/getInfo.php?workbook=20_05.xlsx&amp;sheet=U0&amp;row=11463&amp;col=6&amp;number=4.9&amp;sourceID=14","4.9")</f>
        <v>4.9</v>
      </c>
      <c r="G11463" s="4" t="str">
        <f>HYPERLINK("http://141.218.60.56/~jnz1568/getInfo.php?workbook=20_05.xlsx&amp;sheet=U0&amp;row=11463&amp;col=7&amp;number=0.00843&amp;sourceID=14","0.00843")</f>
        <v>0.00843</v>
      </c>
    </row>
    <row r="11464" spans="1:7">
      <c r="A11464" s="3">
        <v>20</v>
      </c>
      <c r="B11464" s="3">
        <v>5</v>
      </c>
      <c r="C11464" s="3">
        <v>5</v>
      </c>
      <c r="D11464" s="3">
        <v>108</v>
      </c>
      <c r="E11464" s="3">
        <v>1</v>
      </c>
      <c r="F11464" s="4" t="str">
        <f>HYPERLINK("http://141.218.60.56/~jnz1568/getInfo.php?workbook=20_05.xlsx&amp;sheet=U0&amp;row=11464&amp;col=6&amp;number=3&amp;sourceID=14","3")</f>
        <v>3</v>
      </c>
      <c r="G11464" s="4" t="str">
        <f>HYPERLINK("http://141.218.60.56/~jnz1568/getInfo.php?workbook=20_05.xlsx&amp;sheet=U0&amp;row=11464&amp;col=7&amp;number=0.00575&amp;sourceID=14","0.00575")</f>
        <v>0.00575</v>
      </c>
    </row>
    <row r="11465" spans="1:7">
      <c r="A11465" s="3"/>
      <c r="B11465" s="3"/>
      <c r="C11465" s="3"/>
      <c r="D11465" s="3"/>
      <c r="E11465" s="3">
        <v>2</v>
      </c>
      <c r="F11465" s="4" t="str">
        <f>HYPERLINK("http://141.218.60.56/~jnz1568/getInfo.php?workbook=20_05.xlsx&amp;sheet=U0&amp;row=11465&amp;col=6&amp;number=3.1&amp;sourceID=14","3.1")</f>
        <v>3.1</v>
      </c>
      <c r="G11465" s="4" t="str">
        <f>HYPERLINK("http://141.218.60.56/~jnz1568/getInfo.php?workbook=20_05.xlsx&amp;sheet=U0&amp;row=11465&amp;col=7&amp;number=0.00575&amp;sourceID=14","0.00575")</f>
        <v>0.00575</v>
      </c>
    </row>
    <row r="11466" spans="1:7">
      <c r="A11466" s="3"/>
      <c r="B11466" s="3"/>
      <c r="C11466" s="3"/>
      <c r="D11466" s="3"/>
      <c r="E11466" s="3">
        <v>3</v>
      </c>
      <c r="F11466" s="4" t="str">
        <f>HYPERLINK("http://141.218.60.56/~jnz1568/getInfo.php?workbook=20_05.xlsx&amp;sheet=U0&amp;row=11466&amp;col=6&amp;number=3.2&amp;sourceID=14","3.2")</f>
        <v>3.2</v>
      </c>
      <c r="G11466" s="4" t="str">
        <f>HYPERLINK("http://141.218.60.56/~jnz1568/getInfo.php?workbook=20_05.xlsx&amp;sheet=U0&amp;row=11466&amp;col=7&amp;number=0.00575&amp;sourceID=14","0.00575")</f>
        <v>0.00575</v>
      </c>
    </row>
    <row r="11467" spans="1:7">
      <c r="A11467" s="3"/>
      <c r="B11467" s="3"/>
      <c r="C11467" s="3"/>
      <c r="D11467" s="3"/>
      <c r="E11467" s="3">
        <v>4</v>
      </c>
      <c r="F11467" s="4" t="str">
        <f>HYPERLINK("http://141.218.60.56/~jnz1568/getInfo.php?workbook=20_05.xlsx&amp;sheet=U0&amp;row=11467&amp;col=6&amp;number=3.3&amp;sourceID=14","3.3")</f>
        <v>3.3</v>
      </c>
      <c r="G11467" s="4" t="str">
        <f>HYPERLINK("http://141.218.60.56/~jnz1568/getInfo.php?workbook=20_05.xlsx&amp;sheet=U0&amp;row=11467&amp;col=7&amp;number=0.00575&amp;sourceID=14","0.00575")</f>
        <v>0.00575</v>
      </c>
    </row>
    <row r="11468" spans="1:7">
      <c r="A11468" s="3"/>
      <c r="B11468" s="3"/>
      <c r="C11468" s="3"/>
      <c r="D11468" s="3"/>
      <c r="E11468" s="3">
        <v>5</v>
      </c>
      <c r="F11468" s="4" t="str">
        <f>HYPERLINK("http://141.218.60.56/~jnz1568/getInfo.php?workbook=20_05.xlsx&amp;sheet=U0&amp;row=11468&amp;col=6&amp;number=3.4&amp;sourceID=14","3.4")</f>
        <v>3.4</v>
      </c>
      <c r="G11468" s="4" t="str">
        <f>HYPERLINK("http://141.218.60.56/~jnz1568/getInfo.php?workbook=20_05.xlsx&amp;sheet=U0&amp;row=11468&amp;col=7&amp;number=0.00575&amp;sourceID=14","0.00575")</f>
        <v>0.00575</v>
      </c>
    </row>
    <row r="11469" spans="1:7">
      <c r="A11469" s="3"/>
      <c r="B11469" s="3"/>
      <c r="C11469" s="3"/>
      <c r="D11469" s="3"/>
      <c r="E11469" s="3">
        <v>6</v>
      </c>
      <c r="F11469" s="4" t="str">
        <f>HYPERLINK("http://141.218.60.56/~jnz1568/getInfo.php?workbook=20_05.xlsx&amp;sheet=U0&amp;row=11469&amp;col=6&amp;number=3.5&amp;sourceID=14","3.5")</f>
        <v>3.5</v>
      </c>
      <c r="G11469" s="4" t="str">
        <f>HYPERLINK("http://141.218.60.56/~jnz1568/getInfo.php?workbook=20_05.xlsx&amp;sheet=U0&amp;row=11469&amp;col=7&amp;number=0.00575&amp;sourceID=14","0.00575")</f>
        <v>0.00575</v>
      </c>
    </row>
    <row r="11470" spans="1:7">
      <c r="A11470" s="3"/>
      <c r="B11470" s="3"/>
      <c r="C11470" s="3"/>
      <c r="D11470" s="3"/>
      <c r="E11470" s="3">
        <v>7</v>
      </c>
      <c r="F11470" s="4" t="str">
        <f>HYPERLINK("http://141.218.60.56/~jnz1568/getInfo.php?workbook=20_05.xlsx&amp;sheet=U0&amp;row=11470&amp;col=6&amp;number=3.6&amp;sourceID=14","3.6")</f>
        <v>3.6</v>
      </c>
      <c r="G11470" s="4" t="str">
        <f>HYPERLINK("http://141.218.60.56/~jnz1568/getInfo.php?workbook=20_05.xlsx&amp;sheet=U0&amp;row=11470&amp;col=7&amp;number=0.00575&amp;sourceID=14","0.00575")</f>
        <v>0.00575</v>
      </c>
    </row>
    <row r="11471" spans="1:7">
      <c r="A11471" s="3"/>
      <c r="B11471" s="3"/>
      <c r="C11471" s="3"/>
      <c r="D11471" s="3"/>
      <c r="E11471" s="3">
        <v>8</v>
      </c>
      <c r="F11471" s="4" t="str">
        <f>HYPERLINK("http://141.218.60.56/~jnz1568/getInfo.php?workbook=20_05.xlsx&amp;sheet=U0&amp;row=11471&amp;col=6&amp;number=3.7&amp;sourceID=14","3.7")</f>
        <v>3.7</v>
      </c>
      <c r="G11471" s="4" t="str">
        <f>HYPERLINK("http://141.218.60.56/~jnz1568/getInfo.php?workbook=20_05.xlsx&amp;sheet=U0&amp;row=11471&amp;col=7&amp;number=0.00575&amp;sourceID=14","0.00575")</f>
        <v>0.00575</v>
      </c>
    </row>
    <row r="11472" spans="1:7">
      <c r="A11472" s="3"/>
      <c r="B11472" s="3"/>
      <c r="C11472" s="3"/>
      <c r="D11472" s="3"/>
      <c r="E11472" s="3">
        <v>9</v>
      </c>
      <c r="F11472" s="4" t="str">
        <f>HYPERLINK("http://141.218.60.56/~jnz1568/getInfo.php?workbook=20_05.xlsx&amp;sheet=U0&amp;row=11472&amp;col=6&amp;number=3.8&amp;sourceID=14","3.8")</f>
        <v>3.8</v>
      </c>
      <c r="G11472" s="4" t="str">
        <f>HYPERLINK("http://141.218.60.56/~jnz1568/getInfo.php?workbook=20_05.xlsx&amp;sheet=U0&amp;row=11472&amp;col=7&amp;number=0.00575&amp;sourceID=14","0.00575")</f>
        <v>0.00575</v>
      </c>
    </row>
    <row r="11473" spans="1:7">
      <c r="A11473" s="3"/>
      <c r="B11473" s="3"/>
      <c r="C11473" s="3"/>
      <c r="D11473" s="3"/>
      <c r="E11473" s="3">
        <v>10</v>
      </c>
      <c r="F11473" s="4" t="str">
        <f>HYPERLINK("http://141.218.60.56/~jnz1568/getInfo.php?workbook=20_05.xlsx&amp;sheet=U0&amp;row=11473&amp;col=6&amp;number=3.9&amp;sourceID=14","3.9")</f>
        <v>3.9</v>
      </c>
      <c r="G11473" s="4" t="str">
        <f>HYPERLINK("http://141.218.60.56/~jnz1568/getInfo.php?workbook=20_05.xlsx&amp;sheet=U0&amp;row=11473&amp;col=7&amp;number=0.00575&amp;sourceID=14","0.00575")</f>
        <v>0.00575</v>
      </c>
    </row>
    <row r="11474" spans="1:7">
      <c r="A11474" s="3"/>
      <c r="B11474" s="3"/>
      <c r="C11474" s="3"/>
      <c r="D11474" s="3"/>
      <c r="E11474" s="3">
        <v>11</v>
      </c>
      <c r="F11474" s="4" t="str">
        <f>HYPERLINK("http://141.218.60.56/~jnz1568/getInfo.php?workbook=20_05.xlsx&amp;sheet=U0&amp;row=11474&amp;col=6&amp;number=4&amp;sourceID=14","4")</f>
        <v>4</v>
      </c>
      <c r="G11474" s="4" t="str">
        <f>HYPERLINK("http://141.218.60.56/~jnz1568/getInfo.php?workbook=20_05.xlsx&amp;sheet=U0&amp;row=11474&amp;col=7&amp;number=0.00575&amp;sourceID=14","0.00575")</f>
        <v>0.00575</v>
      </c>
    </row>
    <row r="11475" spans="1:7">
      <c r="A11475" s="3"/>
      <c r="B11475" s="3"/>
      <c r="C11475" s="3"/>
      <c r="D11475" s="3"/>
      <c r="E11475" s="3">
        <v>12</v>
      </c>
      <c r="F11475" s="4" t="str">
        <f>HYPERLINK("http://141.218.60.56/~jnz1568/getInfo.php?workbook=20_05.xlsx&amp;sheet=U0&amp;row=11475&amp;col=6&amp;number=4.1&amp;sourceID=14","4.1")</f>
        <v>4.1</v>
      </c>
      <c r="G11475" s="4" t="str">
        <f>HYPERLINK("http://141.218.60.56/~jnz1568/getInfo.php?workbook=20_05.xlsx&amp;sheet=U0&amp;row=11475&amp;col=7&amp;number=0.00575&amp;sourceID=14","0.00575")</f>
        <v>0.00575</v>
      </c>
    </row>
    <row r="11476" spans="1:7">
      <c r="A11476" s="3"/>
      <c r="B11476" s="3"/>
      <c r="C11476" s="3"/>
      <c r="D11476" s="3"/>
      <c r="E11476" s="3">
        <v>13</v>
      </c>
      <c r="F11476" s="4" t="str">
        <f>HYPERLINK("http://141.218.60.56/~jnz1568/getInfo.php?workbook=20_05.xlsx&amp;sheet=U0&amp;row=11476&amp;col=6&amp;number=4.2&amp;sourceID=14","4.2")</f>
        <v>4.2</v>
      </c>
      <c r="G11476" s="4" t="str">
        <f>HYPERLINK("http://141.218.60.56/~jnz1568/getInfo.php?workbook=20_05.xlsx&amp;sheet=U0&amp;row=11476&amp;col=7&amp;number=0.00574&amp;sourceID=14","0.00574")</f>
        <v>0.00574</v>
      </c>
    </row>
    <row r="11477" spans="1:7">
      <c r="A11477" s="3"/>
      <c r="B11477" s="3"/>
      <c r="C11477" s="3"/>
      <c r="D11477" s="3"/>
      <c r="E11477" s="3">
        <v>14</v>
      </c>
      <c r="F11477" s="4" t="str">
        <f>HYPERLINK("http://141.218.60.56/~jnz1568/getInfo.php?workbook=20_05.xlsx&amp;sheet=U0&amp;row=11477&amp;col=6&amp;number=4.3&amp;sourceID=14","4.3")</f>
        <v>4.3</v>
      </c>
      <c r="G11477" s="4" t="str">
        <f>HYPERLINK("http://141.218.60.56/~jnz1568/getInfo.php?workbook=20_05.xlsx&amp;sheet=U0&amp;row=11477&amp;col=7&amp;number=0.00574&amp;sourceID=14","0.00574")</f>
        <v>0.00574</v>
      </c>
    </row>
    <row r="11478" spans="1:7">
      <c r="A11478" s="3"/>
      <c r="B11478" s="3"/>
      <c r="C11478" s="3"/>
      <c r="D11478" s="3"/>
      <c r="E11478" s="3">
        <v>15</v>
      </c>
      <c r="F11478" s="4" t="str">
        <f>HYPERLINK("http://141.218.60.56/~jnz1568/getInfo.php?workbook=20_05.xlsx&amp;sheet=U0&amp;row=11478&amp;col=6&amp;number=4.4&amp;sourceID=14","4.4")</f>
        <v>4.4</v>
      </c>
      <c r="G11478" s="4" t="str">
        <f>HYPERLINK("http://141.218.60.56/~jnz1568/getInfo.php?workbook=20_05.xlsx&amp;sheet=U0&amp;row=11478&amp;col=7&amp;number=0.00574&amp;sourceID=14","0.00574")</f>
        <v>0.00574</v>
      </c>
    </row>
    <row r="11479" spans="1:7">
      <c r="A11479" s="3"/>
      <c r="B11479" s="3"/>
      <c r="C11479" s="3"/>
      <c r="D11479" s="3"/>
      <c r="E11479" s="3">
        <v>16</v>
      </c>
      <c r="F11479" s="4" t="str">
        <f>HYPERLINK("http://141.218.60.56/~jnz1568/getInfo.php?workbook=20_05.xlsx&amp;sheet=U0&amp;row=11479&amp;col=6&amp;number=4.5&amp;sourceID=14","4.5")</f>
        <v>4.5</v>
      </c>
      <c r="G11479" s="4" t="str">
        <f>HYPERLINK("http://141.218.60.56/~jnz1568/getInfo.php?workbook=20_05.xlsx&amp;sheet=U0&amp;row=11479&amp;col=7&amp;number=0.00574&amp;sourceID=14","0.00574")</f>
        <v>0.00574</v>
      </c>
    </row>
    <row r="11480" spans="1:7">
      <c r="A11480" s="3"/>
      <c r="B11480" s="3"/>
      <c r="C11480" s="3"/>
      <c r="D11480" s="3"/>
      <c r="E11480" s="3">
        <v>17</v>
      </c>
      <c r="F11480" s="4" t="str">
        <f>HYPERLINK("http://141.218.60.56/~jnz1568/getInfo.php?workbook=20_05.xlsx&amp;sheet=U0&amp;row=11480&amp;col=6&amp;number=4.6&amp;sourceID=14","4.6")</f>
        <v>4.6</v>
      </c>
      <c r="G11480" s="4" t="str">
        <f>HYPERLINK("http://141.218.60.56/~jnz1568/getInfo.php?workbook=20_05.xlsx&amp;sheet=U0&amp;row=11480&amp;col=7&amp;number=0.00573&amp;sourceID=14","0.00573")</f>
        <v>0.00573</v>
      </c>
    </row>
    <row r="11481" spans="1:7">
      <c r="A11481" s="3"/>
      <c r="B11481" s="3"/>
      <c r="C11481" s="3"/>
      <c r="D11481" s="3"/>
      <c r="E11481" s="3">
        <v>18</v>
      </c>
      <c r="F11481" s="4" t="str">
        <f>HYPERLINK("http://141.218.60.56/~jnz1568/getInfo.php?workbook=20_05.xlsx&amp;sheet=U0&amp;row=11481&amp;col=6&amp;number=4.7&amp;sourceID=14","4.7")</f>
        <v>4.7</v>
      </c>
      <c r="G11481" s="4" t="str">
        <f>HYPERLINK("http://141.218.60.56/~jnz1568/getInfo.php?workbook=20_05.xlsx&amp;sheet=U0&amp;row=11481&amp;col=7&amp;number=0.00573&amp;sourceID=14","0.00573")</f>
        <v>0.00573</v>
      </c>
    </row>
    <row r="11482" spans="1:7">
      <c r="A11482" s="3"/>
      <c r="B11482" s="3"/>
      <c r="C11482" s="3"/>
      <c r="D11482" s="3"/>
      <c r="E11482" s="3">
        <v>19</v>
      </c>
      <c r="F11482" s="4" t="str">
        <f>HYPERLINK("http://141.218.60.56/~jnz1568/getInfo.php?workbook=20_05.xlsx&amp;sheet=U0&amp;row=11482&amp;col=6&amp;number=4.8&amp;sourceID=14","4.8")</f>
        <v>4.8</v>
      </c>
      <c r="G11482" s="4" t="str">
        <f>HYPERLINK("http://141.218.60.56/~jnz1568/getInfo.php?workbook=20_05.xlsx&amp;sheet=U0&amp;row=11482&amp;col=7&amp;number=0.00572&amp;sourceID=14","0.00572")</f>
        <v>0.00572</v>
      </c>
    </row>
    <row r="11483" spans="1:7">
      <c r="A11483" s="3"/>
      <c r="B11483" s="3"/>
      <c r="C11483" s="3"/>
      <c r="D11483" s="3"/>
      <c r="E11483" s="3">
        <v>20</v>
      </c>
      <c r="F11483" s="4" t="str">
        <f>HYPERLINK("http://141.218.60.56/~jnz1568/getInfo.php?workbook=20_05.xlsx&amp;sheet=U0&amp;row=11483&amp;col=6&amp;number=4.9&amp;sourceID=14","4.9")</f>
        <v>4.9</v>
      </c>
      <c r="G11483" s="4" t="str">
        <f>HYPERLINK("http://141.218.60.56/~jnz1568/getInfo.php?workbook=20_05.xlsx&amp;sheet=U0&amp;row=11483&amp;col=7&amp;number=0.00571&amp;sourceID=14","0.00571")</f>
        <v>0.00571</v>
      </c>
    </row>
    <row r="11484" spans="1:7">
      <c r="A11484" s="3">
        <v>20</v>
      </c>
      <c r="B11484" s="3">
        <v>5</v>
      </c>
      <c r="C11484" s="3">
        <v>5</v>
      </c>
      <c r="D11484" s="3">
        <v>109</v>
      </c>
      <c r="E11484" s="3">
        <v>1</v>
      </c>
      <c r="F11484" s="4" t="str">
        <f>HYPERLINK("http://141.218.60.56/~jnz1568/getInfo.php?workbook=20_05.xlsx&amp;sheet=U0&amp;row=11484&amp;col=6&amp;number=3&amp;sourceID=14","3")</f>
        <v>3</v>
      </c>
      <c r="G11484" s="4" t="str">
        <f>HYPERLINK("http://141.218.60.56/~jnz1568/getInfo.php?workbook=20_05.xlsx&amp;sheet=U0&amp;row=11484&amp;col=7&amp;number=0.0422&amp;sourceID=14","0.0422")</f>
        <v>0.0422</v>
      </c>
    </row>
    <row r="11485" spans="1:7">
      <c r="A11485" s="3"/>
      <c r="B11485" s="3"/>
      <c r="C11485" s="3"/>
      <c r="D11485" s="3"/>
      <c r="E11485" s="3">
        <v>2</v>
      </c>
      <c r="F11485" s="4" t="str">
        <f>HYPERLINK("http://141.218.60.56/~jnz1568/getInfo.php?workbook=20_05.xlsx&amp;sheet=U0&amp;row=11485&amp;col=6&amp;number=3.1&amp;sourceID=14","3.1")</f>
        <v>3.1</v>
      </c>
      <c r="G11485" s="4" t="str">
        <f>HYPERLINK("http://141.218.60.56/~jnz1568/getInfo.php?workbook=20_05.xlsx&amp;sheet=U0&amp;row=11485&amp;col=7&amp;number=0.0422&amp;sourceID=14","0.0422")</f>
        <v>0.0422</v>
      </c>
    </row>
    <row r="11486" spans="1:7">
      <c r="A11486" s="3"/>
      <c r="B11486" s="3"/>
      <c r="C11486" s="3"/>
      <c r="D11486" s="3"/>
      <c r="E11486" s="3">
        <v>3</v>
      </c>
      <c r="F11486" s="4" t="str">
        <f>HYPERLINK("http://141.218.60.56/~jnz1568/getInfo.php?workbook=20_05.xlsx&amp;sheet=U0&amp;row=11486&amp;col=6&amp;number=3.2&amp;sourceID=14","3.2")</f>
        <v>3.2</v>
      </c>
      <c r="G11486" s="4" t="str">
        <f>HYPERLINK("http://141.218.60.56/~jnz1568/getInfo.php?workbook=20_05.xlsx&amp;sheet=U0&amp;row=11486&amp;col=7&amp;number=0.0422&amp;sourceID=14","0.0422")</f>
        <v>0.0422</v>
      </c>
    </row>
    <row r="11487" spans="1:7">
      <c r="A11487" s="3"/>
      <c r="B11487" s="3"/>
      <c r="C11487" s="3"/>
      <c r="D11487" s="3"/>
      <c r="E11487" s="3">
        <v>4</v>
      </c>
      <c r="F11487" s="4" t="str">
        <f>HYPERLINK("http://141.218.60.56/~jnz1568/getInfo.php?workbook=20_05.xlsx&amp;sheet=U0&amp;row=11487&amp;col=6&amp;number=3.3&amp;sourceID=14","3.3")</f>
        <v>3.3</v>
      </c>
      <c r="G11487" s="4" t="str">
        <f>HYPERLINK("http://141.218.60.56/~jnz1568/getInfo.php?workbook=20_05.xlsx&amp;sheet=U0&amp;row=11487&amp;col=7&amp;number=0.0422&amp;sourceID=14","0.0422")</f>
        <v>0.0422</v>
      </c>
    </row>
    <row r="11488" spans="1:7">
      <c r="A11488" s="3"/>
      <c r="B11488" s="3"/>
      <c r="C11488" s="3"/>
      <c r="D11488" s="3"/>
      <c r="E11488" s="3">
        <v>5</v>
      </c>
      <c r="F11488" s="4" t="str">
        <f>HYPERLINK("http://141.218.60.56/~jnz1568/getInfo.php?workbook=20_05.xlsx&amp;sheet=U0&amp;row=11488&amp;col=6&amp;number=3.4&amp;sourceID=14","3.4")</f>
        <v>3.4</v>
      </c>
      <c r="G11488" s="4" t="str">
        <f>HYPERLINK("http://141.218.60.56/~jnz1568/getInfo.php?workbook=20_05.xlsx&amp;sheet=U0&amp;row=11488&amp;col=7&amp;number=0.0422&amp;sourceID=14","0.0422")</f>
        <v>0.0422</v>
      </c>
    </row>
    <row r="11489" spans="1:7">
      <c r="A11489" s="3"/>
      <c r="B11489" s="3"/>
      <c r="C11489" s="3"/>
      <c r="D11489" s="3"/>
      <c r="E11489" s="3">
        <v>6</v>
      </c>
      <c r="F11489" s="4" t="str">
        <f>HYPERLINK("http://141.218.60.56/~jnz1568/getInfo.php?workbook=20_05.xlsx&amp;sheet=U0&amp;row=11489&amp;col=6&amp;number=3.5&amp;sourceID=14","3.5")</f>
        <v>3.5</v>
      </c>
      <c r="G11489" s="4" t="str">
        <f>HYPERLINK("http://141.218.60.56/~jnz1568/getInfo.php?workbook=20_05.xlsx&amp;sheet=U0&amp;row=11489&amp;col=7&amp;number=0.0422&amp;sourceID=14","0.0422")</f>
        <v>0.0422</v>
      </c>
    </row>
    <row r="11490" spans="1:7">
      <c r="A11490" s="3"/>
      <c r="B11490" s="3"/>
      <c r="C11490" s="3"/>
      <c r="D11490" s="3"/>
      <c r="E11490" s="3">
        <v>7</v>
      </c>
      <c r="F11490" s="4" t="str">
        <f>HYPERLINK("http://141.218.60.56/~jnz1568/getInfo.php?workbook=20_05.xlsx&amp;sheet=U0&amp;row=11490&amp;col=6&amp;number=3.6&amp;sourceID=14","3.6")</f>
        <v>3.6</v>
      </c>
      <c r="G11490" s="4" t="str">
        <f>HYPERLINK("http://141.218.60.56/~jnz1568/getInfo.php?workbook=20_05.xlsx&amp;sheet=U0&amp;row=11490&amp;col=7&amp;number=0.0422&amp;sourceID=14","0.0422")</f>
        <v>0.0422</v>
      </c>
    </row>
    <row r="11491" spans="1:7">
      <c r="A11491" s="3"/>
      <c r="B11491" s="3"/>
      <c r="C11491" s="3"/>
      <c r="D11491" s="3"/>
      <c r="E11491" s="3">
        <v>8</v>
      </c>
      <c r="F11491" s="4" t="str">
        <f>HYPERLINK("http://141.218.60.56/~jnz1568/getInfo.php?workbook=20_05.xlsx&amp;sheet=U0&amp;row=11491&amp;col=6&amp;number=3.7&amp;sourceID=14","3.7")</f>
        <v>3.7</v>
      </c>
      <c r="G11491" s="4" t="str">
        <f>HYPERLINK("http://141.218.60.56/~jnz1568/getInfo.php?workbook=20_05.xlsx&amp;sheet=U0&amp;row=11491&amp;col=7&amp;number=0.0422&amp;sourceID=14","0.0422")</f>
        <v>0.0422</v>
      </c>
    </row>
    <row r="11492" spans="1:7">
      <c r="A11492" s="3"/>
      <c r="B11492" s="3"/>
      <c r="C11492" s="3"/>
      <c r="D11492" s="3"/>
      <c r="E11492" s="3">
        <v>9</v>
      </c>
      <c r="F11492" s="4" t="str">
        <f>HYPERLINK("http://141.218.60.56/~jnz1568/getInfo.php?workbook=20_05.xlsx&amp;sheet=U0&amp;row=11492&amp;col=6&amp;number=3.8&amp;sourceID=14","3.8")</f>
        <v>3.8</v>
      </c>
      <c r="G11492" s="4" t="str">
        <f>HYPERLINK("http://141.218.60.56/~jnz1568/getInfo.php?workbook=20_05.xlsx&amp;sheet=U0&amp;row=11492&amp;col=7&amp;number=0.0422&amp;sourceID=14","0.0422")</f>
        <v>0.0422</v>
      </c>
    </row>
    <row r="11493" spans="1:7">
      <c r="A11493" s="3"/>
      <c r="B11493" s="3"/>
      <c r="C11493" s="3"/>
      <c r="D11493" s="3"/>
      <c r="E11493" s="3">
        <v>10</v>
      </c>
      <c r="F11493" s="4" t="str">
        <f>HYPERLINK("http://141.218.60.56/~jnz1568/getInfo.php?workbook=20_05.xlsx&amp;sheet=U0&amp;row=11493&amp;col=6&amp;number=3.9&amp;sourceID=14","3.9")</f>
        <v>3.9</v>
      </c>
      <c r="G11493" s="4" t="str">
        <f>HYPERLINK("http://141.218.60.56/~jnz1568/getInfo.php?workbook=20_05.xlsx&amp;sheet=U0&amp;row=11493&amp;col=7&amp;number=0.0422&amp;sourceID=14","0.0422")</f>
        <v>0.0422</v>
      </c>
    </row>
    <row r="11494" spans="1:7">
      <c r="A11494" s="3"/>
      <c r="B11494" s="3"/>
      <c r="C11494" s="3"/>
      <c r="D11494" s="3"/>
      <c r="E11494" s="3">
        <v>11</v>
      </c>
      <c r="F11494" s="4" t="str">
        <f>HYPERLINK("http://141.218.60.56/~jnz1568/getInfo.php?workbook=20_05.xlsx&amp;sheet=U0&amp;row=11494&amp;col=6&amp;number=4&amp;sourceID=14","4")</f>
        <v>4</v>
      </c>
      <c r="G11494" s="4" t="str">
        <f>HYPERLINK("http://141.218.60.56/~jnz1568/getInfo.php?workbook=20_05.xlsx&amp;sheet=U0&amp;row=11494&amp;col=7&amp;number=0.0422&amp;sourceID=14","0.0422")</f>
        <v>0.0422</v>
      </c>
    </row>
    <row r="11495" spans="1:7">
      <c r="A11495" s="3"/>
      <c r="B11495" s="3"/>
      <c r="C11495" s="3"/>
      <c r="D11495" s="3"/>
      <c r="E11495" s="3">
        <v>12</v>
      </c>
      <c r="F11495" s="4" t="str">
        <f>HYPERLINK("http://141.218.60.56/~jnz1568/getInfo.php?workbook=20_05.xlsx&amp;sheet=U0&amp;row=11495&amp;col=6&amp;number=4.1&amp;sourceID=14","4.1")</f>
        <v>4.1</v>
      </c>
      <c r="G11495" s="4" t="str">
        <f>HYPERLINK("http://141.218.60.56/~jnz1568/getInfo.php?workbook=20_05.xlsx&amp;sheet=U0&amp;row=11495&amp;col=7&amp;number=0.0422&amp;sourceID=14","0.0422")</f>
        <v>0.0422</v>
      </c>
    </row>
    <row r="11496" spans="1:7">
      <c r="A11496" s="3"/>
      <c r="B11496" s="3"/>
      <c r="C11496" s="3"/>
      <c r="D11496" s="3"/>
      <c r="E11496" s="3">
        <v>13</v>
      </c>
      <c r="F11496" s="4" t="str">
        <f>HYPERLINK("http://141.218.60.56/~jnz1568/getInfo.php?workbook=20_05.xlsx&amp;sheet=U0&amp;row=11496&amp;col=6&amp;number=4.2&amp;sourceID=14","4.2")</f>
        <v>4.2</v>
      </c>
      <c r="G11496" s="4" t="str">
        <f>HYPERLINK("http://141.218.60.56/~jnz1568/getInfo.php?workbook=20_05.xlsx&amp;sheet=U0&amp;row=11496&amp;col=7&amp;number=0.0422&amp;sourceID=14","0.0422")</f>
        <v>0.0422</v>
      </c>
    </row>
    <row r="11497" spans="1:7">
      <c r="A11497" s="3"/>
      <c r="B11497" s="3"/>
      <c r="C11497" s="3"/>
      <c r="D11497" s="3"/>
      <c r="E11497" s="3">
        <v>14</v>
      </c>
      <c r="F11497" s="4" t="str">
        <f>HYPERLINK("http://141.218.60.56/~jnz1568/getInfo.php?workbook=20_05.xlsx&amp;sheet=U0&amp;row=11497&amp;col=6&amp;number=4.3&amp;sourceID=14","4.3")</f>
        <v>4.3</v>
      </c>
      <c r="G11497" s="4" t="str">
        <f>HYPERLINK("http://141.218.60.56/~jnz1568/getInfo.php?workbook=20_05.xlsx&amp;sheet=U0&amp;row=11497&amp;col=7&amp;number=0.0422&amp;sourceID=14","0.0422")</f>
        <v>0.0422</v>
      </c>
    </row>
    <row r="11498" spans="1:7">
      <c r="A11498" s="3"/>
      <c r="B11498" s="3"/>
      <c r="C11498" s="3"/>
      <c r="D11498" s="3"/>
      <c r="E11498" s="3">
        <v>15</v>
      </c>
      <c r="F11498" s="4" t="str">
        <f>HYPERLINK("http://141.218.60.56/~jnz1568/getInfo.php?workbook=20_05.xlsx&amp;sheet=U0&amp;row=11498&amp;col=6&amp;number=4.4&amp;sourceID=14","4.4")</f>
        <v>4.4</v>
      </c>
      <c r="G11498" s="4" t="str">
        <f>HYPERLINK("http://141.218.60.56/~jnz1568/getInfo.php?workbook=20_05.xlsx&amp;sheet=U0&amp;row=11498&amp;col=7&amp;number=0.0422&amp;sourceID=14","0.0422")</f>
        <v>0.0422</v>
      </c>
    </row>
    <row r="11499" spans="1:7">
      <c r="A11499" s="3"/>
      <c r="B11499" s="3"/>
      <c r="C11499" s="3"/>
      <c r="D11499" s="3"/>
      <c r="E11499" s="3">
        <v>16</v>
      </c>
      <c r="F11499" s="4" t="str">
        <f>HYPERLINK("http://141.218.60.56/~jnz1568/getInfo.php?workbook=20_05.xlsx&amp;sheet=U0&amp;row=11499&amp;col=6&amp;number=4.5&amp;sourceID=14","4.5")</f>
        <v>4.5</v>
      </c>
      <c r="G11499" s="4" t="str">
        <f>HYPERLINK("http://141.218.60.56/~jnz1568/getInfo.php?workbook=20_05.xlsx&amp;sheet=U0&amp;row=11499&amp;col=7&amp;number=0.0422&amp;sourceID=14","0.0422")</f>
        <v>0.0422</v>
      </c>
    </row>
    <row r="11500" spans="1:7">
      <c r="A11500" s="3"/>
      <c r="B11500" s="3"/>
      <c r="C11500" s="3"/>
      <c r="D11500" s="3"/>
      <c r="E11500" s="3">
        <v>17</v>
      </c>
      <c r="F11500" s="4" t="str">
        <f>HYPERLINK("http://141.218.60.56/~jnz1568/getInfo.php?workbook=20_05.xlsx&amp;sheet=U0&amp;row=11500&amp;col=6&amp;number=4.6&amp;sourceID=14","4.6")</f>
        <v>4.6</v>
      </c>
      <c r="G11500" s="4" t="str">
        <f>HYPERLINK("http://141.218.60.56/~jnz1568/getInfo.php?workbook=20_05.xlsx&amp;sheet=U0&amp;row=11500&amp;col=7&amp;number=0.0422&amp;sourceID=14","0.0422")</f>
        <v>0.0422</v>
      </c>
    </row>
    <row r="11501" spans="1:7">
      <c r="A11501" s="3"/>
      <c r="B11501" s="3"/>
      <c r="C11501" s="3"/>
      <c r="D11501" s="3"/>
      <c r="E11501" s="3">
        <v>18</v>
      </c>
      <c r="F11501" s="4" t="str">
        <f>HYPERLINK("http://141.218.60.56/~jnz1568/getInfo.php?workbook=20_05.xlsx&amp;sheet=U0&amp;row=11501&amp;col=6&amp;number=4.7&amp;sourceID=14","4.7")</f>
        <v>4.7</v>
      </c>
      <c r="G11501" s="4" t="str">
        <f>HYPERLINK("http://141.218.60.56/~jnz1568/getInfo.php?workbook=20_05.xlsx&amp;sheet=U0&amp;row=11501&amp;col=7&amp;number=0.0422&amp;sourceID=14","0.0422")</f>
        <v>0.0422</v>
      </c>
    </row>
    <row r="11502" spans="1:7">
      <c r="A11502" s="3"/>
      <c r="B11502" s="3"/>
      <c r="C11502" s="3"/>
      <c r="D11502" s="3"/>
      <c r="E11502" s="3">
        <v>19</v>
      </c>
      <c r="F11502" s="4" t="str">
        <f>HYPERLINK("http://141.218.60.56/~jnz1568/getInfo.php?workbook=20_05.xlsx&amp;sheet=U0&amp;row=11502&amp;col=6&amp;number=4.8&amp;sourceID=14","4.8")</f>
        <v>4.8</v>
      </c>
      <c r="G11502" s="4" t="str">
        <f>HYPERLINK("http://141.218.60.56/~jnz1568/getInfo.php?workbook=20_05.xlsx&amp;sheet=U0&amp;row=11502&amp;col=7&amp;number=0.0421&amp;sourceID=14","0.0421")</f>
        <v>0.0421</v>
      </c>
    </row>
    <row r="11503" spans="1:7">
      <c r="A11503" s="3"/>
      <c r="B11503" s="3"/>
      <c r="C11503" s="3"/>
      <c r="D11503" s="3"/>
      <c r="E11503" s="3">
        <v>20</v>
      </c>
      <c r="F11503" s="4" t="str">
        <f>HYPERLINK("http://141.218.60.56/~jnz1568/getInfo.php?workbook=20_05.xlsx&amp;sheet=U0&amp;row=11503&amp;col=6&amp;number=4.9&amp;sourceID=14","4.9")</f>
        <v>4.9</v>
      </c>
      <c r="G11503" s="4" t="str">
        <f>HYPERLINK("http://141.218.60.56/~jnz1568/getInfo.php?workbook=20_05.xlsx&amp;sheet=U0&amp;row=11503&amp;col=7&amp;number=0.0421&amp;sourceID=14","0.0421")</f>
        <v>0.0421</v>
      </c>
    </row>
    <row r="11504" spans="1:7">
      <c r="A11504" s="3">
        <v>20</v>
      </c>
      <c r="B11504" s="3">
        <v>5</v>
      </c>
      <c r="C11504" s="3">
        <v>5</v>
      </c>
      <c r="D11504" s="3">
        <v>110</v>
      </c>
      <c r="E11504" s="3">
        <v>1</v>
      </c>
      <c r="F11504" s="4" t="str">
        <f>HYPERLINK("http://141.218.60.56/~jnz1568/getInfo.php?workbook=20_05.xlsx&amp;sheet=U0&amp;row=11504&amp;col=6&amp;number=3&amp;sourceID=14","3")</f>
        <v>3</v>
      </c>
      <c r="G11504" s="4" t="str">
        <f>HYPERLINK("http://141.218.60.56/~jnz1568/getInfo.php?workbook=20_05.xlsx&amp;sheet=U0&amp;row=11504&amp;col=7&amp;number=0.123&amp;sourceID=14","0.123")</f>
        <v>0.123</v>
      </c>
    </row>
    <row r="11505" spans="1:7">
      <c r="A11505" s="3"/>
      <c r="B11505" s="3"/>
      <c r="C11505" s="3"/>
      <c r="D11505" s="3"/>
      <c r="E11505" s="3">
        <v>2</v>
      </c>
      <c r="F11505" s="4" t="str">
        <f>HYPERLINK("http://141.218.60.56/~jnz1568/getInfo.php?workbook=20_05.xlsx&amp;sheet=U0&amp;row=11505&amp;col=6&amp;number=3.1&amp;sourceID=14","3.1")</f>
        <v>3.1</v>
      </c>
      <c r="G11505" s="4" t="str">
        <f>HYPERLINK("http://141.218.60.56/~jnz1568/getInfo.php?workbook=20_05.xlsx&amp;sheet=U0&amp;row=11505&amp;col=7&amp;number=0.123&amp;sourceID=14","0.123")</f>
        <v>0.123</v>
      </c>
    </row>
    <row r="11506" spans="1:7">
      <c r="A11506" s="3"/>
      <c r="B11506" s="3"/>
      <c r="C11506" s="3"/>
      <c r="D11506" s="3"/>
      <c r="E11506" s="3">
        <v>3</v>
      </c>
      <c r="F11506" s="4" t="str">
        <f>HYPERLINK("http://141.218.60.56/~jnz1568/getInfo.php?workbook=20_05.xlsx&amp;sheet=U0&amp;row=11506&amp;col=6&amp;number=3.2&amp;sourceID=14","3.2")</f>
        <v>3.2</v>
      </c>
      <c r="G11506" s="4" t="str">
        <f>HYPERLINK("http://141.218.60.56/~jnz1568/getInfo.php?workbook=20_05.xlsx&amp;sheet=U0&amp;row=11506&amp;col=7&amp;number=0.123&amp;sourceID=14","0.123")</f>
        <v>0.123</v>
      </c>
    </row>
    <row r="11507" spans="1:7">
      <c r="A11507" s="3"/>
      <c r="B11507" s="3"/>
      <c r="C11507" s="3"/>
      <c r="D11507" s="3"/>
      <c r="E11507" s="3">
        <v>4</v>
      </c>
      <c r="F11507" s="4" t="str">
        <f>HYPERLINK("http://141.218.60.56/~jnz1568/getInfo.php?workbook=20_05.xlsx&amp;sheet=U0&amp;row=11507&amp;col=6&amp;number=3.3&amp;sourceID=14","3.3")</f>
        <v>3.3</v>
      </c>
      <c r="G11507" s="4" t="str">
        <f>HYPERLINK("http://141.218.60.56/~jnz1568/getInfo.php?workbook=20_05.xlsx&amp;sheet=U0&amp;row=11507&amp;col=7&amp;number=0.123&amp;sourceID=14","0.123")</f>
        <v>0.123</v>
      </c>
    </row>
    <row r="11508" spans="1:7">
      <c r="A11508" s="3"/>
      <c r="B11508" s="3"/>
      <c r="C11508" s="3"/>
      <c r="D11508" s="3"/>
      <c r="E11508" s="3">
        <v>5</v>
      </c>
      <c r="F11508" s="4" t="str">
        <f>HYPERLINK("http://141.218.60.56/~jnz1568/getInfo.php?workbook=20_05.xlsx&amp;sheet=U0&amp;row=11508&amp;col=6&amp;number=3.4&amp;sourceID=14","3.4")</f>
        <v>3.4</v>
      </c>
      <c r="G11508" s="4" t="str">
        <f>HYPERLINK("http://141.218.60.56/~jnz1568/getInfo.php?workbook=20_05.xlsx&amp;sheet=U0&amp;row=11508&amp;col=7&amp;number=0.123&amp;sourceID=14","0.123")</f>
        <v>0.123</v>
      </c>
    </row>
    <row r="11509" spans="1:7">
      <c r="A11509" s="3"/>
      <c r="B11509" s="3"/>
      <c r="C11509" s="3"/>
      <c r="D11509" s="3"/>
      <c r="E11509" s="3">
        <v>6</v>
      </c>
      <c r="F11509" s="4" t="str">
        <f>HYPERLINK("http://141.218.60.56/~jnz1568/getInfo.php?workbook=20_05.xlsx&amp;sheet=U0&amp;row=11509&amp;col=6&amp;number=3.5&amp;sourceID=14","3.5")</f>
        <v>3.5</v>
      </c>
      <c r="G11509" s="4" t="str">
        <f>HYPERLINK("http://141.218.60.56/~jnz1568/getInfo.php?workbook=20_05.xlsx&amp;sheet=U0&amp;row=11509&amp;col=7&amp;number=0.123&amp;sourceID=14","0.123")</f>
        <v>0.123</v>
      </c>
    </row>
    <row r="11510" spans="1:7">
      <c r="A11510" s="3"/>
      <c r="B11510" s="3"/>
      <c r="C11510" s="3"/>
      <c r="D11510" s="3"/>
      <c r="E11510" s="3">
        <v>7</v>
      </c>
      <c r="F11510" s="4" t="str">
        <f>HYPERLINK("http://141.218.60.56/~jnz1568/getInfo.php?workbook=20_05.xlsx&amp;sheet=U0&amp;row=11510&amp;col=6&amp;number=3.6&amp;sourceID=14","3.6")</f>
        <v>3.6</v>
      </c>
      <c r="G11510" s="4" t="str">
        <f>HYPERLINK("http://141.218.60.56/~jnz1568/getInfo.php?workbook=20_05.xlsx&amp;sheet=U0&amp;row=11510&amp;col=7&amp;number=0.124&amp;sourceID=14","0.124")</f>
        <v>0.124</v>
      </c>
    </row>
    <row r="11511" spans="1:7">
      <c r="A11511" s="3"/>
      <c r="B11511" s="3"/>
      <c r="C11511" s="3"/>
      <c r="D11511" s="3"/>
      <c r="E11511" s="3">
        <v>8</v>
      </c>
      <c r="F11511" s="4" t="str">
        <f>HYPERLINK("http://141.218.60.56/~jnz1568/getInfo.php?workbook=20_05.xlsx&amp;sheet=U0&amp;row=11511&amp;col=6&amp;number=3.7&amp;sourceID=14","3.7")</f>
        <v>3.7</v>
      </c>
      <c r="G11511" s="4" t="str">
        <f>HYPERLINK("http://141.218.60.56/~jnz1568/getInfo.php?workbook=20_05.xlsx&amp;sheet=U0&amp;row=11511&amp;col=7&amp;number=0.124&amp;sourceID=14","0.124")</f>
        <v>0.124</v>
      </c>
    </row>
    <row r="11512" spans="1:7">
      <c r="A11512" s="3"/>
      <c r="B11512" s="3"/>
      <c r="C11512" s="3"/>
      <c r="D11512" s="3"/>
      <c r="E11512" s="3">
        <v>9</v>
      </c>
      <c r="F11512" s="4" t="str">
        <f>HYPERLINK("http://141.218.60.56/~jnz1568/getInfo.php?workbook=20_05.xlsx&amp;sheet=U0&amp;row=11512&amp;col=6&amp;number=3.8&amp;sourceID=14","3.8")</f>
        <v>3.8</v>
      </c>
      <c r="G11512" s="4" t="str">
        <f>HYPERLINK("http://141.218.60.56/~jnz1568/getInfo.php?workbook=20_05.xlsx&amp;sheet=U0&amp;row=11512&amp;col=7&amp;number=0.124&amp;sourceID=14","0.124")</f>
        <v>0.124</v>
      </c>
    </row>
    <row r="11513" spans="1:7">
      <c r="A11513" s="3"/>
      <c r="B11513" s="3"/>
      <c r="C11513" s="3"/>
      <c r="D11513" s="3"/>
      <c r="E11513" s="3">
        <v>10</v>
      </c>
      <c r="F11513" s="4" t="str">
        <f>HYPERLINK("http://141.218.60.56/~jnz1568/getInfo.php?workbook=20_05.xlsx&amp;sheet=U0&amp;row=11513&amp;col=6&amp;number=3.9&amp;sourceID=14","3.9")</f>
        <v>3.9</v>
      </c>
      <c r="G11513" s="4" t="str">
        <f>HYPERLINK("http://141.218.60.56/~jnz1568/getInfo.php?workbook=20_05.xlsx&amp;sheet=U0&amp;row=11513&amp;col=7&amp;number=0.124&amp;sourceID=14","0.124")</f>
        <v>0.124</v>
      </c>
    </row>
    <row r="11514" spans="1:7">
      <c r="A11514" s="3"/>
      <c r="B11514" s="3"/>
      <c r="C11514" s="3"/>
      <c r="D11514" s="3"/>
      <c r="E11514" s="3">
        <v>11</v>
      </c>
      <c r="F11514" s="4" t="str">
        <f>HYPERLINK("http://141.218.60.56/~jnz1568/getInfo.php?workbook=20_05.xlsx&amp;sheet=U0&amp;row=11514&amp;col=6&amp;number=4&amp;sourceID=14","4")</f>
        <v>4</v>
      </c>
      <c r="G11514" s="4" t="str">
        <f>HYPERLINK("http://141.218.60.56/~jnz1568/getInfo.php?workbook=20_05.xlsx&amp;sheet=U0&amp;row=11514&amp;col=7&amp;number=0.124&amp;sourceID=14","0.124")</f>
        <v>0.124</v>
      </c>
    </row>
    <row r="11515" spans="1:7">
      <c r="A11515" s="3"/>
      <c r="B11515" s="3"/>
      <c r="C11515" s="3"/>
      <c r="D11515" s="3"/>
      <c r="E11515" s="3">
        <v>12</v>
      </c>
      <c r="F11515" s="4" t="str">
        <f>HYPERLINK("http://141.218.60.56/~jnz1568/getInfo.php?workbook=20_05.xlsx&amp;sheet=U0&amp;row=11515&amp;col=6&amp;number=4.1&amp;sourceID=14","4.1")</f>
        <v>4.1</v>
      </c>
      <c r="G11515" s="4" t="str">
        <f>HYPERLINK("http://141.218.60.56/~jnz1568/getInfo.php?workbook=20_05.xlsx&amp;sheet=U0&amp;row=11515&amp;col=7&amp;number=0.124&amp;sourceID=14","0.124")</f>
        <v>0.124</v>
      </c>
    </row>
    <row r="11516" spans="1:7">
      <c r="A11516" s="3"/>
      <c r="B11516" s="3"/>
      <c r="C11516" s="3"/>
      <c r="D11516" s="3"/>
      <c r="E11516" s="3">
        <v>13</v>
      </c>
      <c r="F11516" s="4" t="str">
        <f>HYPERLINK("http://141.218.60.56/~jnz1568/getInfo.php?workbook=20_05.xlsx&amp;sheet=U0&amp;row=11516&amp;col=6&amp;number=4.2&amp;sourceID=14","4.2")</f>
        <v>4.2</v>
      </c>
      <c r="G11516" s="4" t="str">
        <f>HYPERLINK("http://141.218.60.56/~jnz1568/getInfo.php?workbook=20_05.xlsx&amp;sheet=U0&amp;row=11516&amp;col=7&amp;number=0.124&amp;sourceID=14","0.124")</f>
        <v>0.124</v>
      </c>
    </row>
    <row r="11517" spans="1:7">
      <c r="A11517" s="3"/>
      <c r="B11517" s="3"/>
      <c r="C11517" s="3"/>
      <c r="D11517" s="3"/>
      <c r="E11517" s="3">
        <v>14</v>
      </c>
      <c r="F11517" s="4" t="str">
        <f>HYPERLINK("http://141.218.60.56/~jnz1568/getInfo.php?workbook=20_05.xlsx&amp;sheet=U0&amp;row=11517&amp;col=6&amp;number=4.3&amp;sourceID=14","4.3")</f>
        <v>4.3</v>
      </c>
      <c r="G11517" s="4" t="str">
        <f>HYPERLINK("http://141.218.60.56/~jnz1568/getInfo.php?workbook=20_05.xlsx&amp;sheet=U0&amp;row=11517&amp;col=7&amp;number=0.124&amp;sourceID=14","0.124")</f>
        <v>0.124</v>
      </c>
    </row>
    <row r="11518" spans="1:7">
      <c r="A11518" s="3"/>
      <c r="B11518" s="3"/>
      <c r="C11518" s="3"/>
      <c r="D11518" s="3"/>
      <c r="E11518" s="3">
        <v>15</v>
      </c>
      <c r="F11518" s="4" t="str">
        <f>HYPERLINK("http://141.218.60.56/~jnz1568/getInfo.php?workbook=20_05.xlsx&amp;sheet=U0&amp;row=11518&amp;col=6&amp;number=4.4&amp;sourceID=14","4.4")</f>
        <v>4.4</v>
      </c>
      <c r="G11518" s="4" t="str">
        <f>HYPERLINK("http://141.218.60.56/~jnz1568/getInfo.php?workbook=20_05.xlsx&amp;sheet=U0&amp;row=11518&amp;col=7&amp;number=0.124&amp;sourceID=14","0.124")</f>
        <v>0.124</v>
      </c>
    </row>
    <row r="11519" spans="1:7">
      <c r="A11519" s="3"/>
      <c r="B11519" s="3"/>
      <c r="C11519" s="3"/>
      <c r="D11519" s="3"/>
      <c r="E11519" s="3">
        <v>16</v>
      </c>
      <c r="F11519" s="4" t="str">
        <f>HYPERLINK("http://141.218.60.56/~jnz1568/getInfo.php?workbook=20_05.xlsx&amp;sheet=U0&amp;row=11519&amp;col=6&amp;number=4.5&amp;sourceID=14","4.5")</f>
        <v>4.5</v>
      </c>
      <c r="G11519" s="4" t="str">
        <f>HYPERLINK("http://141.218.60.56/~jnz1568/getInfo.php?workbook=20_05.xlsx&amp;sheet=U0&amp;row=11519&amp;col=7&amp;number=0.124&amp;sourceID=14","0.124")</f>
        <v>0.124</v>
      </c>
    </row>
    <row r="11520" spans="1:7">
      <c r="A11520" s="3"/>
      <c r="B11520" s="3"/>
      <c r="C11520" s="3"/>
      <c r="D11520" s="3"/>
      <c r="E11520" s="3">
        <v>17</v>
      </c>
      <c r="F11520" s="4" t="str">
        <f>HYPERLINK("http://141.218.60.56/~jnz1568/getInfo.php?workbook=20_05.xlsx&amp;sheet=U0&amp;row=11520&amp;col=6&amp;number=4.6&amp;sourceID=14","4.6")</f>
        <v>4.6</v>
      </c>
      <c r="G11520" s="4" t="str">
        <f>HYPERLINK("http://141.218.60.56/~jnz1568/getInfo.php?workbook=20_05.xlsx&amp;sheet=U0&amp;row=11520&amp;col=7&amp;number=0.124&amp;sourceID=14","0.124")</f>
        <v>0.124</v>
      </c>
    </row>
    <row r="11521" spans="1:7">
      <c r="A11521" s="3"/>
      <c r="B11521" s="3"/>
      <c r="C11521" s="3"/>
      <c r="D11521" s="3"/>
      <c r="E11521" s="3">
        <v>18</v>
      </c>
      <c r="F11521" s="4" t="str">
        <f>HYPERLINK("http://141.218.60.56/~jnz1568/getInfo.php?workbook=20_05.xlsx&amp;sheet=U0&amp;row=11521&amp;col=6&amp;number=4.7&amp;sourceID=14","4.7")</f>
        <v>4.7</v>
      </c>
      <c r="G11521" s="4" t="str">
        <f>HYPERLINK("http://141.218.60.56/~jnz1568/getInfo.php?workbook=20_05.xlsx&amp;sheet=U0&amp;row=11521&amp;col=7&amp;number=0.124&amp;sourceID=14","0.124")</f>
        <v>0.124</v>
      </c>
    </row>
    <row r="11522" spans="1:7">
      <c r="A11522" s="3"/>
      <c r="B11522" s="3"/>
      <c r="C11522" s="3"/>
      <c r="D11522" s="3"/>
      <c r="E11522" s="3">
        <v>19</v>
      </c>
      <c r="F11522" s="4" t="str">
        <f>HYPERLINK("http://141.218.60.56/~jnz1568/getInfo.php?workbook=20_05.xlsx&amp;sheet=U0&amp;row=11522&amp;col=6&amp;number=4.8&amp;sourceID=14","4.8")</f>
        <v>4.8</v>
      </c>
      <c r="G11522" s="4" t="str">
        <f>HYPERLINK("http://141.218.60.56/~jnz1568/getInfo.php?workbook=20_05.xlsx&amp;sheet=U0&amp;row=11522&amp;col=7&amp;number=0.125&amp;sourceID=14","0.125")</f>
        <v>0.125</v>
      </c>
    </row>
    <row r="11523" spans="1:7">
      <c r="A11523" s="3"/>
      <c r="B11523" s="3"/>
      <c r="C11523" s="3"/>
      <c r="D11523" s="3"/>
      <c r="E11523" s="3">
        <v>20</v>
      </c>
      <c r="F11523" s="4" t="str">
        <f>HYPERLINK("http://141.218.60.56/~jnz1568/getInfo.php?workbook=20_05.xlsx&amp;sheet=U0&amp;row=11523&amp;col=6&amp;number=4.9&amp;sourceID=14","4.9")</f>
        <v>4.9</v>
      </c>
      <c r="G11523" s="4" t="str">
        <f>HYPERLINK("http://141.218.60.56/~jnz1568/getInfo.php?workbook=20_05.xlsx&amp;sheet=U0&amp;row=11523&amp;col=7&amp;number=0.125&amp;sourceID=14","0.125")</f>
        <v>0.125</v>
      </c>
    </row>
    <row r="11524" spans="1:7">
      <c r="A11524" s="3">
        <v>20</v>
      </c>
      <c r="B11524" s="3">
        <v>5</v>
      </c>
      <c r="C11524" s="3">
        <v>5</v>
      </c>
      <c r="D11524" s="3">
        <v>111</v>
      </c>
      <c r="E11524" s="3">
        <v>1</v>
      </c>
      <c r="F11524" s="4" t="str">
        <f>HYPERLINK("http://141.218.60.56/~jnz1568/getInfo.php?workbook=20_05.xlsx&amp;sheet=U0&amp;row=11524&amp;col=6&amp;number=3&amp;sourceID=14","3")</f>
        <v>3</v>
      </c>
      <c r="G11524" s="4" t="str">
        <f>HYPERLINK("http://141.218.60.56/~jnz1568/getInfo.php?workbook=20_05.xlsx&amp;sheet=U0&amp;row=11524&amp;col=7&amp;number=0.00861&amp;sourceID=14","0.00861")</f>
        <v>0.00861</v>
      </c>
    </row>
    <row r="11525" spans="1:7">
      <c r="A11525" s="3"/>
      <c r="B11525" s="3"/>
      <c r="C11525" s="3"/>
      <c r="D11525" s="3"/>
      <c r="E11525" s="3">
        <v>2</v>
      </c>
      <c r="F11525" s="4" t="str">
        <f>HYPERLINK("http://141.218.60.56/~jnz1568/getInfo.php?workbook=20_05.xlsx&amp;sheet=U0&amp;row=11525&amp;col=6&amp;number=3.1&amp;sourceID=14","3.1")</f>
        <v>3.1</v>
      </c>
      <c r="G11525" s="4" t="str">
        <f>HYPERLINK("http://141.218.60.56/~jnz1568/getInfo.php?workbook=20_05.xlsx&amp;sheet=U0&amp;row=11525&amp;col=7&amp;number=0.00861&amp;sourceID=14","0.00861")</f>
        <v>0.00861</v>
      </c>
    </row>
    <row r="11526" spans="1:7">
      <c r="A11526" s="3"/>
      <c r="B11526" s="3"/>
      <c r="C11526" s="3"/>
      <c r="D11526" s="3"/>
      <c r="E11526" s="3">
        <v>3</v>
      </c>
      <c r="F11526" s="4" t="str">
        <f>HYPERLINK("http://141.218.60.56/~jnz1568/getInfo.php?workbook=20_05.xlsx&amp;sheet=U0&amp;row=11526&amp;col=6&amp;number=3.2&amp;sourceID=14","3.2")</f>
        <v>3.2</v>
      </c>
      <c r="G11526" s="4" t="str">
        <f>HYPERLINK("http://141.218.60.56/~jnz1568/getInfo.php?workbook=20_05.xlsx&amp;sheet=U0&amp;row=11526&amp;col=7&amp;number=0.00861&amp;sourceID=14","0.00861")</f>
        <v>0.00861</v>
      </c>
    </row>
    <row r="11527" spans="1:7">
      <c r="A11527" s="3"/>
      <c r="B11527" s="3"/>
      <c r="C11527" s="3"/>
      <c r="D11527" s="3"/>
      <c r="E11527" s="3">
        <v>4</v>
      </c>
      <c r="F11527" s="4" t="str">
        <f>HYPERLINK("http://141.218.60.56/~jnz1568/getInfo.php?workbook=20_05.xlsx&amp;sheet=U0&amp;row=11527&amp;col=6&amp;number=3.3&amp;sourceID=14","3.3")</f>
        <v>3.3</v>
      </c>
      <c r="G11527" s="4" t="str">
        <f>HYPERLINK("http://141.218.60.56/~jnz1568/getInfo.php?workbook=20_05.xlsx&amp;sheet=U0&amp;row=11527&amp;col=7&amp;number=0.00861&amp;sourceID=14","0.00861")</f>
        <v>0.00861</v>
      </c>
    </row>
    <row r="11528" spans="1:7">
      <c r="A11528" s="3"/>
      <c r="B11528" s="3"/>
      <c r="C11528" s="3"/>
      <c r="D11528" s="3"/>
      <c r="E11528" s="3">
        <v>5</v>
      </c>
      <c r="F11528" s="4" t="str">
        <f>HYPERLINK("http://141.218.60.56/~jnz1568/getInfo.php?workbook=20_05.xlsx&amp;sheet=U0&amp;row=11528&amp;col=6&amp;number=3.4&amp;sourceID=14","3.4")</f>
        <v>3.4</v>
      </c>
      <c r="G11528" s="4" t="str">
        <f>HYPERLINK("http://141.218.60.56/~jnz1568/getInfo.php?workbook=20_05.xlsx&amp;sheet=U0&amp;row=11528&amp;col=7&amp;number=0.00861&amp;sourceID=14","0.00861")</f>
        <v>0.00861</v>
      </c>
    </row>
    <row r="11529" spans="1:7">
      <c r="A11529" s="3"/>
      <c r="B11529" s="3"/>
      <c r="C11529" s="3"/>
      <c r="D11529" s="3"/>
      <c r="E11529" s="3">
        <v>6</v>
      </c>
      <c r="F11529" s="4" t="str">
        <f>HYPERLINK("http://141.218.60.56/~jnz1568/getInfo.php?workbook=20_05.xlsx&amp;sheet=U0&amp;row=11529&amp;col=6&amp;number=3.5&amp;sourceID=14","3.5")</f>
        <v>3.5</v>
      </c>
      <c r="G11529" s="4" t="str">
        <f>HYPERLINK("http://141.218.60.56/~jnz1568/getInfo.php?workbook=20_05.xlsx&amp;sheet=U0&amp;row=11529&amp;col=7&amp;number=0.00861&amp;sourceID=14","0.00861")</f>
        <v>0.00861</v>
      </c>
    </row>
    <row r="11530" spans="1:7">
      <c r="A11530" s="3"/>
      <c r="B11530" s="3"/>
      <c r="C11530" s="3"/>
      <c r="D11530" s="3"/>
      <c r="E11530" s="3">
        <v>7</v>
      </c>
      <c r="F11530" s="4" t="str">
        <f>HYPERLINK("http://141.218.60.56/~jnz1568/getInfo.php?workbook=20_05.xlsx&amp;sheet=U0&amp;row=11530&amp;col=6&amp;number=3.6&amp;sourceID=14","3.6")</f>
        <v>3.6</v>
      </c>
      <c r="G11530" s="4" t="str">
        <f>HYPERLINK("http://141.218.60.56/~jnz1568/getInfo.php?workbook=20_05.xlsx&amp;sheet=U0&amp;row=11530&amp;col=7&amp;number=0.00861&amp;sourceID=14","0.00861")</f>
        <v>0.00861</v>
      </c>
    </row>
    <row r="11531" spans="1:7">
      <c r="A11531" s="3"/>
      <c r="B11531" s="3"/>
      <c r="C11531" s="3"/>
      <c r="D11531" s="3"/>
      <c r="E11531" s="3">
        <v>8</v>
      </c>
      <c r="F11531" s="4" t="str">
        <f>HYPERLINK("http://141.218.60.56/~jnz1568/getInfo.php?workbook=20_05.xlsx&amp;sheet=U0&amp;row=11531&amp;col=6&amp;number=3.7&amp;sourceID=14","3.7")</f>
        <v>3.7</v>
      </c>
      <c r="G11531" s="4" t="str">
        <f>HYPERLINK("http://141.218.60.56/~jnz1568/getInfo.php?workbook=20_05.xlsx&amp;sheet=U0&amp;row=11531&amp;col=7&amp;number=0.0086&amp;sourceID=14","0.0086")</f>
        <v>0.0086</v>
      </c>
    </row>
    <row r="11532" spans="1:7">
      <c r="A11532" s="3"/>
      <c r="B11532" s="3"/>
      <c r="C11532" s="3"/>
      <c r="D11532" s="3"/>
      <c r="E11532" s="3">
        <v>9</v>
      </c>
      <c r="F11532" s="4" t="str">
        <f>HYPERLINK("http://141.218.60.56/~jnz1568/getInfo.php?workbook=20_05.xlsx&amp;sheet=U0&amp;row=11532&amp;col=6&amp;number=3.8&amp;sourceID=14","3.8")</f>
        <v>3.8</v>
      </c>
      <c r="G11532" s="4" t="str">
        <f>HYPERLINK("http://141.218.60.56/~jnz1568/getInfo.php?workbook=20_05.xlsx&amp;sheet=U0&amp;row=11532&amp;col=7&amp;number=0.0086&amp;sourceID=14","0.0086")</f>
        <v>0.0086</v>
      </c>
    </row>
    <row r="11533" spans="1:7">
      <c r="A11533" s="3"/>
      <c r="B11533" s="3"/>
      <c r="C11533" s="3"/>
      <c r="D11533" s="3"/>
      <c r="E11533" s="3">
        <v>10</v>
      </c>
      <c r="F11533" s="4" t="str">
        <f>HYPERLINK("http://141.218.60.56/~jnz1568/getInfo.php?workbook=20_05.xlsx&amp;sheet=U0&amp;row=11533&amp;col=6&amp;number=3.9&amp;sourceID=14","3.9")</f>
        <v>3.9</v>
      </c>
      <c r="G11533" s="4" t="str">
        <f>HYPERLINK("http://141.218.60.56/~jnz1568/getInfo.php?workbook=20_05.xlsx&amp;sheet=U0&amp;row=11533&amp;col=7&amp;number=0.0086&amp;sourceID=14","0.0086")</f>
        <v>0.0086</v>
      </c>
    </row>
    <row r="11534" spans="1:7">
      <c r="A11534" s="3"/>
      <c r="B11534" s="3"/>
      <c r="C11534" s="3"/>
      <c r="D11534" s="3"/>
      <c r="E11534" s="3">
        <v>11</v>
      </c>
      <c r="F11534" s="4" t="str">
        <f>HYPERLINK("http://141.218.60.56/~jnz1568/getInfo.php?workbook=20_05.xlsx&amp;sheet=U0&amp;row=11534&amp;col=6&amp;number=4&amp;sourceID=14","4")</f>
        <v>4</v>
      </c>
      <c r="G11534" s="4" t="str">
        <f>HYPERLINK("http://141.218.60.56/~jnz1568/getInfo.php?workbook=20_05.xlsx&amp;sheet=U0&amp;row=11534&amp;col=7&amp;number=0.00859&amp;sourceID=14","0.00859")</f>
        <v>0.00859</v>
      </c>
    </row>
    <row r="11535" spans="1:7">
      <c r="A11535" s="3"/>
      <c r="B11535" s="3"/>
      <c r="C11535" s="3"/>
      <c r="D11535" s="3"/>
      <c r="E11535" s="3">
        <v>12</v>
      </c>
      <c r="F11535" s="4" t="str">
        <f>HYPERLINK("http://141.218.60.56/~jnz1568/getInfo.php?workbook=20_05.xlsx&amp;sheet=U0&amp;row=11535&amp;col=6&amp;number=4.1&amp;sourceID=14","4.1")</f>
        <v>4.1</v>
      </c>
      <c r="G11535" s="4" t="str">
        <f>HYPERLINK("http://141.218.60.56/~jnz1568/getInfo.php?workbook=20_05.xlsx&amp;sheet=U0&amp;row=11535&amp;col=7&amp;number=0.00859&amp;sourceID=14","0.00859")</f>
        <v>0.00859</v>
      </c>
    </row>
    <row r="11536" spans="1:7">
      <c r="A11536" s="3"/>
      <c r="B11536" s="3"/>
      <c r="C11536" s="3"/>
      <c r="D11536" s="3"/>
      <c r="E11536" s="3">
        <v>13</v>
      </c>
      <c r="F11536" s="4" t="str">
        <f>HYPERLINK("http://141.218.60.56/~jnz1568/getInfo.php?workbook=20_05.xlsx&amp;sheet=U0&amp;row=11536&amp;col=6&amp;number=4.2&amp;sourceID=14","4.2")</f>
        <v>4.2</v>
      </c>
      <c r="G11536" s="4" t="str">
        <f>HYPERLINK("http://141.218.60.56/~jnz1568/getInfo.php?workbook=20_05.xlsx&amp;sheet=U0&amp;row=11536&amp;col=7&amp;number=0.00858&amp;sourceID=14","0.00858")</f>
        <v>0.00858</v>
      </c>
    </row>
    <row r="11537" spans="1:7">
      <c r="A11537" s="3"/>
      <c r="B11537" s="3"/>
      <c r="C11537" s="3"/>
      <c r="D11537" s="3"/>
      <c r="E11537" s="3">
        <v>14</v>
      </c>
      <c r="F11537" s="4" t="str">
        <f>HYPERLINK("http://141.218.60.56/~jnz1568/getInfo.php?workbook=20_05.xlsx&amp;sheet=U0&amp;row=11537&amp;col=6&amp;number=4.3&amp;sourceID=14","4.3")</f>
        <v>4.3</v>
      </c>
      <c r="G11537" s="4" t="str">
        <f>HYPERLINK("http://141.218.60.56/~jnz1568/getInfo.php?workbook=20_05.xlsx&amp;sheet=U0&amp;row=11537&amp;col=7&amp;number=0.00857&amp;sourceID=14","0.00857")</f>
        <v>0.00857</v>
      </c>
    </row>
    <row r="11538" spans="1:7">
      <c r="A11538" s="3"/>
      <c r="B11538" s="3"/>
      <c r="C11538" s="3"/>
      <c r="D11538" s="3"/>
      <c r="E11538" s="3">
        <v>15</v>
      </c>
      <c r="F11538" s="4" t="str">
        <f>HYPERLINK("http://141.218.60.56/~jnz1568/getInfo.php?workbook=20_05.xlsx&amp;sheet=U0&amp;row=11538&amp;col=6&amp;number=4.4&amp;sourceID=14","4.4")</f>
        <v>4.4</v>
      </c>
      <c r="G11538" s="4" t="str">
        <f>HYPERLINK("http://141.218.60.56/~jnz1568/getInfo.php?workbook=20_05.xlsx&amp;sheet=U0&amp;row=11538&amp;col=7&amp;number=0.00855&amp;sourceID=14","0.00855")</f>
        <v>0.00855</v>
      </c>
    </row>
    <row r="11539" spans="1:7">
      <c r="A11539" s="3"/>
      <c r="B11539" s="3"/>
      <c r="C11539" s="3"/>
      <c r="D11539" s="3"/>
      <c r="E11539" s="3">
        <v>16</v>
      </c>
      <c r="F11539" s="4" t="str">
        <f>HYPERLINK("http://141.218.60.56/~jnz1568/getInfo.php?workbook=20_05.xlsx&amp;sheet=U0&amp;row=11539&amp;col=6&amp;number=4.5&amp;sourceID=14","4.5")</f>
        <v>4.5</v>
      </c>
      <c r="G11539" s="4" t="str">
        <f>HYPERLINK("http://141.218.60.56/~jnz1568/getInfo.php?workbook=20_05.xlsx&amp;sheet=U0&amp;row=11539&amp;col=7&amp;number=0.00854&amp;sourceID=14","0.00854")</f>
        <v>0.00854</v>
      </c>
    </row>
    <row r="11540" spans="1:7">
      <c r="A11540" s="3"/>
      <c r="B11540" s="3"/>
      <c r="C11540" s="3"/>
      <c r="D11540" s="3"/>
      <c r="E11540" s="3">
        <v>17</v>
      </c>
      <c r="F11540" s="4" t="str">
        <f>HYPERLINK("http://141.218.60.56/~jnz1568/getInfo.php?workbook=20_05.xlsx&amp;sheet=U0&amp;row=11540&amp;col=6&amp;number=4.6&amp;sourceID=14","4.6")</f>
        <v>4.6</v>
      </c>
      <c r="G11540" s="4" t="str">
        <f>HYPERLINK("http://141.218.60.56/~jnz1568/getInfo.php?workbook=20_05.xlsx&amp;sheet=U0&amp;row=11540&amp;col=7&amp;number=0.00852&amp;sourceID=14","0.00852")</f>
        <v>0.00852</v>
      </c>
    </row>
    <row r="11541" spans="1:7">
      <c r="A11541" s="3"/>
      <c r="B11541" s="3"/>
      <c r="C11541" s="3"/>
      <c r="D11541" s="3"/>
      <c r="E11541" s="3">
        <v>18</v>
      </c>
      <c r="F11541" s="4" t="str">
        <f>HYPERLINK("http://141.218.60.56/~jnz1568/getInfo.php?workbook=20_05.xlsx&amp;sheet=U0&amp;row=11541&amp;col=6&amp;number=4.7&amp;sourceID=14","4.7")</f>
        <v>4.7</v>
      </c>
      <c r="G11541" s="4" t="str">
        <f>HYPERLINK("http://141.218.60.56/~jnz1568/getInfo.php?workbook=20_05.xlsx&amp;sheet=U0&amp;row=11541&amp;col=7&amp;number=0.00849&amp;sourceID=14","0.00849")</f>
        <v>0.00849</v>
      </c>
    </row>
    <row r="11542" spans="1:7">
      <c r="A11542" s="3"/>
      <c r="B11542" s="3"/>
      <c r="C11542" s="3"/>
      <c r="D11542" s="3"/>
      <c r="E11542" s="3">
        <v>19</v>
      </c>
      <c r="F11542" s="4" t="str">
        <f>HYPERLINK("http://141.218.60.56/~jnz1568/getInfo.php?workbook=20_05.xlsx&amp;sheet=U0&amp;row=11542&amp;col=6&amp;number=4.8&amp;sourceID=14","4.8")</f>
        <v>4.8</v>
      </c>
      <c r="G11542" s="4" t="str">
        <f>HYPERLINK("http://141.218.60.56/~jnz1568/getInfo.php?workbook=20_05.xlsx&amp;sheet=U0&amp;row=11542&amp;col=7&amp;number=0.00846&amp;sourceID=14","0.00846")</f>
        <v>0.00846</v>
      </c>
    </row>
    <row r="11543" spans="1:7">
      <c r="A11543" s="3"/>
      <c r="B11543" s="3"/>
      <c r="C11543" s="3"/>
      <c r="D11543" s="3"/>
      <c r="E11543" s="3">
        <v>20</v>
      </c>
      <c r="F11543" s="4" t="str">
        <f>HYPERLINK("http://141.218.60.56/~jnz1568/getInfo.php?workbook=20_05.xlsx&amp;sheet=U0&amp;row=11543&amp;col=6&amp;number=4.9&amp;sourceID=14","4.9")</f>
        <v>4.9</v>
      </c>
      <c r="G11543" s="4" t="str">
        <f>HYPERLINK("http://141.218.60.56/~jnz1568/getInfo.php?workbook=20_05.xlsx&amp;sheet=U0&amp;row=11543&amp;col=7&amp;number=0.00842&amp;sourceID=14","0.00842")</f>
        <v>0.00842</v>
      </c>
    </row>
    <row r="11544" spans="1:7">
      <c r="A11544" s="3">
        <v>20</v>
      </c>
      <c r="B11544" s="3">
        <v>5</v>
      </c>
      <c r="C11544" s="3">
        <v>5</v>
      </c>
      <c r="D11544" s="3">
        <v>112</v>
      </c>
      <c r="E11544" s="3">
        <v>1</v>
      </c>
      <c r="F11544" s="4" t="str">
        <f>HYPERLINK("http://141.218.60.56/~jnz1568/getInfo.php?workbook=20_05.xlsx&amp;sheet=U0&amp;row=11544&amp;col=6&amp;number=3&amp;sourceID=14","3")</f>
        <v>3</v>
      </c>
      <c r="G11544" s="4" t="str">
        <f>HYPERLINK("http://141.218.60.56/~jnz1568/getInfo.php?workbook=20_05.xlsx&amp;sheet=U0&amp;row=11544&amp;col=7&amp;number=0.000122&amp;sourceID=14","0.000122")</f>
        <v>0.000122</v>
      </c>
    </row>
    <row r="11545" spans="1:7">
      <c r="A11545" s="3"/>
      <c r="B11545" s="3"/>
      <c r="C11545" s="3"/>
      <c r="D11545" s="3"/>
      <c r="E11545" s="3">
        <v>2</v>
      </c>
      <c r="F11545" s="4" t="str">
        <f>HYPERLINK("http://141.218.60.56/~jnz1568/getInfo.php?workbook=20_05.xlsx&amp;sheet=U0&amp;row=11545&amp;col=6&amp;number=3.1&amp;sourceID=14","3.1")</f>
        <v>3.1</v>
      </c>
      <c r="G11545" s="4" t="str">
        <f>HYPERLINK("http://141.218.60.56/~jnz1568/getInfo.php?workbook=20_05.xlsx&amp;sheet=U0&amp;row=11545&amp;col=7&amp;number=0.000122&amp;sourceID=14","0.000122")</f>
        <v>0.000122</v>
      </c>
    </row>
    <row r="11546" spans="1:7">
      <c r="A11546" s="3"/>
      <c r="B11546" s="3"/>
      <c r="C11546" s="3"/>
      <c r="D11546" s="3"/>
      <c r="E11546" s="3">
        <v>3</v>
      </c>
      <c r="F11546" s="4" t="str">
        <f>HYPERLINK("http://141.218.60.56/~jnz1568/getInfo.php?workbook=20_05.xlsx&amp;sheet=U0&amp;row=11546&amp;col=6&amp;number=3.2&amp;sourceID=14","3.2")</f>
        <v>3.2</v>
      </c>
      <c r="G11546" s="4" t="str">
        <f>HYPERLINK("http://141.218.60.56/~jnz1568/getInfo.php?workbook=20_05.xlsx&amp;sheet=U0&amp;row=11546&amp;col=7&amp;number=0.000122&amp;sourceID=14","0.000122")</f>
        <v>0.000122</v>
      </c>
    </row>
    <row r="11547" spans="1:7">
      <c r="A11547" s="3"/>
      <c r="B11547" s="3"/>
      <c r="C11547" s="3"/>
      <c r="D11547" s="3"/>
      <c r="E11547" s="3">
        <v>4</v>
      </c>
      <c r="F11547" s="4" t="str">
        <f>HYPERLINK("http://141.218.60.56/~jnz1568/getInfo.php?workbook=20_05.xlsx&amp;sheet=U0&amp;row=11547&amp;col=6&amp;number=3.3&amp;sourceID=14","3.3")</f>
        <v>3.3</v>
      </c>
      <c r="G11547" s="4" t="str">
        <f>HYPERLINK("http://141.218.60.56/~jnz1568/getInfo.php?workbook=20_05.xlsx&amp;sheet=U0&amp;row=11547&amp;col=7&amp;number=0.000122&amp;sourceID=14","0.000122")</f>
        <v>0.000122</v>
      </c>
    </row>
    <row r="11548" spans="1:7">
      <c r="A11548" s="3"/>
      <c r="B11548" s="3"/>
      <c r="C11548" s="3"/>
      <c r="D11548" s="3"/>
      <c r="E11548" s="3">
        <v>5</v>
      </c>
      <c r="F11548" s="4" t="str">
        <f>HYPERLINK("http://141.218.60.56/~jnz1568/getInfo.php?workbook=20_05.xlsx&amp;sheet=U0&amp;row=11548&amp;col=6&amp;number=3.4&amp;sourceID=14","3.4")</f>
        <v>3.4</v>
      </c>
      <c r="G11548" s="4" t="str">
        <f>HYPERLINK("http://141.218.60.56/~jnz1568/getInfo.php?workbook=20_05.xlsx&amp;sheet=U0&amp;row=11548&amp;col=7&amp;number=0.000122&amp;sourceID=14","0.000122")</f>
        <v>0.000122</v>
      </c>
    </row>
    <row r="11549" spans="1:7">
      <c r="A11549" s="3"/>
      <c r="B11549" s="3"/>
      <c r="C11549" s="3"/>
      <c r="D11549" s="3"/>
      <c r="E11549" s="3">
        <v>6</v>
      </c>
      <c r="F11549" s="4" t="str">
        <f>HYPERLINK("http://141.218.60.56/~jnz1568/getInfo.php?workbook=20_05.xlsx&amp;sheet=U0&amp;row=11549&amp;col=6&amp;number=3.5&amp;sourceID=14","3.5")</f>
        <v>3.5</v>
      </c>
      <c r="G11549" s="4" t="str">
        <f>HYPERLINK("http://141.218.60.56/~jnz1568/getInfo.php?workbook=20_05.xlsx&amp;sheet=U0&amp;row=11549&amp;col=7&amp;number=0.000122&amp;sourceID=14","0.000122")</f>
        <v>0.000122</v>
      </c>
    </row>
    <row r="11550" spans="1:7">
      <c r="A11550" s="3"/>
      <c r="B11550" s="3"/>
      <c r="C11550" s="3"/>
      <c r="D11550" s="3"/>
      <c r="E11550" s="3">
        <v>7</v>
      </c>
      <c r="F11550" s="4" t="str">
        <f>HYPERLINK("http://141.218.60.56/~jnz1568/getInfo.php?workbook=20_05.xlsx&amp;sheet=U0&amp;row=11550&amp;col=6&amp;number=3.6&amp;sourceID=14","3.6")</f>
        <v>3.6</v>
      </c>
      <c r="G11550" s="4" t="str">
        <f>HYPERLINK("http://141.218.60.56/~jnz1568/getInfo.php?workbook=20_05.xlsx&amp;sheet=U0&amp;row=11550&amp;col=7&amp;number=0.000122&amp;sourceID=14","0.000122")</f>
        <v>0.000122</v>
      </c>
    </row>
    <row r="11551" spans="1:7">
      <c r="A11551" s="3"/>
      <c r="B11551" s="3"/>
      <c r="C11551" s="3"/>
      <c r="D11551" s="3"/>
      <c r="E11551" s="3">
        <v>8</v>
      </c>
      <c r="F11551" s="4" t="str">
        <f>HYPERLINK("http://141.218.60.56/~jnz1568/getInfo.php?workbook=20_05.xlsx&amp;sheet=U0&amp;row=11551&amp;col=6&amp;number=3.7&amp;sourceID=14","3.7")</f>
        <v>3.7</v>
      </c>
      <c r="G11551" s="4" t="str">
        <f>HYPERLINK("http://141.218.60.56/~jnz1568/getInfo.php?workbook=20_05.xlsx&amp;sheet=U0&amp;row=11551&amp;col=7&amp;number=0.000122&amp;sourceID=14","0.000122")</f>
        <v>0.000122</v>
      </c>
    </row>
    <row r="11552" spans="1:7">
      <c r="A11552" s="3"/>
      <c r="B11552" s="3"/>
      <c r="C11552" s="3"/>
      <c r="D11552" s="3"/>
      <c r="E11552" s="3">
        <v>9</v>
      </c>
      <c r="F11552" s="4" t="str">
        <f>HYPERLINK("http://141.218.60.56/~jnz1568/getInfo.php?workbook=20_05.xlsx&amp;sheet=U0&amp;row=11552&amp;col=6&amp;number=3.8&amp;sourceID=14","3.8")</f>
        <v>3.8</v>
      </c>
      <c r="G11552" s="4" t="str">
        <f>HYPERLINK("http://141.218.60.56/~jnz1568/getInfo.php?workbook=20_05.xlsx&amp;sheet=U0&amp;row=11552&amp;col=7&amp;number=0.000122&amp;sourceID=14","0.000122")</f>
        <v>0.000122</v>
      </c>
    </row>
    <row r="11553" spans="1:7">
      <c r="A11553" s="3"/>
      <c r="B11553" s="3"/>
      <c r="C11553" s="3"/>
      <c r="D11553" s="3"/>
      <c r="E11553" s="3">
        <v>10</v>
      </c>
      <c r="F11553" s="4" t="str">
        <f>HYPERLINK("http://141.218.60.56/~jnz1568/getInfo.php?workbook=20_05.xlsx&amp;sheet=U0&amp;row=11553&amp;col=6&amp;number=3.9&amp;sourceID=14","3.9")</f>
        <v>3.9</v>
      </c>
      <c r="G11553" s="4" t="str">
        <f>HYPERLINK("http://141.218.60.56/~jnz1568/getInfo.php?workbook=20_05.xlsx&amp;sheet=U0&amp;row=11553&amp;col=7&amp;number=0.000122&amp;sourceID=14","0.000122")</f>
        <v>0.000122</v>
      </c>
    </row>
    <row r="11554" spans="1:7">
      <c r="A11554" s="3"/>
      <c r="B11554" s="3"/>
      <c r="C11554" s="3"/>
      <c r="D11554" s="3"/>
      <c r="E11554" s="3">
        <v>11</v>
      </c>
      <c r="F11554" s="4" t="str">
        <f>HYPERLINK("http://141.218.60.56/~jnz1568/getInfo.php?workbook=20_05.xlsx&amp;sheet=U0&amp;row=11554&amp;col=6&amp;number=4&amp;sourceID=14","4")</f>
        <v>4</v>
      </c>
      <c r="G11554" s="4" t="str">
        <f>HYPERLINK("http://141.218.60.56/~jnz1568/getInfo.php?workbook=20_05.xlsx&amp;sheet=U0&amp;row=11554&amp;col=7&amp;number=0.000122&amp;sourceID=14","0.000122")</f>
        <v>0.000122</v>
      </c>
    </row>
    <row r="11555" spans="1:7">
      <c r="A11555" s="3"/>
      <c r="B11555" s="3"/>
      <c r="C11555" s="3"/>
      <c r="D11555" s="3"/>
      <c r="E11555" s="3">
        <v>12</v>
      </c>
      <c r="F11555" s="4" t="str">
        <f>HYPERLINK("http://141.218.60.56/~jnz1568/getInfo.php?workbook=20_05.xlsx&amp;sheet=U0&amp;row=11555&amp;col=6&amp;number=4.1&amp;sourceID=14","4.1")</f>
        <v>4.1</v>
      </c>
      <c r="G11555" s="4" t="str">
        <f>HYPERLINK("http://141.218.60.56/~jnz1568/getInfo.php?workbook=20_05.xlsx&amp;sheet=U0&amp;row=11555&amp;col=7&amp;number=0.000122&amp;sourceID=14","0.000122")</f>
        <v>0.000122</v>
      </c>
    </row>
    <row r="11556" spans="1:7">
      <c r="A11556" s="3"/>
      <c r="B11556" s="3"/>
      <c r="C11556" s="3"/>
      <c r="D11556" s="3"/>
      <c r="E11556" s="3">
        <v>13</v>
      </c>
      <c r="F11556" s="4" t="str">
        <f>HYPERLINK("http://141.218.60.56/~jnz1568/getInfo.php?workbook=20_05.xlsx&amp;sheet=U0&amp;row=11556&amp;col=6&amp;number=4.2&amp;sourceID=14","4.2")</f>
        <v>4.2</v>
      </c>
      <c r="G11556" s="4" t="str">
        <f>HYPERLINK("http://141.218.60.56/~jnz1568/getInfo.php?workbook=20_05.xlsx&amp;sheet=U0&amp;row=11556&amp;col=7&amp;number=0.000122&amp;sourceID=14","0.000122")</f>
        <v>0.000122</v>
      </c>
    </row>
    <row r="11557" spans="1:7">
      <c r="A11557" s="3"/>
      <c r="B11557" s="3"/>
      <c r="C11557" s="3"/>
      <c r="D11557" s="3"/>
      <c r="E11557" s="3">
        <v>14</v>
      </c>
      <c r="F11557" s="4" t="str">
        <f>HYPERLINK("http://141.218.60.56/~jnz1568/getInfo.php?workbook=20_05.xlsx&amp;sheet=U0&amp;row=11557&amp;col=6&amp;number=4.3&amp;sourceID=14","4.3")</f>
        <v>4.3</v>
      </c>
      <c r="G11557" s="4" t="str">
        <f>HYPERLINK("http://141.218.60.56/~jnz1568/getInfo.php?workbook=20_05.xlsx&amp;sheet=U0&amp;row=11557&amp;col=7&amp;number=0.000122&amp;sourceID=14","0.000122")</f>
        <v>0.000122</v>
      </c>
    </row>
    <row r="11558" spans="1:7">
      <c r="A11558" s="3"/>
      <c r="B11558" s="3"/>
      <c r="C11558" s="3"/>
      <c r="D11558" s="3"/>
      <c r="E11558" s="3">
        <v>15</v>
      </c>
      <c r="F11558" s="4" t="str">
        <f>HYPERLINK("http://141.218.60.56/~jnz1568/getInfo.php?workbook=20_05.xlsx&amp;sheet=U0&amp;row=11558&amp;col=6&amp;number=4.4&amp;sourceID=14","4.4")</f>
        <v>4.4</v>
      </c>
      <c r="G11558" s="4" t="str">
        <f>HYPERLINK("http://141.218.60.56/~jnz1568/getInfo.php?workbook=20_05.xlsx&amp;sheet=U0&amp;row=11558&amp;col=7&amp;number=0.000121&amp;sourceID=14","0.000121")</f>
        <v>0.000121</v>
      </c>
    </row>
    <row r="11559" spans="1:7">
      <c r="A11559" s="3"/>
      <c r="B11559" s="3"/>
      <c r="C11559" s="3"/>
      <c r="D11559" s="3"/>
      <c r="E11559" s="3">
        <v>16</v>
      </c>
      <c r="F11559" s="4" t="str">
        <f>HYPERLINK("http://141.218.60.56/~jnz1568/getInfo.php?workbook=20_05.xlsx&amp;sheet=U0&amp;row=11559&amp;col=6&amp;number=4.5&amp;sourceID=14","4.5")</f>
        <v>4.5</v>
      </c>
      <c r="G11559" s="4" t="str">
        <f>HYPERLINK("http://141.218.60.56/~jnz1568/getInfo.php?workbook=20_05.xlsx&amp;sheet=U0&amp;row=11559&amp;col=7&amp;number=0.000121&amp;sourceID=14","0.000121")</f>
        <v>0.000121</v>
      </c>
    </row>
    <row r="11560" spans="1:7">
      <c r="A11560" s="3"/>
      <c r="B11560" s="3"/>
      <c r="C11560" s="3"/>
      <c r="D11560" s="3"/>
      <c r="E11560" s="3">
        <v>17</v>
      </c>
      <c r="F11560" s="4" t="str">
        <f>HYPERLINK("http://141.218.60.56/~jnz1568/getInfo.php?workbook=20_05.xlsx&amp;sheet=U0&amp;row=11560&amp;col=6&amp;number=4.6&amp;sourceID=14","4.6")</f>
        <v>4.6</v>
      </c>
      <c r="G11560" s="4" t="str">
        <f>HYPERLINK("http://141.218.60.56/~jnz1568/getInfo.php?workbook=20_05.xlsx&amp;sheet=U0&amp;row=11560&amp;col=7&amp;number=0.000121&amp;sourceID=14","0.000121")</f>
        <v>0.000121</v>
      </c>
    </row>
    <row r="11561" spans="1:7">
      <c r="A11561" s="3"/>
      <c r="B11561" s="3"/>
      <c r="C11561" s="3"/>
      <c r="D11561" s="3"/>
      <c r="E11561" s="3">
        <v>18</v>
      </c>
      <c r="F11561" s="4" t="str">
        <f>HYPERLINK("http://141.218.60.56/~jnz1568/getInfo.php?workbook=20_05.xlsx&amp;sheet=U0&amp;row=11561&amp;col=6&amp;number=4.7&amp;sourceID=14","4.7")</f>
        <v>4.7</v>
      </c>
      <c r="G11561" s="4" t="str">
        <f>HYPERLINK("http://141.218.60.56/~jnz1568/getInfo.php?workbook=20_05.xlsx&amp;sheet=U0&amp;row=11561&amp;col=7&amp;number=0.000121&amp;sourceID=14","0.000121")</f>
        <v>0.000121</v>
      </c>
    </row>
    <row r="11562" spans="1:7">
      <c r="A11562" s="3"/>
      <c r="B11562" s="3"/>
      <c r="C11562" s="3"/>
      <c r="D11562" s="3"/>
      <c r="E11562" s="3">
        <v>19</v>
      </c>
      <c r="F11562" s="4" t="str">
        <f>HYPERLINK("http://141.218.60.56/~jnz1568/getInfo.php?workbook=20_05.xlsx&amp;sheet=U0&amp;row=11562&amp;col=6&amp;number=4.8&amp;sourceID=14","4.8")</f>
        <v>4.8</v>
      </c>
      <c r="G11562" s="4" t="str">
        <f>HYPERLINK("http://141.218.60.56/~jnz1568/getInfo.php?workbook=20_05.xlsx&amp;sheet=U0&amp;row=11562&amp;col=7&amp;number=0.00012&amp;sourceID=14","0.00012")</f>
        <v>0.00012</v>
      </c>
    </row>
    <row r="11563" spans="1:7">
      <c r="A11563" s="3"/>
      <c r="B11563" s="3"/>
      <c r="C11563" s="3"/>
      <c r="D11563" s="3"/>
      <c r="E11563" s="3">
        <v>20</v>
      </c>
      <c r="F11563" s="4" t="str">
        <f>HYPERLINK("http://141.218.60.56/~jnz1568/getInfo.php?workbook=20_05.xlsx&amp;sheet=U0&amp;row=11563&amp;col=6&amp;number=4.9&amp;sourceID=14","4.9")</f>
        <v>4.9</v>
      </c>
      <c r="G11563" s="4" t="str">
        <f>HYPERLINK("http://141.218.60.56/~jnz1568/getInfo.php?workbook=20_05.xlsx&amp;sheet=U0&amp;row=11563&amp;col=7&amp;number=0.00012&amp;sourceID=14","0.00012")</f>
        <v>0.00012</v>
      </c>
    </row>
    <row r="11564" spans="1:7">
      <c r="A11564" s="3">
        <v>20</v>
      </c>
      <c r="B11564" s="3">
        <v>5</v>
      </c>
      <c r="C11564" s="3">
        <v>5</v>
      </c>
      <c r="D11564" s="3">
        <v>113</v>
      </c>
      <c r="E11564" s="3">
        <v>1</v>
      </c>
      <c r="F11564" s="4" t="str">
        <f>HYPERLINK("http://141.218.60.56/~jnz1568/getInfo.php?workbook=20_05.xlsx&amp;sheet=U0&amp;row=11564&amp;col=6&amp;number=3&amp;sourceID=14","3")</f>
        <v>3</v>
      </c>
      <c r="G11564" s="4" t="str">
        <f>HYPERLINK("http://141.218.60.56/~jnz1568/getInfo.php?workbook=20_05.xlsx&amp;sheet=U0&amp;row=11564&amp;col=7&amp;number=0.000462&amp;sourceID=14","0.000462")</f>
        <v>0.000462</v>
      </c>
    </row>
    <row r="11565" spans="1:7">
      <c r="A11565" s="3"/>
      <c r="B11565" s="3"/>
      <c r="C11565" s="3"/>
      <c r="D11565" s="3"/>
      <c r="E11565" s="3">
        <v>2</v>
      </c>
      <c r="F11565" s="4" t="str">
        <f>HYPERLINK("http://141.218.60.56/~jnz1568/getInfo.php?workbook=20_05.xlsx&amp;sheet=U0&amp;row=11565&amp;col=6&amp;number=3.1&amp;sourceID=14","3.1")</f>
        <v>3.1</v>
      </c>
      <c r="G11565" s="4" t="str">
        <f>HYPERLINK("http://141.218.60.56/~jnz1568/getInfo.php?workbook=20_05.xlsx&amp;sheet=U0&amp;row=11565&amp;col=7&amp;number=0.000462&amp;sourceID=14","0.000462")</f>
        <v>0.000462</v>
      </c>
    </row>
    <row r="11566" spans="1:7">
      <c r="A11566" s="3"/>
      <c r="B11566" s="3"/>
      <c r="C11566" s="3"/>
      <c r="D11566" s="3"/>
      <c r="E11566" s="3">
        <v>3</v>
      </c>
      <c r="F11566" s="4" t="str">
        <f>HYPERLINK("http://141.218.60.56/~jnz1568/getInfo.php?workbook=20_05.xlsx&amp;sheet=U0&amp;row=11566&amp;col=6&amp;number=3.2&amp;sourceID=14","3.2")</f>
        <v>3.2</v>
      </c>
      <c r="G11566" s="4" t="str">
        <f>HYPERLINK("http://141.218.60.56/~jnz1568/getInfo.php?workbook=20_05.xlsx&amp;sheet=U0&amp;row=11566&amp;col=7&amp;number=0.000462&amp;sourceID=14","0.000462")</f>
        <v>0.000462</v>
      </c>
    </row>
    <row r="11567" spans="1:7">
      <c r="A11567" s="3"/>
      <c r="B11567" s="3"/>
      <c r="C11567" s="3"/>
      <c r="D11567" s="3"/>
      <c r="E11567" s="3">
        <v>4</v>
      </c>
      <c r="F11567" s="4" t="str">
        <f>HYPERLINK("http://141.218.60.56/~jnz1568/getInfo.php?workbook=20_05.xlsx&amp;sheet=U0&amp;row=11567&amp;col=6&amp;number=3.3&amp;sourceID=14","3.3")</f>
        <v>3.3</v>
      </c>
      <c r="G11567" s="4" t="str">
        <f>HYPERLINK("http://141.218.60.56/~jnz1568/getInfo.php?workbook=20_05.xlsx&amp;sheet=U0&amp;row=11567&amp;col=7&amp;number=0.000462&amp;sourceID=14","0.000462")</f>
        <v>0.000462</v>
      </c>
    </row>
    <row r="11568" spans="1:7">
      <c r="A11568" s="3"/>
      <c r="B11568" s="3"/>
      <c r="C11568" s="3"/>
      <c r="D11568" s="3"/>
      <c r="E11568" s="3">
        <v>5</v>
      </c>
      <c r="F11568" s="4" t="str">
        <f>HYPERLINK("http://141.218.60.56/~jnz1568/getInfo.php?workbook=20_05.xlsx&amp;sheet=U0&amp;row=11568&amp;col=6&amp;number=3.4&amp;sourceID=14","3.4")</f>
        <v>3.4</v>
      </c>
      <c r="G11568" s="4" t="str">
        <f>HYPERLINK("http://141.218.60.56/~jnz1568/getInfo.php?workbook=20_05.xlsx&amp;sheet=U0&amp;row=11568&amp;col=7&amp;number=0.000462&amp;sourceID=14","0.000462")</f>
        <v>0.000462</v>
      </c>
    </row>
    <row r="11569" spans="1:7">
      <c r="A11569" s="3"/>
      <c r="B11569" s="3"/>
      <c r="C11569" s="3"/>
      <c r="D11569" s="3"/>
      <c r="E11569" s="3">
        <v>6</v>
      </c>
      <c r="F11569" s="4" t="str">
        <f>HYPERLINK("http://141.218.60.56/~jnz1568/getInfo.php?workbook=20_05.xlsx&amp;sheet=U0&amp;row=11569&amp;col=6&amp;number=3.5&amp;sourceID=14","3.5")</f>
        <v>3.5</v>
      </c>
      <c r="G11569" s="4" t="str">
        <f>HYPERLINK("http://141.218.60.56/~jnz1568/getInfo.php?workbook=20_05.xlsx&amp;sheet=U0&amp;row=11569&amp;col=7&amp;number=0.000461&amp;sourceID=14","0.000461")</f>
        <v>0.000461</v>
      </c>
    </row>
    <row r="11570" spans="1:7">
      <c r="A11570" s="3"/>
      <c r="B11570" s="3"/>
      <c r="C11570" s="3"/>
      <c r="D11570" s="3"/>
      <c r="E11570" s="3">
        <v>7</v>
      </c>
      <c r="F11570" s="4" t="str">
        <f>HYPERLINK("http://141.218.60.56/~jnz1568/getInfo.php?workbook=20_05.xlsx&amp;sheet=U0&amp;row=11570&amp;col=6&amp;number=3.6&amp;sourceID=14","3.6")</f>
        <v>3.6</v>
      </c>
      <c r="G11570" s="4" t="str">
        <f>HYPERLINK("http://141.218.60.56/~jnz1568/getInfo.php?workbook=20_05.xlsx&amp;sheet=U0&amp;row=11570&amp;col=7&amp;number=0.000461&amp;sourceID=14","0.000461")</f>
        <v>0.000461</v>
      </c>
    </row>
    <row r="11571" spans="1:7">
      <c r="A11571" s="3"/>
      <c r="B11571" s="3"/>
      <c r="C11571" s="3"/>
      <c r="D11571" s="3"/>
      <c r="E11571" s="3">
        <v>8</v>
      </c>
      <c r="F11571" s="4" t="str">
        <f>HYPERLINK("http://141.218.60.56/~jnz1568/getInfo.php?workbook=20_05.xlsx&amp;sheet=U0&amp;row=11571&amp;col=6&amp;number=3.7&amp;sourceID=14","3.7")</f>
        <v>3.7</v>
      </c>
      <c r="G11571" s="4" t="str">
        <f>HYPERLINK("http://141.218.60.56/~jnz1568/getInfo.php?workbook=20_05.xlsx&amp;sheet=U0&amp;row=11571&amp;col=7&amp;number=0.000461&amp;sourceID=14","0.000461")</f>
        <v>0.000461</v>
      </c>
    </row>
    <row r="11572" spans="1:7">
      <c r="A11572" s="3"/>
      <c r="B11572" s="3"/>
      <c r="C11572" s="3"/>
      <c r="D11572" s="3"/>
      <c r="E11572" s="3">
        <v>9</v>
      </c>
      <c r="F11572" s="4" t="str">
        <f>HYPERLINK("http://141.218.60.56/~jnz1568/getInfo.php?workbook=20_05.xlsx&amp;sheet=U0&amp;row=11572&amp;col=6&amp;number=3.8&amp;sourceID=14","3.8")</f>
        <v>3.8</v>
      </c>
      <c r="G11572" s="4" t="str">
        <f>HYPERLINK("http://141.218.60.56/~jnz1568/getInfo.php?workbook=20_05.xlsx&amp;sheet=U0&amp;row=11572&amp;col=7&amp;number=0.000461&amp;sourceID=14","0.000461")</f>
        <v>0.000461</v>
      </c>
    </row>
    <row r="11573" spans="1:7">
      <c r="A11573" s="3"/>
      <c r="B11573" s="3"/>
      <c r="C11573" s="3"/>
      <c r="D11573" s="3"/>
      <c r="E11573" s="3">
        <v>10</v>
      </c>
      <c r="F11573" s="4" t="str">
        <f>HYPERLINK("http://141.218.60.56/~jnz1568/getInfo.php?workbook=20_05.xlsx&amp;sheet=U0&amp;row=11573&amp;col=6&amp;number=3.9&amp;sourceID=14","3.9")</f>
        <v>3.9</v>
      </c>
      <c r="G11573" s="4" t="str">
        <f>HYPERLINK("http://141.218.60.56/~jnz1568/getInfo.php?workbook=20_05.xlsx&amp;sheet=U0&amp;row=11573&amp;col=7&amp;number=0.000461&amp;sourceID=14","0.000461")</f>
        <v>0.000461</v>
      </c>
    </row>
    <row r="11574" spans="1:7">
      <c r="A11574" s="3"/>
      <c r="B11574" s="3"/>
      <c r="C11574" s="3"/>
      <c r="D11574" s="3"/>
      <c r="E11574" s="3">
        <v>11</v>
      </c>
      <c r="F11574" s="4" t="str">
        <f>HYPERLINK("http://141.218.60.56/~jnz1568/getInfo.php?workbook=20_05.xlsx&amp;sheet=U0&amp;row=11574&amp;col=6&amp;number=4&amp;sourceID=14","4")</f>
        <v>4</v>
      </c>
      <c r="G11574" s="4" t="str">
        <f>HYPERLINK("http://141.218.60.56/~jnz1568/getInfo.php?workbook=20_05.xlsx&amp;sheet=U0&amp;row=11574&amp;col=7&amp;number=0.000461&amp;sourceID=14","0.000461")</f>
        <v>0.000461</v>
      </c>
    </row>
    <row r="11575" spans="1:7">
      <c r="A11575" s="3"/>
      <c r="B11575" s="3"/>
      <c r="C11575" s="3"/>
      <c r="D11575" s="3"/>
      <c r="E11575" s="3">
        <v>12</v>
      </c>
      <c r="F11575" s="4" t="str">
        <f>HYPERLINK("http://141.218.60.56/~jnz1568/getInfo.php?workbook=20_05.xlsx&amp;sheet=U0&amp;row=11575&amp;col=6&amp;number=4.1&amp;sourceID=14","4.1")</f>
        <v>4.1</v>
      </c>
      <c r="G11575" s="4" t="str">
        <f>HYPERLINK("http://141.218.60.56/~jnz1568/getInfo.php?workbook=20_05.xlsx&amp;sheet=U0&amp;row=11575&amp;col=7&amp;number=0.00046&amp;sourceID=14","0.00046")</f>
        <v>0.00046</v>
      </c>
    </row>
    <row r="11576" spans="1:7">
      <c r="A11576" s="3"/>
      <c r="B11576" s="3"/>
      <c r="C11576" s="3"/>
      <c r="D11576" s="3"/>
      <c r="E11576" s="3">
        <v>13</v>
      </c>
      <c r="F11576" s="4" t="str">
        <f>HYPERLINK("http://141.218.60.56/~jnz1568/getInfo.php?workbook=20_05.xlsx&amp;sheet=U0&amp;row=11576&amp;col=6&amp;number=4.2&amp;sourceID=14","4.2")</f>
        <v>4.2</v>
      </c>
      <c r="G11576" s="4" t="str">
        <f>HYPERLINK("http://141.218.60.56/~jnz1568/getInfo.php?workbook=20_05.xlsx&amp;sheet=U0&amp;row=11576&amp;col=7&amp;number=0.00046&amp;sourceID=14","0.00046")</f>
        <v>0.00046</v>
      </c>
    </row>
    <row r="11577" spans="1:7">
      <c r="A11577" s="3"/>
      <c r="B11577" s="3"/>
      <c r="C11577" s="3"/>
      <c r="D11577" s="3"/>
      <c r="E11577" s="3">
        <v>14</v>
      </c>
      <c r="F11577" s="4" t="str">
        <f>HYPERLINK("http://141.218.60.56/~jnz1568/getInfo.php?workbook=20_05.xlsx&amp;sheet=U0&amp;row=11577&amp;col=6&amp;number=4.3&amp;sourceID=14","4.3")</f>
        <v>4.3</v>
      </c>
      <c r="G11577" s="4" t="str">
        <f>HYPERLINK("http://141.218.60.56/~jnz1568/getInfo.php?workbook=20_05.xlsx&amp;sheet=U0&amp;row=11577&amp;col=7&amp;number=0.000459&amp;sourceID=14","0.000459")</f>
        <v>0.000459</v>
      </c>
    </row>
    <row r="11578" spans="1:7">
      <c r="A11578" s="3"/>
      <c r="B11578" s="3"/>
      <c r="C11578" s="3"/>
      <c r="D11578" s="3"/>
      <c r="E11578" s="3">
        <v>15</v>
      </c>
      <c r="F11578" s="4" t="str">
        <f>HYPERLINK("http://141.218.60.56/~jnz1568/getInfo.php?workbook=20_05.xlsx&amp;sheet=U0&amp;row=11578&amp;col=6&amp;number=4.4&amp;sourceID=14","4.4")</f>
        <v>4.4</v>
      </c>
      <c r="G11578" s="4" t="str">
        <f>HYPERLINK("http://141.218.60.56/~jnz1568/getInfo.php?workbook=20_05.xlsx&amp;sheet=U0&amp;row=11578&amp;col=7&amp;number=0.000459&amp;sourceID=14","0.000459")</f>
        <v>0.000459</v>
      </c>
    </row>
    <row r="11579" spans="1:7">
      <c r="A11579" s="3"/>
      <c r="B11579" s="3"/>
      <c r="C11579" s="3"/>
      <c r="D11579" s="3"/>
      <c r="E11579" s="3">
        <v>16</v>
      </c>
      <c r="F11579" s="4" t="str">
        <f>HYPERLINK("http://141.218.60.56/~jnz1568/getInfo.php?workbook=20_05.xlsx&amp;sheet=U0&amp;row=11579&amp;col=6&amp;number=4.5&amp;sourceID=14","4.5")</f>
        <v>4.5</v>
      </c>
      <c r="G11579" s="4" t="str">
        <f>HYPERLINK("http://141.218.60.56/~jnz1568/getInfo.php?workbook=20_05.xlsx&amp;sheet=U0&amp;row=11579&amp;col=7&amp;number=0.000458&amp;sourceID=14","0.000458")</f>
        <v>0.000458</v>
      </c>
    </row>
    <row r="11580" spans="1:7">
      <c r="A11580" s="3"/>
      <c r="B11580" s="3"/>
      <c r="C11580" s="3"/>
      <c r="D11580" s="3"/>
      <c r="E11580" s="3">
        <v>17</v>
      </c>
      <c r="F11580" s="4" t="str">
        <f>HYPERLINK("http://141.218.60.56/~jnz1568/getInfo.php?workbook=20_05.xlsx&amp;sheet=U0&amp;row=11580&amp;col=6&amp;number=4.6&amp;sourceID=14","4.6")</f>
        <v>4.6</v>
      </c>
      <c r="G11580" s="4" t="str">
        <f>HYPERLINK("http://141.218.60.56/~jnz1568/getInfo.php?workbook=20_05.xlsx&amp;sheet=U0&amp;row=11580&amp;col=7&amp;number=0.000457&amp;sourceID=14","0.000457")</f>
        <v>0.000457</v>
      </c>
    </row>
    <row r="11581" spans="1:7">
      <c r="A11581" s="3"/>
      <c r="B11581" s="3"/>
      <c r="C11581" s="3"/>
      <c r="D11581" s="3"/>
      <c r="E11581" s="3">
        <v>18</v>
      </c>
      <c r="F11581" s="4" t="str">
        <f>HYPERLINK("http://141.218.60.56/~jnz1568/getInfo.php?workbook=20_05.xlsx&amp;sheet=U0&amp;row=11581&amp;col=6&amp;number=4.7&amp;sourceID=14","4.7")</f>
        <v>4.7</v>
      </c>
      <c r="G11581" s="4" t="str">
        <f>HYPERLINK("http://141.218.60.56/~jnz1568/getInfo.php?workbook=20_05.xlsx&amp;sheet=U0&amp;row=11581&amp;col=7&amp;number=0.000456&amp;sourceID=14","0.000456")</f>
        <v>0.000456</v>
      </c>
    </row>
    <row r="11582" spans="1:7">
      <c r="A11582" s="3"/>
      <c r="B11582" s="3"/>
      <c r="C11582" s="3"/>
      <c r="D11582" s="3"/>
      <c r="E11582" s="3">
        <v>19</v>
      </c>
      <c r="F11582" s="4" t="str">
        <f>HYPERLINK("http://141.218.60.56/~jnz1568/getInfo.php?workbook=20_05.xlsx&amp;sheet=U0&amp;row=11582&amp;col=6&amp;number=4.8&amp;sourceID=14","4.8")</f>
        <v>4.8</v>
      </c>
      <c r="G11582" s="4" t="str">
        <f>HYPERLINK("http://141.218.60.56/~jnz1568/getInfo.php?workbook=20_05.xlsx&amp;sheet=U0&amp;row=11582&amp;col=7&amp;number=0.000454&amp;sourceID=14","0.000454")</f>
        <v>0.000454</v>
      </c>
    </row>
    <row r="11583" spans="1:7">
      <c r="A11583" s="3"/>
      <c r="B11583" s="3"/>
      <c r="C11583" s="3"/>
      <c r="D11583" s="3"/>
      <c r="E11583" s="3">
        <v>20</v>
      </c>
      <c r="F11583" s="4" t="str">
        <f>HYPERLINK("http://141.218.60.56/~jnz1568/getInfo.php?workbook=20_05.xlsx&amp;sheet=U0&amp;row=11583&amp;col=6&amp;number=4.9&amp;sourceID=14","4.9")</f>
        <v>4.9</v>
      </c>
      <c r="G11583" s="4" t="str">
        <f>HYPERLINK("http://141.218.60.56/~jnz1568/getInfo.php?workbook=20_05.xlsx&amp;sheet=U0&amp;row=11583&amp;col=7&amp;number=0.000452&amp;sourceID=14","0.000452")</f>
        <v>0.000452</v>
      </c>
    </row>
    <row r="11584" spans="1:7">
      <c r="A11584" s="3">
        <v>20</v>
      </c>
      <c r="B11584" s="3">
        <v>5</v>
      </c>
      <c r="C11584" s="3">
        <v>5</v>
      </c>
      <c r="D11584" s="3">
        <v>114</v>
      </c>
      <c r="E11584" s="3">
        <v>1</v>
      </c>
      <c r="F11584" s="4" t="str">
        <f>HYPERLINK("http://141.218.60.56/~jnz1568/getInfo.php?workbook=20_05.xlsx&amp;sheet=U0&amp;row=11584&amp;col=6&amp;number=3&amp;sourceID=14","3")</f>
        <v>3</v>
      </c>
      <c r="G11584" s="4" t="str">
        <f>HYPERLINK("http://141.218.60.56/~jnz1568/getInfo.php?workbook=20_05.xlsx&amp;sheet=U0&amp;row=11584&amp;col=7&amp;number=0.000897&amp;sourceID=14","0.000897")</f>
        <v>0.000897</v>
      </c>
    </row>
    <row r="11585" spans="1:7">
      <c r="A11585" s="3"/>
      <c r="B11585" s="3"/>
      <c r="C11585" s="3"/>
      <c r="D11585" s="3"/>
      <c r="E11585" s="3">
        <v>2</v>
      </c>
      <c r="F11585" s="4" t="str">
        <f>HYPERLINK("http://141.218.60.56/~jnz1568/getInfo.php?workbook=20_05.xlsx&amp;sheet=U0&amp;row=11585&amp;col=6&amp;number=3.1&amp;sourceID=14","3.1")</f>
        <v>3.1</v>
      </c>
      <c r="G11585" s="4" t="str">
        <f>HYPERLINK("http://141.218.60.56/~jnz1568/getInfo.php?workbook=20_05.xlsx&amp;sheet=U0&amp;row=11585&amp;col=7&amp;number=0.000897&amp;sourceID=14","0.000897")</f>
        <v>0.000897</v>
      </c>
    </row>
    <row r="11586" spans="1:7">
      <c r="A11586" s="3"/>
      <c r="B11586" s="3"/>
      <c r="C11586" s="3"/>
      <c r="D11586" s="3"/>
      <c r="E11586" s="3">
        <v>3</v>
      </c>
      <c r="F11586" s="4" t="str">
        <f>HYPERLINK("http://141.218.60.56/~jnz1568/getInfo.php?workbook=20_05.xlsx&amp;sheet=U0&amp;row=11586&amp;col=6&amp;number=3.2&amp;sourceID=14","3.2")</f>
        <v>3.2</v>
      </c>
      <c r="G11586" s="4" t="str">
        <f>HYPERLINK("http://141.218.60.56/~jnz1568/getInfo.php?workbook=20_05.xlsx&amp;sheet=U0&amp;row=11586&amp;col=7&amp;number=0.000897&amp;sourceID=14","0.000897")</f>
        <v>0.000897</v>
      </c>
    </row>
    <row r="11587" spans="1:7">
      <c r="A11587" s="3"/>
      <c r="B11587" s="3"/>
      <c r="C11587" s="3"/>
      <c r="D11587" s="3"/>
      <c r="E11587" s="3">
        <v>4</v>
      </c>
      <c r="F11587" s="4" t="str">
        <f>HYPERLINK("http://141.218.60.56/~jnz1568/getInfo.php?workbook=20_05.xlsx&amp;sheet=U0&amp;row=11587&amp;col=6&amp;number=3.3&amp;sourceID=14","3.3")</f>
        <v>3.3</v>
      </c>
      <c r="G11587" s="4" t="str">
        <f>HYPERLINK("http://141.218.60.56/~jnz1568/getInfo.php?workbook=20_05.xlsx&amp;sheet=U0&amp;row=11587&amp;col=7&amp;number=0.000897&amp;sourceID=14","0.000897")</f>
        <v>0.000897</v>
      </c>
    </row>
    <row r="11588" spans="1:7">
      <c r="A11588" s="3"/>
      <c r="B11588" s="3"/>
      <c r="C11588" s="3"/>
      <c r="D11588" s="3"/>
      <c r="E11588" s="3">
        <v>5</v>
      </c>
      <c r="F11588" s="4" t="str">
        <f>HYPERLINK("http://141.218.60.56/~jnz1568/getInfo.php?workbook=20_05.xlsx&amp;sheet=U0&amp;row=11588&amp;col=6&amp;number=3.4&amp;sourceID=14","3.4")</f>
        <v>3.4</v>
      </c>
      <c r="G11588" s="4" t="str">
        <f>HYPERLINK("http://141.218.60.56/~jnz1568/getInfo.php?workbook=20_05.xlsx&amp;sheet=U0&amp;row=11588&amp;col=7&amp;number=0.000897&amp;sourceID=14","0.000897")</f>
        <v>0.000897</v>
      </c>
    </row>
    <row r="11589" spans="1:7">
      <c r="A11589" s="3"/>
      <c r="B11589" s="3"/>
      <c r="C11589" s="3"/>
      <c r="D11589" s="3"/>
      <c r="E11589" s="3">
        <v>6</v>
      </c>
      <c r="F11589" s="4" t="str">
        <f>HYPERLINK("http://141.218.60.56/~jnz1568/getInfo.php?workbook=20_05.xlsx&amp;sheet=U0&amp;row=11589&amp;col=6&amp;number=3.5&amp;sourceID=14","3.5")</f>
        <v>3.5</v>
      </c>
      <c r="G11589" s="4" t="str">
        <f>HYPERLINK("http://141.218.60.56/~jnz1568/getInfo.php?workbook=20_05.xlsx&amp;sheet=U0&amp;row=11589&amp;col=7&amp;number=0.000897&amp;sourceID=14","0.000897")</f>
        <v>0.000897</v>
      </c>
    </row>
    <row r="11590" spans="1:7">
      <c r="A11590" s="3"/>
      <c r="B11590" s="3"/>
      <c r="C11590" s="3"/>
      <c r="D11590" s="3"/>
      <c r="E11590" s="3">
        <v>7</v>
      </c>
      <c r="F11590" s="4" t="str">
        <f>HYPERLINK("http://141.218.60.56/~jnz1568/getInfo.php?workbook=20_05.xlsx&amp;sheet=U0&amp;row=11590&amp;col=6&amp;number=3.6&amp;sourceID=14","3.6")</f>
        <v>3.6</v>
      </c>
      <c r="G11590" s="4" t="str">
        <f>HYPERLINK("http://141.218.60.56/~jnz1568/getInfo.php?workbook=20_05.xlsx&amp;sheet=U0&amp;row=11590&amp;col=7&amp;number=0.000897&amp;sourceID=14","0.000897")</f>
        <v>0.000897</v>
      </c>
    </row>
    <row r="11591" spans="1:7">
      <c r="A11591" s="3"/>
      <c r="B11591" s="3"/>
      <c r="C11591" s="3"/>
      <c r="D11591" s="3"/>
      <c r="E11591" s="3">
        <v>8</v>
      </c>
      <c r="F11591" s="4" t="str">
        <f>HYPERLINK("http://141.218.60.56/~jnz1568/getInfo.php?workbook=20_05.xlsx&amp;sheet=U0&amp;row=11591&amp;col=6&amp;number=3.7&amp;sourceID=14","3.7")</f>
        <v>3.7</v>
      </c>
      <c r="G11591" s="4" t="str">
        <f>HYPERLINK("http://141.218.60.56/~jnz1568/getInfo.php?workbook=20_05.xlsx&amp;sheet=U0&amp;row=11591&amp;col=7&amp;number=0.000897&amp;sourceID=14","0.000897")</f>
        <v>0.000897</v>
      </c>
    </row>
    <row r="11592" spans="1:7">
      <c r="A11592" s="3"/>
      <c r="B11592" s="3"/>
      <c r="C11592" s="3"/>
      <c r="D11592" s="3"/>
      <c r="E11592" s="3">
        <v>9</v>
      </c>
      <c r="F11592" s="4" t="str">
        <f>HYPERLINK("http://141.218.60.56/~jnz1568/getInfo.php?workbook=20_05.xlsx&amp;sheet=U0&amp;row=11592&amp;col=6&amp;number=3.8&amp;sourceID=14","3.8")</f>
        <v>3.8</v>
      </c>
      <c r="G11592" s="4" t="str">
        <f>HYPERLINK("http://141.218.60.56/~jnz1568/getInfo.php?workbook=20_05.xlsx&amp;sheet=U0&amp;row=11592&amp;col=7&amp;number=0.000897&amp;sourceID=14","0.000897")</f>
        <v>0.000897</v>
      </c>
    </row>
    <row r="11593" spans="1:7">
      <c r="A11593" s="3"/>
      <c r="B11593" s="3"/>
      <c r="C11593" s="3"/>
      <c r="D11593" s="3"/>
      <c r="E11593" s="3">
        <v>10</v>
      </c>
      <c r="F11593" s="4" t="str">
        <f>HYPERLINK("http://141.218.60.56/~jnz1568/getInfo.php?workbook=20_05.xlsx&amp;sheet=U0&amp;row=11593&amp;col=6&amp;number=3.9&amp;sourceID=14","3.9")</f>
        <v>3.9</v>
      </c>
      <c r="G11593" s="4" t="str">
        <f>HYPERLINK("http://141.218.60.56/~jnz1568/getInfo.php?workbook=20_05.xlsx&amp;sheet=U0&amp;row=11593&amp;col=7&amp;number=0.000897&amp;sourceID=14","0.000897")</f>
        <v>0.000897</v>
      </c>
    </row>
    <row r="11594" spans="1:7">
      <c r="A11594" s="3"/>
      <c r="B11594" s="3"/>
      <c r="C11594" s="3"/>
      <c r="D11594" s="3"/>
      <c r="E11594" s="3">
        <v>11</v>
      </c>
      <c r="F11594" s="4" t="str">
        <f>HYPERLINK("http://141.218.60.56/~jnz1568/getInfo.php?workbook=20_05.xlsx&amp;sheet=U0&amp;row=11594&amp;col=6&amp;number=4&amp;sourceID=14","4")</f>
        <v>4</v>
      </c>
      <c r="G11594" s="4" t="str">
        <f>HYPERLINK("http://141.218.60.56/~jnz1568/getInfo.php?workbook=20_05.xlsx&amp;sheet=U0&amp;row=11594&amp;col=7&amp;number=0.000897&amp;sourceID=14","0.000897")</f>
        <v>0.000897</v>
      </c>
    </row>
    <row r="11595" spans="1:7">
      <c r="A11595" s="3"/>
      <c r="B11595" s="3"/>
      <c r="C11595" s="3"/>
      <c r="D11595" s="3"/>
      <c r="E11595" s="3">
        <v>12</v>
      </c>
      <c r="F11595" s="4" t="str">
        <f>HYPERLINK("http://141.218.60.56/~jnz1568/getInfo.php?workbook=20_05.xlsx&amp;sheet=U0&amp;row=11595&amp;col=6&amp;number=4.1&amp;sourceID=14","4.1")</f>
        <v>4.1</v>
      </c>
      <c r="G11595" s="4" t="str">
        <f>HYPERLINK("http://141.218.60.56/~jnz1568/getInfo.php?workbook=20_05.xlsx&amp;sheet=U0&amp;row=11595&amp;col=7&amp;number=0.000898&amp;sourceID=14","0.000898")</f>
        <v>0.000898</v>
      </c>
    </row>
    <row r="11596" spans="1:7">
      <c r="A11596" s="3"/>
      <c r="B11596" s="3"/>
      <c r="C11596" s="3"/>
      <c r="D11596" s="3"/>
      <c r="E11596" s="3">
        <v>13</v>
      </c>
      <c r="F11596" s="4" t="str">
        <f>HYPERLINK("http://141.218.60.56/~jnz1568/getInfo.php?workbook=20_05.xlsx&amp;sheet=U0&amp;row=11596&amp;col=6&amp;number=4.2&amp;sourceID=14","4.2")</f>
        <v>4.2</v>
      </c>
      <c r="G11596" s="4" t="str">
        <f>HYPERLINK("http://141.218.60.56/~jnz1568/getInfo.php?workbook=20_05.xlsx&amp;sheet=U0&amp;row=11596&amp;col=7&amp;number=0.000898&amp;sourceID=14","0.000898")</f>
        <v>0.000898</v>
      </c>
    </row>
    <row r="11597" spans="1:7">
      <c r="A11597" s="3"/>
      <c r="B11597" s="3"/>
      <c r="C11597" s="3"/>
      <c r="D11597" s="3"/>
      <c r="E11597" s="3">
        <v>14</v>
      </c>
      <c r="F11597" s="4" t="str">
        <f>HYPERLINK("http://141.218.60.56/~jnz1568/getInfo.php?workbook=20_05.xlsx&amp;sheet=U0&amp;row=11597&amp;col=6&amp;number=4.3&amp;sourceID=14","4.3")</f>
        <v>4.3</v>
      </c>
      <c r="G11597" s="4" t="str">
        <f>HYPERLINK("http://141.218.60.56/~jnz1568/getInfo.php?workbook=20_05.xlsx&amp;sheet=U0&amp;row=11597&amp;col=7&amp;number=0.000898&amp;sourceID=14","0.000898")</f>
        <v>0.000898</v>
      </c>
    </row>
    <row r="11598" spans="1:7">
      <c r="A11598" s="3"/>
      <c r="B11598" s="3"/>
      <c r="C11598" s="3"/>
      <c r="D11598" s="3"/>
      <c r="E11598" s="3">
        <v>15</v>
      </c>
      <c r="F11598" s="4" t="str">
        <f>HYPERLINK("http://141.218.60.56/~jnz1568/getInfo.php?workbook=20_05.xlsx&amp;sheet=U0&amp;row=11598&amp;col=6&amp;number=4.4&amp;sourceID=14","4.4")</f>
        <v>4.4</v>
      </c>
      <c r="G11598" s="4" t="str">
        <f>HYPERLINK("http://141.218.60.56/~jnz1568/getInfo.php?workbook=20_05.xlsx&amp;sheet=U0&amp;row=11598&amp;col=7&amp;number=0.000899&amp;sourceID=14","0.000899")</f>
        <v>0.000899</v>
      </c>
    </row>
    <row r="11599" spans="1:7">
      <c r="A11599" s="3"/>
      <c r="B11599" s="3"/>
      <c r="C11599" s="3"/>
      <c r="D11599" s="3"/>
      <c r="E11599" s="3">
        <v>16</v>
      </c>
      <c r="F11599" s="4" t="str">
        <f>HYPERLINK("http://141.218.60.56/~jnz1568/getInfo.php?workbook=20_05.xlsx&amp;sheet=U0&amp;row=11599&amp;col=6&amp;number=4.5&amp;sourceID=14","4.5")</f>
        <v>4.5</v>
      </c>
      <c r="G11599" s="4" t="str">
        <f>HYPERLINK("http://141.218.60.56/~jnz1568/getInfo.php?workbook=20_05.xlsx&amp;sheet=U0&amp;row=11599&amp;col=7&amp;number=0.000899&amp;sourceID=14","0.000899")</f>
        <v>0.000899</v>
      </c>
    </row>
    <row r="11600" spans="1:7">
      <c r="A11600" s="3"/>
      <c r="B11600" s="3"/>
      <c r="C11600" s="3"/>
      <c r="D11600" s="3"/>
      <c r="E11600" s="3">
        <v>17</v>
      </c>
      <c r="F11600" s="4" t="str">
        <f>HYPERLINK("http://141.218.60.56/~jnz1568/getInfo.php?workbook=20_05.xlsx&amp;sheet=U0&amp;row=11600&amp;col=6&amp;number=4.6&amp;sourceID=14","4.6")</f>
        <v>4.6</v>
      </c>
      <c r="G11600" s="4" t="str">
        <f>HYPERLINK("http://141.218.60.56/~jnz1568/getInfo.php?workbook=20_05.xlsx&amp;sheet=U0&amp;row=11600&amp;col=7&amp;number=0.0009&amp;sourceID=14","0.0009")</f>
        <v>0.0009</v>
      </c>
    </row>
    <row r="11601" spans="1:7">
      <c r="A11601" s="3"/>
      <c r="B11601" s="3"/>
      <c r="C11601" s="3"/>
      <c r="D11601" s="3"/>
      <c r="E11601" s="3">
        <v>18</v>
      </c>
      <c r="F11601" s="4" t="str">
        <f>HYPERLINK("http://141.218.60.56/~jnz1568/getInfo.php?workbook=20_05.xlsx&amp;sheet=U0&amp;row=11601&amp;col=6&amp;number=4.7&amp;sourceID=14","4.7")</f>
        <v>4.7</v>
      </c>
      <c r="G11601" s="4" t="str">
        <f>HYPERLINK("http://141.218.60.56/~jnz1568/getInfo.php?workbook=20_05.xlsx&amp;sheet=U0&amp;row=11601&amp;col=7&amp;number=0.000901&amp;sourceID=14","0.000901")</f>
        <v>0.000901</v>
      </c>
    </row>
    <row r="11602" spans="1:7">
      <c r="A11602" s="3"/>
      <c r="B11602" s="3"/>
      <c r="C11602" s="3"/>
      <c r="D11602" s="3"/>
      <c r="E11602" s="3">
        <v>19</v>
      </c>
      <c r="F11602" s="4" t="str">
        <f>HYPERLINK("http://141.218.60.56/~jnz1568/getInfo.php?workbook=20_05.xlsx&amp;sheet=U0&amp;row=11602&amp;col=6&amp;number=4.8&amp;sourceID=14","4.8")</f>
        <v>4.8</v>
      </c>
      <c r="G11602" s="4" t="str">
        <f>HYPERLINK("http://141.218.60.56/~jnz1568/getInfo.php?workbook=20_05.xlsx&amp;sheet=U0&amp;row=11602&amp;col=7&amp;number=0.000902&amp;sourceID=14","0.000902")</f>
        <v>0.000902</v>
      </c>
    </row>
    <row r="11603" spans="1:7">
      <c r="A11603" s="3"/>
      <c r="B11603" s="3"/>
      <c r="C11603" s="3"/>
      <c r="D11603" s="3"/>
      <c r="E11603" s="3">
        <v>20</v>
      </c>
      <c r="F11603" s="4" t="str">
        <f>HYPERLINK("http://141.218.60.56/~jnz1568/getInfo.php?workbook=20_05.xlsx&amp;sheet=U0&amp;row=11603&amp;col=6&amp;number=4.9&amp;sourceID=14","4.9")</f>
        <v>4.9</v>
      </c>
      <c r="G11603" s="4" t="str">
        <f>HYPERLINK("http://141.218.60.56/~jnz1568/getInfo.php?workbook=20_05.xlsx&amp;sheet=U0&amp;row=11603&amp;col=7&amp;number=0.000903&amp;sourceID=14","0.000903")</f>
        <v>0.000903</v>
      </c>
    </row>
    <row r="11604" spans="1:7">
      <c r="A11604" s="3">
        <v>20</v>
      </c>
      <c r="B11604" s="3">
        <v>5</v>
      </c>
      <c r="C11604" s="3">
        <v>5</v>
      </c>
      <c r="D11604" s="3">
        <v>115</v>
      </c>
      <c r="E11604" s="3">
        <v>1</v>
      </c>
      <c r="F11604" s="4" t="str">
        <f>HYPERLINK("http://141.218.60.56/~jnz1568/getInfo.php?workbook=20_05.xlsx&amp;sheet=U0&amp;row=11604&amp;col=6&amp;number=3&amp;sourceID=14","3")</f>
        <v>3</v>
      </c>
      <c r="G11604" s="4" t="str">
        <f>HYPERLINK("http://141.218.60.56/~jnz1568/getInfo.php?workbook=20_05.xlsx&amp;sheet=U0&amp;row=11604&amp;col=7&amp;number=0.00508&amp;sourceID=14","0.00508")</f>
        <v>0.00508</v>
      </c>
    </row>
    <row r="11605" spans="1:7">
      <c r="A11605" s="3"/>
      <c r="B11605" s="3"/>
      <c r="C11605" s="3"/>
      <c r="D11605" s="3"/>
      <c r="E11605" s="3">
        <v>2</v>
      </c>
      <c r="F11605" s="4" t="str">
        <f>HYPERLINK("http://141.218.60.56/~jnz1568/getInfo.php?workbook=20_05.xlsx&amp;sheet=U0&amp;row=11605&amp;col=6&amp;number=3.1&amp;sourceID=14","3.1")</f>
        <v>3.1</v>
      </c>
      <c r="G11605" s="4" t="str">
        <f>HYPERLINK("http://141.218.60.56/~jnz1568/getInfo.php?workbook=20_05.xlsx&amp;sheet=U0&amp;row=11605&amp;col=7&amp;number=0.00508&amp;sourceID=14","0.00508")</f>
        <v>0.00508</v>
      </c>
    </row>
    <row r="11606" spans="1:7">
      <c r="A11606" s="3"/>
      <c r="B11606" s="3"/>
      <c r="C11606" s="3"/>
      <c r="D11606" s="3"/>
      <c r="E11606" s="3">
        <v>3</v>
      </c>
      <c r="F11606" s="4" t="str">
        <f>HYPERLINK("http://141.218.60.56/~jnz1568/getInfo.php?workbook=20_05.xlsx&amp;sheet=U0&amp;row=11606&amp;col=6&amp;number=3.2&amp;sourceID=14","3.2")</f>
        <v>3.2</v>
      </c>
      <c r="G11606" s="4" t="str">
        <f>HYPERLINK("http://141.218.60.56/~jnz1568/getInfo.php?workbook=20_05.xlsx&amp;sheet=U0&amp;row=11606&amp;col=7&amp;number=0.00508&amp;sourceID=14","0.00508")</f>
        <v>0.00508</v>
      </c>
    </row>
    <row r="11607" spans="1:7">
      <c r="A11607" s="3"/>
      <c r="B11607" s="3"/>
      <c r="C11607" s="3"/>
      <c r="D11607" s="3"/>
      <c r="E11607" s="3">
        <v>4</v>
      </c>
      <c r="F11607" s="4" t="str">
        <f>HYPERLINK("http://141.218.60.56/~jnz1568/getInfo.php?workbook=20_05.xlsx&amp;sheet=U0&amp;row=11607&amp;col=6&amp;number=3.3&amp;sourceID=14","3.3")</f>
        <v>3.3</v>
      </c>
      <c r="G11607" s="4" t="str">
        <f>HYPERLINK("http://141.218.60.56/~jnz1568/getInfo.php?workbook=20_05.xlsx&amp;sheet=U0&amp;row=11607&amp;col=7&amp;number=0.00508&amp;sourceID=14","0.00508")</f>
        <v>0.00508</v>
      </c>
    </row>
    <row r="11608" spans="1:7">
      <c r="A11608" s="3"/>
      <c r="B11608" s="3"/>
      <c r="C11608" s="3"/>
      <c r="D11608" s="3"/>
      <c r="E11608" s="3">
        <v>5</v>
      </c>
      <c r="F11608" s="4" t="str">
        <f>HYPERLINK("http://141.218.60.56/~jnz1568/getInfo.php?workbook=20_05.xlsx&amp;sheet=U0&amp;row=11608&amp;col=6&amp;number=3.4&amp;sourceID=14","3.4")</f>
        <v>3.4</v>
      </c>
      <c r="G11608" s="4" t="str">
        <f>HYPERLINK("http://141.218.60.56/~jnz1568/getInfo.php?workbook=20_05.xlsx&amp;sheet=U0&amp;row=11608&amp;col=7&amp;number=0.00508&amp;sourceID=14","0.00508")</f>
        <v>0.00508</v>
      </c>
    </row>
    <row r="11609" spans="1:7">
      <c r="A11609" s="3"/>
      <c r="B11609" s="3"/>
      <c r="C11609" s="3"/>
      <c r="D11609" s="3"/>
      <c r="E11609" s="3">
        <v>6</v>
      </c>
      <c r="F11609" s="4" t="str">
        <f>HYPERLINK("http://141.218.60.56/~jnz1568/getInfo.php?workbook=20_05.xlsx&amp;sheet=U0&amp;row=11609&amp;col=6&amp;number=3.5&amp;sourceID=14","3.5")</f>
        <v>3.5</v>
      </c>
      <c r="G11609" s="4" t="str">
        <f>HYPERLINK("http://141.218.60.56/~jnz1568/getInfo.php?workbook=20_05.xlsx&amp;sheet=U0&amp;row=11609&amp;col=7&amp;number=0.00508&amp;sourceID=14","0.00508")</f>
        <v>0.00508</v>
      </c>
    </row>
    <row r="11610" spans="1:7">
      <c r="A11610" s="3"/>
      <c r="B11610" s="3"/>
      <c r="C11610" s="3"/>
      <c r="D11610" s="3"/>
      <c r="E11610" s="3">
        <v>7</v>
      </c>
      <c r="F11610" s="4" t="str">
        <f>HYPERLINK("http://141.218.60.56/~jnz1568/getInfo.php?workbook=20_05.xlsx&amp;sheet=U0&amp;row=11610&amp;col=6&amp;number=3.6&amp;sourceID=14","3.6")</f>
        <v>3.6</v>
      </c>
      <c r="G11610" s="4" t="str">
        <f>HYPERLINK("http://141.218.60.56/~jnz1568/getInfo.php?workbook=20_05.xlsx&amp;sheet=U0&amp;row=11610&amp;col=7&amp;number=0.00508&amp;sourceID=14","0.00508")</f>
        <v>0.00508</v>
      </c>
    </row>
    <row r="11611" spans="1:7">
      <c r="A11611" s="3"/>
      <c r="B11611" s="3"/>
      <c r="C11611" s="3"/>
      <c r="D11611" s="3"/>
      <c r="E11611" s="3">
        <v>8</v>
      </c>
      <c r="F11611" s="4" t="str">
        <f>HYPERLINK("http://141.218.60.56/~jnz1568/getInfo.php?workbook=20_05.xlsx&amp;sheet=U0&amp;row=11611&amp;col=6&amp;number=3.7&amp;sourceID=14","3.7")</f>
        <v>3.7</v>
      </c>
      <c r="G11611" s="4" t="str">
        <f>HYPERLINK("http://141.218.60.56/~jnz1568/getInfo.php?workbook=20_05.xlsx&amp;sheet=U0&amp;row=11611&amp;col=7&amp;number=0.00508&amp;sourceID=14","0.00508")</f>
        <v>0.00508</v>
      </c>
    </row>
    <row r="11612" spans="1:7">
      <c r="A11612" s="3"/>
      <c r="B11612" s="3"/>
      <c r="C11612" s="3"/>
      <c r="D11612" s="3"/>
      <c r="E11612" s="3">
        <v>9</v>
      </c>
      <c r="F11612" s="4" t="str">
        <f>HYPERLINK("http://141.218.60.56/~jnz1568/getInfo.php?workbook=20_05.xlsx&amp;sheet=U0&amp;row=11612&amp;col=6&amp;number=3.8&amp;sourceID=14","3.8")</f>
        <v>3.8</v>
      </c>
      <c r="G11612" s="4" t="str">
        <f>HYPERLINK("http://141.218.60.56/~jnz1568/getInfo.php?workbook=20_05.xlsx&amp;sheet=U0&amp;row=11612&amp;col=7&amp;number=0.00509&amp;sourceID=14","0.00509")</f>
        <v>0.00509</v>
      </c>
    </row>
    <row r="11613" spans="1:7">
      <c r="A11613" s="3"/>
      <c r="B11613" s="3"/>
      <c r="C11613" s="3"/>
      <c r="D11613" s="3"/>
      <c r="E11613" s="3">
        <v>10</v>
      </c>
      <c r="F11613" s="4" t="str">
        <f>HYPERLINK("http://141.218.60.56/~jnz1568/getInfo.php?workbook=20_05.xlsx&amp;sheet=U0&amp;row=11613&amp;col=6&amp;number=3.9&amp;sourceID=14","3.9")</f>
        <v>3.9</v>
      </c>
      <c r="G11613" s="4" t="str">
        <f>HYPERLINK("http://141.218.60.56/~jnz1568/getInfo.php?workbook=20_05.xlsx&amp;sheet=U0&amp;row=11613&amp;col=7&amp;number=0.00509&amp;sourceID=14","0.00509")</f>
        <v>0.00509</v>
      </c>
    </row>
    <row r="11614" spans="1:7">
      <c r="A11614" s="3"/>
      <c r="B11614" s="3"/>
      <c r="C11614" s="3"/>
      <c r="D11614" s="3"/>
      <c r="E11614" s="3">
        <v>11</v>
      </c>
      <c r="F11614" s="4" t="str">
        <f>HYPERLINK("http://141.218.60.56/~jnz1568/getInfo.php?workbook=20_05.xlsx&amp;sheet=U0&amp;row=11614&amp;col=6&amp;number=4&amp;sourceID=14","4")</f>
        <v>4</v>
      </c>
      <c r="G11614" s="4" t="str">
        <f>HYPERLINK("http://141.218.60.56/~jnz1568/getInfo.php?workbook=20_05.xlsx&amp;sheet=U0&amp;row=11614&amp;col=7&amp;number=0.00509&amp;sourceID=14","0.00509")</f>
        <v>0.00509</v>
      </c>
    </row>
    <row r="11615" spans="1:7">
      <c r="A11615" s="3"/>
      <c r="B11615" s="3"/>
      <c r="C11615" s="3"/>
      <c r="D11615" s="3"/>
      <c r="E11615" s="3">
        <v>12</v>
      </c>
      <c r="F11615" s="4" t="str">
        <f>HYPERLINK("http://141.218.60.56/~jnz1568/getInfo.php?workbook=20_05.xlsx&amp;sheet=U0&amp;row=11615&amp;col=6&amp;number=4.1&amp;sourceID=14","4.1")</f>
        <v>4.1</v>
      </c>
      <c r="G11615" s="4" t="str">
        <f>HYPERLINK("http://141.218.60.56/~jnz1568/getInfo.php?workbook=20_05.xlsx&amp;sheet=U0&amp;row=11615&amp;col=7&amp;number=0.0051&amp;sourceID=14","0.0051")</f>
        <v>0.0051</v>
      </c>
    </row>
    <row r="11616" spans="1:7">
      <c r="A11616" s="3"/>
      <c r="B11616" s="3"/>
      <c r="C11616" s="3"/>
      <c r="D11616" s="3"/>
      <c r="E11616" s="3">
        <v>13</v>
      </c>
      <c r="F11616" s="4" t="str">
        <f>HYPERLINK("http://141.218.60.56/~jnz1568/getInfo.php?workbook=20_05.xlsx&amp;sheet=U0&amp;row=11616&amp;col=6&amp;number=4.2&amp;sourceID=14","4.2")</f>
        <v>4.2</v>
      </c>
      <c r="G11616" s="4" t="str">
        <f>HYPERLINK("http://141.218.60.56/~jnz1568/getInfo.php?workbook=20_05.xlsx&amp;sheet=U0&amp;row=11616&amp;col=7&amp;number=0.0051&amp;sourceID=14","0.0051")</f>
        <v>0.0051</v>
      </c>
    </row>
    <row r="11617" spans="1:7">
      <c r="A11617" s="3"/>
      <c r="B11617" s="3"/>
      <c r="C11617" s="3"/>
      <c r="D11617" s="3"/>
      <c r="E11617" s="3">
        <v>14</v>
      </c>
      <c r="F11617" s="4" t="str">
        <f>HYPERLINK("http://141.218.60.56/~jnz1568/getInfo.php?workbook=20_05.xlsx&amp;sheet=U0&amp;row=11617&amp;col=6&amp;number=4.3&amp;sourceID=14","4.3")</f>
        <v>4.3</v>
      </c>
      <c r="G11617" s="4" t="str">
        <f>HYPERLINK("http://141.218.60.56/~jnz1568/getInfo.php?workbook=20_05.xlsx&amp;sheet=U0&amp;row=11617&amp;col=7&amp;number=0.00511&amp;sourceID=14","0.00511")</f>
        <v>0.00511</v>
      </c>
    </row>
    <row r="11618" spans="1:7">
      <c r="A11618" s="3"/>
      <c r="B11618" s="3"/>
      <c r="C11618" s="3"/>
      <c r="D11618" s="3"/>
      <c r="E11618" s="3">
        <v>15</v>
      </c>
      <c r="F11618" s="4" t="str">
        <f>HYPERLINK("http://141.218.60.56/~jnz1568/getInfo.php?workbook=20_05.xlsx&amp;sheet=U0&amp;row=11618&amp;col=6&amp;number=4.4&amp;sourceID=14","4.4")</f>
        <v>4.4</v>
      </c>
      <c r="G11618" s="4" t="str">
        <f>HYPERLINK("http://141.218.60.56/~jnz1568/getInfo.php?workbook=20_05.xlsx&amp;sheet=U0&amp;row=11618&amp;col=7&amp;number=0.00512&amp;sourceID=14","0.00512")</f>
        <v>0.00512</v>
      </c>
    </row>
    <row r="11619" spans="1:7">
      <c r="A11619" s="3"/>
      <c r="B11619" s="3"/>
      <c r="C11619" s="3"/>
      <c r="D11619" s="3"/>
      <c r="E11619" s="3">
        <v>16</v>
      </c>
      <c r="F11619" s="4" t="str">
        <f>HYPERLINK("http://141.218.60.56/~jnz1568/getInfo.php?workbook=20_05.xlsx&amp;sheet=U0&amp;row=11619&amp;col=6&amp;number=4.5&amp;sourceID=14","4.5")</f>
        <v>4.5</v>
      </c>
      <c r="G11619" s="4" t="str">
        <f>HYPERLINK("http://141.218.60.56/~jnz1568/getInfo.php?workbook=20_05.xlsx&amp;sheet=U0&amp;row=11619&amp;col=7&amp;number=0.00513&amp;sourceID=14","0.00513")</f>
        <v>0.00513</v>
      </c>
    </row>
    <row r="11620" spans="1:7">
      <c r="A11620" s="3"/>
      <c r="B11620" s="3"/>
      <c r="C11620" s="3"/>
      <c r="D11620" s="3"/>
      <c r="E11620" s="3">
        <v>17</v>
      </c>
      <c r="F11620" s="4" t="str">
        <f>HYPERLINK("http://141.218.60.56/~jnz1568/getInfo.php?workbook=20_05.xlsx&amp;sheet=U0&amp;row=11620&amp;col=6&amp;number=4.6&amp;sourceID=14","4.6")</f>
        <v>4.6</v>
      </c>
      <c r="G11620" s="4" t="str">
        <f>HYPERLINK("http://141.218.60.56/~jnz1568/getInfo.php?workbook=20_05.xlsx&amp;sheet=U0&amp;row=11620&amp;col=7&amp;number=0.00514&amp;sourceID=14","0.00514")</f>
        <v>0.00514</v>
      </c>
    </row>
    <row r="11621" spans="1:7">
      <c r="A11621" s="3"/>
      <c r="B11621" s="3"/>
      <c r="C11621" s="3"/>
      <c r="D11621" s="3"/>
      <c r="E11621" s="3">
        <v>18</v>
      </c>
      <c r="F11621" s="4" t="str">
        <f>HYPERLINK("http://141.218.60.56/~jnz1568/getInfo.php?workbook=20_05.xlsx&amp;sheet=U0&amp;row=11621&amp;col=6&amp;number=4.7&amp;sourceID=14","4.7")</f>
        <v>4.7</v>
      </c>
      <c r="G11621" s="4" t="str">
        <f>HYPERLINK("http://141.218.60.56/~jnz1568/getInfo.php?workbook=20_05.xlsx&amp;sheet=U0&amp;row=11621&amp;col=7&amp;number=0.00516&amp;sourceID=14","0.00516")</f>
        <v>0.00516</v>
      </c>
    </row>
    <row r="11622" spans="1:7">
      <c r="A11622" s="3"/>
      <c r="B11622" s="3"/>
      <c r="C11622" s="3"/>
      <c r="D11622" s="3"/>
      <c r="E11622" s="3">
        <v>19</v>
      </c>
      <c r="F11622" s="4" t="str">
        <f>HYPERLINK("http://141.218.60.56/~jnz1568/getInfo.php?workbook=20_05.xlsx&amp;sheet=U0&amp;row=11622&amp;col=6&amp;number=4.8&amp;sourceID=14","4.8")</f>
        <v>4.8</v>
      </c>
      <c r="G11622" s="4" t="str">
        <f>HYPERLINK("http://141.218.60.56/~jnz1568/getInfo.php?workbook=20_05.xlsx&amp;sheet=U0&amp;row=11622&amp;col=7&amp;number=0.00518&amp;sourceID=14","0.00518")</f>
        <v>0.00518</v>
      </c>
    </row>
    <row r="11623" spans="1:7">
      <c r="A11623" s="3"/>
      <c r="B11623" s="3"/>
      <c r="C11623" s="3"/>
      <c r="D11623" s="3"/>
      <c r="E11623" s="3">
        <v>20</v>
      </c>
      <c r="F11623" s="4" t="str">
        <f>HYPERLINK("http://141.218.60.56/~jnz1568/getInfo.php?workbook=20_05.xlsx&amp;sheet=U0&amp;row=11623&amp;col=6&amp;number=4.9&amp;sourceID=14","4.9")</f>
        <v>4.9</v>
      </c>
      <c r="G11623" s="4" t="str">
        <f>HYPERLINK("http://141.218.60.56/~jnz1568/getInfo.php?workbook=20_05.xlsx&amp;sheet=U0&amp;row=11623&amp;col=7&amp;number=0.00521&amp;sourceID=14","0.00521")</f>
        <v>0.00521</v>
      </c>
    </row>
    <row r="11624" spans="1:7">
      <c r="A11624" s="3">
        <v>20</v>
      </c>
      <c r="B11624" s="3">
        <v>5</v>
      </c>
      <c r="C11624" s="3">
        <v>5</v>
      </c>
      <c r="D11624" s="3">
        <v>116</v>
      </c>
      <c r="E11624" s="3">
        <v>1</v>
      </c>
      <c r="F11624" s="4" t="str">
        <f>HYPERLINK("http://141.218.60.56/~jnz1568/getInfo.php?workbook=20_05.xlsx&amp;sheet=U0&amp;row=11624&amp;col=6&amp;number=3&amp;sourceID=14","3")</f>
        <v>3</v>
      </c>
      <c r="G11624" s="4" t="str">
        <f>HYPERLINK("http://141.218.60.56/~jnz1568/getInfo.php?workbook=20_05.xlsx&amp;sheet=U0&amp;row=11624&amp;col=7&amp;number=0.00308&amp;sourceID=14","0.00308")</f>
        <v>0.00308</v>
      </c>
    </row>
    <row r="11625" spans="1:7">
      <c r="A11625" s="3"/>
      <c r="B11625" s="3"/>
      <c r="C11625" s="3"/>
      <c r="D11625" s="3"/>
      <c r="E11625" s="3">
        <v>2</v>
      </c>
      <c r="F11625" s="4" t="str">
        <f>HYPERLINK("http://141.218.60.56/~jnz1568/getInfo.php?workbook=20_05.xlsx&amp;sheet=U0&amp;row=11625&amp;col=6&amp;number=3.1&amp;sourceID=14","3.1")</f>
        <v>3.1</v>
      </c>
      <c r="G11625" s="4" t="str">
        <f>HYPERLINK("http://141.218.60.56/~jnz1568/getInfo.php?workbook=20_05.xlsx&amp;sheet=U0&amp;row=11625&amp;col=7&amp;number=0.00308&amp;sourceID=14","0.00308")</f>
        <v>0.00308</v>
      </c>
    </row>
    <row r="11626" spans="1:7">
      <c r="A11626" s="3"/>
      <c r="B11626" s="3"/>
      <c r="C11626" s="3"/>
      <c r="D11626" s="3"/>
      <c r="E11626" s="3">
        <v>3</v>
      </c>
      <c r="F11626" s="4" t="str">
        <f>HYPERLINK("http://141.218.60.56/~jnz1568/getInfo.php?workbook=20_05.xlsx&amp;sheet=U0&amp;row=11626&amp;col=6&amp;number=3.2&amp;sourceID=14","3.2")</f>
        <v>3.2</v>
      </c>
      <c r="G11626" s="4" t="str">
        <f>HYPERLINK("http://141.218.60.56/~jnz1568/getInfo.php?workbook=20_05.xlsx&amp;sheet=U0&amp;row=11626&amp;col=7&amp;number=0.00308&amp;sourceID=14","0.00308")</f>
        <v>0.00308</v>
      </c>
    </row>
    <row r="11627" spans="1:7">
      <c r="A11627" s="3"/>
      <c r="B11627" s="3"/>
      <c r="C11627" s="3"/>
      <c r="D11627" s="3"/>
      <c r="E11627" s="3">
        <v>4</v>
      </c>
      <c r="F11627" s="4" t="str">
        <f>HYPERLINK("http://141.218.60.56/~jnz1568/getInfo.php?workbook=20_05.xlsx&amp;sheet=U0&amp;row=11627&amp;col=6&amp;number=3.3&amp;sourceID=14","3.3")</f>
        <v>3.3</v>
      </c>
      <c r="G11627" s="4" t="str">
        <f>HYPERLINK("http://141.218.60.56/~jnz1568/getInfo.php?workbook=20_05.xlsx&amp;sheet=U0&amp;row=11627&amp;col=7&amp;number=0.00308&amp;sourceID=14","0.00308")</f>
        <v>0.00308</v>
      </c>
    </row>
    <row r="11628" spans="1:7">
      <c r="A11628" s="3"/>
      <c r="B11628" s="3"/>
      <c r="C11628" s="3"/>
      <c r="D11628" s="3"/>
      <c r="E11628" s="3">
        <v>5</v>
      </c>
      <c r="F11628" s="4" t="str">
        <f>HYPERLINK("http://141.218.60.56/~jnz1568/getInfo.php?workbook=20_05.xlsx&amp;sheet=U0&amp;row=11628&amp;col=6&amp;number=3.4&amp;sourceID=14","3.4")</f>
        <v>3.4</v>
      </c>
      <c r="G11628" s="4" t="str">
        <f>HYPERLINK("http://141.218.60.56/~jnz1568/getInfo.php?workbook=20_05.xlsx&amp;sheet=U0&amp;row=11628&amp;col=7&amp;number=0.00308&amp;sourceID=14","0.00308")</f>
        <v>0.00308</v>
      </c>
    </row>
    <row r="11629" spans="1:7">
      <c r="A11629" s="3"/>
      <c r="B11629" s="3"/>
      <c r="C11629" s="3"/>
      <c r="D11629" s="3"/>
      <c r="E11629" s="3">
        <v>6</v>
      </c>
      <c r="F11629" s="4" t="str">
        <f>HYPERLINK("http://141.218.60.56/~jnz1568/getInfo.php?workbook=20_05.xlsx&amp;sheet=U0&amp;row=11629&amp;col=6&amp;number=3.5&amp;sourceID=14","3.5")</f>
        <v>3.5</v>
      </c>
      <c r="G11629" s="4" t="str">
        <f>HYPERLINK("http://141.218.60.56/~jnz1568/getInfo.php?workbook=20_05.xlsx&amp;sheet=U0&amp;row=11629&amp;col=7&amp;number=0.00308&amp;sourceID=14","0.00308")</f>
        <v>0.00308</v>
      </c>
    </row>
    <row r="11630" spans="1:7">
      <c r="A11630" s="3"/>
      <c r="B11630" s="3"/>
      <c r="C11630" s="3"/>
      <c r="D11630" s="3"/>
      <c r="E11630" s="3">
        <v>7</v>
      </c>
      <c r="F11630" s="4" t="str">
        <f>HYPERLINK("http://141.218.60.56/~jnz1568/getInfo.php?workbook=20_05.xlsx&amp;sheet=U0&amp;row=11630&amp;col=6&amp;number=3.6&amp;sourceID=14","3.6")</f>
        <v>3.6</v>
      </c>
      <c r="G11630" s="4" t="str">
        <f>HYPERLINK("http://141.218.60.56/~jnz1568/getInfo.php?workbook=20_05.xlsx&amp;sheet=U0&amp;row=11630&amp;col=7&amp;number=0.00308&amp;sourceID=14","0.00308")</f>
        <v>0.00308</v>
      </c>
    </row>
    <row r="11631" spans="1:7">
      <c r="A11631" s="3"/>
      <c r="B11631" s="3"/>
      <c r="C11631" s="3"/>
      <c r="D11631" s="3"/>
      <c r="E11631" s="3">
        <v>8</v>
      </c>
      <c r="F11631" s="4" t="str">
        <f>HYPERLINK("http://141.218.60.56/~jnz1568/getInfo.php?workbook=20_05.xlsx&amp;sheet=U0&amp;row=11631&amp;col=6&amp;number=3.7&amp;sourceID=14","3.7")</f>
        <v>3.7</v>
      </c>
      <c r="G11631" s="4" t="str">
        <f>HYPERLINK("http://141.218.60.56/~jnz1568/getInfo.php?workbook=20_05.xlsx&amp;sheet=U0&amp;row=11631&amp;col=7&amp;number=0.00308&amp;sourceID=14","0.00308")</f>
        <v>0.00308</v>
      </c>
    </row>
    <row r="11632" spans="1:7">
      <c r="A11632" s="3"/>
      <c r="B11632" s="3"/>
      <c r="C11632" s="3"/>
      <c r="D11632" s="3"/>
      <c r="E11632" s="3">
        <v>9</v>
      </c>
      <c r="F11632" s="4" t="str">
        <f>HYPERLINK("http://141.218.60.56/~jnz1568/getInfo.php?workbook=20_05.xlsx&amp;sheet=U0&amp;row=11632&amp;col=6&amp;number=3.8&amp;sourceID=14","3.8")</f>
        <v>3.8</v>
      </c>
      <c r="G11632" s="4" t="str">
        <f>HYPERLINK("http://141.218.60.56/~jnz1568/getInfo.php?workbook=20_05.xlsx&amp;sheet=U0&amp;row=11632&amp;col=7&amp;number=0.00308&amp;sourceID=14","0.00308")</f>
        <v>0.00308</v>
      </c>
    </row>
    <row r="11633" spans="1:7">
      <c r="A11633" s="3"/>
      <c r="B11633" s="3"/>
      <c r="C11633" s="3"/>
      <c r="D11633" s="3"/>
      <c r="E11633" s="3">
        <v>10</v>
      </c>
      <c r="F11633" s="4" t="str">
        <f>HYPERLINK("http://141.218.60.56/~jnz1568/getInfo.php?workbook=20_05.xlsx&amp;sheet=U0&amp;row=11633&amp;col=6&amp;number=3.9&amp;sourceID=14","3.9")</f>
        <v>3.9</v>
      </c>
      <c r="G11633" s="4" t="str">
        <f>HYPERLINK("http://141.218.60.56/~jnz1568/getInfo.php?workbook=20_05.xlsx&amp;sheet=U0&amp;row=11633&amp;col=7&amp;number=0.00308&amp;sourceID=14","0.00308")</f>
        <v>0.00308</v>
      </c>
    </row>
    <row r="11634" spans="1:7">
      <c r="A11634" s="3"/>
      <c r="B11634" s="3"/>
      <c r="C11634" s="3"/>
      <c r="D11634" s="3"/>
      <c r="E11634" s="3">
        <v>11</v>
      </c>
      <c r="F11634" s="4" t="str">
        <f>HYPERLINK("http://141.218.60.56/~jnz1568/getInfo.php?workbook=20_05.xlsx&amp;sheet=U0&amp;row=11634&amp;col=6&amp;number=4&amp;sourceID=14","4")</f>
        <v>4</v>
      </c>
      <c r="G11634" s="4" t="str">
        <f>HYPERLINK("http://141.218.60.56/~jnz1568/getInfo.php?workbook=20_05.xlsx&amp;sheet=U0&amp;row=11634&amp;col=7&amp;number=0.00308&amp;sourceID=14","0.00308")</f>
        <v>0.00308</v>
      </c>
    </row>
    <row r="11635" spans="1:7">
      <c r="A11635" s="3"/>
      <c r="B11635" s="3"/>
      <c r="C11635" s="3"/>
      <c r="D11635" s="3"/>
      <c r="E11635" s="3">
        <v>12</v>
      </c>
      <c r="F11635" s="4" t="str">
        <f>HYPERLINK("http://141.218.60.56/~jnz1568/getInfo.php?workbook=20_05.xlsx&amp;sheet=U0&amp;row=11635&amp;col=6&amp;number=4.1&amp;sourceID=14","4.1")</f>
        <v>4.1</v>
      </c>
      <c r="G11635" s="4" t="str">
        <f>HYPERLINK("http://141.218.60.56/~jnz1568/getInfo.php?workbook=20_05.xlsx&amp;sheet=U0&amp;row=11635&amp;col=7&amp;number=0.00308&amp;sourceID=14","0.00308")</f>
        <v>0.00308</v>
      </c>
    </row>
    <row r="11636" spans="1:7">
      <c r="A11636" s="3"/>
      <c r="B11636" s="3"/>
      <c r="C11636" s="3"/>
      <c r="D11636" s="3"/>
      <c r="E11636" s="3">
        <v>13</v>
      </c>
      <c r="F11636" s="4" t="str">
        <f>HYPERLINK("http://141.218.60.56/~jnz1568/getInfo.php?workbook=20_05.xlsx&amp;sheet=U0&amp;row=11636&amp;col=6&amp;number=4.2&amp;sourceID=14","4.2")</f>
        <v>4.2</v>
      </c>
      <c r="G11636" s="4" t="str">
        <f>HYPERLINK("http://141.218.60.56/~jnz1568/getInfo.php?workbook=20_05.xlsx&amp;sheet=U0&amp;row=11636&amp;col=7&amp;number=0.00308&amp;sourceID=14","0.00308")</f>
        <v>0.00308</v>
      </c>
    </row>
    <row r="11637" spans="1:7">
      <c r="A11637" s="3"/>
      <c r="B11637" s="3"/>
      <c r="C11637" s="3"/>
      <c r="D11637" s="3"/>
      <c r="E11637" s="3">
        <v>14</v>
      </c>
      <c r="F11637" s="4" t="str">
        <f>HYPERLINK("http://141.218.60.56/~jnz1568/getInfo.php?workbook=20_05.xlsx&amp;sheet=U0&amp;row=11637&amp;col=6&amp;number=4.3&amp;sourceID=14","4.3")</f>
        <v>4.3</v>
      </c>
      <c r="G11637" s="4" t="str">
        <f>HYPERLINK("http://141.218.60.56/~jnz1568/getInfo.php?workbook=20_05.xlsx&amp;sheet=U0&amp;row=11637&amp;col=7&amp;number=0.00308&amp;sourceID=14","0.00308")</f>
        <v>0.00308</v>
      </c>
    </row>
    <row r="11638" spans="1:7">
      <c r="A11638" s="3"/>
      <c r="B11638" s="3"/>
      <c r="C11638" s="3"/>
      <c r="D11638" s="3"/>
      <c r="E11638" s="3">
        <v>15</v>
      </c>
      <c r="F11638" s="4" t="str">
        <f>HYPERLINK("http://141.218.60.56/~jnz1568/getInfo.php?workbook=20_05.xlsx&amp;sheet=U0&amp;row=11638&amp;col=6&amp;number=4.4&amp;sourceID=14","4.4")</f>
        <v>4.4</v>
      </c>
      <c r="G11638" s="4" t="str">
        <f>HYPERLINK("http://141.218.60.56/~jnz1568/getInfo.php?workbook=20_05.xlsx&amp;sheet=U0&amp;row=11638&amp;col=7&amp;number=0.00308&amp;sourceID=14","0.00308")</f>
        <v>0.00308</v>
      </c>
    </row>
    <row r="11639" spans="1:7">
      <c r="A11639" s="3"/>
      <c r="B11639" s="3"/>
      <c r="C11639" s="3"/>
      <c r="D11639" s="3"/>
      <c r="E11639" s="3">
        <v>16</v>
      </c>
      <c r="F11639" s="4" t="str">
        <f>HYPERLINK("http://141.218.60.56/~jnz1568/getInfo.php?workbook=20_05.xlsx&amp;sheet=U0&amp;row=11639&amp;col=6&amp;number=4.5&amp;sourceID=14","4.5")</f>
        <v>4.5</v>
      </c>
      <c r="G11639" s="4" t="str">
        <f>HYPERLINK("http://141.218.60.56/~jnz1568/getInfo.php?workbook=20_05.xlsx&amp;sheet=U0&amp;row=11639&amp;col=7&amp;number=0.00308&amp;sourceID=14","0.00308")</f>
        <v>0.00308</v>
      </c>
    </row>
    <row r="11640" spans="1:7">
      <c r="A11640" s="3"/>
      <c r="B11640" s="3"/>
      <c r="C11640" s="3"/>
      <c r="D11640" s="3"/>
      <c r="E11640" s="3">
        <v>17</v>
      </c>
      <c r="F11640" s="4" t="str">
        <f>HYPERLINK("http://141.218.60.56/~jnz1568/getInfo.php?workbook=20_05.xlsx&amp;sheet=U0&amp;row=11640&amp;col=6&amp;number=4.6&amp;sourceID=14","4.6")</f>
        <v>4.6</v>
      </c>
      <c r="G11640" s="4" t="str">
        <f>HYPERLINK("http://141.218.60.56/~jnz1568/getInfo.php?workbook=20_05.xlsx&amp;sheet=U0&amp;row=11640&amp;col=7&amp;number=0.00308&amp;sourceID=14","0.00308")</f>
        <v>0.00308</v>
      </c>
    </row>
    <row r="11641" spans="1:7">
      <c r="A11641" s="3"/>
      <c r="B11641" s="3"/>
      <c r="C11641" s="3"/>
      <c r="D11641" s="3"/>
      <c r="E11641" s="3">
        <v>18</v>
      </c>
      <c r="F11641" s="4" t="str">
        <f>HYPERLINK("http://141.218.60.56/~jnz1568/getInfo.php?workbook=20_05.xlsx&amp;sheet=U0&amp;row=11641&amp;col=6&amp;number=4.7&amp;sourceID=14","4.7")</f>
        <v>4.7</v>
      </c>
      <c r="G11641" s="4" t="str">
        <f>HYPERLINK("http://141.218.60.56/~jnz1568/getInfo.php?workbook=20_05.xlsx&amp;sheet=U0&amp;row=11641&amp;col=7&amp;number=0.00309&amp;sourceID=14","0.00309")</f>
        <v>0.00309</v>
      </c>
    </row>
    <row r="11642" spans="1:7">
      <c r="A11642" s="3"/>
      <c r="B11642" s="3"/>
      <c r="C11642" s="3"/>
      <c r="D11642" s="3"/>
      <c r="E11642" s="3">
        <v>19</v>
      </c>
      <c r="F11642" s="4" t="str">
        <f>HYPERLINK("http://141.218.60.56/~jnz1568/getInfo.php?workbook=20_05.xlsx&amp;sheet=U0&amp;row=11642&amp;col=6&amp;number=4.8&amp;sourceID=14","4.8")</f>
        <v>4.8</v>
      </c>
      <c r="G11642" s="4" t="str">
        <f>HYPERLINK("http://141.218.60.56/~jnz1568/getInfo.php?workbook=20_05.xlsx&amp;sheet=U0&amp;row=11642&amp;col=7&amp;number=0.00309&amp;sourceID=14","0.00309")</f>
        <v>0.00309</v>
      </c>
    </row>
    <row r="11643" spans="1:7">
      <c r="A11643" s="3"/>
      <c r="B11643" s="3"/>
      <c r="C11643" s="3"/>
      <c r="D11643" s="3"/>
      <c r="E11643" s="3">
        <v>20</v>
      </c>
      <c r="F11643" s="4" t="str">
        <f>HYPERLINK("http://141.218.60.56/~jnz1568/getInfo.php?workbook=20_05.xlsx&amp;sheet=U0&amp;row=11643&amp;col=6&amp;number=4.9&amp;sourceID=14","4.9")</f>
        <v>4.9</v>
      </c>
      <c r="G11643" s="4" t="str">
        <f>HYPERLINK("http://141.218.60.56/~jnz1568/getInfo.php?workbook=20_05.xlsx&amp;sheet=U0&amp;row=11643&amp;col=7&amp;number=0.00309&amp;sourceID=14","0.00309")</f>
        <v>0.00309</v>
      </c>
    </row>
    <row r="11644" spans="1:7">
      <c r="A11644" s="3">
        <v>20</v>
      </c>
      <c r="B11644" s="3">
        <v>5</v>
      </c>
      <c r="C11644" s="3">
        <v>5</v>
      </c>
      <c r="D11644" s="3">
        <v>117</v>
      </c>
      <c r="E11644" s="3">
        <v>1</v>
      </c>
      <c r="F11644" s="4" t="str">
        <f>HYPERLINK("http://141.218.60.56/~jnz1568/getInfo.php?workbook=20_05.xlsx&amp;sheet=U0&amp;row=11644&amp;col=6&amp;number=3&amp;sourceID=14","3")</f>
        <v>3</v>
      </c>
      <c r="G11644" s="4" t="str">
        <f>HYPERLINK("http://141.218.60.56/~jnz1568/getInfo.php?workbook=20_05.xlsx&amp;sheet=U0&amp;row=11644&amp;col=7&amp;number=1.8e-05&amp;sourceID=14","1.8e-05")</f>
        <v>1.8e-05</v>
      </c>
    </row>
    <row r="11645" spans="1:7">
      <c r="A11645" s="3"/>
      <c r="B11645" s="3"/>
      <c r="C11645" s="3"/>
      <c r="D11645" s="3"/>
      <c r="E11645" s="3">
        <v>2</v>
      </c>
      <c r="F11645" s="4" t="str">
        <f>HYPERLINK("http://141.218.60.56/~jnz1568/getInfo.php?workbook=20_05.xlsx&amp;sheet=U0&amp;row=11645&amp;col=6&amp;number=3.1&amp;sourceID=14","3.1")</f>
        <v>3.1</v>
      </c>
      <c r="G11645" s="4" t="str">
        <f>HYPERLINK("http://141.218.60.56/~jnz1568/getInfo.php?workbook=20_05.xlsx&amp;sheet=U0&amp;row=11645&amp;col=7&amp;number=1.8e-05&amp;sourceID=14","1.8e-05")</f>
        <v>1.8e-05</v>
      </c>
    </row>
    <row r="11646" spans="1:7">
      <c r="A11646" s="3"/>
      <c r="B11646" s="3"/>
      <c r="C11646" s="3"/>
      <c r="D11646" s="3"/>
      <c r="E11646" s="3">
        <v>3</v>
      </c>
      <c r="F11646" s="4" t="str">
        <f>HYPERLINK("http://141.218.60.56/~jnz1568/getInfo.php?workbook=20_05.xlsx&amp;sheet=U0&amp;row=11646&amp;col=6&amp;number=3.2&amp;sourceID=14","3.2")</f>
        <v>3.2</v>
      </c>
      <c r="G11646" s="4" t="str">
        <f>HYPERLINK("http://141.218.60.56/~jnz1568/getInfo.php?workbook=20_05.xlsx&amp;sheet=U0&amp;row=11646&amp;col=7&amp;number=1.8e-05&amp;sourceID=14","1.8e-05")</f>
        <v>1.8e-05</v>
      </c>
    </row>
    <row r="11647" spans="1:7">
      <c r="A11647" s="3"/>
      <c r="B11647" s="3"/>
      <c r="C11647" s="3"/>
      <c r="D11647" s="3"/>
      <c r="E11647" s="3">
        <v>4</v>
      </c>
      <c r="F11647" s="4" t="str">
        <f>HYPERLINK("http://141.218.60.56/~jnz1568/getInfo.php?workbook=20_05.xlsx&amp;sheet=U0&amp;row=11647&amp;col=6&amp;number=3.3&amp;sourceID=14","3.3")</f>
        <v>3.3</v>
      </c>
      <c r="G11647" s="4" t="str">
        <f>HYPERLINK("http://141.218.60.56/~jnz1568/getInfo.php?workbook=20_05.xlsx&amp;sheet=U0&amp;row=11647&amp;col=7&amp;number=1.8e-05&amp;sourceID=14","1.8e-05")</f>
        <v>1.8e-05</v>
      </c>
    </row>
    <row r="11648" spans="1:7">
      <c r="A11648" s="3"/>
      <c r="B11648" s="3"/>
      <c r="C11648" s="3"/>
      <c r="D11648" s="3"/>
      <c r="E11648" s="3">
        <v>5</v>
      </c>
      <c r="F11648" s="4" t="str">
        <f>HYPERLINK("http://141.218.60.56/~jnz1568/getInfo.php?workbook=20_05.xlsx&amp;sheet=U0&amp;row=11648&amp;col=6&amp;number=3.4&amp;sourceID=14","3.4")</f>
        <v>3.4</v>
      </c>
      <c r="G11648" s="4" t="str">
        <f>HYPERLINK("http://141.218.60.56/~jnz1568/getInfo.php?workbook=20_05.xlsx&amp;sheet=U0&amp;row=11648&amp;col=7&amp;number=1.8e-05&amp;sourceID=14","1.8e-05")</f>
        <v>1.8e-05</v>
      </c>
    </row>
    <row r="11649" spans="1:7">
      <c r="A11649" s="3"/>
      <c r="B11649" s="3"/>
      <c r="C11649" s="3"/>
      <c r="D11649" s="3"/>
      <c r="E11649" s="3">
        <v>6</v>
      </c>
      <c r="F11649" s="4" t="str">
        <f>HYPERLINK("http://141.218.60.56/~jnz1568/getInfo.php?workbook=20_05.xlsx&amp;sheet=U0&amp;row=11649&amp;col=6&amp;number=3.5&amp;sourceID=14","3.5")</f>
        <v>3.5</v>
      </c>
      <c r="G11649" s="4" t="str">
        <f>HYPERLINK("http://141.218.60.56/~jnz1568/getInfo.php?workbook=20_05.xlsx&amp;sheet=U0&amp;row=11649&amp;col=7&amp;number=1.79e-05&amp;sourceID=14","1.79e-05")</f>
        <v>1.79e-05</v>
      </c>
    </row>
    <row r="11650" spans="1:7">
      <c r="A11650" s="3"/>
      <c r="B11650" s="3"/>
      <c r="C11650" s="3"/>
      <c r="D11650" s="3"/>
      <c r="E11650" s="3">
        <v>7</v>
      </c>
      <c r="F11650" s="4" t="str">
        <f>HYPERLINK("http://141.218.60.56/~jnz1568/getInfo.php?workbook=20_05.xlsx&amp;sheet=U0&amp;row=11650&amp;col=6&amp;number=3.6&amp;sourceID=14","3.6")</f>
        <v>3.6</v>
      </c>
      <c r="G11650" s="4" t="str">
        <f>HYPERLINK("http://141.218.60.56/~jnz1568/getInfo.php?workbook=20_05.xlsx&amp;sheet=U0&amp;row=11650&amp;col=7&amp;number=1.79e-05&amp;sourceID=14","1.79e-05")</f>
        <v>1.79e-05</v>
      </c>
    </row>
    <row r="11651" spans="1:7">
      <c r="A11651" s="3"/>
      <c r="B11651" s="3"/>
      <c r="C11651" s="3"/>
      <c r="D11651" s="3"/>
      <c r="E11651" s="3">
        <v>8</v>
      </c>
      <c r="F11651" s="4" t="str">
        <f>HYPERLINK("http://141.218.60.56/~jnz1568/getInfo.php?workbook=20_05.xlsx&amp;sheet=U0&amp;row=11651&amp;col=6&amp;number=3.7&amp;sourceID=14","3.7")</f>
        <v>3.7</v>
      </c>
      <c r="G11651" s="4" t="str">
        <f>HYPERLINK("http://141.218.60.56/~jnz1568/getInfo.php?workbook=20_05.xlsx&amp;sheet=U0&amp;row=11651&amp;col=7&amp;number=1.79e-05&amp;sourceID=14","1.79e-05")</f>
        <v>1.79e-05</v>
      </c>
    </row>
    <row r="11652" spans="1:7">
      <c r="A11652" s="3"/>
      <c r="B11652" s="3"/>
      <c r="C11652" s="3"/>
      <c r="D11652" s="3"/>
      <c r="E11652" s="3">
        <v>9</v>
      </c>
      <c r="F11652" s="4" t="str">
        <f>HYPERLINK("http://141.218.60.56/~jnz1568/getInfo.php?workbook=20_05.xlsx&amp;sheet=U0&amp;row=11652&amp;col=6&amp;number=3.8&amp;sourceID=14","3.8")</f>
        <v>3.8</v>
      </c>
      <c r="G11652" s="4" t="str">
        <f>HYPERLINK("http://141.218.60.56/~jnz1568/getInfo.php?workbook=20_05.xlsx&amp;sheet=U0&amp;row=11652&amp;col=7&amp;number=1.79e-05&amp;sourceID=14","1.79e-05")</f>
        <v>1.79e-05</v>
      </c>
    </row>
    <row r="11653" spans="1:7">
      <c r="A11653" s="3"/>
      <c r="B11653" s="3"/>
      <c r="C11653" s="3"/>
      <c r="D11653" s="3"/>
      <c r="E11653" s="3">
        <v>10</v>
      </c>
      <c r="F11653" s="4" t="str">
        <f>HYPERLINK("http://141.218.60.56/~jnz1568/getInfo.php?workbook=20_05.xlsx&amp;sheet=U0&amp;row=11653&amp;col=6&amp;number=3.9&amp;sourceID=14","3.9")</f>
        <v>3.9</v>
      </c>
      <c r="G11653" s="4" t="str">
        <f>HYPERLINK("http://141.218.60.56/~jnz1568/getInfo.php?workbook=20_05.xlsx&amp;sheet=U0&amp;row=11653&amp;col=7&amp;number=1.79e-05&amp;sourceID=14","1.79e-05")</f>
        <v>1.79e-05</v>
      </c>
    </row>
    <row r="11654" spans="1:7">
      <c r="A11654" s="3"/>
      <c r="B11654" s="3"/>
      <c r="C11654" s="3"/>
      <c r="D11654" s="3"/>
      <c r="E11654" s="3">
        <v>11</v>
      </c>
      <c r="F11654" s="4" t="str">
        <f>HYPERLINK("http://141.218.60.56/~jnz1568/getInfo.php?workbook=20_05.xlsx&amp;sheet=U0&amp;row=11654&amp;col=6&amp;number=4&amp;sourceID=14","4")</f>
        <v>4</v>
      </c>
      <c r="G11654" s="4" t="str">
        <f>HYPERLINK("http://141.218.60.56/~jnz1568/getInfo.php?workbook=20_05.xlsx&amp;sheet=U0&amp;row=11654&amp;col=7&amp;number=1.79e-05&amp;sourceID=14","1.79e-05")</f>
        <v>1.79e-05</v>
      </c>
    </row>
    <row r="11655" spans="1:7">
      <c r="A11655" s="3"/>
      <c r="B11655" s="3"/>
      <c r="C11655" s="3"/>
      <c r="D11655" s="3"/>
      <c r="E11655" s="3">
        <v>12</v>
      </c>
      <c r="F11655" s="4" t="str">
        <f>HYPERLINK("http://141.218.60.56/~jnz1568/getInfo.php?workbook=20_05.xlsx&amp;sheet=U0&amp;row=11655&amp;col=6&amp;number=4.1&amp;sourceID=14","4.1")</f>
        <v>4.1</v>
      </c>
      <c r="G11655" s="4" t="str">
        <f>HYPERLINK("http://141.218.60.56/~jnz1568/getInfo.php?workbook=20_05.xlsx&amp;sheet=U0&amp;row=11655&amp;col=7&amp;number=1.79e-05&amp;sourceID=14","1.79e-05")</f>
        <v>1.79e-05</v>
      </c>
    </row>
    <row r="11656" spans="1:7">
      <c r="A11656" s="3"/>
      <c r="B11656" s="3"/>
      <c r="C11656" s="3"/>
      <c r="D11656" s="3"/>
      <c r="E11656" s="3">
        <v>13</v>
      </c>
      <c r="F11656" s="4" t="str">
        <f>HYPERLINK("http://141.218.60.56/~jnz1568/getInfo.php?workbook=20_05.xlsx&amp;sheet=U0&amp;row=11656&amp;col=6&amp;number=4.2&amp;sourceID=14","4.2")</f>
        <v>4.2</v>
      </c>
      <c r="G11656" s="4" t="str">
        <f>HYPERLINK("http://141.218.60.56/~jnz1568/getInfo.php?workbook=20_05.xlsx&amp;sheet=U0&amp;row=11656&amp;col=7&amp;number=1.79e-05&amp;sourceID=14","1.79e-05")</f>
        <v>1.79e-05</v>
      </c>
    </row>
    <row r="11657" spans="1:7">
      <c r="A11657" s="3"/>
      <c r="B11657" s="3"/>
      <c r="C11657" s="3"/>
      <c r="D11657" s="3"/>
      <c r="E11657" s="3">
        <v>14</v>
      </c>
      <c r="F11657" s="4" t="str">
        <f>HYPERLINK("http://141.218.60.56/~jnz1568/getInfo.php?workbook=20_05.xlsx&amp;sheet=U0&amp;row=11657&amp;col=6&amp;number=4.3&amp;sourceID=14","4.3")</f>
        <v>4.3</v>
      </c>
      <c r="G11657" s="4" t="str">
        <f>HYPERLINK("http://141.218.60.56/~jnz1568/getInfo.php?workbook=20_05.xlsx&amp;sheet=U0&amp;row=11657&amp;col=7&amp;number=1.79e-05&amp;sourceID=14","1.79e-05")</f>
        <v>1.79e-05</v>
      </c>
    </row>
    <row r="11658" spans="1:7">
      <c r="A11658" s="3"/>
      <c r="B11658" s="3"/>
      <c r="C11658" s="3"/>
      <c r="D11658" s="3"/>
      <c r="E11658" s="3">
        <v>15</v>
      </c>
      <c r="F11658" s="4" t="str">
        <f>HYPERLINK("http://141.218.60.56/~jnz1568/getInfo.php?workbook=20_05.xlsx&amp;sheet=U0&amp;row=11658&amp;col=6&amp;number=4.4&amp;sourceID=14","4.4")</f>
        <v>4.4</v>
      </c>
      <c r="G11658" s="4" t="str">
        <f>HYPERLINK("http://141.218.60.56/~jnz1568/getInfo.php?workbook=20_05.xlsx&amp;sheet=U0&amp;row=11658&amp;col=7&amp;number=1.79e-05&amp;sourceID=14","1.79e-05")</f>
        <v>1.79e-05</v>
      </c>
    </row>
    <row r="11659" spans="1:7">
      <c r="A11659" s="3"/>
      <c r="B11659" s="3"/>
      <c r="C11659" s="3"/>
      <c r="D11659" s="3"/>
      <c r="E11659" s="3">
        <v>16</v>
      </c>
      <c r="F11659" s="4" t="str">
        <f>HYPERLINK("http://141.218.60.56/~jnz1568/getInfo.php?workbook=20_05.xlsx&amp;sheet=U0&amp;row=11659&amp;col=6&amp;number=4.5&amp;sourceID=14","4.5")</f>
        <v>4.5</v>
      </c>
      <c r="G11659" s="4" t="str">
        <f>HYPERLINK("http://141.218.60.56/~jnz1568/getInfo.php?workbook=20_05.xlsx&amp;sheet=U0&amp;row=11659&amp;col=7&amp;number=1.79e-05&amp;sourceID=14","1.79e-05")</f>
        <v>1.79e-05</v>
      </c>
    </row>
    <row r="11660" spans="1:7">
      <c r="A11660" s="3"/>
      <c r="B11660" s="3"/>
      <c r="C11660" s="3"/>
      <c r="D11660" s="3"/>
      <c r="E11660" s="3">
        <v>17</v>
      </c>
      <c r="F11660" s="4" t="str">
        <f>HYPERLINK("http://141.218.60.56/~jnz1568/getInfo.php?workbook=20_05.xlsx&amp;sheet=U0&amp;row=11660&amp;col=6&amp;number=4.6&amp;sourceID=14","4.6")</f>
        <v>4.6</v>
      </c>
      <c r="G11660" s="4" t="str">
        <f>HYPERLINK("http://141.218.60.56/~jnz1568/getInfo.php?workbook=20_05.xlsx&amp;sheet=U0&amp;row=11660&amp;col=7&amp;number=1.79e-05&amp;sourceID=14","1.79e-05")</f>
        <v>1.79e-05</v>
      </c>
    </row>
    <row r="11661" spans="1:7">
      <c r="A11661" s="3"/>
      <c r="B11661" s="3"/>
      <c r="C11661" s="3"/>
      <c r="D11661" s="3"/>
      <c r="E11661" s="3">
        <v>18</v>
      </c>
      <c r="F11661" s="4" t="str">
        <f>HYPERLINK("http://141.218.60.56/~jnz1568/getInfo.php?workbook=20_05.xlsx&amp;sheet=U0&amp;row=11661&amp;col=6&amp;number=4.7&amp;sourceID=14","4.7")</f>
        <v>4.7</v>
      </c>
      <c r="G11661" s="4" t="str">
        <f>HYPERLINK("http://141.218.60.56/~jnz1568/getInfo.php?workbook=20_05.xlsx&amp;sheet=U0&amp;row=11661&amp;col=7&amp;number=1.78e-05&amp;sourceID=14","1.78e-05")</f>
        <v>1.78e-05</v>
      </c>
    </row>
    <row r="11662" spans="1:7">
      <c r="A11662" s="3"/>
      <c r="B11662" s="3"/>
      <c r="C11662" s="3"/>
      <c r="D11662" s="3"/>
      <c r="E11662" s="3">
        <v>19</v>
      </c>
      <c r="F11662" s="4" t="str">
        <f>HYPERLINK("http://141.218.60.56/~jnz1568/getInfo.php?workbook=20_05.xlsx&amp;sheet=U0&amp;row=11662&amp;col=6&amp;number=4.8&amp;sourceID=14","4.8")</f>
        <v>4.8</v>
      </c>
      <c r="G11662" s="4" t="str">
        <f>HYPERLINK("http://141.218.60.56/~jnz1568/getInfo.php?workbook=20_05.xlsx&amp;sheet=U0&amp;row=11662&amp;col=7&amp;number=1.78e-05&amp;sourceID=14","1.78e-05")</f>
        <v>1.78e-05</v>
      </c>
    </row>
    <row r="11663" spans="1:7">
      <c r="A11663" s="3"/>
      <c r="B11663" s="3"/>
      <c r="C11663" s="3"/>
      <c r="D11663" s="3"/>
      <c r="E11663" s="3">
        <v>20</v>
      </c>
      <c r="F11663" s="4" t="str">
        <f>HYPERLINK("http://141.218.60.56/~jnz1568/getInfo.php?workbook=20_05.xlsx&amp;sheet=U0&amp;row=11663&amp;col=6&amp;number=4.9&amp;sourceID=14","4.9")</f>
        <v>4.9</v>
      </c>
      <c r="G11663" s="4" t="str">
        <f>HYPERLINK("http://141.218.60.56/~jnz1568/getInfo.php?workbook=20_05.xlsx&amp;sheet=U0&amp;row=11663&amp;col=7&amp;number=1.78e-05&amp;sourceID=14","1.78e-05")</f>
        <v>1.78e-05</v>
      </c>
    </row>
    <row r="11664" spans="1:7">
      <c r="A11664" s="3">
        <v>20</v>
      </c>
      <c r="B11664" s="3">
        <v>5</v>
      </c>
      <c r="C11664" s="3">
        <v>5</v>
      </c>
      <c r="D11664" s="3">
        <v>118</v>
      </c>
      <c r="E11664" s="3">
        <v>1</v>
      </c>
      <c r="F11664" s="4" t="str">
        <f>HYPERLINK("http://141.218.60.56/~jnz1568/getInfo.php?workbook=20_05.xlsx&amp;sheet=U0&amp;row=11664&amp;col=6&amp;number=3&amp;sourceID=14","3")</f>
        <v>3</v>
      </c>
      <c r="G11664" s="4" t="str">
        <f>HYPERLINK("http://141.218.60.56/~jnz1568/getInfo.php?workbook=20_05.xlsx&amp;sheet=U0&amp;row=11664&amp;col=7&amp;number=0.000728&amp;sourceID=14","0.000728")</f>
        <v>0.000728</v>
      </c>
    </row>
    <row r="11665" spans="1:7">
      <c r="A11665" s="3"/>
      <c r="B11665" s="3"/>
      <c r="C11665" s="3"/>
      <c r="D11665" s="3"/>
      <c r="E11665" s="3">
        <v>2</v>
      </c>
      <c r="F11665" s="4" t="str">
        <f>HYPERLINK("http://141.218.60.56/~jnz1568/getInfo.php?workbook=20_05.xlsx&amp;sheet=U0&amp;row=11665&amp;col=6&amp;number=3.1&amp;sourceID=14","3.1")</f>
        <v>3.1</v>
      </c>
      <c r="G11665" s="4" t="str">
        <f>HYPERLINK("http://141.218.60.56/~jnz1568/getInfo.php?workbook=20_05.xlsx&amp;sheet=U0&amp;row=11665&amp;col=7&amp;number=0.000728&amp;sourceID=14","0.000728")</f>
        <v>0.000728</v>
      </c>
    </row>
    <row r="11666" spans="1:7">
      <c r="A11666" s="3"/>
      <c r="B11666" s="3"/>
      <c r="C11666" s="3"/>
      <c r="D11666" s="3"/>
      <c r="E11666" s="3">
        <v>3</v>
      </c>
      <c r="F11666" s="4" t="str">
        <f>HYPERLINK("http://141.218.60.56/~jnz1568/getInfo.php?workbook=20_05.xlsx&amp;sheet=U0&amp;row=11666&amp;col=6&amp;number=3.2&amp;sourceID=14","3.2")</f>
        <v>3.2</v>
      </c>
      <c r="G11666" s="4" t="str">
        <f>HYPERLINK("http://141.218.60.56/~jnz1568/getInfo.php?workbook=20_05.xlsx&amp;sheet=U0&amp;row=11666&amp;col=7&amp;number=0.000728&amp;sourceID=14","0.000728")</f>
        <v>0.000728</v>
      </c>
    </row>
    <row r="11667" spans="1:7">
      <c r="A11667" s="3"/>
      <c r="B11667" s="3"/>
      <c r="C11667" s="3"/>
      <c r="D11667" s="3"/>
      <c r="E11667" s="3">
        <v>4</v>
      </c>
      <c r="F11667" s="4" t="str">
        <f>HYPERLINK("http://141.218.60.56/~jnz1568/getInfo.php?workbook=20_05.xlsx&amp;sheet=U0&amp;row=11667&amp;col=6&amp;number=3.3&amp;sourceID=14","3.3")</f>
        <v>3.3</v>
      </c>
      <c r="G11667" s="4" t="str">
        <f>HYPERLINK("http://141.218.60.56/~jnz1568/getInfo.php?workbook=20_05.xlsx&amp;sheet=U0&amp;row=11667&amp;col=7&amp;number=0.000728&amp;sourceID=14","0.000728")</f>
        <v>0.000728</v>
      </c>
    </row>
    <row r="11668" spans="1:7">
      <c r="A11668" s="3"/>
      <c r="B11668" s="3"/>
      <c r="C11668" s="3"/>
      <c r="D11668" s="3"/>
      <c r="E11668" s="3">
        <v>5</v>
      </c>
      <c r="F11668" s="4" t="str">
        <f>HYPERLINK("http://141.218.60.56/~jnz1568/getInfo.php?workbook=20_05.xlsx&amp;sheet=U0&amp;row=11668&amp;col=6&amp;number=3.4&amp;sourceID=14","3.4")</f>
        <v>3.4</v>
      </c>
      <c r="G11668" s="4" t="str">
        <f>HYPERLINK("http://141.218.60.56/~jnz1568/getInfo.php?workbook=20_05.xlsx&amp;sheet=U0&amp;row=11668&amp;col=7&amp;number=0.000727&amp;sourceID=14","0.000727")</f>
        <v>0.000727</v>
      </c>
    </row>
    <row r="11669" spans="1:7">
      <c r="A11669" s="3"/>
      <c r="B11669" s="3"/>
      <c r="C11669" s="3"/>
      <c r="D11669" s="3"/>
      <c r="E11669" s="3">
        <v>6</v>
      </c>
      <c r="F11669" s="4" t="str">
        <f>HYPERLINK("http://141.218.60.56/~jnz1568/getInfo.php?workbook=20_05.xlsx&amp;sheet=U0&amp;row=11669&amp;col=6&amp;number=3.5&amp;sourceID=14","3.5")</f>
        <v>3.5</v>
      </c>
      <c r="G11669" s="4" t="str">
        <f>HYPERLINK("http://141.218.60.56/~jnz1568/getInfo.php?workbook=20_05.xlsx&amp;sheet=U0&amp;row=11669&amp;col=7&amp;number=0.000727&amp;sourceID=14","0.000727")</f>
        <v>0.000727</v>
      </c>
    </row>
    <row r="11670" spans="1:7">
      <c r="A11670" s="3"/>
      <c r="B11670" s="3"/>
      <c r="C11670" s="3"/>
      <c r="D11670" s="3"/>
      <c r="E11670" s="3">
        <v>7</v>
      </c>
      <c r="F11670" s="4" t="str">
        <f>HYPERLINK("http://141.218.60.56/~jnz1568/getInfo.php?workbook=20_05.xlsx&amp;sheet=U0&amp;row=11670&amp;col=6&amp;number=3.6&amp;sourceID=14","3.6")</f>
        <v>3.6</v>
      </c>
      <c r="G11670" s="4" t="str">
        <f>HYPERLINK("http://141.218.60.56/~jnz1568/getInfo.php?workbook=20_05.xlsx&amp;sheet=U0&amp;row=11670&amp;col=7&amp;number=0.000727&amp;sourceID=14","0.000727")</f>
        <v>0.000727</v>
      </c>
    </row>
    <row r="11671" spans="1:7">
      <c r="A11671" s="3"/>
      <c r="B11671" s="3"/>
      <c r="C11671" s="3"/>
      <c r="D11671" s="3"/>
      <c r="E11671" s="3">
        <v>8</v>
      </c>
      <c r="F11671" s="4" t="str">
        <f>HYPERLINK("http://141.218.60.56/~jnz1568/getInfo.php?workbook=20_05.xlsx&amp;sheet=U0&amp;row=11671&amp;col=6&amp;number=3.7&amp;sourceID=14","3.7")</f>
        <v>3.7</v>
      </c>
      <c r="G11671" s="4" t="str">
        <f>HYPERLINK("http://141.218.60.56/~jnz1568/getInfo.php?workbook=20_05.xlsx&amp;sheet=U0&amp;row=11671&amp;col=7&amp;number=0.000727&amp;sourceID=14","0.000727")</f>
        <v>0.000727</v>
      </c>
    </row>
    <row r="11672" spans="1:7">
      <c r="A11672" s="3"/>
      <c r="B11672" s="3"/>
      <c r="C11672" s="3"/>
      <c r="D11672" s="3"/>
      <c r="E11672" s="3">
        <v>9</v>
      </c>
      <c r="F11672" s="4" t="str">
        <f>HYPERLINK("http://141.218.60.56/~jnz1568/getInfo.php?workbook=20_05.xlsx&amp;sheet=U0&amp;row=11672&amp;col=6&amp;number=3.8&amp;sourceID=14","3.8")</f>
        <v>3.8</v>
      </c>
      <c r="G11672" s="4" t="str">
        <f>HYPERLINK("http://141.218.60.56/~jnz1568/getInfo.php?workbook=20_05.xlsx&amp;sheet=U0&amp;row=11672&amp;col=7&amp;number=0.000727&amp;sourceID=14","0.000727")</f>
        <v>0.000727</v>
      </c>
    </row>
    <row r="11673" spans="1:7">
      <c r="A11673" s="3"/>
      <c r="B11673" s="3"/>
      <c r="C11673" s="3"/>
      <c r="D11673" s="3"/>
      <c r="E11673" s="3">
        <v>10</v>
      </c>
      <c r="F11673" s="4" t="str">
        <f>HYPERLINK("http://141.218.60.56/~jnz1568/getInfo.php?workbook=20_05.xlsx&amp;sheet=U0&amp;row=11673&amp;col=6&amp;number=3.9&amp;sourceID=14","3.9")</f>
        <v>3.9</v>
      </c>
      <c r="G11673" s="4" t="str">
        <f>HYPERLINK("http://141.218.60.56/~jnz1568/getInfo.php?workbook=20_05.xlsx&amp;sheet=U0&amp;row=11673&amp;col=7&amp;number=0.000727&amp;sourceID=14","0.000727")</f>
        <v>0.000727</v>
      </c>
    </row>
    <row r="11674" spans="1:7">
      <c r="A11674" s="3"/>
      <c r="B11674" s="3"/>
      <c r="C11674" s="3"/>
      <c r="D11674" s="3"/>
      <c r="E11674" s="3">
        <v>11</v>
      </c>
      <c r="F11674" s="4" t="str">
        <f>HYPERLINK("http://141.218.60.56/~jnz1568/getInfo.php?workbook=20_05.xlsx&amp;sheet=U0&amp;row=11674&amp;col=6&amp;number=4&amp;sourceID=14","4")</f>
        <v>4</v>
      </c>
      <c r="G11674" s="4" t="str">
        <f>HYPERLINK("http://141.218.60.56/~jnz1568/getInfo.php?workbook=20_05.xlsx&amp;sheet=U0&amp;row=11674&amp;col=7&amp;number=0.000726&amp;sourceID=14","0.000726")</f>
        <v>0.000726</v>
      </c>
    </row>
    <row r="11675" spans="1:7">
      <c r="A11675" s="3"/>
      <c r="B11675" s="3"/>
      <c r="C11675" s="3"/>
      <c r="D11675" s="3"/>
      <c r="E11675" s="3">
        <v>12</v>
      </c>
      <c r="F11675" s="4" t="str">
        <f>HYPERLINK("http://141.218.60.56/~jnz1568/getInfo.php?workbook=20_05.xlsx&amp;sheet=U0&amp;row=11675&amp;col=6&amp;number=4.1&amp;sourceID=14","4.1")</f>
        <v>4.1</v>
      </c>
      <c r="G11675" s="4" t="str">
        <f>HYPERLINK("http://141.218.60.56/~jnz1568/getInfo.php?workbook=20_05.xlsx&amp;sheet=U0&amp;row=11675&amp;col=7&amp;number=0.000726&amp;sourceID=14","0.000726")</f>
        <v>0.000726</v>
      </c>
    </row>
    <row r="11676" spans="1:7">
      <c r="A11676" s="3"/>
      <c r="B11676" s="3"/>
      <c r="C11676" s="3"/>
      <c r="D11676" s="3"/>
      <c r="E11676" s="3">
        <v>13</v>
      </c>
      <c r="F11676" s="4" t="str">
        <f>HYPERLINK("http://141.218.60.56/~jnz1568/getInfo.php?workbook=20_05.xlsx&amp;sheet=U0&amp;row=11676&amp;col=6&amp;number=4.2&amp;sourceID=14","4.2")</f>
        <v>4.2</v>
      </c>
      <c r="G11676" s="4" t="str">
        <f>HYPERLINK("http://141.218.60.56/~jnz1568/getInfo.php?workbook=20_05.xlsx&amp;sheet=U0&amp;row=11676&amp;col=7&amp;number=0.000725&amp;sourceID=14","0.000725")</f>
        <v>0.000725</v>
      </c>
    </row>
    <row r="11677" spans="1:7">
      <c r="A11677" s="3"/>
      <c r="B11677" s="3"/>
      <c r="C11677" s="3"/>
      <c r="D11677" s="3"/>
      <c r="E11677" s="3">
        <v>14</v>
      </c>
      <c r="F11677" s="4" t="str">
        <f>HYPERLINK("http://141.218.60.56/~jnz1568/getInfo.php?workbook=20_05.xlsx&amp;sheet=U0&amp;row=11677&amp;col=6&amp;number=4.3&amp;sourceID=14","4.3")</f>
        <v>4.3</v>
      </c>
      <c r="G11677" s="4" t="str">
        <f>HYPERLINK("http://141.218.60.56/~jnz1568/getInfo.php?workbook=20_05.xlsx&amp;sheet=U0&amp;row=11677&amp;col=7&amp;number=0.000725&amp;sourceID=14","0.000725")</f>
        <v>0.000725</v>
      </c>
    </row>
    <row r="11678" spans="1:7">
      <c r="A11678" s="3"/>
      <c r="B11678" s="3"/>
      <c r="C11678" s="3"/>
      <c r="D11678" s="3"/>
      <c r="E11678" s="3">
        <v>15</v>
      </c>
      <c r="F11678" s="4" t="str">
        <f>HYPERLINK("http://141.218.60.56/~jnz1568/getInfo.php?workbook=20_05.xlsx&amp;sheet=U0&amp;row=11678&amp;col=6&amp;number=4.4&amp;sourceID=14","4.4")</f>
        <v>4.4</v>
      </c>
      <c r="G11678" s="4" t="str">
        <f>HYPERLINK("http://141.218.60.56/~jnz1568/getInfo.php?workbook=20_05.xlsx&amp;sheet=U0&amp;row=11678&amp;col=7&amp;number=0.000724&amp;sourceID=14","0.000724")</f>
        <v>0.000724</v>
      </c>
    </row>
    <row r="11679" spans="1:7">
      <c r="A11679" s="3"/>
      <c r="B11679" s="3"/>
      <c r="C11679" s="3"/>
      <c r="D11679" s="3"/>
      <c r="E11679" s="3">
        <v>16</v>
      </c>
      <c r="F11679" s="4" t="str">
        <f>HYPERLINK("http://141.218.60.56/~jnz1568/getInfo.php?workbook=20_05.xlsx&amp;sheet=U0&amp;row=11679&amp;col=6&amp;number=4.5&amp;sourceID=14","4.5")</f>
        <v>4.5</v>
      </c>
      <c r="G11679" s="4" t="str">
        <f>HYPERLINK("http://141.218.60.56/~jnz1568/getInfo.php?workbook=20_05.xlsx&amp;sheet=U0&amp;row=11679&amp;col=7&amp;number=0.000723&amp;sourceID=14","0.000723")</f>
        <v>0.000723</v>
      </c>
    </row>
    <row r="11680" spans="1:7">
      <c r="A11680" s="3"/>
      <c r="B11680" s="3"/>
      <c r="C11680" s="3"/>
      <c r="D11680" s="3"/>
      <c r="E11680" s="3">
        <v>17</v>
      </c>
      <c r="F11680" s="4" t="str">
        <f>HYPERLINK("http://141.218.60.56/~jnz1568/getInfo.php?workbook=20_05.xlsx&amp;sheet=U0&amp;row=11680&amp;col=6&amp;number=4.6&amp;sourceID=14","4.6")</f>
        <v>4.6</v>
      </c>
      <c r="G11680" s="4" t="str">
        <f>HYPERLINK("http://141.218.60.56/~jnz1568/getInfo.php?workbook=20_05.xlsx&amp;sheet=U0&amp;row=11680&amp;col=7&amp;number=0.000722&amp;sourceID=14","0.000722")</f>
        <v>0.000722</v>
      </c>
    </row>
    <row r="11681" spans="1:7">
      <c r="A11681" s="3"/>
      <c r="B11681" s="3"/>
      <c r="C11681" s="3"/>
      <c r="D11681" s="3"/>
      <c r="E11681" s="3">
        <v>18</v>
      </c>
      <c r="F11681" s="4" t="str">
        <f>HYPERLINK("http://141.218.60.56/~jnz1568/getInfo.php?workbook=20_05.xlsx&amp;sheet=U0&amp;row=11681&amp;col=6&amp;number=4.7&amp;sourceID=14","4.7")</f>
        <v>4.7</v>
      </c>
      <c r="G11681" s="4" t="str">
        <f>HYPERLINK("http://141.218.60.56/~jnz1568/getInfo.php?workbook=20_05.xlsx&amp;sheet=U0&amp;row=11681&amp;col=7&amp;number=0.00072&amp;sourceID=14","0.00072")</f>
        <v>0.00072</v>
      </c>
    </row>
    <row r="11682" spans="1:7">
      <c r="A11682" s="3"/>
      <c r="B11682" s="3"/>
      <c r="C11682" s="3"/>
      <c r="D11682" s="3"/>
      <c r="E11682" s="3">
        <v>19</v>
      </c>
      <c r="F11682" s="4" t="str">
        <f>HYPERLINK("http://141.218.60.56/~jnz1568/getInfo.php?workbook=20_05.xlsx&amp;sheet=U0&amp;row=11682&amp;col=6&amp;number=4.8&amp;sourceID=14","4.8")</f>
        <v>4.8</v>
      </c>
      <c r="G11682" s="4" t="str">
        <f>HYPERLINK("http://141.218.60.56/~jnz1568/getInfo.php?workbook=20_05.xlsx&amp;sheet=U0&amp;row=11682&amp;col=7&amp;number=0.000718&amp;sourceID=14","0.000718")</f>
        <v>0.000718</v>
      </c>
    </row>
    <row r="11683" spans="1:7">
      <c r="A11683" s="3"/>
      <c r="B11683" s="3"/>
      <c r="C11683" s="3"/>
      <c r="D11683" s="3"/>
      <c r="E11683" s="3">
        <v>20</v>
      </c>
      <c r="F11683" s="4" t="str">
        <f>HYPERLINK("http://141.218.60.56/~jnz1568/getInfo.php?workbook=20_05.xlsx&amp;sheet=U0&amp;row=11683&amp;col=6&amp;number=4.9&amp;sourceID=14","4.9")</f>
        <v>4.9</v>
      </c>
      <c r="G11683" s="4" t="str">
        <f>HYPERLINK("http://141.218.60.56/~jnz1568/getInfo.php?workbook=20_05.xlsx&amp;sheet=U0&amp;row=11683&amp;col=7&amp;number=0.000716&amp;sourceID=14","0.000716")</f>
        <v>0.000716</v>
      </c>
    </row>
    <row r="11684" spans="1:7">
      <c r="A11684" s="3">
        <v>20</v>
      </c>
      <c r="B11684" s="3">
        <v>5</v>
      </c>
      <c r="C11684" s="3">
        <v>5</v>
      </c>
      <c r="D11684" s="3">
        <v>119</v>
      </c>
      <c r="E11684" s="3">
        <v>1</v>
      </c>
      <c r="F11684" s="4" t="str">
        <f>HYPERLINK("http://141.218.60.56/~jnz1568/getInfo.php?workbook=20_05.xlsx&amp;sheet=U0&amp;row=11684&amp;col=6&amp;number=3&amp;sourceID=14","3")</f>
        <v>3</v>
      </c>
      <c r="G11684" s="4" t="str">
        <f>HYPERLINK("http://141.218.60.56/~jnz1568/getInfo.php?workbook=20_05.xlsx&amp;sheet=U0&amp;row=11684&amp;col=7&amp;number=0.0317&amp;sourceID=14","0.0317")</f>
        <v>0.0317</v>
      </c>
    </row>
    <row r="11685" spans="1:7">
      <c r="A11685" s="3"/>
      <c r="B11685" s="3"/>
      <c r="C11685" s="3"/>
      <c r="D11685" s="3"/>
      <c r="E11685" s="3">
        <v>2</v>
      </c>
      <c r="F11685" s="4" t="str">
        <f>HYPERLINK("http://141.218.60.56/~jnz1568/getInfo.php?workbook=20_05.xlsx&amp;sheet=U0&amp;row=11685&amp;col=6&amp;number=3.1&amp;sourceID=14","3.1")</f>
        <v>3.1</v>
      </c>
      <c r="G11685" s="4" t="str">
        <f>HYPERLINK("http://141.218.60.56/~jnz1568/getInfo.php?workbook=20_05.xlsx&amp;sheet=U0&amp;row=11685&amp;col=7&amp;number=0.0318&amp;sourceID=14","0.0318")</f>
        <v>0.0318</v>
      </c>
    </row>
    <row r="11686" spans="1:7">
      <c r="A11686" s="3"/>
      <c r="B11686" s="3"/>
      <c r="C11686" s="3"/>
      <c r="D11686" s="3"/>
      <c r="E11686" s="3">
        <v>3</v>
      </c>
      <c r="F11686" s="4" t="str">
        <f>HYPERLINK("http://141.218.60.56/~jnz1568/getInfo.php?workbook=20_05.xlsx&amp;sheet=U0&amp;row=11686&amp;col=6&amp;number=3.2&amp;sourceID=14","3.2")</f>
        <v>3.2</v>
      </c>
      <c r="G11686" s="4" t="str">
        <f>HYPERLINK("http://141.218.60.56/~jnz1568/getInfo.php?workbook=20_05.xlsx&amp;sheet=U0&amp;row=11686&amp;col=7&amp;number=0.0318&amp;sourceID=14","0.0318")</f>
        <v>0.0318</v>
      </c>
    </row>
    <row r="11687" spans="1:7">
      <c r="A11687" s="3"/>
      <c r="B11687" s="3"/>
      <c r="C11687" s="3"/>
      <c r="D11687" s="3"/>
      <c r="E11687" s="3">
        <v>4</v>
      </c>
      <c r="F11687" s="4" t="str">
        <f>HYPERLINK("http://141.218.60.56/~jnz1568/getInfo.php?workbook=20_05.xlsx&amp;sheet=U0&amp;row=11687&amp;col=6&amp;number=3.3&amp;sourceID=14","3.3")</f>
        <v>3.3</v>
      </c>
      <c r="G11687" s="4" t="str">
        <f>HYPERLINK("http://141.218.60.56/~jnz1568/getInfo.php?workbook=20_05.xlsx&amp;sheet=U0&amp;row=11687&amp;col=7&amp;number=0.0318&amp;sourceID=14","0.0318")</f>
        <v>0.0318</v>
      </c>
    </row>
    <row r="11688" spans="1:7">
      <c r="A11688" s="3"/>
      <c r="B11688" s="3"/>
      <c r="C11688" s="3"/>
      <c r="D11688" s="3"/>
      <c r="E11688" s="3">
        <v>5</v>
      </c>
      <c r="F11688" s="4" t="str">
        <f>HYPERLINK("http://141.218.60.56/~jnz1568/getInfo.php?workbook=20_05.xlsx&amp;sheet=U0&amp;row=11688&amp;col=6&amp;number=3.4&amp;sourceID=14","3.4")</f>
        <v>3.4</v>
      </c>
      <c r="G11688" s="4" t="str">
        <f>HYPERLINK("http://141.218.60.56/~jnz1568/getInfo.php?workbook=20_05.xlsx&amp;sheet=U0&amp;row=11688&amp;col=7&amp;number=0.0318&amp;sourceID=14","0.0318")</f>
        <v>0.0318</v>
      </c>
    </row>
    <row r="11689" spans="1:7">
      <c r="A11689" s="3"/>
      <c r="B11689" s="3"/>
      <c r="C11689" s="3"/>
      <c r="D11689" s="3"/>
      <c r="E11689" s="3">
        <v>6</v>
      </c>
      <c r="F11689" s="4" t="str">
        <f>HYPERLINK("http://141.218.60.56/~jnz1568/getInfo.php?workbook=20_05.xlsx&amp;sheet=U0&amp;row=11689&amp;col=6&amp;number=3.5&amp;sourceID=14","3.5")</f>
        <v>3.5</v>
      </c>
      <c r="G11689" s="4" t="str">
        <f>HYPERLINK("http://141.218.60.56/~jnz1568/getInfo.php?workbook=20_05.xlsx&amp;sheet=U0&amp;row=11689&amp;col=7&amp;number=0.0318&amp;sourceID=14","0.0318")</f>
        <v>0.0318</v>
      </c>
    </row>
    <row r="11690" spans="1:7">
      <c r="A11690" s="3"/>
      <c r="B11690" s="3"/>
      <c r="C11690" s="3"/>
      <c r="D11690" s="3"/>
      <c r="E11690" s="3">
        <v>7</v>
      </c>
      <c r="F11690" s="4" t="str">
        <f>HYPERLINK("http://141.218.60.56/~jnz1568/getInfo.php?workbook=20_05.xlsx&amp;sheet=U0&amp;row=11690&amp;col=6&amp;number=3.6&amp;sourceID=14","3.6")</f>
        <v>3.6</v>
      </c>
      <c r="G11690" s="4" t="str">
        <f>HYPERLINK("http://141.218.60.56/~jnz1568/getInfo.php?workbook=20_05.xlsx&amp;sheet=U0&amp;row=11690&amp;col=7&amp;number=0.0318&amp;sourceID=14","0.0318")</f>
        <v>0.0318</v>
      </c>
    </row>
    <row r="11691" spans="1:7">
      <c r="A11691" s="3"/>
      <c r="B11691" s="3"/>
      <c r="C11691" s="3"/>
      <c r="D11691" s="3"/>
      <c r="E11691" s="3">
        <v>8</v>
      </c>
      <c r="F11691" s="4" t="str">
        <f>HYPERLINK("http://141.218.60.56/~jnz1568/getInfo.php?workbook=20_05.xlsx&amp;sheet=U0&amp;row=11691&amp;col=6&amp;number=3.7&amp;sourceID=14","3.7")</f>
        <v>3.7</v>
      </c>
      <c r="G11691" s="4" t="str">
        <f>HYPERLINK("http://141.218.60.56/~jnz1568/getInfo.php?workbook=20_05.xlsx&amp;sheet=U0&amp;row=11691&amp;col=7&amp;number=0.0318&amp;sourceID=14","0.0318")</f>
        <v>0.0318</v>
      </c>
    </row>
    <row r="11692" spans="1:7">
      <c r="A11692" s="3"/>
      <c r="B11692" s="3"/>
      <c r="C11692" s="3"/>
      <c r="D11692" s="3"/>
      <c r="E11692" s="3">
        <v>9</v>
      </c>
      <c r="F11692" s="4" t="str">
        <f>HYPERLINK("http://141.218.60.56/~jnz1568/getInfo.php?workbook=20_05.xlsx&amp;sheet=U0&amp;row=11692&amp;col=6&amp;number=3.8&amp;sourceID=14","3.8")</f>
        <v>3.8</v>
      </c>
      <c r="G11692" s="4" t="str">
        <f>HYPERLINK("http://141.218.60.56/~jnz1568/getInfo.php?workbook=20_05.xlsx&amp;sheet=U0&amp;row=11692&amp;col=7&amp;number=0.0318&amp;sourceID=14","0.0318")</f>
        <v>0.0318</v>
      </c>
    </row>
    <row r="11693" spans="1:7">
      <c r="A11693" s="3"/>
      <c r="B11693" s="3"/>
      <c r="C11693" s="3"/>
      <c r="D11693" s="3"/>
      <c r="E11693" s="3">
        <v>10</v>
      </c>
      <c r="F11693" s="4" t="str">
        <f>HYPERLINK("http://141.218.60.56/~jnz1568/getInfo.php?workbook=20_05.xlsx&amp;sheet=U0&amp;row=11693&amp;col=6&amp;number=3.9&amp;sourceID=14","3.9")</f>
        <v>3.9</v>
      </c>
      <c r="G11693" s="4" t="str">
        <f>HYPERLINK("http://141.218.60.56/~jnz1568/getInfo.php?workbook=20_05.xlsx&amp;sheet=U0&amp;row=11693&amp;col=7&amp;number=0.0318&amp;sourceID=14","0.0318")</f>
        <v>0.0318</v>
      </c>
    </row>
    <row r="11694" spans="1:7">
      <c r="A11694" s="3"/>
      <c r="B11694" s="3"/>
      <c r="C11694" s="3"/>
      <c r="D11694" s="3"/>
      <c r="E11694" s="3">
        <v>11</v>
      </c>
      <c r="F11694" s="4" t="str">
        <f>HYPERLINK("http://141.218.60.56/~jnz1568/getInfo.php?workbook=20_05.xlsx&amp;sheet=U0&amp;row=11694&amp;col=6&amp;number=4&amp;sourceID=14","4")</f>
        <v>4</v>
      </c>
      <c r="G11694" s="4" t="str">
        <f>HYPERLINK("http://141.218.60.56/~jnz1568/getInfo.php?workbook=20_05.xlsx&amp;sheet=U0&amp;row=11694&amp;col=7&amp;number=0.0318&amp;sourceID=14","0.0318")</f>
        <v>0.0318</v>
      </c>
    </row>
    <row r="11695" spans="1:7">
      <c r="A11695" s="3"/>
      <c r="B11695" s="3"/>
      <c r="C11695" s="3"/>
      <c r="D11695" s="3"/>
      <c r="E11695" s="3">
        <v>12</v>
      </c>
      <c r="F11695" s="4" t="str">
        <f>HYPERLINK("http://141.218.60.56/~jnz1568/getInfo.php?workbook=20_05.xlsx&amp;sheet=U0&amp;row=11695&amp;col=6&amp;number=4.1&amp;sourceID=14","4.1")</f>
        <v>4.1</v>
      </c>
      <c r="G11695" s="4" t="str">
        <f>HYPERLINK("http://141.218.60.56/~jnz1568/getInfo.php?workbook=20_05.xlsx&amp;sheet=U0&amp;row=11695&amp;col=7&amp;number=0.0318&amp;sourceID=14","0.0318")</f>
        <v>0.0318</v>
      </c>
    </row>
    <row r="11696" spans="1:7">
      <c r="A11696" s="3"/>
      <c r="B11696" s="3"/>
      <c r="C11696" s="3"/>
      <c r="D11696" s="3"/>
      <c r="E11696" s="3">
        <v>13</v>
      </c>
      <c r="F11696" s="4" t="str">
        <f>HYPERLINK("http://141.218.60.56/~jnz1568/getInfo.php?workbook=20_05.xlsx&amp;sheet=U0&amp;row=11696&amp;col=6&amp;number=4.2&amp;sourceID=14","4.2")</f>
        <v>4.2</v>
      </c>
      <c r="G11696" s="4" t="str">
        <f>HYPERLINK("http://141.218.60.56/~jnz1568/getInfo.php?workbook=20_05.xlsx&amp;sheet=U0&amp;row=11696&amp;col=7&amp;number=0.0318&amp;sourceID=14","0.0318")</f>
        <v>0.0318</v>
      </c>
    </row>
    <row r="11697" spans="1:7">
      <c r="A11697" s="3"/>
      <c r="B11697" s="3"/>
      <c r="C11697" s="3"/>
      <c r="D11697" s="3"/>
      <c r="E11697" s="3">
        <v>14</v>
      </c>
      <c r="F11697" s="4" t="str">
        <f>HYPERLINK("http://141.218.60.56/~jnz1568/getInfo.php?workbook=20_05.xlsx&amp;sheet=U0&amp;row=11697&amp;col=6&amp;number=4.3&amp;sourceID=14","4.3")</f>
        <v>4.3</v>
      </c>
      <c r="G11697" s="4" t="str">
        <f>HYPERLINK("http://141.218.60.56/~jnz1568/getInfo.php?workbook=20_05.xlsx&amp;sheet=U0&amp;row=11697&amp;col=7&amp;number=0.0318&amp;sourceID=14","0.0318")</f>
        <v>0.0318</v>
      </c>
    </row>
    <row r="11698" spans="1:7">
      <c r="A11698" s="3"/>
      <c r="B11698" s="3"/>
      <c r="C11698" s="3"/>
      <c r="D11698" s="3"/>
      <c r="E11698" s="3">
        <v>15</v>
      </c>
      <c r="F11698" s="4" t="str">
        <f>HYPERLINK("http://141.218.60.56/~jnz1568/getInfo.php?workbook=20_05.xlsx&amp;sheet=U0&amp;row=11698&amp;col=6&amp;number=4.4&amp;sourceID=14","4.4")</f>
        <v>4.4</v>
      </c>
      <c r="G11698" s="4" t="str">
        <f>HYPERLINK("http://141.218.60.56/~jnz1568/getInfo.php?workbook=20_05.xlsx&amp;sheet=U0&amp;row=11698&amp;col=7&amp;number=0.0318&amp;sourceID=14","0.0318")</f>
        <v>0.0318</v>
      </c>
    </row>
    <row r="11699" spans="1:7">
      <c r="A11699" s="3"/>
      <c r="B11699" s="3"/>
      <c r="C11699" s="3"/>
      <c r="D11699" s="3"/>
      <c r="E11699" s="3">
        <v>16</v>
      </c>
      <c r="F11699" s="4" t="str">
        <f>HYPERLINK("http://141.218.60.56/~jnz1568/getInfo.php?workbook=20_05.xlsx&amp;sheet=U0&amp;row=11699&amp;col=6&amp;number=4.5&amp;sourceID=14","4.5")</f>
        <v>4.5</v>
      </c>
      <c r="G11699" s="4" t="str">
        <f>HYPERLINK("http://141.218.60.56/~jnz1568/getInfo.php?workbook=20_05.xlsx&amp;sheet=U0&amp;row=11699&amp;col=7&amp;number=0.0318&amp;sourceID=14","0.0318")</f>
        <v>0.0318</v>
      </c>
    </row>
    <row r="11700" spans="1:7">
      <c r="A11700" s="3"/>
      <c r="B11700" s="3"/>
      <c r="C11700" s="3"/>
      <c r="D11700" s="3"/>
      <c r="E11700" s="3">
        <v>17</v>
      </c>
      <c r="F11700" s="4" t="str">
        <f>HYPERLINK("http://141.218.60.56/~jnz1568/getInfo.php?workbook=20_05.xlsx&amp;sheet=U0&amp;row=11700&amp;col=6&amp;number=4.6&amp;sourceID=14","4.6")</f>
        <v>4.6</v>
      </c>
      <c r="G11700" s="4" t="str">
        <f>HYPERLINK("http://141.218.60.56/~jnz1568/getInfo.php?workbook=20_05.xlsx&amp;sheet=U0&amp;row=11700&amp;col=7&amp;number=0.0318&amp;sourceID=14","0.0318")</f>
        <v>0.0318</v>
      </c>
    </row>
    <row r="11701" spans="1:7">
      <c r="A11701" s="3"/>
      <c r="B11701" s="3"/>
      <c r="C11701" s="3"/>
      <c r="D11701" s="3"/>
      <c r="E11701" s="3">
        <v>18</v>
      </c>
      <c r="F11701" s="4" t="str">
        <f>HYPERLINK("http://141.218.60.56/~jnz1568/getInfo.php?workbook=20_05.xlsx&amp;sheet=U0&amp;row=11701&amp;col=6&amp;number=4.7&amp;sourceID=14","4.7")</f>
        <v>4.7</v>
      </c>
      <c r="G11701" s="4" t="str">
        <f>HYPERLINK("http://141.218.60.56/~jnz1568/getInfo.php?workbook=20_05.xlsx&amp;sheet=U0&amp;row=11701&amp;col=7&amp;number=0.0319&amp;sourceID=14","0.0319")</f>
        <v>0.0319</v>
      </c>
    </row>
    <row r="11702" spans="1:7">
      <c r="A11702" s="3"/>
      <c r="B11702" s="3"/>
      <c r="C11702" s="3"/>
      <c r="D11702" s="3"/>
      <c r="E11702" s="3">
        <v>19</v>
      </c>
      <c r="F11702" s="4" t="str">
        <f>HYPERLINK("http://141.218.60.56/~jnz1568/getInfo.php?workbook=20_05.xlsx&amp;sheet=U0&amp;row=11702&amp;col=6&amp;number=4.8&amp;sourceID=14","4.8")</f>
        <v>4.8</v>
      </c>
      <c r="G11702" s="4" t="str">
        <f>HYPERLINK("http://141.218.60.56/~jnz1568/getInfo.php?workbook=20_05.xlsx&amp;sheet=U0&amp;row=11702&amp;col=7&amp;number=0.0319&amp;sourceID=14","0.0319")</f>
        <v>0.0319</v>
      </c>
    </row>
    <row r="11703" spans="1:7">
      <c r="A11703" s="3"/>
      <c r="B11703" s="3"/>
      <c r="C11703" s="3"/>
      <c r="D11703" s="3"/>
      <c r="E11703" s="3">
        <v>20</v>
      </c>
      <c r="F11703" s="4" t="str">
        <f>HYPERLINK("http://141.218.60.56/~jnz1568/getInfo.php?workbook=20_05.xlsx&amp;sheet=U0&amp;row=11703&amp;col=6&amp;number=4.9&amp;sourceID=14","4.9")</f>
        <v>4.9</v>
      </c>
      <c r="G11703" s="4" t="str">
        <f>HYPERLINK("http://141.218.60.56/~jnz1568/getInfo.php?workbook=20_05.xlsx&amp;sheet=U0&amp;row=11703&amp;col=7&amp;number=0.0319&amp;sourceID=14","0.0319")</f>
        <v>0.0319</v>
      </c>
    </row>
    <row r="11704" spans="1:7">
      <c r="A11704" s="3">
        <v>20</v>
      </c>
      <c r="B11704" s="3">
        <v>5</v>
      </c>
      <c r="C11704" s="3">
        <v>5</v>
      </c>
      <c r="D11704" s="3">
        <v>120</v>
      </c>
      <c r="E11704" s="3">
        <v>1</v>
      </c>
      <c r="F11704" s="4" t="str">
        <f>HYPERLINK("http://141.218.60.56/~jnz1568/getInfo.php?workbook=20_05.xlsx&amp;sheet=U0&amp;row=11704&amp;col=6&amp;number=3&amp;sourceID=14","3")</f>
        <v>3</v>
      </c>
      <c r="G11704" s="4" t="str">
        <f>HYPERLINK("http://141.218.60.56/~jnz1568/getInfo.php?workbook=20_05.xlsx&amp;sheet=U0&amp;row=11704&amp;col=7&amp;number=0.261&amp;sourceID=14","0.261")</f>
        <v>0.261</v>
      </c>
    </row>
    <row r="11705" spans="1:7">
      <c r="A11705" s="3"/>
      <c r="B11705" s="3"/>
      <c r="C11705" s="3"/>
      <c r="D11705" s="3"/>
      <c r="E11705" s="3">
        <v>2</v>
      </c>
      <c r="F11705" s="4" t="str">
        <f>HYPERLINK("http://141.218.60.56/~jnz1568/getInfo.php?workbook=20_05.xlsx&amp;sheet=U0&amp;row=11705&amp;col=6&amp;number=3.1&amp;sourceID=14","3.1")</f>
        <v>3.1</v>
      </c>
      <c r="G11705" s="4" t="str">
        <f>HYPERLINK("http://141.218.60.56/~jnz1568/getInfo.php?workbook=20_05.xlsx&amp;sheet=U0&amp;row=11705&amp;col=7&amp;number=0.261&amp;sourceID=14","0.261")</f>
        <v>0.261</v>
      </c>
    </row>
    <row r="11706" spans="1:7">
      <c r="A11706" s="3"/>
      <c r="B11706" s="3"/>
      <c r="C11706" s="3"/>
      <c r="D11706" s="3"/>
      <c r="E11706" s="3">
        <v>3</v>
      </c>
      <c r="F11706" s="4" t="str">
        <f>HYPERLINK("http://141.218.60.56/~jnz1568/getInfo.php?workbook=20_05.xlsx&amp;sheet=U0&amp;row=11706&amp;col=6&amp;number=3.2&amp;sourceID=14","3.2")</f>
        <v>3.2</v>
      </c>
      <c r="G11706" s="4" t="str">
        <f>HYPERLINK("http://141.218.60.56/~jnz1568/getInfo.php?workbook=20_05.xlsx&amp;sheet=U0&amp;row=11706&amp;col=7&amp;number=0.261&amp;sourceID=14","0.261")</f>
        <v>0.261</v>
      </c>
    </row>
    <row r="11707" spans="1:7">
      <c r="A11707" s="3"/>
      <c r="B11707" s="3"/>
      <c r="C11707" s="3"/>
      <c r="D11707" s="3"/>
      <c r="E11707" s="3">
        <v>4</v>
      </c>
      <c r="F11707" s="4" t="str">
        <f>HYPERLINK("http://141.218.60.56/~jnz1568/getInfo.php?workbook=20_05.xlsx&amp;sheet=U0&amp;row=11707&amp;col=6&amp;number=3.3&amp;sourceID=14","3.3")</f>
        <v>3.3</v>
      </c>
      <c r="G11707" s="4" t="str">
        <f>HYPERLINK("http://141.218.60.56/~jnz1568/getInfo.php?workbook=20_05.xlsx&amp;sheet=U0&amp;row=11707&amp;col=7&amp;number=0.261&amp;sourceID=14","0.261")</f>
        <v>0.261</v>
      </c>
    </row>
    <row r="11708" spans="1:7">
      <c r="A11708" s="3"/>
      <c r="B11708" s="3"/>
      <c r="C11708" s="3"/>
      <c r="D11708" s="3"/>
      <c r="E11708" s="3">
        <v>5</v>
      </c>
      <c r="F11708" s="4" t="str">
        <f>HYPERLINK("http://141.218.60.56/~jnz1568/getInfo.php?workbook=20_05.xlsx&amp;sheet=U0&amp;row=11708&amp;col=6&amp;number=3.4&amp;sourceID=14","3.4")</f>
        <v>3.4</v>
      </c>
      <c r="G11708" s="4" t="str">
        <f>HYPERLINK("http://141.218.60.56/~jnz1568/getInfo.php?workbook=20_05.xlsx&amp;sheet=U0&amp;row=11708&amp;col=7&amp;number=0.261&amp;sourceID=14","0.261")</f>
        <v>0.261</v>
      </c>
    </row>
    <row r="11709" spans="1:7">
      <c r="A11709" s="3"/>
      <c r="B11709" s="3"/>
      <c r="C11709" s="3"/>
      <c r="D11709" s="3"/>
      <c r="E11709" s="3">
        <v>6</v>
      </c>
      <c r="F11709" s="4" t="str">
        <f>HYPERLINK("http://141.218.60.56/~jnz1568/getInfo.php?workbook=20_05.xlsx&amp;sheet=U0&amp;row=11709&amp;col=6&amp;number=3.5&amp;sourceID=14","3.5")</f>
        <v>3.5</v>
      </c>
      <c r="G11709" s="4" t="str">
        <f>HYPERLINK("http://141.218.60.56/~jnz1568/getInfo.php?workbook=20_05.xlsx&amp;sheet=U0&amp;row=11709&amp;col=7&amp;number=0.261&amp;sourceID=14","0.261")</f>
        <v>0.261</v>
      </c>
    </row>
    <row r="11710" spans="1:7">
      <c r="A11710" s="3"/>
      <c r="B11710" s="3"/>
      <c r="C11710" s="3"/>
      <c r="D11710" s="3"/>
      <c r="E11710" s="3">
        <v>7</v>
      </c>
      <c r="F11710" s="4" t="str">
        <f>HYPERLINK("http://141.218.60.56/~jnz1568/getInfo.php?workbook=20_05.xlsx&amp;sheet=U0&amp;row=11710&amp;col=6&amp;number=3.6&amp;sourceID=14","3.6")</f>
        <v>3.6</v>
      </c>
      <c r="G11710" s="4" t="str">
        <f>HYPERLINK("http://141.218.60.56/~jnz1568/getInfo.php?workbook=20_05.xlsx&amp;sheet=U0&amp;row=11710&amp;col=7&amp;number=0.261&amp;sourceID=14","0.261")</f>
        <v>0.261</v>
      </c>
    </row>
    <row r="11711" spans="1:7">
      <c r="A11711" s="3"/>
      <c r="B11711" s="3"/>
      <c r="C11711" s="3"/>
      <c r="D11711" s="3"/>
      <c r="E11711" s="3">
        <v>8</v>
      </c>
      <c r="F11711" s="4" t="str">
        <f>HYPERLINK("http://141.218.60.56/~jnz1568/getInfo.php?workbook=20_05.xlsx&amp;sheet=U0&amp;row=11711&amp;col=6&amp;number=3.7&amp;sourceID=14","3.7")</f>
        <v>3.7</v>
      </c>
      <c r="G11711" s="4" t="str">
        <f>HYPERLINK("http://141.218.60.56/~jnz1568/getInfo.php?workbook=20_05.xlsx&amp;sheet=U0&amp;row=11711&amp;col=7&amp;number=0.261&amp;sourceID=14","0.261")</f>
        <v>0.261</v>
      </c>
    </row>
    <row r="11712" spans="1:7">
      <c r="A11712" s="3"/>
      <c r="B11712" s="3"/>
      <c r="C11712" s="3"/>
      <c r="D11712" s="3"/>
      <c r="E11712" s="3">
        <v>9</v>
      </c>
      <c r="F11712" s="4" t="str">
        <f>HYPERLINK("http://141.218.60.56/~jnz1568/getInfo.php?workbook=20_05.xlsx&amp;sheet=U0&amp;row=11712&amp;col=6&amp;number=3.8&amp;sourceID=14","3.8")</f>
        <v>3.8</v>
      </c>
      <c r="G11712" s="4" t="str">
        <f>HYPERLINK("http://141.218.60.56/~jnz1568/getInfo.php?workbook=20_05.xlsx&amp;sheet=U0&amp;row=11712&amp;col=7&amp;number=0.261&amp;sourceID=14","0.261")</f>
        <v>0.261</v>
      </c>
    </row>
    <row r="11713" spans="1:7">
      <c r="A11713" s="3"/>
      <c r="B11713" s="3"/>
      <c r="C11713" s="3"/>
      <c r="D11713" s="3"/>
      <c r="E11713" s="3">
        <v>10</v>
      </c>
      <c r="F11713" s="4" t="str">
        <f>HYPERLINK("http://141.218.60.56/~jnz1568/getInfo.php?workbook=20_05.xlsx&amp;sheet=U0&amp;row=11713&amp;col=6&amp;number=3.9&amp;sourceID=14","3.9")</f>
        <v>3.9</v>
      </c>
      <c r="G11713" s="4" t="str">
        <f>HYPERLINK("http://141.218.60.56/~jnz1568/getInfo.php?workbook=20_05.xlsx&amp;sheet=U0&amp;row=11713&amp;col=7&amp;number=0.261&amp;sourceID=14","0.261")</f>
        <v>0.261</v>
      </c>
    </row>
    <row r="11714" spans="1:7">
      <c r="A11714" s="3"/>
      <c r="B11714" s="3"/>
      <c r="C11714" s="3"/>
      <c r="D11714" s="3"/>
      <c r="E11714" s="3">
        <v>11</v>
      </c>
      <c r="F11714" s="4" t="str">
        <f>HYPERLINK("http://141.218.60.56/~jnz1568/getInfo.php?workbook=20_05.xlsx&amp;sheet=U0&amp;row=11714&amp;col=6&amp;number=4&amp;sourceID=14","4")</f>
        <v>4</v>
      </c>
      <c r="G11714" s="4" t="str">
        <f>HYPERLINK("http://141.218.60.56/~jnz1568/getInfo.php?workbook=20_05.xlsx&amp;sheet=U0&amp;row=11714&amp;col=7&amp;number=0.261&amp;sourceID=14","0.261")</f>
        <v>0.261</v>
      </c>
    </row>
    <row r="11715" spans="1:7">
      <c r="A11715" s="3"/>
      <c r="B11715" s="3"/>
      <c r="C11715" s="3"/>
      <c r="D11715" s="3"/>
      <c r="E11715" s="3">
        <v>12</v>
      </c>
      <c r="F11715" s="4" t="str">
        <f>HYPERLINK("http://141.218.60.56/~jnz1568/getInfo.php?workbook=20_05.xlsx&amp;sheet=U0&amp;row=11715&amp;col=6&amp;number=4.1&amp;sourceID=14","4.1")</f>
        <v>4.1</v>
      </c>
      <c r="G11715" s="4" t="str">
        <f>HYPERLINK("http://141.218.60.56/~jnz1568/getInfo.php?workbook=20_05.xlsx&amp;sheet=U0&amp;row=11715&amp;col=7&amp;number=0.261&amp;sourceID=14","0.261")</f>
        <v>0.261</v>
      </c>
    </row>
    <row r="11716" spans="1:7">
      <c r="A11716" s="3"/>
      <c r="B11716" s="3"/>
      <c r="C11716" s="3"/>
      <c r="D11716" s="3"/>
      <c r="E11716" s="3">
        <v>13</v>
      </c>
      <c r="F11716" s="4" t="str">
        <f>HYPERLINK("http://141.218.60.56/~jnz1568/getInfo.php?workbook=20_05.xlsx&amp;sheet=U0&amp;row=11716&amp;col=6&amp;number=4.2&amp;sourceID=14","4.2")</f>
        <v>4.2</v>
      </c>
      <c r="G11716" s="4" t="str">
        <f>HYPERLINK("http://141.218.60.56/~jnz1568/getInfo.php?workbook=20_05.xlsx&amp;sheet=U0&amp;row=11716&amp;col=7&amp;number=0.261&amp;sourceID=14","0.261")</f>
        <v>0.261</v>
      </c>
    </row>
    <row r="11717" spans="1:7">
      <c r="A11717" s="3"/>
      <c r="B11717" s="3"/>
      <c r="C11717" s="3"/>
      <c r="D11717" s="3"/>
      <c r="E11717" s="3">
        <v>14</v>
      </c>
      <c r="F11717" s="4" t="str">
        <f>HYPERLINK("http://141.218.60.56/~jnz1568/getInfo.php?workbook=20_05.xlsx&amp;sheet=U0&amp;row=11717&amp;col=6&amp;number=4.3&amp;sourceID=14","4.3")</f>
        <v>4.3</v>
      </c>
      <c r="G11717" s="4" t="str">
        <f>HYPERLINK("http://141.218.60.56/~jnz1568/getInfo.php?workbook=20_05.xlsx&amp;sheet=U0&amp;row=11717&amp;col=7&amp;number=0.261&amp;sourceID=14","0.261")</f>
        <v>0.261</v>
      </c>
    </row>
    <row r="11718" spans="1:7">
      <c r="A11718" s="3"/>
      <c r="B11718" s="3"/>
      <c r="C11718" s="3"/>
      <c r="D11718" s="3"/>
      <c r="E11718" s="3">
        <v>15</v>
      </c>
      <c r="F11718" s="4" t="str">
        <f>HYPERLINK("http://141.218.60.56/~jnz1568/getInfo.php?workbook=20_05.xlsx&amp;sheet=U0&amp;row=11718&amp;col=6&amp;number=4.4&amp;sourceID=14","4.4")</f>
        <v>4.4</v>
      </c>
      <c r="G11718" s="4" t="str">
        <f>HYPERLINK("http://141.218.60.56/~jnz1568/getInfo.php?workbook=20_05.xlsx&amp;sheet=U0&amp;row=11718&amp;col=7&amp;number=0.262&amp;sourceID=14","0.262")</f>
        <v>0.262</v>
      </c>
    </row>
    <row r="11719" spans="1:7">
      <c r="A11719" s="3"/>
      <c r="B11719" s="3"/>
      <c r="C11719" s="3"/>
      <c r="D11719" s="3"/>
      <c r="E11719" s="3">
        <v>16</v>
      </c>
      <c r="F11719" s="4" t="str">
        <f>HYPERLINK("http://141.218.60.56/~jnz1568/getInfo.php?workbook=20_05.xlsx&amp;sheet=U0&amp;row=11719&amp;col=6&amp;number=4.5&amp;sourceID=14","4.5")</f>
        <v>4.5</v>
      </c>
      <c r="G11719" s="4" t="str">
        <f>HYPERLINK("http://141.218.60.56/~jnz1568/getInfo.php?workbook=20_05.xlsx&amp;sheet=U0&amp;row=11719&amp;col=7&amp;number=0.262&amp;sourceID=14","0.262")</f>
        <v>0.262</v>
      </c>
    </row>
    <row r="11720" spans="1:7">
      <c r="A11720" s="3"/>
      <c r="B11720" s="3"/>
      <c r="C11720" s="3"/>
      <c r="D11720" s="3"/>
      <c r="E11720" s="3">
        <v>17</v>
      </c>
      <c r="F11720" s="4" t="str">
        <f>HYPERLINK("http://141.218.60.56/~jnz1568/getInfo.php?workbook=20_05.xlsx&amp;sheet=U0&amp;row=11720&amp;col=6&amp;number=4.6&amp;sourceID=14","4.6")</f>
        <v>4.6</v>
      </c>
      <c r="G11720" s="4" t="str">
        <f>HYPERLINK("http://141.218.60.56/~jnz1568/getInfo.php?workbook=20_05.xlsx&amp;sheet=U0&amp;row=11720&amp;col=7&amp;number=0.262&amp;sourceID=14","0.262")</f>
        <v>0.262</v>
      </c>
    </row>
    <row r="11721" spans="1:7">
      <c r="A11721" s="3"/>
      <c r="B11721" s="3"/>
      <c r="C11721" s="3"/>
      <c r="D11721" s="3"/>
      <c r="E11721" s="3">
        <v>18</v>
      </c>
      <c r="F11721" s="4" t="str">
        <f>HYPERLINK("http://141.218.60.56/~jnz1568/getInfo.php?workbook=20_05.xlsx&amp;sheet=U0&amp;row=11721&amp;col=6&amp;number=4.7&amp;sourceID=14","4.7")</f>
        <v>4.7</v>
      </c>
      <c r="G11721" s="4" t="str">
        <f>HYPERLINK("http://141.218.60.56/~jnz1568/getInfo.php?workbook=20_05.xlsx&amp;sheet=U0&amp;row=11721&amp;col=7&amp;number=0.263&amp;sourceID=14","0.263")</f>
        <v>0.263</v>
      </c>
    </row>
    <row r="11722" spans="1:7">
      <c r="A11722" s="3"/>
      <c r="B11722" s="3"/>
      <c r="C11722" s="3"/>
      <c r="D11722" s="3"/>
      <c r="E11722" s="3">
        <v>19</v>
      </c>
      <c r="F11722" s="4" t="str">
        <f>HYPERLINK("http://141.218.60.56/~jnz1568/getInfo.php?workbook=20_05.xlsx&amp;sheet=U0&amp;row=11722&amp;col=6&amp;number=4.8&amp;sourceID=14","4.8")</f>
        <v>4.8</v>
      </c>
      <c r="G11722" s="4" t="str">
        <f>HYPERLINK("http://141.218.60.56/~jnz1568/getInfo.php?workbook=20_05.xlsx&amp;sheet=U0&amp;row=11722&amp;col=7&amp;number=0.263&amp;sourceID=14","0.263")</f>
        <v>0.263</v>
      </c>
    </row>
    <row r="11723" spans="1:7">
      <c r="A11723" s="3"/>
      <c r="B11723" s="3"/>
      <c r="C11723" s="3"/>
      <c r="D11723" s="3"/>
      <c r="E11723" s="3">
        <v>20</v>
      </c>
      <c r="F11723" s="4" t="str">
        <f>HYPERLINK("http://141.218.60.56/~jnz1568/getInfo.php?workbook=20_05.xlsx&amp;sheet=U0&amp;row=11723&amp;col=6&amp;number=4.9&amp;sourceID=14","4.9")</f>
        <v>4.9</v>
      </c>
      <c r="G11723" s="4" t="str">
        <f>HYPERLINK("http://141.218.60.56/~jnz1568/getInfo.php?workbook=20_05.xlsx&amp;sheet=U0&amp;row=11723&amp;col=7&amp;number=0.264&amp;sourceID=14","0.264")</f>
        <v>0.264</v>
      </c>
    </row>
    <row r="11724" spans="1:7">
      <c r="A11724" s="3">
        <v>20</v>
      </c>
      <c r="B11724" s="3">
        <v>5</v>
      </c>
      <c r="C11724" s="3">
        <v>5</v>
      </c>
      <c r="D11724" s="3">
        <v>121</v>
      </c>
      <c r="E11724" s="3">
        <v>1</v>
      </c>
      <c r="F11724" s="4" t="str">
        <f>HYPERLINK("http://141.218.60.56/~jnz1568/getInfo.php?workbook=20_05.xlsx&amp;sheet=U0&amp;row=11724&amp;col=6&amp;number=3&amp;sourceID=14","3")</f>
        <v>3</v>
      </c>
      <c r="G11724" s="4" t="str">
        <f>HYPERLINK("http://141.218.60.56/~jnz1568/getInfo.php?workbook=20_05.xlsx&amp;sheet=U0&amp;row=11724&amp;col=7&amp;number=0.0143&amp;sourceID=14","0.0143")</f>
        <v>0.0143</v>
      </c>
    </row>
    <row r="11725" spans="1:7">
      <c r="A11725" s="3"/>
      <c r="B11725" s="3"/>
      <c r="C11725" s="3"/>
      <c r="D11725" s="3"/>
      <c r="E11725" s="3">
        <v>2</v>
      </c>
      <c r="F11725" s="4" t="str">
        <f>HYPERLINK("http://141.218.60.56/~jnz1568/getInfo.php?workbook=20_05.xlsx&amp;sheet=U0&amp;row=11725&amp;col=6&amp;number=3.1&amp;sourceID=14","3.1")</f>
        <v>3.1</v>
      </c>
      <c r="G11725" s="4" t="str">
        <f>HYPERLINK("http://141.218.60.56/~jnz1568/getInfo.php?workbook=20_05.xlsx&amp;sheet=U0&amp;row=11725&amp;col=7&amp;number=0.0143&amp;sourceID=14","0.0143")</f>
        <v>0.0143</v>
      </c>
    </row>
    <row r="11726" spans="1:7">
      <c r="A11726" s="3"/>
      <c r="B11726" s="3"/>
      <c r="C11726" s="3"/>
      <c r="D11726" s="3"/>
      <c r="E11726" s="3">
        <v>3</v>
      </c>
      <c r="F11726" s="4" t="str">
        <f>HYPERLINK("http://141.218.60.56/~jnz1568/getInfo.php?workbook=20_05.xlsx&amp;sheet=U0&amp;row=11726&amp;col=6&amp;number=3.2&amp;sourceID=14","3.2")</f>
        <v>3.2</v>
      </c>
      <c r="G11726" s="4" t="str">
        <f>HYPERLINK("http://141.218.60.56/~jnz1568/getInfo.php?workbook=20_05.xlsx&amp;sheet=U0&amp;row=11726&amp;col=7&amp;number=0.0143&amp;sourceID=14","0.0143")</f>
        <v>0.0143</v>
      </c>
    </row>
    <row r="11727" spans="1:7">
      <c r="A11727" s="3"/>
      <c r="B11727" s="3"/>
      <c r="C11727" s="3"/>
      <c r="D11727" s="3"/>
      <c r="E11727" s="3">
        <v>4</v>
      </c>
      <c r="F11727" s="4" t="str">
        <f>HYPERLINK("http://141.218.60.56/~jnz1568/getInfo.php?workbook=20_05.xlsx&amp;sheet=U0&amp;row=11727&amp;col=6&amp;number=3.3&amp;sourceID=14","3.3")</f>
        <v>3.3</v>
      </c>
      <c r="G11727" s="4" t="str">
        <f>HYPERLINK("http://141.218.60.56/~jnz1568/getInfo.php?workbook=20_05.xlsx&amp;sheet=U0&amp;row=11727&amp;col=7&amp;number=0.0143&amp;sourceID=14","0.0143")</f>
        <v>0.0143</v>
      </c>
    </row>
    <row r="11728" spans="1:7">
      <c r="A11728" s="3"/>
      <c r="B11728" s="3"/>
      <c r="C11728" s="3"/>
      <c r="D11728" s="3"/>
      <c r="E11728" s="3">
        <v>5</v>
      </c>
      <c r="F11728" s="4" t="str">
        <f>HYPERLINK("http://141.218.60.56/~jnz1568/getInfo.php?workbook=20_05.xlsx&amp;sheet=U0&amp;row=11728&amp;col=6&amp;number=3.4&amp;sourceID=14","3.4")</f>
        <v>3.4</v>
      </c>
      <c r="G11728" s="4" t="str">
        <f>HYPERLINK("http://141.218.60.56/~jnz1568/getInfo.php?workbook=20_05.xlsx&amp;sheet=U0&amp;row=11728&amp;col=7&amp;number=0.0143&amp;sourceID=14","0.0143")</f>
        <v>0.0143</v>
      </c>
    </row>
    <row r="11729" spans="1:7">
      <c r="A11729" s="3"/>
      <c r="B11729" s="3"/>
      <c r="C11729" s="3"/>
      <c r="D11729" s="3"/>
      <c r="E11729" s="3">
        <v>6</v>
      </c>
      <c r="F11729" s="4" t="str">
        <f>HYPERLINK("http://141.218.60.56/~jnz1568/getInfo.php?workbook=20_05.xlsx&amp;sheet=U0&amp;row=11729&amp;col=6&amp;number=3.5&amp;sourceID=14","3.5")</f>
        <v>3.5</v>
      </c>
      <c r="G11729" s="4" t="str">
        <f>HYPERLINK("http://141.218.60.56/~jnz1568/getInfo.php?workbook=20_05.xlsx&amp;sheet=U0&amp;row=11729&amp;col=7&amp;number=0.0143&amp;sourceID=14","0.0143")</f>
        <v>0.0143</v>
      </c>
    </row>
    <row r="11730" spans="1:7">
      <c r="A11730" s="3"/>
      <c r="B11730" s="3"/>
      <c r="C11730" s="3"/>
      <c r="D11730" s="3"/>
      <c r="E11730" s="3">
        <v>7</v>
      </c>
      <c r="F11730" s="4" t="str">
        <f>HYPERLINK("http://141.218.60.56/~jnz1568/getInfo.php?workbook=20_05.xlsx&amp;sheet=U0&amp;row=11730&amp;col=6&amp;number=3.6&amp;sourceID=14","3.6")</f>
        <v>3.6</v>
      </c>
      <c r="G11730" s="4" t="str">
        <f>HYPERLINK("http://141.218.60.56/~jnz1568/getInfo.php?workbook=20_05.xlsx&amp;sheet=U0&amp;row=11730&amp;col=7&amp;number=0.0143&amp;sourceID=14","0.0143")</f>
        <v>0.0143</v>
      </c>
    </row>
    <row r="11731" spans="1:7">
      <c r="A11731" s="3"/>
      <c r="B11731" s="3"/>
      <c r="C11731" s="3"/>
      <c r="D11731" s="3"/>
      <c r="E11731" s="3">
        <v>8</v>
      </c>
      <c r="F11731" s="4" t="str">
        <f>HYPERLINK("http://141.218.60.56/~jnz1568/getInfo.php?workbook=20_05.xlsx&amp;sheet=U0&amp;row=11731&amp;col=6&amp;number=3.7&amp;sourceID=14","3.7")</f>
        <v>3.7</v>
      </c>
      <c r="G11731" s="4" t="str">
        <f>HYPERLINK("http://141.218.60.56/~jnz1568/getInfo.php?workbook=20_05.xlsx&amp;sheet=U0&amp;row=11731&amp;col=7&amp;number=0.0143&amp;sourceID=14","0.0143")</f>
        <v>0.0143</v>
      </c>
    </row>
    <row r="11732" spans="1:7">
      <c r="A11732" s="3"/>
      <c r="B11732" s="3"/>
      <c r="C11732" s="3"/>
      <c r="D11732" s="3"/>
      <c r="E11732" s="3">
        <v>9</v>
      </c>
      <c r="F11732" s="4" t="str">
        <f>HYPERLINK("http://141.218.60.56/~jnz1568/getInfo.php?workbook=20_05.xlsx&amp;sheet=U0&amp;row=11732&amp;col=6&amp;number=3.8&amp;sourceID=14","3.8")</f>
        <v>3.8</v>
      </c>
      <c r="G11732" s="4" t="str">
        <f>HYPERLINK("http://141.218.60.56/~jnz1568/getInfo.php?workbook=20_05.xlsx&amp;sheet=U0&amp;row=11732&amp;col=7&amp;number=0.0143&amp;sourceID=14","0.0143")</f>
        <v>0.0143</v>
      </c>
    </row>
    <row r="11733" spans="1:7">
      <c r="A11733" s="3"/>
      <c r="B11733" s="3"/>
      <c r="C11733" s="3"/>
      <c r="D11733" s="3"/>
      <c r="E11733" s="3">
        <v>10</v>
      </c>
      <c r="F11733" s="4" t="str">
        <f>HYPERLINK("http://141.218.60.56/~jnz1568/getInfo.php?workbook=20_05.xlsx&amp;sheet=U0&amp;row=11733&amp;col=6&amp;number=3.9&amp;sourceID=14","3.9")</f>
        <v>3.9</v>
      </c>
      <c r="G11733" s="4" t="str">
        <f>HYPERLINK("http://141.218.60.56/~jnz1568/getInfo.php?workbook=20_05.xlsx&amp;sheet=U0&amp;row=11733&amp;col=7&amp;number=0.0143&amp;sourceID=14","0.0143")</f>
        <v>0.0143</v>
      </c>
    </row>
    <row r="11734" spans="1:7">
      <c r="A11734" s="3"/>
      <c r="B11734" s="3"/>
      <c r="C11734" s="3"/>
      <c r="D11734" s="3"/>
      <c r="E11734" s="3">
        <v>11</v>
      </c>
      <c r="F11734" s="4" t="str">
        <f>HYPERLINK("http://141.218.60.56/~jnz1568/getInfo.php?workbook=20_05.xlsx&amp;sheet=U0&amp;row=11734&amp;col=6&amp;number=4&amp;sourceID=14","4")</f>
        <v>4</v>
      </c>
      <c r="G11734" s="4" t="str">
        <f>HYPERLINK("http://141.218.60.56/~jnz1568/getInfo.php?workbook=20_05.xlsx&amp;sheet=U0&amp;row=11734&amp;col=7&amp;number=0.0142&amp;sourceID=14","0.0142")</f>
        <v>0.0142</v>
      </c>
    </row>
    <row r="11735" spans="1:7">
      <c r="A11735" s="3"/>
      <c r="B11735" s="3"/>
      <c r="C11735" s="3"/>
      <c r="D11735" s="3"/>
      <c r="E11735" s="3">
        <v>12</v>
      </c>
      <c r="F11735" s="4" t="str">
        <f>HYPERLINK("http://141.218.60.56/~jnz1568/getInfo.php?workbook=20_05.xlsx&amp;sheet=U0&amp;row=11735&amp;col=6&amp;number=4.1&amp;sourceID=14","4.1")</f>
        <v>4.1</v>
      </c>
      <c r="G11735" s="4" t="str">
        <f>HYPERLINK("http://141.218.60.56/~jnz1568/getInfo.php?workbook=20_05.xlsx&amp;sheet=U0&amp;row=11735&amp;col=7&amp;number=0.0142&amp;sourceID=14","0.0142")</f>
        <v>0.0142</v>
      </c>
    </row>
    <row r="11736" spans="1:7">
      <c r="A11736" s="3"/>
      <c r="B11736" s="3"/>
      <c r="C11736" s="3"/>
      <c r="D11736" s="3"/>
      <c r="E11736" s="3">
        <v>13</v>
      </c>
      <c r="F11736" s="4" t="str">
        <f>HYPERLINK("http://141.218.60.56/~jnz1568/getInfo.php?workbook=20_05.xlsx&amp;sheet=U0&amp;row=11736&amp;col=6&amp;number=4.2&amp;sourceID=14","4.2")</f>
        <v>4.2</v>
      </c>
      <c r="G11736" s="4" t="str">
        <f>HYPERLINK("http://141.218.60.56/~jnz1568/getInfo.php?workbook=20_05.xlsx&amp;sheet=U0&amp;row=11736&amp;col=7&amp;number=0.0142&amp;sourceID=14","0.0142")</f>
        <v>0.0142</v>
      </c>
    </row>
    <row r="11737" spans="1:7">
      <c r="A11737" s="3"/>
      <c r="B11737" s="3"/>
      <c r="C11737" s="3"/>
      <c r="D11737" s="3"/>
      <c r="E11737" s="3">
        <v>14</v>
      </c>
      <c r="F11737" s="4" t="str">
        <f>HYPERLINK("http://141.218.60.56/~jnz1568/getInfo.php?workbook=20_05.xlsx&amp;sheet=U0&amp;row=11737&amp;col=6&amp;number=4.3&amp;sourceID=14","4.3")</f>
        <v>4.3</v>
      </c>
      <c r="G11737" s="4" t="str">
        <f>HYPERLINK("http://141.218.60.56/~jnz1568/getInfo.php?workbook=20_05.xlsx&amp;sheet=U0&amp;row=11737&amp;col=7&amp;number=0.0142&amp;sourceID=14","0.0142")</f>
        <v>0.0142</v>
      </c>
    </row>
    <row r="11738" spans="1:7">
      <c r="A11738" s="3"/>
      <c r="B11738" s="3"/>
      <c r="C11738" s="3"/>
      <c r="D11738" s="3"/>
      <c r="E11738" s="3">
        <v>15</v>
      </c>
      <c r="F11738" s="4" t="str">
        <f>HYPERLINK("http://141.218.60.56/~jnz1568/getInfo.php?workbook=20_05.xlsx&amp;sheet=U0&amp;row=11738&amp;col=6&amp;number=4.4&amp;sourceID=14","4.4")</f>
        <v>4.4</v>
      </c>
      <c r="G11738" s="4" t="str">
        <f>HYPERLINK("http://141.218.60.56/~jnz1568/getInfo.php?workbook=20_05.xlsx&amp;sheet=U0&amp;row=11738&amp;col=7&amp;number=0.0142&amp;sourceID=14","0.0142")</f>
        <v>0.0142</v>
      </c>
    </row>
    <row r="11739" spans="1:7">
      <c r="A11739" s="3"/>
      <c r="B11739" s="3"/>
      <c r="C11739" s="3"/>
      <c r="D11739" s="3"/>
      <c r="E11739" s="3">
        <v>16</v>
      </c>
      <c r="F11739" s="4" t="str">
        <f>HYPERLINK("http://141.218.60.56/~jnz1568/getInfo.php?workbook=20_05.xlsx&amp;sheet=U0&amp;row=11739&amp;col=6&amp;number=4.5&amp;sourceID=14","4.5")</f>
        <v>4.5</v>
      </c>
      <c r="G11739" s="4" t="str">
        <f>HYPERLINK("http://141.218.60.56/~jnz1568/getInfo.php?workbook=20_05.xlsx&amp;sheet=U0&amp;row=11739&amp;col=7&amp;number=0.0142&amp;sourceID=14","0.0142")</f>
        <v>0.0142</v>
      </c>
    </row>
    <row r="11740" spans="1:7">
      <c r="A11740" s="3"/>
      <c r="B11740" s="3"/>
      <c r="C11740" s="3"/>
      <c r="D11740" s="3"/>
      <c r="E11740" s="3">
        <v>17</v>
      </c>
      <c r="F11740" s="4" t="str">
        <f>HYPERLINK("http://141.218.60.56/~jnz1568/getInfo.php?workbook=20_05.xlsx&amp;sheet=U0&amp;row=11740&amp;col=6&amp;number=4.6&amp;sourceID=14","4.6")</f>
        <v>4.6</v>
      </c>
      <c r="G11740" s="4" t="str">
        <f>HYPERLINK("http://141.218.60.56/~jnz1568/getInfo.php?workbook=20_05.xlsx&amp;sheet=U0&amp;row=11740&amp;col=7&amp;number=0.0141&amp;sourceID=14","0.0141")</f>
        <v>0.0141</v>
      </c>
    </row>
    <row r="11741" spans="1:7">
      <c r="A11741" s="3"/>
      <c r="B11741" s="3"/>
      <c r="C11741" s="3"/>
      <c r="D11741" s="3"/>
      <c r="E11741" s="3">
        <v>18</v>
      </c>
      <c r="F11741" s="4" t="str">
        <f>HYPERLINK("http://141.218.60.56/~jnz1568/getInfo.php?workbook=20_05.xlsx&amp;sheet=U0&amp;row=11741&amp;col=6&amp;number=4.7&amp;sourceID=14","4.7")</f>
        <v>4.7</v>
      </c>
      <c r="G11741" s="4" t="str">
        <f>HYPERLINK("http://141.218.60.56/~jnz1568/getInfo.php?workbook=20_05.xlsx&amp;sheet=U0&amp;row=11741&amp;col=7&amp;number=0.0141&amp;sourceID=14","0.0141")</f>
        <v>0.0141</v>
      </c>
    </row>
    <row r="11742" spans="1:7">
      <c r="A11742" s="3"/>
      <c r="B11742" s="3"/>
      <c r="C11742" s="3"/>
      <c r="D11742" s="3"/>
      <c r="E11742" s="3">
        <v>19</v>
      </c>
      <c r="F11742" s="4" t="str">
        <f>HYPERLINK("http://141.218.60.56/~jnz1568/getInfo.php?workbook=20_05.xlsx&amp;sheet=U0&amp;row=11742&amp;col=6&amp;number=4.8&amp;sourceID=14","4.8")</f>
        <v>4.8</v>
      </c>
      <c r="G11742" s="4" t="str">
        <f>HYPERLINK("http://141.218.60.56/~jnz1568/getInfo.php?workbook=20_05.xlsx&amp;sheet=U0&amp;row=11742&amp;col=7&amp;number=0.014&amp;sourceID=14","0.014")</f>
        <v>0.014</v>
      </c>
    </row>
    <row r="11743" spans="1:7">
      <c r="A11743" s="3"/>
      <c r="B11743" s="3"/>
      <c r="C11743" s="3"/>
      <c r="D11743" s="3"/>
      <c r="E11743" s="3">
        <v>20</v>
      </c>
      <c r="F11743" s="4" t="str">
        <f>HYPERLINK("http://141.218.60.56/~jnz1568/getInfo.php?workbook=20_05.xlsx&amp;sheet=U0&amp;row=11743&amp;col=6&amp;number=4.9&amp;sourceID=14","4.9")</f>
        <v>4.9</v>
      </c>
      <c r="G11743" s="4" t="str">
        <f>HYPERLINK("http://141.218.60.56/~jnz1568/getInfo.php?workbook=20_05.xlsx&amp;sheet=U0&amp;row=11743&amp;col=7&amp;number=0.014&amp;sourceID=14","0.014")</f>
        <v>0.014</v>
      </c>
    </row>
    <row r="11744" spans="1:7">
      <c r="A11744" s="3">
        <v>20</v>
      </c>
      <c r="B11744" s="3">
        <v>5</v>
      </c>
      <c r="C11744" s="3">
        <v>5</v>
      </c>
      <c r="D11744" s="3">
        <v>122</v>
      </c>
      <c r="E11744" s="3">
        <v>1</v>
      </c>
      <c r="F11744" s="4" t="str">
        <f>HYPERLINK("http://141.218.60.56/~jnz1568/getInfo.php?workbook=20_05.xlsx&amp;sheet=U0&amp;row=11744&amp;col=6&amp;number=3&amp;sourceID=14","3")</f>
        <v>3</v>
      </c>
      <c r="G11744" s="4" t="str">
        <f>HYPERLINK("http://141.218.60.56/~jnz1568/getInfo.php?workbook=20_05.xlsx&amp;sheet=U0&amp;row=11744&amp;col=7&amp;number=0.000354&amp;sourceID=14","0.000354")</f>
        <v>0.000354</v>
      </c>
    </row>
    <row r="11745" spans="1:7">
      <c r="A11745" s="3"/>
      <c r="B11745" s="3"/>
      <c r="C11745" s="3"/>
      <c r="D11745" s="3"/>
      <c r="E11745" s="3">
        <v>2</v>
      </c>
      <c r="F11745" s="4" t="str">
        <f>HYPERLINK("http://141.218.60.56/~jnz1568/getInfo.php?workbook=20_05.xlsx&amp;sheet=U0&amp;row=11745&amp;col=6&amp;number=3.1&amp;sourceID=14","3.1")</f>
        <v>3.1</v>
      </c>
      <c r="G11745" s="4" t="str">
        <f>HYPERLINK("http://141.218.60.56/~jnz1568/getInfo.php?workbook=20_05.xlsx&amp;sheet=U0&amp;row=11745&amp;col=7&amp;number=0.000354&amp;sourceID=14","0.000354")</f>
        <v>0.000354</v>
      </c>
    </row>
    <row r="11746" spans="1:7">
      <c r="A11746" s="3"/>
      <c r="B11746" s="3"/>
      <c r="C11746" s="3"/>
      <c r="D11746" s="3"/>
      <c r="E11746" s="3">
        <v>3</v>
      </c>
      <c r="F11746" s="4" t="str">
        <f>HYPERLINK("http://141.218.60.56/~jnz1568/getInfo.php?workbook=20_05.xlsx&amp;sheet=U0&amp;row=11746&amp;col=6&amp;number=3.2&amp;sourceID=14","3.2")</f>
        <v>3.2</v>
      </c>
      <c r="G11746" s="4" t="str">
        <f>HYPERLINK("http://141.218.60.56/~jnz1568/getInfo.php?workbook=20_05.xlsx&amp;sheet=U0&amp;row=11746&amp;col=7&amp;number=0.000354&amp;sourceID=14","0.000354")</f>
        <v>0.000354</v>
      </c>
    </row>
    <row r="11747" spans="1:7">
      <c r="A11747" s="3"/>
      <c r="B11747" s="3"/>
      <c r="C11747" s="3"/>
      <c r="D11747" s="3"/>
      <c r="E11747" s="3">
        <v>4</v>
      </c>
      <c r="F11747" s="4" t="str">
        <f>HYPERLINK("http://141.218.60.56/~jnz1568/getInfo.php?workbook=20_05.xlsx&amp;sheet=U0&amp;row=11747&amp;col=6&amp;number=3.3&amp;sourceID=14","3.3")</f>
        <v>3.3</v>
      </c>
      <c r="G11747" s="4" t="str">
        <f>HYPERLINK("http://141.218.60.56/~jnz1568/getInfo.php?workbook=20_05.xlsx&amp;sheet=U0&amp;row=11747&amp;col=7&amp;number=0.000354&amp;sourceID=14","0.000354")</f>
        <v>0.000354</v>
      </c>
    </row>
    <row r="11748" spans="1:7">
      <c r="A11748" s="3"/>
      <c r="B11748" s="3"/>
      <c r="C11748" s="3"/>
      <c r="D11748" s="3"/>
      <c r="E11748" s="3">
        <v>5</v>
      </c>
      <c r="F11748" s="4" t="str">
        <f>HYPERLINK("http://141.218.60.56/~jnz1568/getInfo.php?workbook=20_05.xlsx&amp;sheet=U0&amp;row=11748&amp;col=6&amp;number=3.4&amp;sourceID=14","3.4")</f>
        <v>3.4</v>
      </c>
      <c r="G11748" s="4" t="str">
        <f>HYPERLINK("http://141.218.60.56/~jnz1568/getInfo.php?workbook=20_05.xlsx&amp;sheet=U0&amp;row=11748&amp;col=7&amp;number=0.000354&amp;sourceID=14","0.000354")</f>
        <v>0.000354</v>
      </c>
    </row>
    <row r="11749" spans="1:7">
      <c r="A11749" s="3"/>
      <c r="B11749" s="3"/>
      <c r="C11749" s="3"/>
      <c r="D11749" s="3"/>
      <c r="E11749" s="3">
        <v>6</v>
      </c>
      <c r="F11749" s="4" t="str">
        <f>HYPERLINK("http://141.218.60.56/~jnz1568/getInfo.php?workbook=20_05.xlsx&amp;sheet=U0&amp;row=11749&amp;col=6&amp;number=3.5&amp;sourceID=14","3.5")</f>
        <v>3.5</v>
      </c>
      <c r="G11749" s="4" t="str">
        <f>HYPERLINK("http://141.218.60.56/~jnz1568/getInfo.php?workbook=20_05.xlsx&amp;sheet=U0&amp;row=11749&amp;col=7&amp;number=0.000354&amp;sourceID=14","0.000354")</f>
        <v>0.000354</v>
      </c>
    </row>
    <row r="11750" spans="1:7">
      <c r="A11750" s="3"/>
      <c r="B11750" s="3"/>
      <c r="C11750" s="3"/>
      <c r="D11750" s="3"/>
      <c r="E11750" s="3">
        <v>7</v>
      </c>
      <c r="F11750" s="4" t="str">
        <f>HYPERLINK("http://141.218.60.56/~jnz1568/getInfo.php?workbook=20_05.xlsx&amp;sheet=U0&amp;row=11750&amp;col=6&amp;number=3.6&amp;sourceID=14","3.6")</f>
        <v>3.6</v>
      </c>
      <c r="G11750" s="4" t="str">
        <f>HYPERLINK("http://141.218.60.56/~jnz1568/getInfo.php?workbook=20_05.xlsx&amp;sheet=U0&amp;row=11750&amp;col=7&amp;number=0.000354&amp;sourceID=14","0.000354")</f>
        <v>0.000354</v>
      </c>
    </row>
    <row r="11751" spans="1:7">
      <c r="A11751" s="3"/>
      <c r="B11751" s="3"/>
      <c r="C11751" s="3"/>
      <c r="D11751" s="3"/>
      <c r="E11751" s="3">
        <v>8</v>
      </c>
      <c r="F11751" s="4" t="str">
        <f>HYPERLINK("http://141.218.60.56/~jnz1568/getInfo.php?workbook=20_05.xlsx&amp;sheet=U0&amp;row=11751&amp;col=6&amp;number=3.7&amp;sourceID=14","3.7")</f>
        <v>3.7</v>
      </c>
      <c r="G11751" s="4" t="str">
        <f>HYPERLINK("http://141.218.60.56/~jnz1568/getInfo.php?workbook=20_05.xlsx&amp;sheet=U0&amp;row=11751&amp;col=7&amp;number=0.000354&amp;sourceID=14","0.000354")</f>
        <v>0.000354</v>
      </c>
    </row>
    <row r="11752" spans="1:7">
      <c r="A11752" s="3"/>
      <c r="B11752" s="3"/>
      <c r="C11752" s="3"/>
      <c r="D11752" s="3"/>
      <c r="E11752" s="3">
        <v>9</v>
      </c>
      <c r="F11752" s="4" t="str">
        <f>HYPERLINK("http://141.218.60.56/~jnz1568/getInfo.php?workbook=20_05.xlsx&amp;sheet=U0&amp;row=11752&amp;col=6&amp;number=3.8&amp;sourceID=14","3.8")</f>
        <v>3.8</v>
      </c>
      <c r="G11752" s="4" t="str">
        <f>HYPERLINK("http://141.218.60.56/~jnz1568/getInfo.php?workbook=20_05.xlsx&amp;sheet=U0&amp;row=11752&amp;col=7&amp;number=0.000354&amp;sourceID=14","0.000354")</f>
        <v>0.000354</v>
      </c>
    </row>
    <row r="11753" spans="1:7">
      <c r="A11753" s="3"/>
      <c r="B11753" s="3"/>
      <c r="C11753" s="3"/>
      <c r="D11753" s="3"/>
      <c r="E11753" s="3">
        <v>10</v>
      </c>
      <c r="F11753" s="4" t="str">
        <f>HYPERLINK("http://141.218.60.56/~jnz1568/getInfo.php?workbook=20_05.xlsx&amp;sheet=U0&amp;row=11753&amp;col=6&amp;number=3.9&amp;sourceID=14","3.9")</f>
        <v>3.9</v>
      </c>
      <c r="G11753" s="4" t="str">
        <f>HYPERLINK("http://141.218.60.56/~jnz1568/getInfo.php?workbook=20_05.xlsx&amp;sheet=U0&amp;row=11753&amp;col=7&amp;number=0.000354&amp;sourceID=14","0.000354")</f>
        <v>0.000354</v>
      </c>
    </row>
    <row r="11754" spans="1:7">
      <c r="A11754" s="3"/>
      <c r="B11754" s="3"/>
      <c r="C11754" s="3"/>
      <c r="D11754" s="3"/>
      <c r="E11754" s="3">
        <v>11</v>
      </c>
      <c r="F11754" s="4" t="str">
        <f>HYPERLINK("http://141.218.60.56/~jnz1568/getInfo.php?workbook=20_05.xlsx&amp;sheet=U0&amp;row=11754&amp;col=6&amp;number=4&amp;sourceID=14","4")</f>
        <v>4</v>
      </c>
      <c r="G11754" s="4" t="str">
        <f>HYPERLINK("http://141.218.60.56/~jnz1568/getInfo.php?workbook=20_05.xlsx&amp;sheet=U0&amp;row=11754&amp;col=7&amp;number=0.000354&amp;sourceID=14","0.000354")</f>
        <v>0.000354</v>
      </c>
    </row>
    <row r="11755" spans="1:7">
      <c r="A11755" s="3"/>
      <c r="B11755" s="3"/>
      <c r="C11755" s="3"/>
      <c r="D11755" s="3"/>
      <c r="E11755" s="3">
        <v>12</v>
      </c>
      <c r="F11755" s="4" t="str">
        <f>HYPERLINK("http://141.218.60.56/~jnz1568/getInfo.php?workbook=20_05.xlsx&amp;sheet=U0&amp;row=11755&amp;col=6&amp;number=4.1&amp;sourceID=14","4.1")</f>
        <v>4.1</v>
      </c>
      <c r="G11755" s="4" t="str">
        <f>HYPERLINK("http://141.218.60.56/~jnz1568/getInfo.php?workbook=20_05.xlsx&amp;sheet=U0&amp;row=11755&amp;col=7&amp;number=0.000354&amp;sourceID=14","0.000354")</f>
        <v>0.000354</v>
      </c>
    </row>
    <row r="11756" spans="1:7">
      <c r="A11756" s="3"/>
      <c r="B11756" s="3"/>
      <c r="C11756" s="3"/>
      <c r="D11756" s="3"/>
      <c r="E11756" s="3">
        <v>13</v>
      </c>
      <c r="F11756" s="4" t="str">
        <f>HYPERLINK("http://141.218.60.56/~jnz1568/getInfo.php?workbook=20_05.xlsx&amp;sheet=U0&amp;row=11756&amp;col=6&amp;number=4.2&amp;sourceID=14","4.2")</f>
        <v>4.2</v>
      </c>
      <c r="G11756" s="4" t="str">
        <f>HYPERLINK("http://141.218.60.56/~jnz1568/getInfo.php?workbook=20_05.xlsx&amp;sheet=U0&amp;row=11756&amp;col=7&amp;number=0.000354&amp;sourceID=14","0.000354")</f>
        <v>0.000354</v>
      </c>
    </row>
    <row r="11757" spans="1:7">
      <c r="A11757" s="3"/>
      <c r="B11757" s="3"/>
      <c r="C11757" s="3"/>
      <c r="D11757" s="3"/>
      <c r="E11757" s="3">
        <v>14</v>
      </c>
      <c r="F11757" s="4" t="str">
        <f>HYPERLINK("http://141.218.60.56/~jnz1568/getInfo.php?workbook=20_05.xlsx&amp;sheet=U0&amp;row=11757&amp;col=6&amp;number=4.3&amp;sourceID=14","4.3")</f>
        <v>4.3</v>
      </c>
      <c r="G11757" s="4" t="str">
        <f>HYPERLINK("http://141.218.60.56/~jnz1568/getInfo.php?workbook=20_05.xlsx&amp;sheet=U0&amp;row=11757&amp;col=7&amp;number=0.000353&amp;sourceID=14","0.000353")</f>
        <v>0.000353</v>
      </c>
    </row>
    <row r="11758" spans="1:7">
      <c r="A11758" s="3"/>
      <c r="B11758" s="3"/>
      <c r="C11758" s="3"/>
      <c r="D11758" s="3"/>
      <c r="E11758" s="3">
        <v>15</v>
      </c>
      <c r="F11758" s="4" t="str">
        <f>HYPERLINK("http://141.218.60.56/~jnz1568/getInfo.php?workbook=20_05.xlsx&amp;sheet=U0&amp;row=11758&amp;col=6&amp;number=4.4&amp;sourceID=14","4.4")</f>
        <v>4.4</v>
      </c>
      <c r="G11758" s="4" t="str">
        <f>HYPERLINK("http://141.218.60.56/~jnz1568/getInfo.php?workbook=20_05.xlsx&amp;sheet=U0&amp;row=11758&amp;col=7&amp;number=0.000353&amp;sourceID=14","0.000353")</f>
        <v>0.000353</v>
      </c>
    </row>
    <row r="11759" spans="1:7">
      <c r="A11759" s="3"/>
      <c r="B11759" s="3"/>
      <c r="C11759" s="3"/>
      <c r="D11759" s="3"/>
      <c r="E11759" s="3">
        <v>16</v>
      </c>
      <c r="F11759" s="4" t="str">
        <f>HYPERLINK("http://141.218.60.56/~jnz1568/getInfo.php?workbook=20_05.xlsx&amp;sheet=U0&amp;row=11759&amp;col=6&amp;number=4.5&amp;sourceID=14","4.5")</f>
        <v>4.5</v>
      </c>
      <c r="G11759" s="4" t="str">
        <f>HYPERLINK("http://141.218.60.56/~jnz1568/getInfo.php?workbook=20_05.xlsx&amp;sheet=U0&amp;row=11759&amp;col=7&amp;number=0.000353&amp;sourceID=14","0.000353")</f>
        <v>0.000353</v>
      </c>
    </row>
    <row r="11760" spans="1:7">
      <c r="A11760" s="3"/>
      <c r="B11760" s="3"/>
      <c r="C11760" s="3"/>
      <c r="D11760" s="3"/>
      <c r="E11760" s="3">
        <v>17</v>
      </c>
      <c r="F11760" s="4" t="str">
        <f>HYPERLINK("http://141.218.60.56/~jnz1568/getInfo.php?workbook=20_05.xlsx&amp;sheet=U0&amp;row=11760&amp;col=6&amp;number=4.6&amp;sourceID=14","4.6")</f>
        <v>4.6</v>
      </c>
      <c r="G11760" s="4" t="str">
        <f>HYPERLINK("http://141.218.60.56/~jnz1568/getInfo.php?workbook=20_05.xlsx&amp;sheet=U0&amp;row=11760&amp;col=7&amp;number=0.000353&amp;sourceID=14","0.000353")</f>
        <v>0.000353</v>
      </c>
    </row>
    <row r="11761" spans="1:7">
      <c r="A11761" s="3"/>
      <c r="B11761" s="3"/>
      <c r="C11761" s="3"/>
      <c r="D11761" s="3"/>
      <c r="E11761" s="3">
        <v>18</v>
      </c>
      <c r="F11761" s="4" t="str">
        <f>HYPERLINK("http://141.218.60.56/~jnz1568/getInfo.php?workbook=20_05.xlsx&amp;sheet=U0&amp;row=11761&amp;col=6&amp;number=4.7&amp;sourceID=14","4.7")</f>
        <v>4.7</v>
      </c>
      <c r="G11761" s="4" t="str">
        <f>HYPERLINK("http://141.218.60.56/~jnz1568/getInfo.php?workbook=20_05.xlsx&amp;sheet=U0&amp;row=11761&amp;col=7&amp;number=0.000353&amp;sourceID=14","0.000353")</f>
        <v>0.000353</v>
      </c>
    </row>
    <row r="11762" spans="1:7">
      <c r="A11762" s="3"/>
      <c r="B11762" s="3"/>
      <c r="C11762" s="3"/>
      <c r="D11762" s="3"/>
      <c r="E11762" s="3">
        <v>19</v>
      </c>
      <c r="F11762" s="4" t="str">
        <f>HYPERLINK("http://141.218.60.56/~jnz1568/getInfo.php?workbook=20_05.xlsx&amp;sheet=U0&amp;row=11762&amp;col=6&amp;number=4.8&amp;sourceID=14","4.8")</f>
        <v>4.8</v>
      </c>
      <c r="G11762" s="4" t="str">
        <f>HYPERLINK("http://141.218.60.56/~jnz1568/getInfo.php?workbook=20_05.xlsx&amp;sheet=U0&amp;row=11762&amp;col=7&amp;number=0.000353&amp;sourceID=14","0.000353")</f>
        <v>0.000353</v>
      </c>
    </row>
    <row r="11763" spans="1:7">
      <c r="A11763" s="3"/>
      <c r="B11763" s="3"/>
      <c r="C11763" s="3"/>
      <c r="D11763" s="3"/>
      <c r="E11763" s="3">
        <v>20</v>
      </c>
      <c r="F11763" s="4" t="str">
        <f>HYPERLINK("http://141.218.60.56/~jnz1568/getInfo.php?workbook=20_05.xlsx&amp;sheet=U0&amp;row=11763&amp;col=6&amp;number=4.9&amp;sourceID=14","4.9")</f>
        <v>4.9</v>
      </c>
      <c r="G11763" s="4" t="str">
        <f>HYPERLINK("http://141.218.60.56/~jnz1568/getInfo.php?workbook=20_05.xlsx&amp;sheet=U0&amp;row=11763&amp;col=7&amp;number=0.000352&amp;sourceID=14","0.000352")</f>
        <v>0.000352</v>
      </c>
    </row>
    <row r="11764" spans="1:7">
      <c r="A11764" s="3">
        <v>20</v>
      </c>
      <c r="B11764" s="3">
        <v>5</v>
      </c>
      <c r="C11764" s="3">
        <v>5</v>
      </c>
      <c r="D11764" s="3">
        <v>123</v>
      </c>
      <c r="E11764" s="3">
        <v>1</v>
      </c>
      <c r="F11764" s="4" t="str">
        <f>HYPERLINK("http://141.218.60.56/~jnz1568/getInfo.php?workbook=20_05.xlsx&amp;sheet=U0&amp;row=11764&amp;col=6&amp;number=3&amp;sourceID=14","3")</f>
        <v>3</v>
      </c>
      <c r="G11764" s="4" t="str">
        <f>HYPERLINK("http://141.218.60.56/~jnz1568/getInfo.php?workbook=20_05.xlsx&amp;sheet=U0&amp;row=11764&amp;col=7&amp;number=0.00661&amp;sourceID=14","0.00661")</f>
        <v>0.00661</v>
      </c>
    </row>
    <row r="11765" spans="1:7">
      <c r="A11765" s="3"/>
      <c r="B11765" s="3"/>
      <c r="C11765" s="3"/>
      <c r="D11765" s="3"/>
      <c r="E11765" s="3">
        <v>2</v>
      </c>
      <c r="F11765" s="4" t="str">
        <f>HYPERLINK("http://141.218.60.56/~jnz1568/getInfo.php?workbook=20_05.xlsx&amp;sheet=U0&amp;row=11765&amp;col=6&amp;number=3.1&amp;sourceID=14","3.1")</f>
        <v>3.1</v>
      </c>
      <c r="G11765" s="4" t="str">
        <f>HYPERLINK("http://141.218.60.56/~jnz1568/getInfo.php?workbook=20_05.xlsx&amp;sheet=U0&amp;row=11765&amp;col=7&amp;number=0.00661&amp;sourceID=14","0.00661")</f>
        <v>0.00661</v>
      </c>
    </row>
    <row r="11766" spans="1:7">
      <c r="A11766" s="3"/>
      <c r="B11766" s="3"/>
      <c r="C11766" s="3"/>
      <c r="D11766" s="3"/>
      <c r="E11766" s="3">
        <v>3</v>
      </c>
      <c r="F11766" s="4" t="str">
        <f>HYPERLINK("http://141.218.60.56/~jnz1568/getInfo.php?workbook=20_05.xlsx&amp;sheet=U0&amp;row=11766&amp;col=6&amp;number=3.2&amp;sourceID=14","3.2")</f>
        <v>3.2</v>
      </c>
      <c r="G11766" s="4" t="str">
        <f>HYPERLINK("http://141.218.60.56/~jnz1568/getInfo.php?workbook=20_05.xlsx&amp;sheet=U0&amp;row=11766&amp;col=7&amp;number=0.00661&amp;sourceID=14","0.00661")</f>
        <v>0.00661</v>
      </c>
    </row>
    <row r="11767" spans="1:7">
      <c r="A11767" s="3"/>
      <c r="B11767" s="3"/>
      <c r="C11767" s="3"/>
      <c r="D11767" s="3"/>
      <c r="E11767" s="3">
        <v>4</v>
      </c>
      <c r="F11767" s="4" t="str">
        <f>HYPERLINK("http://141.218.60.56/~jnz1568/getInfo.php?workbook=20_05.xlsx&amp;sheet=U0&amp;row=11767&amp;col=6&amp;number=3.3&amp;sourceID=14","3.3")</f>
        <v>3.3</v>
      </c>
      <c r="G11767" s="4" t="str">
        <f>HYPERLINK("http://141.218.60.56/~jnz1568/getInfo.php?workbook=20_05.xlsx&amp;sheet=U0&amp;row=11767&amp;col=7&amp;number=0.00661&amp;sourceID=14","0.00661")</f>
        <v>0.00661</v>
      </c>
    </row>
    <row r="11768" spans="1:7">
      <c r="A11768" s="3"/>
      <c r="B11768" s="3"/>
      <c r="C11768" s="3"/>
      <c r="D11768" s="3"/>
      <c r="E11768" s="3">
        <v>5</v>
      </c>
      <c r="F11768" s="4" t="str">
        <f>HYPERLINK("http://141.218.60.56/~jnz1568/getInfo.php?workbook=20_05.xlsx&amp;sheet=U0&amp;row=11768&amp;col=6&amp;number=3.4&amp;sourceID=14","3.4")</f>
        <v>3.4</v>
      </c>
      <c r="G11768" s="4" t="str">
        <f>HYPERLINK("http://141.218.60.56/~jnz1568/getInfo.php?workbook=20_05.xlsx&amp;sheet=U0&amp;row=11768&amp;col=7&amp;number=0.00661&amp;sourceID=14","0.00661")</f>
        <v>0.00661</v>
      </c>
    </row>
    <row r="11769" spans="1:7">
      <c r="A11769" s="3"/>
      <c r="B11769" s="3"/>
      <c r="C11769" s="3"/>
      <c r="D11769" s="3"/>
      <c r="E11769" s="3">
        <v>6</v>
      </c>
      <c r="F11769" s="4" t="str">
        <f>HYPERLINK("http://141.218.60.56/~jnz1568/getInfo.php?workbook=20_05.xlsx&amp;sheet=U0&amp;row=11769&amp;col=6&amp;number=3.5&amp;sourceID=14","3.5")</f>
        <v>3.5</v>
      </c>
      <c r="G11769" s="4" t="str">
        <f>HYPERLINK("http://141.218.60.56/~jnz1568/getInfo.php?workbook=20_05.xlsx&amp;sheet=U0&amp;row=11769&amp;col=7&amp;number=0.00662&amp;sourceID=14","0.00662")</f>
        <v>0.00662</v>
      </c>
    </row>
    <row r="11770" spans="1:7">
      <c r="A11770" s="3"/>
      <c r="B11770" s="3"/>
      <c r="C11770" s="3"/>
      <c r="D11770" s="3"/>
      <c r="E11770" s="3">
        <v>7</v>
      </c>
      <c r="F11770" s="4" t="str">
        <f>HYPERLINK("http://141.218.60.56/~jnz1568/getInfo.php?workbook=20_05.xlsx&amp;sheet=U0&amp;row=11770&amp;col=6&amp;number=3.6&amp;sourceID=14","3.6")</f>
        <v>3.6</v>
      </c>
      <c r="G11770" s="4" t="str">
        <f>HYPERLINK("http://141.218.60.56/~jnz1568/getInfo.php?workbook=20_05.xlsx&amp;sheet=U0&amp;row=11770&amp;col=7&amp;number=0.00662&amp;sourceID=14","0.00662")</f>
        <v>0.00662</v>
      </c>
    </row>
    <row r="11771" spans="1:7">
      <c r="A11771" s="3"/>
      <c r="B11771" s="3"/>
      <c r="C11771" s="3"/>
      <c r="D11771" s="3"/>
      <c r="E11771" s="3">
        <v>8</v>
      </c>
      <c r="F11771" s="4" t="str">
        <f>HYPERLINK("http://141.218.60.56/~jnz1568/getInfo.php?workbook=20_05.xlsx&amp;sheet=U0&amp;row=11771&amp;col=6&amp;number=3.7&amp;sourceID=14","3.7")</f>
        <v>3.7</v>
      </c>
      <c r="G11771" s="4" t="str">
        <f>HYPERLINK("http://141.218.60.56/~jnz1568/getInfo.php?workbook=20_05.xlsx&amp;sheet=U0&amp;row=11771&amp;col=7&amp;number=0.00662&amp;sourceID=14","0.00662")</f>
        <v>0.00662</v>
      </c>
    </row>
    <row r="11772" spans="1:7">
      <c r="A11772" s="3"/>
      <c r="B11772" s="3"/>
      <c r="C11772" s="3"/>
      <c r="D11772" s="3"/>
      <c r="E11772" s="3">
        <v>9</v>
      </c>
      <c r="F11772" s="4" t="str">
        <f>HYPERLINK("http://141.218.60.56/~jnz1568/getInfo.php?workbook=20_05.xlsx&amp;sheet=U0&amp;row=11772&amp;col=6&amp;number=3.8&amp;sourceID=14","3.8")</f>
        <v>3.8</v>
      </c>
      <c r="G11772" s="4" t="str">
        <f>HYPERLINK("http://141.218.60.56/~jnz1568/getInfo.php?workbook=20_05.xlsx&amp;sheet=U0&amp;row=11772&amp;col=7&amp;number=0.00662&amp;sourceID=14","0.00662")</f>
        <v>0.00662</v>
      </c>
    </row>
    <row r="11773" spans="1:7">
      <c r="A11773" s="3"/>
      <c r="B11773" s="3"/>
      <c r="C11773" s="3"/>
      <c r="D11773" s="3"/>
      <c r="E11773" s="3">
        <v>10</v>
      </c>
      <c r="F11773" s="4" t="str">
        <f>HYPERLINK("http://141.218.60.56/~jnz1568/getInfo.php?workbook=20_05.xlsx&amp;sheet=U0&amp;row=11773&amp;col=6&amp;number=3.9&amp;sourceID=14","3.9")</f>
        <v>3.9</v>
      </c>
      <c r="G11773" s="4" t="str">
        <f>HYPERLINK("http://141.218.60.56/~jnz1568/getInfo.php?workbook=20_05.xlsx&amp;sheet=U0&amp;row=11773&amp;col=7&amp;number=0.00663&amp;sourceID=14","0.00663")</f>
        <v>0.00663</v>
      </c>
    </row>
    <row r="11774" spans="1:7">
      <c r="A11774" s="3"/>
      <c r="B11774" s="3"/>
      <c r="C11774" s="3"/>
      <c r="D11774" s="3"/>
      <c r="E11774" s="3">
        <v>11</v>
      </c>
      <c r="F11774" s="4" t="str">
        <f>HYPERLINK("http://141.218.60.56/~jnz1568/getInfo.php?workbook=20_05.xlsx&amp;sheet=U0&amp;row=11774&amp;col=6&amp;number=4&amp;sourceID=14","4")</f>
        <v>4</v>
      </c>
      <c r="G11774" s="4" t="str">
        <f>HYPERLINK("http://141.218.60.56/~jnz1568/getInfo.php?workbook=20_05.xlsx&amp;sheet=U0&amp;row=11774&amp;col=7&amp;number=0.00663&amp;sourceID=14","0.00663")</f>
        <v>0.00663</v>
      </c>
    </row>
    <row r="11775" spans="1:7">
      <c r="A11775" s="3"/>
      <c r="B11775" s="3"/>
      <c r="C11775" s="3"/>
      <c r="D11775" s="3"/>
      <c r="E11775" s="3">
        <v>12</v>
      </c>
      <c r="F11775" s="4" t="str">
        <f>HYPERLINK("http://141.218.60.56/~jnz1568/getInfo.php?workbook=20_05.xlsx&amp;sheet=U0&amp;row=11775&amp;col=6&amp;number=4.1&amp;sourceID=14","4.1")</f>
        <v>4.1</v>
      </c>
      <c r="G11775" s="4" t="str">
        <f>HYPERLINK("http://141.218.60.56/~jnz1568/getInfo.php?workbook=20_05.xlsx&amp;sheet=U0&amp;row=11775&amp;col=7&amp;number=0.00664&amp;sourceID=14","0.00664")</f>
        <v>0.00664</v>
      </c>
    </row>
    <row r="11776" spans="1:7">
      <c r="A11776" s="3"/>
      <c r="B11776" s="3"/>
      <c r="C11776" s="3"/>
      <c r="D11776" s="3"/>
      <c r="E11776" s="3">
        <v>13</v>
      </c>
      <c r="F11776" s="4" t="str">
        <f>HYPERLINK("http://141.218.60.56/~jnz1568/getInfo.php?workbook=20_05.xlsx&amp;sheet=U0&amp;row=11776&amp;col=6&amp;number=4.2&amp;sourceID=14","4.2")</f>
        <v>4.2</v>
      </c>
      <c r="G11776" s="4" t="str">
        <f>HYPERLINK("http://141.218.60.56/~jnz1568/getInfo.php?workbook=20_05.xlsx&amp;sheet=U0&amp;row=11776&amp;col=7&amp;number=0.00665&amp;sourceID=14","0.00665")</f>
        <v>0.00665</v>
      </c>
    </row>
    <row r="11777" spans="1:7">
      <c r="A11777" s="3"/>
      <c r="B11777" s="3"/>
      <c r="C11777" s="3"/>
      <c r="D11777" s="3"/>
      <c r="E11777" s="3">
        <v>14</v>
      </c>
      <c r="F11777" s="4" t="str">
        <f>HYPERLINK("http://141.218.60.56/~jnz1568/getInfo.php?workbook=20_05.xlsx&amp;sheet=U0&amp;row=11777&amp;col=6&amp;number=4.3&amp;sourceID=14","4.3")</f>
        <v>4.3</v>
      </c>
      <c r="G11777" s="4" t="str">
        <f>HYPERLINK("http://141.218.60.56/~jnz1568/getInfo.php?workbook=20_05.xlsx&amp;sheet=U0&amp;row=11777&amp;col=7&amp;number=0.00666&amp;sourceID=14","0.00666")</f>
        <v>0.00666</v>
      </c>
    </row>
    <row r="11778" spans="1:7">
      <c r="A11778" s="3"/>
      <c r="B11778" s="3"/>
      <c r="C11778" s="3"/>
      <c r="D11778" s="3"/>
      <c r="E11778" s="3">
        <v>15</v>
      </c>
      <c r="F11778" s="4" t="str">
        <f>HYPERLINK("http://141.218.60.56/~jnz1568/getInfo.php?workbook=20_05.xlsx&amp;sheet=U0&amp;row=11778&amp;col=6&amp;number=4.4&amp;sourceID=14","4.4")</f>
        <v>4.4</v>
      </c>
      <c r="G11778" s="4" t="str">
        <f>HYPERLINK("http://141.218.60.56/~jnz1568/getInfo.php?workbook=20_05.xlsx&amp;sheet=U0&amp;row=11778&amp;col=7&amp;number=0.00667&amp;sourceID=14","0.00667")</f>
        <v>0.00667</v>
      </c>
    </row>
    <row r="11779" spans="1:7">
      <c r="A11779" s="3"/>
      <c r="B11779" s="3"/>
      <c r="C11779" s="3"/>
      <c r="D11779" s="3"/>
      <c r="E11779" s="3">
        <v>16</v>
      </c>
      <c r="F11779" s="4" t="str">
        <f>HYPERLINK("http://141.218.60.56/~jnz1568/getInfo.php?workbook=20_05.xlsx&amp;sheet=U0&amp;row=11779&amp;col=6&amp;number=4.5&amp;sourceID=14","4.5")</f>
        <v>4.5</v>
      </c>
      <c r="G11779" s="4" t="str">
        <f>HYPERLINK("http://141.218.60.56/~jnz1568/getInfo.php?workbook=20_05.xlsx&amp;sheet=U0&amp;row=11779&amp;col=7&amp;number=0.00669&amp;sourceID=14","0.00669")</f>
        <v>0.00669</v>
      </c>
    </row>
    <row r="11780" spans="1:7">
      <c r="A11780" s="3"/>
      <c r="B11780" s="3"/>
      <c r="C11780" s="3"/>
      <c r="D11780" s="3"/>
      <c r="E11780" s="3">
        <v>17</v>
      </c>
      <c r="F11780" s="4" t="str">
        <f>HYPERLINK("http://141.218.60.56/~jnz1568/getInfo.php?workbook=20_05.xlsx&amp;sheet=U0&amp;row=11780&amp;col=6&amp;number=4.6&amp;sourceID=14","4.6")</f>
        <v>4.6</v>
      </c>
      <c r="G11780" s="4" t="str">
        <f>HYPERLINK("http://141.218.60.56/~jnz1568/getInfo.php?workbook=20_05.xlsx&amp;sheet=U0&amp;row=11780&amp;col=7&amp;number=0.00671&amp;sourceID=14","0.00671")</f>
        <v>0.00671</v>
      </c>
    </row>
    <row r="11781" spans="1:7">
      <c r="A11781" s="3"/>
      <c r="B11781" s="3"/>
      <c r="C11781" s="3"/>
      <c r="D11781" s="3"/>
      <c r="E11781" s="3">
        <v>18</v>
      </c>
      <c r="F11781" s="4" t="str">
        <f>HYPERLINK("http://141.218.60.56/~jnz1568/getInfo.php?workbook=20_05.xlsx&amp;sheet=U0&amp;row=11781&amp;col=6&amp;number=4.7&amp;sourceID=14","4.7")</f>
        <v>4.7</v>
      </c>
      <c r="G11781" s="4" t="str">
        <f>HYPERLINK("http://141.218.60.56/~jnz1568/getInfo.php?workbook=20_05.xlsx&amp;sheet=U0&amp;row=11781&amp;col=7&amp;number=0.00673&amp;sourceID=14","0.00673")</f>
        <v>0.00673</v>
      </c>
    </row>
    <row r="11782" spans="1:7">
      <c r="A11782" s="3"/>
      <c r="B11782" s="3"/>
      <c r="C11782" s="3"/>
      <c r="D11782" s="3"/>
      <c r="E11782" s="3">
        <v>19</v>
      </c>
      <c r="F11782" s="4" t="str">
        <f>HYPERLINK("http://141.218.60.56/~jnz1568/getInfo.php?workbook=20_05.xlsx&amp;sheet=U0&amp;row=11782&amp;col=6&amp;number=4.8&amp;sourceID=14","4.8")</f>
        <v>4.8</v>
      </c>
      <c r="G11782" s="4" t="str">
        <f>HYPERLINK("http://141.218.60.56/~jnz1568/getInfo.php?workbook=20_05.xlsx&amp;sheet=U0&amp;row=11782&amp;col=7&amp;number=0.00677&amp;sourceID=14","0.00677")</f>
        <v>0.00677</v>
      </c>
    </row>
    <row r="11783" spans="1:7">
      <c r="A11783" s="3"/>
      <c r="B11783" s="3"/>
      <c r="C11783" s="3"/>
      <c r="D11783" s="3"/>
      <c r="E11783" s="3">
        <v>20</v>
      </c>
      <c r="F11783" s="4" t="str">
        <f>HYPERLINK("http://141.218.60.56/~jnz1568/getInfo.php?workbook=20_05.xlsx&amp;sheet=U0&amp;row=11783&amp;col=6&amp;number=4.9&amp;sourceID=14","4.9")</f>
        <v>4.9</v>
      </c>
      <c r="G11783" s="4" t="str">
        <f>HYPERLINK("http://141.218.60.56/~jnz1568/getInfo.php?workbook=20_05.xlsx&amp;sheet=U0&amp;row=11783&amp;col=7&amp;number=0.00681&amp;sourceID=14","0.00681")</f>
        <v>0.00681</v>
      </c>
    </row>
    <row r="11784" spans="1:7">
      <c r="A11784" s="3">
        <v>20</v>
      </c>
      <c r="B11784" s="3">
        <v>5</v>
      </c>
      <c r="C11784" s="3">
        <v>5</v>
      </c>
      <c r="D11784" s="3">
        <v>124</v>
      </c>
      <c r="E11784" s="3">
        <v>1</v>
      </c>
      <c r="F11784" s="4" t="str">
        <f>HYPERLINK("http://141.218.60.56/~jnz1568/getInfo.php?workbook=20_05.xlsx&amp;sheet=U0&amp;row=11784&amp;col=6&amp;number=3&amp;sourceID=14","3")</f>
        <v>3</v>
      </c>
      <c r="G11784" s="4" t="str">
        <f>HYPERLINK("http://141.218.60.56/~jnz1568/getInfo.php?workbook=20_05.xlsx&amp;sheet=U0&amp;row=11784&amp;col=7&amp;number=7.01e-05&amp;sourceID=14","7.01e-05")</f>
        <v>7.01e-05</v>
      </c>
    </row>
    <row r="11785" spans="1:7">
      <c r="A11785" s="3"/>
      <c r="B11785" s="3"/>
      <c r="C11785" s="3"/>
      <c r="D11785" s="3"/>
      <c r="E11785" s="3">
        <v>2</v>
      </c>
      <c r="F11785" s="4" t="str">
        <f>HYPERLINK("http://141.218.60.56/~jnz1568/getInfo.php?workbook=20_05.xlsx&amp;sheet=U0&amp;row=11785&amp;col=6&amp;number=3.1&amp;sourceID=14","3.1")</f>
        <v>3.1</v>
      </c>
      <c r="G11785" s="4" t="str">
        <f>HYPERLINK("http://141.218.60.56/~jnz1568/getInfo.php?workbook=20_05.xlsx&amp;sheet=U0&amp;row=11785&amp;col=7&amp;number=7.01e-05&amp;sourceID=14","7.01e-05")</f>
        <v>7.01e-05</v>
      </c>
    </row>
    <row r="11786" spans="1:7">
      <c r="A11786" s="3"/>
      <c r="B11786" s="3"/>
      <c r="C11786" s="3"/>
      <c r="D11786" s="3"/>
      <c r="E11786" s="3">
        <v>3</v>
      </c>
      <c r="F11786" s="4" t="str">
        <f>HYPERLINK("http://141.218.60.56/~jnz1568/getInfo.php?workbook=20_05.xlsx&amp;sheet=U0&amp;row=11786&amp;col=6&amp;number=3.2&amp;sourceID=14","3.2")</f>
        <v>3.2</v>
      </c>
      <c r="G11786" s="4" t="str">
        <f>HYPERLINK("http://141.218.60.56/~jnz1568/getInfo.php?workbook=20_05.xlsx&amp;sheet=U0&amp;row=11786&amp;col=7&amp;number=7.01e-05&amp;sourceID=14","7.01e-05")</f>
        <v>7.01e-05</v>
      </c>
    </row>
    <row r="11787" spans="1:7">
      <c r="A11787" s="3"/>
      <c r="B11787" s="3"/>
      <c r="C11787" s="3"/>
      <c r="D11787" s="3"/>
      <c r="E11787" s="3">
        <v>4</v>
      </c>
      <c r="F11787" s="4" t="str">
        <f>HYPERLINK("http://141.218.60.56/~jnz1568/getInfo.php?workbook=20_05.xlsx&amp;sheet=U0&amp;row=11787&amp;col=6&amp;number=3.3&amp;sourceID=14","3.3")</f>
        <v>3.3</v>
      </c>
      <c r="G11787" s="4" t="str">
        <f>HYPERLINK("http://141.218.60.56/~jnz1568/getInfo.php?workbook=20_05.xlsx&amp;sheet=U0&amp;row=11787&amp;col=7&amp;number=7.01e-05&amp;sourceID=14","7.01e-05")</f>
        <v>7.01e-05</v>
      </c>
    </row>
    <row r="11788" spans="1:7">
      <c r="A11788" s="3"/>
      <c r="B11788" s="3"/>
      <c r="C11788" s="3"/>
      <c r="D11788" s="3"/>
      <c r="E11788" s="3">
        <v>5</v>
      </c>
      <c r="F11788" s="4" t="str">
        <f>HYPERLINK("http://141.218.60.56/~jnz1568/getInfo.php?workbook=20_05.xlsx&amp;sheet=U0&amp;row=11788&amp;col=6&amp;number=3.4&amp;sourceID=14","3.4")</f>
        <v>3.4</v>
      </c>
      <c r="G11788" s="4" t="str">
        <f>HYPERLINK("http://141.218.60.56/~jnz1568/getInfo.php?workbook=20_05.xlsx&amp;sheet=U0&amp;row=11788&amp;col=7&amp;number=7.01e-05&amp;sourceID=14","7.01e-05")</f>
        <v>7.01e-05</v>
      </c>
    </row>
    <row r="11789" spans="1:7">
      <c r="A11789" s="3"/>
      <c r="B11789" s="3"/>
      <c r="C11789" s="3"/>
      <c r="D11789" s="3"/>
      <c r="E11789" s="3">
        <v>6</v>
      </c>
      <c r="F11789" s="4" t="str">
        <f>HYPERLINK("http://141.218.60.56/~jnz1568/getInfo.php?workbook=20_05.xlsx&amp;sheet=U0&amp;row=11789&amp;col=6&amp;number=3.5&amp;sourceID=14","3.5")</f>
        <v>3.5</v>
      </c>
      <c r="G11789" s="4" t="str">
        <f>HYPERLINK("http://141.218.60.56/~jnz1568/getInfo.php?workbook=20_05.xlsx&amp;sheet=U0&amp;row=11789&amp;col=7&amp;number=7.01e-05&amp;sourceID=14","7.01e-05")</f>
        <v>7.01e-05</v>
      </c>
    </row>
    <row r="11790" spans="1:7">
      <c r="A11790" s="3"/>
      <c r="B11790" s="3"/>
      <c r="C11790" s="3"/>
      <c r="D11790" s="3"/>
      <c r="E11790" s="3">
        <v>7</v>
      </c>
      <c r="F11790" s="4" t="str">
        <f>HYPERLINK("http://141.218.60.56/~jnz1568/getInfo.php?workbook=20_05.xlsx&amp;sheet=U0&amp;row=11790&amp;col=6&amp;number=3.6&amp;sourceID=14","3.6")</f>
        <v>3.6</v>
      </c>
      <c r="G11790" s="4" t="str">
        <f>HYPERLINK("http://141.218.60.56/~jnz1568/getInfo.php?workbook=20_05.xlsx&amp;sheet=U0&amp;row=11790&amp;col=7&amp;number=7.02e-05&amp;sourceID=14","7.02e-05")</f>
        <v>7.02e-05</v>
      </c>
    </row>
    <row r="11791" spans="1:7">
      <c r="A11791" s="3"/>
      <c r="B11791" s="3"/>
      <c r="C11791" s="3"/>
      <c r="D11791" s="3"/>
      <c r="E11791" s="3">
        <v>8</v>
      </c>
      <c r="F11791" s="4" t="str">
        <f>HYPERLINK("http://141.218.60.56/~jnz1568/getInfo.php?workbook=20_05.xlsx&amp;sheet=U0&amp;row=11791&amp;col=6&amp;number=3.7&amp;sourceID=14","3.7")</f>
        <v>3.7</v>
      </c>
      <c r="G11791" s="4" t="str">
        <f>HYPERLINK("http://141.218.60.56/~jnz1568/getInfo.php?workbook=20_05.xlsx&amp;sheet=U0&amp;row=11791&amp;col=7&amp;number=7.02e-05&amp;sourceID=14","7.02e-05")</f>
        <v>7.02e-05</v>
      </c>
    </row>
    <row r="11792" spans="1:7">
      <c r="A11792" s="3"/>
      <c r="B11792" s="3"/>
      <c r="C11792" s="3"/>
      <c r="D11792" s="3"/>
      <c r="E11792" s="3">
        <v>9</v>
      </c>
      <c r="F11792" s="4" t="str">
        <f>HYPERLINK("http://141.218.60.56/~jnz1568/getInfo.php?workbook=20_05.xlsx&amp;sheet=U0&amp;row=11792&amp;col=6&amp;number=3.8&amp;sourceID=14","3.8")</f>
        <v>3.8</v>
      </c>
      <c r="G11792" s="4" t="str">
        <f>HYPERLINK("http://141.218.60.56/~jnz1568/getInfo.php?workbook=20_05.xlsx&amp;sheet=U0&amp;row=11792&amp;col=7&amp;number=7.02e-05&amp;sourceID=14","7.02e-05")</f>
        <v>7.02e-05</v>
      </c>
    </row>
    <row r="11793" spans="1:7">
      <c r="A11793" s="3"/>
      <c r="B11793" s="3"/>
      <c r="C11793" s="3"/>
      <c r="D11793" s="3"/>
      <c r="E11793" s="3">
        <v>10</v>
      </c>
      <c r="F11793" s="4" t="str">
        <f>HYPERLINK("http://141.218.60.56/~jnz1568/getInfo.php?workbook=20_05.xlsx&amp;sheet=U0&amp;row=11793&amp;col=6&amp;number=3.9&amp;sourceID=14","3.9")</f>
        <v>3.9</v>
      </c>
      <c r="G11793" s="4" t="str">
        <f>HYPERLINK("http://141.218.60.56/~jnz1568/getInfo.php?workbook=20_05.xlsx&amp;sheet=U0&amp;row=11793&amp;col=7&amp;number=7.03e-05&amp;sourceID=14","7.03e-05")</f>
        <v>7.03e-05</v>
      </c>
    </row>
    <row r="11794" spans="1:7">
      <c r="A11794" s="3"/>
      <c r="B11794" s="3"/>
      <c r="C11794" s="3"/>
      <c r="D11794" s="3"/>
      <c r="E11794" s="3">
        <v>11</v>
      </c>
      <c r="F11794" s="4" t="str">
        <f>HYPERLINK("http://141.218.60.56/~jnz1568/getInfo.php?workbook=20_05.xlsx&amp;sheet=U0&amp;row=11794&amp;col=6&amp;number=4&amp;sourceID=14","4")</f>
        <v>4</v>
      </c>
      <c r="G11794" s="4" t="str">
        <f>HYPERLINK("http://141.218.60.56/~jnz1568/getInfo.php?workbook=20_05.xlsx&amp;sheet=U0&amp;row=11794&amp;col=7&amp;number=7.03e-05&amp;sourceID=14","7.03e-05")</f>
        <v>7.03e-05</v>
      </c>
    </row>
    <row r="11795" spans="1:7">
      <c r="A11795" s="3"/>
      <c r="B11795" s="3"/>
      <c r="C11795" s="3"/>
      <c r="D11795" s="3"/>
      <c r="E11795" s="3">
        <v>12</v>
      </c>
      <c r="F11795" s="4" t="str">
        <f>HYPERLINK("http://141.218.60.56/~jnz1568/getInfo.php?workbook=20_05.xlsx&amp;sheet=U0&amp;row=11795&amp;col=6&amp;number=4.1&amp;sourceID=14","4.1")</f>
        <v>4.1</v>
      </c>
      <c r="G11795" s="4" t="str">
        <f>HYPERLINK("http://141.218.60.56/~jnz1568/getInfo.php?workbook=20_05.xlsx&amp;sheet=U0&amp;row=11795&amp;col=7&amp;number=7.04e-05&amp;sourceID=14","7.04e-05")</f>
        <v>7.04e-05</v>
      </c>
    </row>
    <row r="11796" spans="1:7">
      <c r="A11796" s="3"/>
      <c r="B11796" s="3"/>
      <c r="C11796" s="3"/>
      <c r="D11796" s="3"/>
      <c r="E11796" s="3">
        <v>13</v>
      </c>
      <c r="F11796" s="4" t="str">
        <f>HYPERLINK("http://141.218.60.56/~jnz1568/getInfo.php?workbook=20_05.xlsx&amp;sheet=U0&amp;row=11796&amp;col=6&amp;number=4.2&amp;sourceID=14","4.2")</f>
        <v>4.2</v>
      </c>
      <c r="G11796" s="4" t="str">
        <f>HYPERLINK("http://141.218.60.56/~jnz1568/getInfo.php?workbook=20_05.xlsx&amp;sheet=U0&amp;row=11796&amp;col=7&amp;number=7.05e-05&amp;sourceID=14","7.05e-05")</f>
        <v>7.05e-05</v>
      </c>
    </row>
    <row r="11797" spans="1:7">
      <c r="A11797" s="3"/>
      <c r="B11797" s="3"/>
      <c r="C11797" s="3"/>
      <c r="D11797" s="3"/>
      <c r="E11797" s="3">
        <v>14</v>
      </c>
      <c r="F11797" s="4" t="str">
        <f>HYPERLINK("http://141.218.60.56/~jnz1568/getInfo.php?workbook=20_05.xlsx&amp;sheet=U0&amp;row=11797&amp;col=6&amp;number=4.3&amp;sourceID=14","4.3")</f>
        <v>4.3</v>
      </c>
      <c r="G11797" s="4" t="str">
        <f>HYPERLINK("http://141.218.60.56/~jnz1568/getInfo.php?workbook=20_05.xlsx&amp;sheet=U0&amp;row=11797&amp;col=7&amp;number=7.06e-05&amp;sourceID=14","7.06e-05")</f>
        <v>7.06e-05</v>
      </c>
    </row>
    <row r="11798" spans="1:7">
      <c r="A11798" s="3"/>
      <c r="B11798" s="3"/>
      <c r="C11798" s="3"/>
      <c r="D11798" s="3"/>
      <c r="E11798" s="3">
        <v>15</v>
      </c>
      <c r="F11798" s="4" t="str">
        <f>HYPERLINK("http://141.218.60.56/~jnz1568/getInfo.php?workbook=20_05.xlsx&amp;sheet=U0&amp;row=11798&amp;col=6&amp;number=4.4&amp;sourceID=14","4.4")</f>
        <v>4.4</v>
      </c>
      <c r="G11798" s="4" t="str">
        <f>HYPERLINK("http://141.218.60.56/~jnz1568/getInfo.php?workbook=20_05.xlsx&amp;sheet=U0&amp;row=11798&amp;col=7&amp;number=7.07e-05&amp;sourceID=14","7.07e-05")</f>
        <v>7.07e-05</v>
      </c>
    </row>
    <row r="11799" spans="1:7">
      <c r="A11799" s="3"/>
      <c r="B11799" s="3"/>
      <c r="C11799" s="3"/>
      <c r="D11799" s="3"/>
      <c r="E11799" s="3">
        <v>16</v>
      </c>
      <c r="F11799" s="4" t="str">
        <f>HYPERLINK("http://141.218.60.56/~jnz1568/getInfo.php?workbook=20_05.xlsx&amp;sheet=U0&amp;row=11799&amp;col=6&amp;number=4.5&amp;sourceID=14","4.5")</f>
        <v>4.5</v>
      </c>
      <c r="G11799" s="4" t="str">
        <f>HYPERLINK("http://141.218.60.56/~jnz1568/getInfo.php?workbook=20_05.xlsx&amp;sheet=U0&amp;row=11799&amp;col=7&amp;number=7.09e-05&amp;sourceID=14","7.09e-05")</f>
        <v>7.09e-05</v>
      </c>
    </row>
    <row r="11800" spans="1:7">
      <c r="A11800" s="3"/>
      <c r="B11800" s="3"/>
      <c r="C11800" s="3"/>
      <c r="D11800" s="3"/>
      <c r="E11800" s="3">
        <v>17</v>
      </c>
      <c r="F11800" s="4" t="str">
        <f>HYPERLINK("http://141.218.60.56/~jnz1568/getInfo.php?workbook=20_05.xlsx&amp;sheet=U0&amp;row=11800&amp;col=6&amp;number=4.6&amp;sourceID=14","4.6")</f>
        <v>4.6</v>
      </c>
      <c r="G11800" s="4" t="str">
        <f>HYPERLINK("http://141.218.60.56/~jnz1568/getInfo.php?workbook=20_05.xlsx&amp;sheet=U0&amp;row=11800&amp;col=7&amp;number=7.11e-05&amp;sourceID=14","7.11e-05")</f>
        <v>7.11e-05</v>
      </c>
    </row>
    <row r="11801" spans="1:7">
      <c r="A11801" s="3"/>
      <c r="B11801" s="3"/>
      <c r="C11801" s="3"/>
      <c r="D11801" s="3"/>
      <c r="E11801" s="3">
        <v>18</v>
      </c>
      <c r="F11801" s="4" t="str">
        <f>HYPERLINK("http://141.218.60.56/~jnz1568/getInfo.php?workbook=20_05.xlsx&amp;sheet=U0&amp;row=11801&amp;col=6&amp;number=4.7&amp;sourceID=14","4.7")</f>
        <v>4.7</v>
      </c>
      <c r="G11801" s="4" t="str">
        <f>HYPERLINK("http://141.218.60.56/~jnz1568/getInfo.php?workbook=20_05.xlsx&amp;sheet=U0&amp;row=11801&amp;col=7&amp;number=7.13e-05&amp;sourceID=14","7.13e-05")</f>
        <v>7.13e-05</v>
      </c>
    </row>
    <row r="11802" spans="1:7">
      <c r="A11802" s="3"/>
      <c r="B11802" s="3"/>
      <c r="C11802" s="3"/>
      <c r="D11802" s="3"/>
      <c r="E11802" s="3">
        <v>19</v>
      </c>
      <c r="F11802" s="4" t="str">
        <f>HYPERLINK("http://141.218.60.56/~jnz1568/getInfo.php?workbook=20_05.xlsx&amp;sheet=U0&amp;row=11802&amp;col=6&amp;number=4.8&amp;sourceID=14","4.8")</f>
        <v>4.8</v>
      </c>
      <c r="G11802" s="4" t="str">
        <f>HYPERLINK("http://141.218.60.56/~jnz1568/getInfo.php?workbook=20_05.xlsx&amp;sheet=U0&amp;row=11802&amp;col=7&amp;number=7.17e-05&amp;sourceID=14","7.17e-05")</f>
        <v>7.17e-05</v>
      </c>
    </row>
    <row r="11803" spans="1:7">
      <c r="A11803" s="3"/>
      <c r="B11803" s="3"/>
      <c r="C11803" s="3"/>
      <c r="D11803" s="3"/>
      <c r="E11803" s="3">
        <v>20</v>
      </c>
      <c r="F11803" s="4" t="str">
        <f>HYPERLINK("http://141.218.60.56/~jnz1568/getInfo.php?workbook=20_05.xlsx&amp;sheet=U0&amp;row=11803&amp;col=6&amp;number=4.9&amp;sourceID=14","4.9")</f>
        <v>4.9</v>
      </c>
      <c r="G11803" s="4" t="str">
        <f>HYPERLINK("http://141.218.60.56/~jnz1568/getInfo.php?workbook=20_05.xlsx&amp;sheet=U0&amp;row=11803&amp;col=7&amp;number=7.21e-05&amp;sourceID=14","7.21e-05")</f>
        <v>7.21e-05</v>
      </c>
    </row>
    <row r="11804" spans="1:7">
      <c r="A11804" s="3">
        <v>20</v>
      </c>
      <c r="B11804" s="3">
        <v>5</v>
      </c>
      <c r="C11804" s="3">
        <v>2</v>
      </c>
      <c r="D11804" s="3">
        <v>125</v>
      </c>
      <c r="E11804" s="3">
        <v>1</v>
      </c>
      <c r="F11804" s="4" t="str">
        <f>HYPERLINK("http://141.218.60.56/~jnz1568/getInfo.php?workbook=20_05.xlsx&amp;sheet=U0&amp;row=11804&amp;col=6&amp;number=3&amp;sourceID=14","3")</f>
        <v>3</v>
      </c>
      <c r="G11804" s="4" t="str">
        <f>HYPERLINK("http://141.218.60.56/~jnz1568/getInfo.php?workbook=20_05.xlsx&amp;sheet=U0&amp;row=11804&amp;col=7&amp;number=0.0106&amp;sourceID=14","0.0106")</f>
        <v>0.0106</v>
      </c>
    </row>
    <row r="11805" spans="1:7">
      <c r="A11805" s="3"/>
      <c r="B11805" s="3"/>
      <c r="C11805" s="3"/>
      <c r="D11805" s="3"/>
      <c r="E11805" s="3">
        <v>2</v>
      </c>
      <c r="F11805" s="4" t="str">
        <f>HYPERLINK("http://141.218.60.56/~jnz1568/getInfo.php?workbook=20_05.xlsx&amp;sheet=U0&amp;row=11805&amp;col=6&amp;number=3.1&amp;sourceID=14","3.1")</f>
        <v>3.1</v>
      </c>
      <c r="G11805" s="4" t="str">
        <f>HYPERLINK("http://141.218.60.56/~jnz1568/getInfo.php?workbook=20_05.xlsx&amp;sheet=U0&amp;row=11805&amp;col=7&amp;number=0.0106&amp;sourceID=14","0.0106")</f>
        <v>0.0106</v>
      </c>
    </row>
    <row r="11806" spans="1:7">
      <c r="A11806" s="3"/>
      <c r="B11806" s="3"/>
      <c r="C11806" s="3"/>
      <c r="D11806" s="3"/>
      <c r="E11806" s="3">
        <v>3</v>
      </c>
      <c r="F11806" s="4" t="str">
        <f>HYPERLINK("http://141.218.60.56/~jnz1568/getInfo.php?workbook=20_05.xlsx&amp;sheet=U0&amp;row=11806&amp;col=6&amp;number=3.2&amp;sourceID=14","3.2")</f>
        <v>3.2</v>
      </c>
      <c r="G11806" s="4" t="str">
        <f>HYPERLINK("http://141.218.60.56/~jnz1568/getInfo.php?workbook=20_05.xlsx&amp;sheet=U0&amp;row=11806&amp;col=7&amp;number=0.0106&amp;sourceID=14","0.0106")</f>
        <v>0.0106</v>
      </c>
    </row>
    <row r="11807" spans="1:7">
      <c r="A11807" s="3"/>
      <c r="B11807" s="3"/>
      <c r="C11807" s="3"/>
      <c r="D11807" s="3"/>
      <c r="E11807" s="3">
        <v>4</v>
      </c>
      <c r="F11807" s="4" t="str">
        <f>HYPERLINK("http://141.218.60.56/~jnz1568/getInfo.php?workbook=20_05.xlsx&amp;sheet=U0&amp;row=11807&amp;col=6&amp;number=3.3&amp;sourceID=14","3.3")</f>
        <v>3.3</v>
      </c>
      <c r="G11807" s="4" t="str">
        <f>HYPERLINK("http://141.218.60.56/~jnz1568/getInfo.php?workbook=20_05.xlsx&amp;sheet=U0&amp;row=11807&amp;col=7&amp;number=0.0106&amp;sourceID=14","0.0106")</f>
        <v>0.0106</v>
      </c>
    </row>
    <row r="11808" spans="1:7">
      <c r="A11808" s="3"/>
      <c r="B11808" s="3"/>
      <c r="C11808" s="3"/>
      <c r="D11808" s="3"/>
      <c r="E11808" s="3">
        <v>5</v>
      </c>
      <c r="F11808" s="4" t="str">
        <f>HYPERLINK("http://141.218.60.56/~jnz1568/getInfo.php?workbook=20_05.xlsx&amp;sheet=U0&amp;row=11808&amp;col=6&amp;number=3.4&amp;sourceID=14","3.4")</f>
        <v>3.4</v>
      </c>
      <c r="G11808" s="4" t="str">
        <f>HYPERLINK("http://141.218.60.56/~jnz1568/getInfo.php?workbook=20_05.xlsx&amp;sheet=U0&amp;row=11808&amp;col=7&amp;number=0.0106&amp;sourceID=14","0.0106")</f>
        <v>0.0106</v>
      </c>
    </row>
    <row r="11809" spans="1:7">
      <c r="A11809" s="3"/>
      <c r="B11809" s="3"/>
      <c r="C11809" s="3"/>
      <c r="D11809" s="3"/>
      <c r="E11809" s="3">
        <v>6</v>
      </c>
      <c r="F11809" s="4" t="str">
        <f>HYPERLINK("http://141.218.60.56/~jnz1568/getInfo.php?workbook=20_05.xlsx&amp;sheet=U0&amp;row=11809&amp;col=6&amp;number=3.5&amp;sourceID=14","3.5")</f>
        <v>3.5</v>
      </c>
      <c r="G11809" s="4" t="str">
        <f>HYPERLINK("http://141.218.60.56/~jnz1568/getInfo.php?workbook=20_05.xlsx&amp;sheet=U0&amp;row=11809&amp;col=7&amp;number=0.0106&amp;sourceID=14","0.0106")</f>
        <v>0.0106</v>
      </c>
    </row>
    <row r="11810" spans="1:7">
      <c r="A11810" s="3"/>
      <c r="B11810" s="3"/>
      <c r="C11810" s="3"/>
      <c r="D11810" s="3"/>
      <c r="E11810" s="3">
        <v>7</v>
      </c>
      <c r="F11810" s="4" t="str">
        <f>HYPERLINK("http://141.218.60.56/~jnz1568/getInfo.php?workbook=20_05.xlsx&amp;sheet=U0&amp;row=11810&amp;col=6&amp;number=3.6&amp;sourceID=14","3.6")</f>
        <v>3.6</v>
      </c>
      <c r="G11810" s="4" t="str">
        <f>HYPERLINK("http://141.218.60.56/~jnz1568/getInfo.php?workbook=20_05.xlsx&amp;sheet=U0&amp;row=11810&amp;col=7&amp;number=0.0106&amp;sourceID=14","0.0106")</f>
        <v>0.0106</v>
      </c>
    </row>
    <row r="11811" spans="1:7">
      <c r="A11811" s="3"/>
      <c r="B11811" s="3"/>
      <c r="C11811" s="3"/>
      <c r="D11811" s="3"/>
      <c r="E11811" s="3">
        <v>8</v>
      </c>
      <c r="F11811" s="4" t="str">
        <f>HYPERLINK("http://141.218.60.56/~jnz1568/getInfo.php?workbook=20_05.xlsx&amp;sheet=U0&amp;row=11811&amp;col=6&amp;number=3.7&amp;sourceID=14","3.7")</f>
        <v>3.7</v>
      </c>
      <c r="G11811" s="4" t="str">
        <f>HYPERLINK("http://141.218.60.56/~jnz1568/getInfo.php?workbook=20_05.xlsx&amp;sheet=U0&amp;row=11811&amp;col=7&amp;number=0.0106&amp;sourceID=14","0.0106")</f>
        <v>0.0106</v>
      </c>
    </row>
    <row r="11812" spans="1:7">
      <c r="A11812" s="3"/>
      <c r="B11812" s="3"/>
      <c r="C11812" s="3"/>
      <c r="D11812" s="3"/>
      <c r="E11812" s="3">
        <v>9</v>
      </c>
      <c r="F11812" s="4" t="str">
        <f>HYPERLINK("http://141.218.60.56/~jnz1568/getInfo.php?workbook=20_05.xlsx&amp;sheet=U0&amp;row=11812&amp;col=6&amp;number=3.8&amp;sourceID=14","3.8")</f>
        <v>3.8</v>
      </c>
      <c r="G11812" s="4" t="str">
        <f>HYPERLINK("http://141.218.60.56/~jnz1568/getInfo.php?workbook=20_05.xlsx&amp;sheet=U0&amp;row=11812&amp;col=7&amp;number=0.0106&amp;sourceID=14","0.0106")</f>
        <v>0.0106</v>
      </c>
    </row>
    <row r="11813" spans="1:7">
      <c r="A11813" s="3"/>
      <c r="B11813" s="3"/>
      <c r="C11813" s="3"/>
      <c r="D11813" s="3"/>
      <c r="E11813" s="3">
        <v>10</v>
      </c>
      <c r="F11813" s="4" t="str">
        <f>HYPERLINK("http://141.218.60.56/~jnz1568/getInfo.php?workbook=20_05.xlsx&amp;sheet=U0&amp;row=11813&amp;col=6&amp;number=3.9&amp;sourceID=14","3.9")</f>
        <v>3.9</v>
      </c>
      <c r="G11813" s="4" t="str">
        <f>HYPERLINK("http://141.218.60.56/~jnz1568/getInfo.php?workbook=20_05.xlsx&amp;sheet=U0&amp;row=11813&amp;col=7&amp;number=0.0106&amp;sourceID=14","0.0106")</f>
        <v>0.0106</v>
      </c>
    </row>
    <row r="11814" spans="1:7">
      <c r="A11814" s="3"/>
      <c r="B11814" s="3"/>
      <c r="C11814" s="3"/>
      <c r="D11814" s="3"/>
      <c r="E11814" s="3">
        <v>11</v>
      </c>
      <c r="F11814" s="4" t="str">
        <f>HYPERLINK("http://141.218.60.56/~jnz1568/getInfo.php?workbook=20_05.xlsx&amp;sheet=U0&amp;row=11814&amp;col=6&amp;number=4&amp;sourceID=14","4")</f>
        <v>4</v>
      </c>
      <c r="G11814" s="4" t="str">
        <f>HYPERLINK("http://141.218.60.56/~jnz1568/getInfo.php?workbook=20_05.xlsx&amp;sheet=U0&amp;row=11814&amp;col=7&amp;number=0.0106&amp;sourceID=14","0.0106")</f>
        <v>0.0106</v>
      </c>
    </row>
    <row r="11815" spans="1:7">
      <c r="A11815" s="3"/>
      <c r="B11815" s="3"/>
      <c r="C11815" s="3"/>
      <c r="D11815" s="3"/>
      <c r="E11815" s="3">
        <v>12</v>
      </c>
      <c r="F11815" s="4" t="str">
        <f>HYPERLINK("http://141.218.60.56/~jnz1568/getInfo.php?workbook=20_05.xlsx&amp;sheet=U0&amp;row=11815&amp;col=6&amp;number=4.1&amp;sourceID=14","4.1")</f>
        <v>4.1</v>
      </c>
      <c r="G11815" s="4" t="str">
        <f>HYPERLINK("http://141.218.60.56/~jnz1568/getInfo.php?workbook=20_05.xlsx&amp;sheet=U0&amp;row=11815&amp;col=7&amp;number=0.0106&amp;sourceID=14","0.0106")</f>
        <v>0.0106</v>
      </c>
    </row>
    <row r="11816" spans="1:7">
      <c r="A11816" s="3"/>
      <c r="B11816" s="3"/>
      <c r="C11816" s="3"/>
      <c r="D11816" s="3"/>
      <c r="E11816" s="3">
        <v>13</v>
      </c>
      <c r="F11816" s="4" t="str">
        <f>HYPERLINK("http://141.218.60.56/~jnz1568/getInfo.php?workbook=20_05.xlsx&amp;sheet=U0&amp;row=11816&amp;col=6&amp;number=4.2&amp;sourceID=14","4.2")</f>
        <v>4.2</v>
      </c>
      <c r="G11816" s="4" t="str">
        <f>HYPERLINK("http://141.218.60.56/~jnz1568/getInfo.php?workbook=20_05.xlsx&amp;sheet=U0&amp;row=11816&amp;col=7&amp;number=0.0106&amp;sourceID=14","0.0106")</f>
        <v>0.0106</v>
      </c>
    </row>
    <row r="11817" spans="1:7">
      <c r="A11817" s="3"/>
      <c r="B11817" s="3"/>
      <c r="C11817" s="3"/>
      <c r="D11817" s="3"/>
      <c r="E11817" s="3">
        <v>14</v>
      </c>
      <c r="F11817" s="4" t="str">
        <f>HYPERLINK("http://141.218.60.56/~jnz1568/getInfo.php?workbook=20_05.xlsx&amp;sheet=U0&amp;row=11817&amp;col=6&amp;number=4.3&amp;sourceID=14","4.3")</f>
        <v>4.3</v>
      </c>
      <c r="G11817" s="4" t="str">
        <f>HYPERLINK("http://141.218.60.56/~jnz1568/getInfo.php?workbook=20_05.xlsx&amp;sheet=U0&amp;row=11817&amp;col=7&amp;number=0.0106&amp;sourceID=14","0.0106")</f>
        <v>0.0106</v>
      </c>
    </row>
    <row r="11818" spans="1:7">
      <c r="A11818" s="3"/>
      <c r="B11818" s="3"/>
      <c r="C11818" s="3"/>
      <c r="D11818" s="3"/>
      <c r="E11818" s="3">
        <v>15</v>
      </c>
      <c r="F11818" s="4" t="str">
        <f>HYPERLINK("http://141.218.60.56/~jnz1568/getInfo.php?workbook=20_05.xlsx&amp;sheet=U0&amp;row=11818&amp;col=6&amp;number=4.4&amp;sourceID=14","4.4")</f>
        <v>4.4</v>
      </c>
      <c r="G11818" s="4" t="str">
        <f>HYPERLINK("http://141.218.60.56/~jnz1568/getInfo.php?workbook=20_05.xlsx&amp;sheet=U0&amp;row=11818&amp;col=7&amp;number=0.0106&amp;sourceID=14","0.0106")</f>
        <v>0.0106</v>
      </c>
    </row>
    <row r="11819" spans="1:7">
      <c r="A11819" s="3"/>
      <c r="B11819" s="3"/>
      <c r="C11819" s="3"/>
      <c r="D11819" s="3"/>
      <c r="E11819" s="3">
        <v>16</v>
      </c>
      <c r="F11819" s="4" t="str">
        <f>HYPERLINK("http://141.218.60.56/~jnz1568/getInfo.php?workbook=20_05.xlsx&amp;sheet=U0&amp;row=11819&amp;col=6&amp;number=4.5&amp;sourceID=14","4.5")</f>
        <v>4.5</v>
      </c>
      <c r="G11819" s="4" t="str">
        <f>HYPERLINK("http://141.218.60.56/~jnz1568/getInfo.php?workbook=20_05.xlsx&amp;sheet=U0&amp;row=11819&amp;col=7&amp;number=0.0105&amp;sourceID=14","0.0105")</f>
        <v>0.0105</v>
      </c>
    </row>
    <row r="11820" spans="1:7">
      <c r="A11820" s="3"/>
      <c r="B11820" s="3"/>
      <c r="C11820" s="3"/>
      <c r="D11820" s="3"/>
      <c r="E11820" s="3">
        <v>17</v>
      </c>
      <c r="F11820" s="4" t="str">
        <f>HYPERLINK("http://141.218.60.56/~jnz1568/getInfo.php?workbook=20_05.xlsx&amp;sheet=U0&amp;row=11820&amp;col=6&amp;number=4.6&amp;sourceID=14","4.6")</f>
        <v>4.6</v>
      </c>
      <c r="G11820" s="4" t="str">
        <f>HYPERLINK("http://141.218.60.56/~jnz1568/getInfo.php?workbook=20_05.xlsx&amp;sheet=U0&amp;row=11820&amp;col=7&amp;number=0.0105&amp;sourceID=14","0.0105")</f>
        <v>0.0105</v>
      </c>
    </row>
    <row r="11821" spans="1:7">
      <c r="A11821" s="3"/>
      <c r="B11821" s="3"/>
      <c r="C11821" s="3"/>
      <c r="D11821" s="3"/>
      <c r="E11821" s="3">
        <v>18</v>
      </c>
      <c r="F11821" s="4" t="str">
        <f>HYPERLINK("http://141.218.60.56/~jnz1568/getInfo.php?workbook=20_05.xlsx&amp;sheet=U0&amp;row=11821&amp;col=6&amp;number=4.7&amp;sourceID=14","4.7")</f>
        <v>4.7</v>
      </c>
      <c r="G11821" s="4" t="str">
        <f>HYPERLINK("http://141.218.60.56/~jnz1568/getInfo.php?workbook=20_05.xlsx&amp;sheet=U0&amp;row=11821&amp;col=7&amp;number=0.0105&amp;sourceID=14","0.0105")</f>
        <v>0.0105</v>
      </c>
    </row>
    <row r="11822" spans="1:7">
      <c r="A11822" s="3"/>
      <c r="B11822" s="3"/>
      <c r="C11822" s="3"/>
      <c r="D11822" s="3"/>
      <c r="E11822" s="3">
        <v>19</v>
      </c>
      <c r="F11822" s="4" t="str">
        <f>HYPERLINK("http://141.218.60.56/~jnz1568/getInfo.php?workbook=20_05.xlsx&amp;sheet=U0&amp;row=11822&amp;col=6&amp;number=4.8&amp;sourceID=14","4.8")</f>
        <v>4.8</v>
      </c>
      <c r="G11822" s="4" t="str">
        <f>HYPERLINK("http://141.218.60.56/~jnz1568/getInfo.php?workbook=20_05.xlsx&amp;sheet=U0&amp;row=11822&amp;col=7&amp;number=0.0105&amp;sourceID=14","0.0105")</f>
        <v>0.0105</v>
      </c>
    </row>
    <row r="11823" spans="1:7">
      <c r="A11823" s="3"/>
      <c r="B11823" s="3"/>
      <c r="C11823" s="3"/>
      <c r="D11823" s="3"/>
      <c r="E11823" s="3">
        <v>20</v>
      </c>
      <c r="F11823" s="4" t="str">
        <f>HYPERLINK("http://141.218.60.56/~jnz1568/getInfo.php?workbook=20_05.xlsx&amp;sheet=U0&amp;row=11823&amp;col=6&amp;number=4.9&amp;sourceID=14","4.9")</f>
        <v>4.9</v>
      </c>
      <c r="G11823" s="4" t="str">
        <f>HYPERLINK("http://141.218.60.56/~jnz1568/getInfo.php?workbook=20_05.xlsx&amp;sheet=U0&amp;row=11823&amp;col=7&amp;number=0.0104&amp;sourceID=14","0.0104")</f>
        <v>0.0104</v>
      </c>
    </row>
    <row r="11824" spans="1:7">
      <c r="A11824" s="3">
        <v>20</v>
      </c>
      <c r="B11824" s="3">
        <v>5</v>
      </c>
      <c r="C11824" s="3">
        <v>3</v>
      </c>
      <c r="D11824" s="3">
        <v>125</v>
      </c>
      <c r="E11824" s="3">
        <v>1</v>
      </c>
      <c r="F11824" s="4" t="str">
        <f>HYPERLINK("http://141.218.60.56/~jnz1568/getInfo.php?workbook=20_05.xlsx&amp;sheet=U0&amp;row=11824&amp;col=6&amp;number=3&amp;sourceID=14","3")</f>
        <v>3</v>
      </c>
      <c r="G11824" s="4" t="str">
        <f>HYPERLINK("http://141.218.60.56/~jnz1568/getInfo.php?workbook=20_05.xlsx&amp;sheet=U0&amp;row=11824&amp;col=7&amp;number=0.00111&amp;sourceID=14","0.00111")</f>
        <v>0.00111</v>
      </c>
    </row>
    <row r="11825" spans="1:7">
      <c r="A11825" s="3"/>
      <c r="B11825" s="3"/>
      <c r="C11825" s="3"/>
      <c r="D11825" s="3"/>
      <c r="E11825" s="3">
        <v>2</v>
      </c>
      <c r="F11825" s="4" t="str">
        <f>HYPERLINK("http://141.218.60.56/~jnz1568/getInfo.php?workbook=20_05.xlsx&amp;sheet=U0&amp;row=11825&amp;col=6&amp;number=3.1&amp;sourceID=14","3.1")</f>
        <v>3.1</v>
      </c>
      <c r="G11825" s="4" t="str">
        <f>HYPERLINK("http://141.218.60.56/~jnz1568/getInfo.php?workbook=20_05.xlsx&amp;sheet=U0&amp;row=11825&amp;col=7&amp;number=0.00111&amp;sourceID=14","0.00111")</f>
        <v>0.00111</v>
      </c>
    </row>
    <row r="11826" spans="1:7">
      <c r="A11826" s="3"/>
      <c r="B11826" s="3"/>
      <c r="C11826" s="3"/>
      <c r="D11826" s="3"/>
      <c r="E11826" s="3">
        <v>3</v>
      </c>
      <c r="F11826" s="4" t="str">
        <f>HYPERLINK("http://141.218.60.56/~jnz1568/getInfo.php?workbook=20_05.xlsx&amp;sheet=U0&amp;row=11826&amp;col=6&amp;number=3.2&amp;sourceID=14","3.2")</f>
        <v>3.2</v>
      </c>
      <c r="G11826" s="4" t="str">
        <f>HYPERLINK("http://141.218.60.56/~jnz1568/getInfo.php?workbook=20_05.xlsx&amp;sheet=U0&amp;row=11826&amp;col=7&amp;number=0.00111&amp;sourceID=14","0.00111")</f>
        <v>0.00111</v>
      </c>
    </row>
    <row r="11827" spans="1:7">
      <c r="A11827" s="3"/>
      <c r="B11827" s="3"/>
      <c r="C11827" s="3"/>
      <c r="D11827" s="3"/>
      <c r="E11827" s="3">
        <v>4</v>
      </c>
      <c r="F11827" s="4" t="str">
        <f>HYPERLINK("http://141.218.60.56/~jnz1568/getInfo.php?workbook=20_05.xlsx&amp;sheet=U0&amp;row=11827&amp;col=6&amp;number=3.3&amp;sourceID=14","3.3")</f>
        <v>3.3</v>
      </c>
      <c r="G11827" s="4" t="str">
        <f>HYPERLINK("http://141.218.60.56/~jnz1568/getInfo.php?workbook=20_05.xlsx&amp;sheet=U0&amp;row=11827&amp;col=7&amp;number=0.00111&amp;sourceID=14","0.00111")</f>
        <v>0.00111</v>
      </c>
    </row>
    <row r="11828" spans="1:7">
      <c r="A11828" s="3"/>
      <c r="B11828" s="3"/>
      <c r="C11828" s="3"/>
      <c r="D11828" s="3"/>
      <c r="E11828" s="3">
        <v>5</v>
      </c>
      <c r="F11828" s="4" t="str">
        <f>HYPERLINK("http://141.218.60.56/~jnz1568/getInfo.php?workbook=20_05.xlsx&amp;sheet=U0&amp;row=11828&amp;col=6&amp;number=3.4&amp;sourceID=14","3.4")</f>
        <v>3.4</v>
      </c>
      <c r="G11828" s="4" t="str">
        <f>HYPERLINK("http://141.218.60.56/~jnz1568/getInfo.php?workbook=20_05.xlsx&amp;sheet=U0&amp;row=11828&amp;col=7&amp;number=0.00111&amp;sourceID=14","0.00111")</f>
        <v>0.00111</v>
      </c>
    </row>
    <row r="11829" spans="1:7">
      <c r="A11829" s="3"/>
      <c r="B11829" s="3"/>
      <c r="C11829" s="3"/>
      <c r="D11829" s="3"/>
      <c r="E11829" s="3">
        <v>6</v>
      </c>
      <c r="F11829" s="4" t="str">
        <f>HYPERLINK("http://141.218.60.56/~jnz1568/getInfo.php?workbook=20_05.xlsx&amp;sheet=U0&amp;row=11829&amp;col=6&amp;number=3.5&amp;sourceID=14","3.5")</f>
        <v>3.5</v>
      </c>
      <c r="G11829" s="4" t="str">
        <f>HYPERLINK("http://141.218.60.56/~jnz1568/getInfo.php?workbook=20_05.xlsx&amp;sheet=U0&amp;row=11829&amp;col=7&amp;number=0.00111&amp;sourceID=14","0.00111")</f>
        <v>0.00111</v>
      </c>
    </row>
    <row r="11830" spans="1:7">
      <c r="A11830" s="3"/>
      <c r="B11830" s="3"/>
      <c r="C11830" s="3"/>
      <c r="D11830" s="3"/>
      <c r="E11830" s="3">
        <v>7</v>
      </c>
      <c r="F11830" s="4" t="str">
        <f>HYPERLINK("http://141.218.60.56/~jnz1568/getInfo.php?workbook=20_05.xlsx&amp;sheet=U0&amp;row=11830&amp;col=6&amp;number=3.6&amp;sourceID=14","3.6")</f>
        <v>3.6</v>
      </c>
      <c r="G11830" s="4" t="str">
        <f>HYPERLINK("http://141.218.60.56/~jnz1568/getInfo.php?workbook=20_05.xlsx&amp;sheet=U0&amp;row=11830&amp;col=7&amp;number=0.00111&amp;sourceID=14","0.00111")</f>
        <v>0.00111</v>
      </c>
    </row>
    <row r="11831" spans="1:7">
      <c r="A11831" s="3"/>
      <c r="B11831" s="3"/>
      <c r="C11831" s="3"/>
      <c r="D11831" s="3"/>
      <c r="E11831" s="3">
        <v>8</v>
      </c>
      <c r="F11831" s="4" t="str">
        <f>HYPERLINK("http://141.218.60.56/~jnz1568/getInfo.php?workbook=20_05.xlsx&amp;sheet=U0&amp;row=11831&amp;col=6&amp;number=3.7&amp;sourceID=14","3.7")</f>
        <v>3.7</v>
      </c>
      <c r="G11831" s="4" t="str">
        <f>HYPERLINK("http://141.218.60.56/~jnz1568/getInfo.php?workbook=20_05.xlsx&amp;sheet=U0&amp;row=11831&amp;col=7&amp;number=0.00111&amp;sourceID=14","0.00111")</f>
        <v>0.00111</v>
      </c>
    </row>
    <row r="11832" spans="1:7">
      <c r="A11832" s="3"/>
      <c r="B11832" s="3"/>
      <c r="C11832" s="3"/>
      <c r="D11832" s="3"/>
      <c r="E11832" s="3">
        <v>9</v>
      </c>
      <c r="F11832" s="4" t="str">
        <f>HYPERLINK("http://141.218.60.56/~jnz1568/getInfo.php?workbook=20_05.xlsx&amp;sheet=U0&amp;row=11832&amp;col=6&amp;number=3.8&amp;sourceID=14","3.8")</f>
        <v>3.8</v>
      </c>
      <c r="G11832" s="4" t="str">
        <f>HYPERLINK("http://141.218.60.56/~jnz1568/getInfo.php?workbook=20_05.xlsx&amp;sheet=U0&amp;row=11832&amp;col=7&amp;number=0.00111&amp;sourceID=14","0.00111")</f>
        <v>0.00111</v>
      </c>
    </row>
    <row r="11833" spans="1:7">
      <c r="A11833" s="3"/>
      <c r="B11833" s="3"/>
      <c r="C11833" s="3"/>
      <c r="D11833" s="3"/>
      <c r="E11833" s="3">
        <v>10</v>
      </c>
      <c r="F11833" s="4" t="str">
        <f>HYPERLINK("http://141.218.60.56/~jnz1568/getInfo.php?workbook=20_05.xlsx&amp;sheet=U0&amp;row=11833&amp;col=6&amp;number=3.9&amp;sourceID=14","3.9")</f>
        <v>3.9</v>
      </c>
      <c r="G11833" s="4" t="str">
        <f>HYPERLINK("http://141.218.60.56/~jnz1568/getInfo.php?workbook=20_05.xlsx&amp;sheet=U0&amp;row=11833&amp;col=7&amp;number=0.00111&amp;sourceID=14","0.00111")</f>
        <v>0.00111</v>
      </c>
    </row>
    <row r="11834" spans="1:7">
      <c r="A11834" s="3"/>
      <c r="B11834" s="3"/>
      <c r="C11834" s="3"/>
      <c r="D11834" s="3"/>
      <c r="E11834" s="3">
        <v>11</v>
      </c>
      <c r="F11834" s="4" t="str">
        <f>HYPERLINK("http://141.218.60.56/~jnz1568/getInfo.php?workbook=20_05.xlsx&amp;sheet=U0&amp;row=11834&amp;col=6&amp;number=4&amp;sourceID=14","4")</f>
        <v>4</v>
      </c>
      <c r="G11834" s="4" t="str">
        <f>HYPERLINK("http://141.218.60.56/~jnz1568/getInfo.php?workbook=20_05.xlsx&amp;sheet=U0&amp;row=11834&amp;col=7&amp;number=0.0011&amp;sourceID=14","0.0011")</f>
        <v>0.0011</v>
      </c>
    </row>
    <row r="11835" spans="1:7">
      <c r="A11835" s="3"/>
      <c r="B11835" s="3"/>
      <c r="C11835" s="3"/>
      <c r="D11835" s="3"/>
      <c r="E11835" s="3">
        <v>12</v>
      </c>
      <c r="F11835" s="4" t="str">
        <f>HYPERLINK("http://141.218.60.56/~jnz1568/getInfo.php?workbook=20_05.xlsx&amp;sheet=U0&amp;row=11835&amp;col=6&amp;number=4.1&amp;sourceID=14","4.1")</f>
        <v>4.1</v>
      </c>
      <c r="G11835" s="4" t="str">
        <f>HYPERLINK("http://141.218.60.56/~jnz1568/getInfo.php?workbook=20_05.xlsx&amp;sheet=U0&amp;row=11835&amp;col=7&amp;number=0.0011&amp;sourceID=14","0.0011")</f>
        <v>0.0011</v>
      </c>
    </row>
    <row r="11836" spans="1:7">
      <c r="A11836" s="3"/>
      <c r="B11836" s="3"/>
      <c r="C11836" s="3"/>
      <c r="D11836" s="3"/>
      <c r="E11836" s="3">
        <v>13</v>
      </c>
      <c r="F11836" s="4" t="str">
        <f>HYPERLINK("http://141.218.60.56/~jnz1568/getInfo.php?workbook=20_05.xlsx&amp;sheet=U0&amp;row=11836&amp;col=6&amp;number=4.2&amp;sourceID=14","4.2")</f>
        <v>4.2</v>
      </c>
      <c r="G11836" s="4" t="str">
        <f>HYPERLINK("http://141.218.60.56/~jnz1568/getInfo.php?workbook=20_05.xlsx&amp;sheet=U0&amp;row=11836&amp;col=7&amp;number=0.0011&amp;sourceID=14","0.0011")</f>
        <v>0.0011</v>
      </c>
    </row>
    <row r="11837" spans="1:7">
      <c r="A11837" s="3"/>
      <c r="B11837" s="3"/>
      <c r="C11837" s="3"/>
      <c r="D11837" s="3"/>
      <c r="E11837" s="3">
        <v>14</v>
      </c>
      <c r="F11837" s="4" t="str">
        <f>HYPERLINK("http://141.218.60.56/~jnz1568/getInfo.php?workbook=20_05.xlsx&amp;sheet=U0&amp;row=11837&amp;col=6&amp;number=4.3&amp;sourceID=14","4.3")</f>
        <v>4.3</v>
      </c>
      <c r="G11837" s="4" t="str">
        <f>HYPERLINK("http://141.218.60.56/~jnz1568/getInfo.php?workbook=20_05.xlsx&amp;sheet=U0&amp;row=11837&amp;col=7&amp;number=0.0011&amp;sourceID=14","0.0011")</f>
        <v>0.0011</v>
      </c>
    </row>
    <row r="11838" spans="1:7">
      <c r="A11838" s="3"/>
      <c r="B11838" s="3"/>
      <c r="C11838" s="3"/>
      <c r="D11838" s="3"/>
      <c r="E11838" s="3">
        <v>15</v>
      </c>
      <c r="F11838" s="4" t="str">
        <f>HYPERLINK("http://141.218.60.56/~jnz1568/getInfo.php?workbook=20_05.xlsx&amp;sheet=U0&amp;row=11838&amp;col=6&amp;number=4.4&amp;sourceID=14","4.4")</f>
        <v>4.4</v>
      </c>
      <c r="G11838" s="4" t="str">
        <f>HYPERLINK("http://141.218.60.56/~jnz1568/getInfo.php?workbook=20_05.xlsx&amp;sheet=U0&amp;row=11838&amp;col=7&amp;number=0.0011&amp;sourceID=14","0.0011")</f>
        <v>0.0011</v>
      </c>
    </row>
    <row r="11839" spans="1:7">
      <c r="A11839" s="3"/>
      <c r="B11839" s="3"/>
      <c r="C11839" s="3"/>
      <c r="D11839" s="3"/>
      <c r="E11839" s="3">
        <v>16</v>
      </c>
      <c r="F11839" s="4" t="str">
        <f>HYPERLINK("http://141.218.60.56/~jnz1568/getInfo.php?workbook=20_05.xlsx&amp;sheet=U0&amp;row=11839&amp;col=6&amp;number=4.5&amp;sourceID=14","4.5")</f>
        <v>4.5</v>
      </c>
      <c r="G11839" s="4" t="str">
        <f>HYPERLINK("http://141.218.60.56/~jnz1568/getInfo.php?workbook=20_05.xlsx&amp;sheet=U0&amp;row=11839&amp;col=7&amp;number=0.0011&amp;sourceID=14","0.0011")</f>
        <v>0.0011</v>
      </c>
    </row>
    <row r="11840" spans="1:7">
      <c r="A11840" s="3"/>
      <c r="B11840" s="3"/>
      <c r="C11840" s="3"/>
      <c r="D11840" s="3"/>
      <c r="E11840" s="3">
        <v>17</v>
      </c>
      <c r="F11840" s="4" t="str">
        <f>HYPERLINK("http://141.218.60.56/~jnz1568/getInfo.php?workbook=20_05.xlsx&amp;sheet=U0&amp;row=11840&amp;col=6&amp;number=4.6&amp;sourceID=14","4.6")</f>
        <v>4.6</v>
      </c>
      <c r="G11840" s="4" t="str">
        <f>HYPERLINK("http://141.218.60.56/~jnz1568/getInfo.php?workbook=20_05.xlsx&amp;sheet=U0&amp;row=11840&amp;col=7&amp;number=0.00109&amp;sourceID=14","0.00109")</f>
        <v>0.00109</v>
      </c>
    </row>
    <row r="11841" spans="1:7">
      <c r="A11841" s="3"/>
      <c r="B11841" s="3"/>
      <c r="C11841" s="3"/>
      <c r="D11841" s="3"/>
      <c r="E11841" s="3">
        <v>18</v>
      </c>
      <c r="F11841" s="4" t="str">
        <f>HYPERLINK("http://141.218.60.56/~jnz1568/getInfo.php?workbook=20_05.xlsx&amp;sheet=U0&amp;row=11841&amp;col=6&amp;number=4.7&amp;sourceID=14","4.7")</f>
        <v>4.7</v>
      </c>
      <c r="G11841" s="4" t="str">
        <f>HYPERLINK("http://141.218.60.56/~jnz1568/getInfo.php?workbook=20_05.xlsx&amp;sheet=U0&amp;row=11841&amp;col=7&amp;number=0.00109&amp;sourceID=14","0.00109")</f>
        <v>0.00109</v>
      </c>
    </row>
    <row r="11842" spans="1:7">
      <c r="A11842" s="3"/>
      <c r="B11842" s="3"/>
      <c r="C11842" s="3"/>
      <c r="D11842" s="3"/>
      <c r="E11842" s="3">
        <v>19</v>
      </c>
      <c r="F11842" s="4" t="str">
        <f>HYPERLINK("http://141.218.60.56/~jnz1568/getInfo.php?workbook=20_05.xlsx&amp;sheet=U0&amp;row=11842&amp;col=6&amp;number=4.8&amp;sourceID=14","4.8")</f>
        <v>4.8</v>
      </c>
      <c r="G11842" s="4" t="str">
        <f>HYPERLINK("http://141.218.60.56/~jnz1568/getInfo.php?workbook=20_05.xlsx&amp;sheet=U0&amp;row=11842&amp;col=7&amp;number=0.00109&amp;sourceID=14","0.00109")</f>
        <v>0.00109</v>
      </c>
    </row>
    <row r="11843" spans="1:7">
      <c r="A11843" s="3"/>
      <c r="B11843" s="3"/>
      <c r="C11843" s="3"/>
      <c r="D11843" s="3"/>
      <c r="E11843" s="3">
        <v>20</v>
      </c>
      <c r="F11843" s="4" t="str">
        <f>HYPERLINK("http://141.218.60.56/~jnz1568/getInfo.php?workbook=20_05.xlsx&amp;sheet=U0&amp;row=11843&amp;col=6&amp;number=4.9&amp;sourceID=14","4.9")</f>
        <v>4.9</v>
      </c>
      <c r="G11843" s="4" t="str">
        <f>HYPERLINK("http://141.218.60.56/~jnz1568/getInfo.php?workbook=20_05.xlsx&amp;sheet=U0&amp;row=11843&amp;col=7&amp;number=0.00108&amp;sourceID=14","0.00108")</f>
        <v>0.00108</v>
      </c>
    </row>
    <row r="11844" spans="1:7">
      <c r="A11844" s="3">
        <v>20</v>
      </c>
      <c r="B11844" s="3">
        <v>5</v>
      </c>
      <c r="C11844" s="3">
        <v>4</v>
      </c>
      <c r="D11844" s="3">
        <v>125</v>
      </c>
      <c r="E11844" s="3">
        <v>1</v>
      </c>
      <c r="F11844" s="4" t="str">
        <f>HYPERLINK("http://141.218.60.56/~jnz1568/getInfo.php?workbook=20_05.xlsx&amp;sheet=U0&amp;row=11844&amp;col=6&amp;number=3&amp;sourceID=14","3")</f>
        <v>3</v>
      </c>
      <c r="G11844" s="4" t="str">
        <f>HYPERLINK("http://141.218.60.56/~jnz1568/getInfo.php?workbook=20_05.xlsx&amp;sheet=U0&amp;row=11844&amp;col=7&amp;number=0.00819&amp;sourceID=14","0.00819")</f>
        <v>0.00819</v>
      </c>
    </row>
    <row r="11845" spans="1:7">
      <c r="A11845" s="3"/>
      <c r="B11845" s="3"/>
      <c r="C11845" s="3"/>
      <c r="D11845" s="3"/>
      <c r="E11845" s="3">
        <v>2</v>
      </c>
      <c r="F11845" s="4" t="str">
        <f>HYPERLINK("http://141.218.60.56/~jnz1568/getInfo.php?workbook=20_05.xlsx&amp;sheet=U0&amp;row=11845&amp;col=6&amp;number=3.1&amp;sourceID=14","3.1")</f>
        <v>3.1</v>
      </c>
      <c r="G11845" s="4" t="str">
        <f>HYPERLINK("http://141.218.60.56/~jnz1568/getInfo.php?workbook=20_05.xlsx&amp;sheet=U0&amp;row=11845&amp;col=7&amp;number=0.00819&amp;sourceID=14","0.00819")</f>
        <v>0.00819</v>
      </c>
    </row>
    <row r="11846" spans="1:7">
      <c r="A11846" s="3"/>
      <c r="B11846" s="3"/>
      <c r="C11846" s="3"/>
      <c r="D11846" s="3"/>
      <c r="E11846" s="3">
        <v>3</v>
      </c>
      <c r="F11846" s="4" t="str">
        <f>HYPERLINK("http://141.218.60.56/~jnz1568/getInfo.php?workbook=20_05.xlsx&amp;sheet=U0&amp;row=11846&amp;col=6&amp;number=3.2&amp;sourceID=14","3.2")</f>
        <v>3.2</v>
      </c>
      <c r="G11846" s="4" t="str">
        <f>HYPERLINK("http://141.218.60.56/~jnz1568/getInfo.php?workbook=20_05.xlsx&amp;sheet=U0&amp;row=11846&amp;col=7&amp;number=0.00819&amp;sourceID=14","0.00819")</f>
        <v>0.00819</v>
      </c>
    </row>
    <row r="11847" spans="1:7">
      <c r="A11847" s="3"/>
      <c r="B11847" s="3"/>
      <c r="C11847" s="3"/>
      <c r="D11847" s="3"/>
      <c r="E11847" s="3">
        <v>4</v>
      </c>
      <c r="F11847" s="4" t="str">
        <f>HYPERLINK("http://141.218.60.56/~jnz1568/getInfo.php?workbook=20_05.xlsx&amp;sheet=U0&amp;row=11847&amp;col=6&amp;number=3.3&amp;sourceID=14","3.3")</f>
        <v>3.3</v>
      </c>
      <c r="G11847" s="4" t="str">
        <f>HYPERLINK("http://141.218.60.56/~jnz1568/getInfo.php?workbook=20_05.xlsx&amp;sheet=U0&amp;row=11847&amp;col=7&amp;number=0.00819&amp;sourceID=14","0.00819")</f>
        <v>0.00819</v>
      </c>
    </row>
    <row r="11848" spans="1:7">
      <c r="A11848" s="3"/>
      <c r="B11848" s="3"/>
      <c r="C11848" s="3"/>
      <c r="D11848" s="3"/>
      <c r="E11848" s="3">
        <v>5</v>
      </c>
      <c r="F11848" s="4" t="str">
        <f>HYPERLINK("http://141.218.60.56/~jnz1568/getInfo.php?workbook=20_05.xlsx&amp;sheet=U0&amp;row=11848&amp;col=6&amp;number=3.4&amp;sourceID=14","3.4")</f>
        <v>3.4</v>
      </c>
      <c r="G11848" s="4" t="str">
        <f>HYPERLINK("http://141.218.60.56/~jnz1568/getInfo.php?workbook=20_05.xlsx&amp;sheet=U0&amp;row=11848&amp;col=7&amp;number=0.00819&amp;sourceID=14","0.00819")</f>
        <v>0.00819</v>
      </c>
    </row>
    <row r="11849" spans="1:7">
      <c r="A11849" s="3"/>
      <c r="B11849" s="3"/>
      <c r="C11849" s="3"/>
      <c r="D11849" s="3"/>
      <c r="E11849" s="3">
        <v>6</v>
      </c>
      <c r="F11849" s="4" t="str">
        <f>HYPERLINK("http://141.218.60.56/~jnz1568/getInfo.php?workbook=20_05.xlsx&amp;sheet=U0&amp;row=11849&amp;col=6&amp;number=3.5&amp;sourceID=14","3.5")</f>
        <v>3.5</v>
      </c>
      <c r="G11849" s="4" t="str">
        <f>HYPERLINK("http://141.218.60.56/~jnz1568/getInfo.php?workbook=20_05.xlsx&amp;sheet=U0&amp;row=11849&amp;col=7&amp;number=0.00819&amp;sourceID=14","0.00819")</f>
        <v>0.00819</v>
      </c>
    </row>
    <row r="11850" spans="1:7">
      <c r="A11850" s="3"/>
      <c r="B11850" s="3"/>
      <c r="C11850" s="3"/>
      <c r="D11850" s="3"/>
      <c r="E11850" s="3">
        <v>7</v>
      </c>
      <c r="F11850" s="4" t="str">
        <f>HYPERLINK("http://141.218.60.56/~jnz1568/getInfo.php?workbook=20_05.xlsx&amp;sheet=U0&amp;row=11850&amp;col=6&amp;number=3.6&amp;sourceID=14","3.6")</f>
        <v>3.6</v>
      </c>
      <c r="G11850" s="4" t="str">
        <f>HYPERLINK("http://141.218.60.56/~jnz1568/getInfo.php?workbook=20_05.xlsx&amp;sheet=U0&amp;row=11850&amp;col=7&amp;number=0.00819&amp;sourceID=14","0.00819")</f>
        <v>0.00819</v>
      </c>
    </row>
    <row r="11851" spans="1:7">
      <c r="A11851" s="3"/>
      <c r="B11851" s="3"/>
      <c r="C11851" s="3"/>
      <c r="D11851" s="3"/>
      <c r="E11851" s="3">
        <v>8</v>
      </c>
      <c r="F11851" s="4" t="str">
        <f>HYPERLINK("http://141.218.60.56/~jnz1568/getInfo.php?workbook=20_05.xlsx&amp;sheet=U0&amp;row=11851&amp;col=6&amp;number=3.7&amp;sourceID=14","3.7")</f>
        <v>3.7</v>
      </c>
      <c r="G11851" s="4" t="str">
        <f>HYPERLINK("http://141.218.60.56/~jnz1568/getInfo.php?workbook=20_05.xlsx&amp;sheet=U0&amp;row=11851&amp;col=7&amp;number=0.00819&amp;sourceID=14","0.00819")</f>
        <v>0.00819</v>
      </c>
    </row>
    <row r="11852" spans="1:7">
      <c r="A11852" s="3"/>
      <c r="B11852" s="3"/>
      <c r="C11852" s="3"/>
      <c r="D11852" s="3"/>
      <c r="E11852" s="3">
        <v>9</v>
      </c>
      <c r="F11852" s="4" t="str">
        <f>HYPERLINK("http://141.218.60.56/~jnz1568/getInfo.php?workbook=20_05.xlsx&amp;sheet=U0&amp;row=11852&amp;col=6&amp;number=3.8&amp;sourceID=14","3.8")</f>
        <v>3.8</v>
      </c>
      <c r="G11852" s="4" t="str">
        <f>HYPERLINK("http://141.218.60.56/~jnz1568/getInfo.php?workbook=20_05.xlsx&amp;sheet=U0&amp;row=11852&amp;col=7&amp;number=0.00819&amp;sourceID=14","0.00819")</f>
        <v>0.00819</v>
      </c>
    </row>
    <row r="11853" spans="1:7">
      <c r="A11853" s="3"/>
      <c r="B11853" s="3"/>
      <c r="C11853" s="3"/>
      <c r="D11853" s="3"/>
      <c r="E11853" s="3">
        <v>10</v>
      </c>
      <c r="F11853" s="4" t="str">
        <f>HYPERLINK("http://141.218.60.56/~jnz1568/getInfo.php?workbook=20_05.xlsx&amp;sheet=U0&amp;row=11853&amp;col=6&amp;number=3.9&amp;sourceID=14","3.9")</f>
        <v>3.9</v>
      </c>
      <c r="G11853" s="4" t="str">
        <f>HYPERLINK("http://141.218.60.56/~jnz1568/getInfo.php?workbook=20_05.xlsx&amp;sheet=U0&amp;row=11853&amp;col=7&amp;number=0.00818&amp;sourceID=14","0.00818")</f>
        <v>0.00818</v>
      </c>
    </row>
    <row r="11854" spans="1:7">
      <c r="A11854" s="3"/>
      <c r="B11854" s="3"/>
      <c r="C11854" s="3"/>
      <c r="D11854" s="3"/>
      <c r="E11854" s="3">
        <v>11</v>
      </c>
      <c r="F11854" s="4" t="str">
        <f>HYPERLINK("http://141.218.60.56/~jnz1568/getInfo.php?workbook=20_05.xlsx&amp;sheet=U0&amp;row=11854&amp;col=6&amp;number=4&amp;sourceID=14","4")</f>
        <v>4</v>
      </c>
      <c r="G11854" s="4" t="str">
        <f>HYPERLINK("http://141.218.60.56/~jnz1568/getInfo.php?workbook=20_05.xlsx&amp;sheet=U0&amp;row=11854&amp;col=7&amp;number=0.00818&amp;sourceID=14","0.00818")</f>
        <v>0.00818</v>
      </c>
    </row>
    <row r="11855" spans="1:7">
      <c r="A11855" s="3"/>
      <c r="B11855" s="3"/>
      <c r="C11855" s="3"/>
      <c r="D11855" s="3"/>
      <c r="E11855" s="3">
        <v>12</v>
      </c>
      <c r="F11855" s="4" t="str">
        <f>HYPERLINK("http://141.218.60.56/~jnz1568/getInfo.php?workbook=20_05.xlsx&amp;sheet=U0&amp;row=11855&amp;col=6&amp;number=4.1&amp;sourceID=14","4.1")</f>
        <v>4.1</v>
      </c>
      <c r="G11855" s="4" t="str">
        <f>HYPERLINK("http://141.218.60.56/~jnz1568/getInfo.php?workbook=20_05.xlsx&amp;sheet=U0&amp;row=11855&amp;col=7&amp;number=0.00818&amp;sourceID=14","0.00818")</f>
        <v>0.00818</v>
      </c>
    </row>
    <row r="11856" spans="1:7">
      <c r="A11856" s="3"/>
      <c r="B11856" s="3"/>
      <c r="C11856" s="3"/>
      <c r="D11856" s="3"/>
      <c r="E11856" s="3">
        <v>13</v>
      </c>
      <c r="F11856" s="4" t="str">
        <f>HYPERLINK("http://141.218.60.56/~jnz1568/getInfo.php?workbook=20_05.xlsx&amp;sheet=U0&amp;row=11856&amp;col=6&amp;number=4.2&amp;sourceID=14","4.2")</f>
        <v>4.2</v>
      </c>
      <c r="G11856" s="4" t="str">
        <f>HYPERLINK("http://141.218.60.56/~jnz1568/getInfo.php?workbook=20_05.xlsx&amp;sheet=U0&amp;row=11856&amp;col=7&amp;number=0.00818&amp;sourceID=14","0.00818")</f>
        <v>0.00818</v>
      </c>
    </row>
    <row r="11857" spans="1:7">
      <c r="A11857" s="3"/>
      <c r="B11857" s="3"/>
      <c r="C11857" s="3"/>
      <c r="D11857" s="3"/>
      <c r="E11857" s="3">
        <v>14</v>
      </c>
      <c r="F11857" s="4" t="str">
        <f>HYPERLINK("http://141.218.60.56/~jnz1568/getInfo.php?workbook=20_05.xlsx&amp;sheet=U0&amp;row=11857&amp;col=6&amp;number=4.3&amp;sourceID=14","4.3")</f>
        <v>4.3</v>
      </c>
      <c r="G11857" s="4" t="str">
        <f>HYPERLINK("http://141.218.60.56/~jnz1568/getInfo.php?workbook=20_05.xlsx&amp;sheet=U0&amp;row=11857&amp;col=7&amp;number=0.00817&amp;sourceID=14","0.00817")</f>
        <v>0.00817</v>
      </c>
    </row>
    <row r="11858" spans="1:7">
      <c r="A11858" s="3"/>
      <c r="B11858" s="3"/>
      <c r="C11858" s="3"/>
      <c r="D11858" s="3"/>
      <c r="E11858" s="3">
        <v>15</v>
      </c>
      <c r="F11858" s="4" t="str">
        <f>HYPERLINK("http://141.218.60.56/~jnz1568/getInfo.php?workbook=20_05.xlsx&amp;sheet=U0&amp;row=11858&amp;col=6&amp;number=4.4&amp;sourceID=14","4.4")</f>
        <v>4.4</v>
      </c>
      <c r="G11858" s="4" t="str">
        <f>HYPERLINK("http://141.218.60.56/~jnz1568/getInfo.php?workbook=20_05.xlsx&amp;sheet=U0&amp;row=11858&amp;col=7&amp;number=0.00817&amp;sourceID=14","0.00817")</f>
        <v>0.00817</v>
      </c>
    </row>
    <row r="11859" spans="1:7">
      <c r="A11859" s="3"/>
      <c r="B11859" s="3"/>
      <c r="C11859" s="3"/>
      <c r="D11859" s="3"/>
      <c r="E11859" s="3">
        <v>16</v>
      </c>
      <c r="F11859" s="4" t="str">
        <f>HYPERLINK("http://141.218.60.56/~jnz1568/getInfo.php?workbook=20_05.xlsx&amp;sheet=U0&amp;row=11859&amp;col=6&amp;number=4.5&amp;sourceID=14","4.5")</f>
        <v>4.5</v>
      </c>
      <c r="G11859" s="4" t="str">
        <f>HYPERLINK("http://141.218.60.56/~jnz1568/getInfo.php?workbook=20_05.xlsx&amp;sheet=U0&amp;row=11859&amp;col=7&amp;number=0.00816&amp;sourceID=14","0.00816")</f>
        <v>0.00816</v>
      </c>
    </row>
    <row r="11860" spans="1:7">
      <c r="A11860" s="3"/>
      <c r="B11860" s="3"/>
      <c r="C11860" s="3"/>
      <c r="D11860" s="3"/>
      <c r="E11860" s="3">
        <v>17</v>
      </c>
      <c r="F11860" s="4" t="str">
        <f>HYPERLINK("http://141.218.60.56/~jnz1568/getInfo.php?workbook=20_05.xlsx&amp;sheet=U0&amp;row=11860&amp;col=6&amp;number=4.6&amp;sourceID=14","4.6")</f>
        <v>4.6</v>
      </c>
      <c r="G11860" s="4" t="str">
        <f>HYPERLINK("http://141.218.60.56/~jnz1568/getInfo.php?workbook=20_05.xlsx&amp;sheet=U0&amp;row=11860&amp;col=7&amp;number=0.00815&amp;sourceID=14","0.00815")</f>
        <v>0.00815</v>
      </c>
    </row>
    <row r="11861" spans="1:7">
      <c r="A11861" s="3"/>
      <c r="B11861" s="3"/>
      <c r="C11861" s="3"/>
      <c r="D11861" s="3"/>
      <c r="E11861" s="3">
        <v>18</v>
      </c>
      <c r="F11861" s="4" t="str">
        <f>HYPERLINK("http://141.218.60.56/~jnz1568/getInfo.php?workbook=20_05.xlsx&amp;sheet=U0&amp;row=11861&amp;col=6&amp;number=4.7&amp;sourceID=14","4.7")</f>
        <v>4.7</v>
      </c>
      <c r="G11861" s="4" t="str">
        <f>HYPERLINK("http://141.218.60.56/~jnz1568/getInfo.php?workbook=20_05.xlsx&amp;sheet=U0&amp;row=11861&amp;col=7&amp;number=0.00814&amp;sourceID=14","0.00814")</f>
        <v>0.00814</v>
      </c>
    </row>
    <row r="11862" spans="1:7">
      <c r="A11862" s="3"/>
      <c r="B11862" s="3"/>
      <c r="C11862" s="3"/>
      <c r="D11862" s="3"/>
      <c r="E11862" s="3">
        <v>19</v>
      </c>
      <c r="F11862" s="4" t="str">
        <f>HYPERLINK("http://141.218.60.56/~jnz1568/getInfo.php?workbook=20_05.xlsx&amp;sheet=U0&amp;row=11862&amp;col=6&amp;number=4.8&amp;sourceID=14","4.8")</f>
        <v>4.8</v>
      </c>
      <c r="G11862" s="4" t="str">
        <f>HYPERLINK("http://141.218.60.56/~jnz1568/getInfo.php?workbook=20_05.xlsx&amp;sheet=U0&amp;row=11862&amp;col=7&amp;number=0.00813&amp;sourceID=14","0.00813")</f>
        <v>0.00813</v>
      </c>
    </row>
    <row r="11863" spans="1:7">
      <c r="A11863" s="3"/>
      <c r="B11863" s="3"/>
      <c r="C11863" s="3"/>
      <c r="D11863" s="3"/>
      <c r="E11863" s="3">
        <v>20</v>
      </c>
      <c r="F11863" s="4" t="str">
        <f>HYPERLINK("http://141.218.60.56/~jnz1568/getInfo.php?workbook=20_05.xlsx&amp;sheet=U0&amp;row=11863&amp;col=6&amp;number=4.9&amp;sourceID=14","4.9")</f>
        <v>4.9</v>
      </c>
      <c r="G11863" s="4" t="str">
        <f>HYPERLINK("http://141.218.60.56/~jnz1568/getInfo.php?workbook=20_05.xlsx&amp;sheet=U0&amp;row=11863&amp;col=7&amp;number=0.00811&amp;sourceID=14","0.00811")</f>
        <v>0.00811</v>
      </c>
    </row>
    <row r="11864" spans="1:7">
      <c r="A11864" s="3">
        <v>20</v>
      </c>
      <c r="B11864" s="3">
        <v>5</v>
      </c>
      <c r="C11864" s="3">
        <v>5</v>
      </c>
      <c r="D11864" s="3">
        <v>125</v>
      </c>
      <c r="E11864" s="3">
        <v>1</v>
      </c>
      <c r="F11864" s="4" t="str">
        <f>HYPERLINK("http://141.218.60.56/~jnz1568/getInfo.php?workbook=20_05.xlsx&amp;sheet=U0&amp;row=11864&amp;col=6&amp;number=3&amp;sourceID=14","3")</f>
        <v>3</v>
      </c>
      <c r="G11864" s="4" t="str">
        <f>HYPERLINK("http://141.218.60.56/~jnz1568/getInfo.php?workbook=20_05.xlsx&amp;sheet=U0&amp;row=11864&amp;col=7&amp;number=0.017&amp;sourceID=14","0.017")</f>
        <v>0.017</v>
      </c>
    </row>
    <row r="11865" spans="1:7">
      <c r="A11865" s="3"/>
      <c r="B11865" s="3"/>
      <c r="C11865" s="3"/>
      <c r="D11865" s="3"/>
      <c r="E11865" s="3">
        <v>2</v>
      </c>
      <c r="F11865" s="4" t="str">
        <f>HYPERLINK("http://141.218.60.56/~jnz1568/getInfo.php?workbook=20_05.xlsx&amp;sheet=U0&amp;row=11865&amp;col=6&amp;number=3.1&amp;sourceID=14","3.1")</f>
        <v>3.1</v>
      </c>
      <c r="G11865" s="4" t="str">
        <f>HYPERLINK("http://141.218.60.56/~jnz1568/getInfo.php?workbook=20_05.xlsx&amp;sheet=U0&amp;row=11865&amp;col=7&amp;number=0.017&amp;sourceID=14","0.017")</f>
        <v>0.017</v>
      </c>
    </row>
    <row r="11866" spans="1:7">
      <c r="A11866" s="3"/>
      <c r="B11866" s="3"/>
      <c r="C11866" s="3"/>
      <c r="D11866" s="3"/>
      <c r="E11866" s="3">
        <v>3</v>
      </c>
      <c r="F11866" s="4" t="str">
        <f>HYPERLINK("http://141.218.60.56/~jnz1568/getInfo.php?workbook=20_05.xlsx&amp;sheet=U0&amp;row=11866&amp;col=6&amp;number=3.2&amp;sourceID=14","3.2")</f>
        <v>3.2</v>
      </c>
      <c r="G11866" s="4" t="str">
        <f>HYPERLINK("http://141.218.60.56/~jnz1568/getInfo.php?workbook=20_05.xlsx&amp;sheet=U0&amp;row=11866&amp;col=7&amp;number=0.017&amp;sourceID=14","0.017")</f>
        <v>0.017</v>
      </c>
    </row>
    <row r="11867" spans="1:7">
      <c r="A11867" s="3"/>
      <c r="B11867" s="3"/>
      <c r="C11867" s="3"/>
      <c r="D11867" s="3"/>
      <c r="E11867" s="3">
        <v>4</v>
      </c>
      <c r="F11867" s="4" t="str">
        <f>HYPERLINK("http://141.218.60.56/~jnz1568/getInfo.php?workbook=20_05.xlsx&amp;sheet=U0&amp;row=11867&amp;col=6&amp;number=3.3&amp;sourceID=14","3.3")</f>
        <v>3.3</v>
      </c>
      <c r="G11867" s="4" t="str">
        <f>HYPERLINK("http://141.218.60.56/~jnz1568/getInfo.php?workbook=20_05.xlsx&amp;sheet=U0&amp;row=11867&amp;col=7&amp;number=0.017&amp;sourceID=14","0.017")</f>
        <v>0.017</v>
      </c>
    </row>
    <row r="11868" spans="1:7">
      <c r="A11868" s="3"/>
      <c r="B11868" s="3"/>
      <c r="C11868" s="3"/>
      <c r="D11868" s="3"/>
      <c r="E11868" s="3">
        <v>5</v>
      </c>
      <c r="F11868" s="4" t="str">
        <f>HYPERLINK("http://141.218.60.56/~jnz1568/getInfo.php?workbook=20_05.xlsx&amp;sheet=U0&amp;row=11868&amp;col=6&amp;number=3.4&amp;sourceID=14","3.4")</f>
        <v>3.4</v>
      </c>
      <c r="G11868" s="4" t="str">
        <f>HYPERLINK("http://141.218.60.56/~jnz1568/getInfo.php?workbook=20_05.xlsx&amp;sheet=U0&amp;row=11868&amp;col=7&amp;number=0.017&amp;sourceID=14","0.017")</f>
        <v>0.017</v>
      </c>
    </row>
    <row r="11869" spans="1:7">
      <c r="A11869" s="3"/>
      <c r="B11869" s="3"/>
      <c r="C11869" s="3"/>
      <c r="D11869" s="3"/>
      <c r="E11869" s="3">
        <v>6</v>
      </c>
      <c r="F11869" s="4" t="str">
        <f>HYPERLINK("http://141.218.60.56/~jnz1568/getInfo.php?workbook=20_05.xlsx&amp;sheet=U0&amp;row=11869&amp;col=6&amp;number=3.5&amp;sourceID=14","3.5")</f>
        <v>3.5</v>
      </c>
      <c r="G11869" s="4" t="str">
        <f>HYPERLINK("http://141.218.60.56/~jnz1568/getInfo.php?workbook=20_05.xlsx&amp;sheet=U0&amp;row=11869&amp;col=7&amp;number=0.017&amp;sourceID=14","0.017")</f>
        <v>0.017</v>
      </c>
    </row>
    <row r="11870" spans="1:7">
      <c r="A11870" s="3"/>
      <c r="B11870" s="3"/>
      <c r="C11870" s="3"/>
      <c r="D11870" s="3"/>
      <c r="E11870" s="3">
        <v>7</v>
      </c>
      <c r="F11870" s="4" t="str">
        <f>HYPERLINK("http://141.218.60.56/~jnz1568/getInfo.php?workbook=20_05.xlsx&amp;sheet=U0&amp;row=11870&amp;col=6&amp;number=3.6&amp;sourceID=14","3.6")</f>
        <v>3.6</v>
      </c>
      <c r="G11870" s="4" t="str">
        <f>HYPERLINK("http://141.218.60.56/~jnz1568/getInfo.php?workbook=20_05.xlsx&amp;sheet=U0&amp;row=11870&amp;col=7&amp;number=0.017&amp;sourceID=14","0.017")</f>
        <v>0.017</v>
      </c>
    </row>
    <row r="11871" spans="1:7">
      <c r="A11871" s="3"/>
      <c r="B11871" s="3"/>
      <c r="C11871" s="3"/>
      <c r="D11871" s="3"/>
      <c r="E11871" s="3">
        <v>8</v>
      </c>
      <c r="F11871" s="4" t="str">
        <f>HYPERLINK("http://141.218.60.56/~jnz1568/getInfo.php?workbook=20_05.xlsx&amp;sheet=U0&amp;row=11871&amp;col=6&amp;number=3.7&amp;sourceID=14","3.7")</f>
        <v>3.7</v>
      </c>
      <c r="G11871" s="4" t="str">
        <f>HYPERLINK("http://141.218.60.56/~jnz1568/getInfo.php?workbook=20_05.xlsx&amp;sheet=U0&amp;row=11871&amp;col=7&amp;number=0.017&amp;sourceID=14","0.017")</f>
        <v>0.017</v>
      </c>
    </row>
    <row r="11872" spans="1:7">
      <c r="A11872" s="3"/>
      <c r="B11872" s="3"/>
      <c r="C11872" s="3"/>
      <c r="D11872" s="3"/>
      <c r="E11872" s="3">
        <v>9</v>
      </c>
      <c r="F11872" s="4" t="str">
        <f>HYPERLINK("http://141.218.60.56/~jnz1568/getInfo.php?workbook=20_05.xlsx&amp;sheet=U0&amp;row=11872&amp;col=6&amp;number=3.8&amp;sourceID=14","3.8")</f>
        <v>3.8</v>
      </c>
      <c r="G11872" s="4" t="str">
        <f>HYPERLINK("http://141.218.60.56/~jnz1568/getInfo.php?workbook=20_05.xlsx&amp;sheet=U0&amp;row=11872&amp;col=7&amp;number=0.017&amp;sourceID=14","0.017")</f>
        <v>0.017</v>
      </c>
    </row>
    <row r="11873" spans="1:7">
      <c r="A11873" s="3"/>
      <c r="B11873" s="3"/>
      <c r="C11873" s="3"/>
      <c r="D11873" s="3"/>
      <c r="E11873" s="3">
        <v>10</v>
      </c>
      <c r="F11873" s="4" t="str">
        <f>HYPERLINK("http://141.218.60.56/~jnz1568/getInfo.php?workbook=20_05.xlsx&amp;sheet=U0&amp;row=11873&amp;col=6&amp;number=3.9&amp;sourceID=14","3.9")</f>
        <v>3.9</v>
      </c>
      <c r="G11873" s="4" t="str">
        <f>HYPERLINK("http://141.218.60.56/~jnz1568/getInfo.php?workbook=20_05.xlsx&amp;sheet=U0&amp;row=11873&amp;col=7&amp;number=0.017&amp;sourceID=14","0.017")</f>
        <v>0.017</v>
      </c>
    </row>
    <row r="11874" spans="1:7">
      <c r="A11874" s="3"/>
      <c r="B11874" s="3"/>
      <c r="C11874" s="3"/>
      <c r="D11874" s="3"/>
      <c r="E11874" s="3">
        <v>11</v>
      </c>
      <c r="F11874" s="4" t="str">
        <f>HYPERLINK("http://141.218.60.56/~jnz1568/getInfo.php?workbook=20_05.xlsx&amp;sheet=U0&amp;row=11874&amp;col=6&amp;number=4&amp;sourceID=14","4")</f>
        <v>4</v>
      </c>
      <c r="G11874" s="4" t="str">
        <f>HYPERLINK("http://141.218.60.56/~jnz1568/getInfo.php?workbook=20_05.xlsx&amp;sheet=U0&amp;row=11874&amp;col=7&amp;number=0.0169&amp;sourceID=14","0.0169")</f>
        <v>0.0169</v>
      </c>
    </row>
    <row r="11875" spans="1:7">
      <c r="A11875" s="3"/>
      <c r="B11875" s="3"/>
      <c r="C11875" s="3"/>
      <c r="D11875" s="3"/>
      <c r="E11875" s="3">
        <v>12</v>
      </c>
      <c r="F11875" s="4" t="str">
        <f>HYPERLINK("http://141.218.60.56/~jnz1568/getInfo.php?workbook=20_05.xlsx&amp;sheet=U0&amp;row=11875&amp;col=6&amp;number=4.1&amp;sourceID=14","4.1")</f>
        <v>4.1</v>
      </c>
      <c r="G11875" s="4" t="str">
        <f>HYPERLINK("http://141.218.60.56/~jnz1568/getInfo.php?workbook=20_05.xlsx&amp;sheet=U0&amp;row=11875&amp;col=7&amp;number=0.0169&amp;sourceID=14","0.0169")</f>
        <v>0.0169</v>
      </c>
    </row>
    <row r="11876" spans="1:7">
      <c r="A11876" s="3"/>
      <c r="B11876" s="3"/>
      <c r="C11876" s="3"/>
      <c r="D11876" s="3"/>
      <c r="E11876" s="3">
        <v>13</v>
      </c>
      <c r="F11876" s="4" t="str">
        <f>HYPERLINK("http://141.218.60.56/~jnz1568/getInfo.php?workbook=20_05.xlsx&amp;sheet=U0&amp;row=11876&amp;col=6&amp;number=4.2&amp;sourceID=14","4.2")</f>
        <v>4.2</v>
      </c>
      <c r="G11876" s="4" t="str">
        <f>HYPERLINK("http://141.218.60.56/~jnz1568/getInfo.php?workbook=20_05.xlsx&amp;sheet=U0&amp;row=11876&amp;col=7&amp;number=0.0169&amp;sourceID=14","0.0169")</f>
        <v>0.0169</v>
      </c>
    </row>
    <row r="11877" spans="1:7">
      <c r="A11877" s="3"/>
      <c r="B11877" s="3"/>
      <c r="C11877" s="3"/>
      <c r="D11877" s="3"/>
      <c r="E11877" s="3">
        <v>14</v>
      </c>
      <c r="F11877" s="4" t="str">
        <f>HYPERLINK("http://141.218.60.56/~jnz1568/getInfo.php?workbook=20_05.xlsx&amp;sheet=U0&amp;row=11877&amp;col=6&amp;number=4.3&amp;sourceID=14","4.3")</f>
        <v>4.3</v>
      </c>
      <c r="G11877" s="4" t="str">
        <f>HYPERLINK("http://141.218.60.56/~jnz1568/getInfo.php?workbook=20_05.xlsx&amp;sheet=U0&amp;row=11877&amp;col=7&amp;number=0.0169&amp;sourceID=14","0.0169")</f>
        <v>0.0169</v>
      </c>
    </row>
    <row r="11878" spans="1:7">
      <c r="A11878" s="3"/>
      <c r="B11878" s="3"/>
      <c r="C11878" s="3"/>
      <c r="D11878" s="3"/>
      <c r="E11878" s="3">
        <v>15</v>
      </c>
      <c r="F11878" s="4" t="str">
        <f>HYPERLINK("http://141.218.60.56/~jnz1568/getInfo.php?workbook=20_05.xlsx&amp;sheet=U0&amp;row=11878&amp;col=6&amp;number=4.4&amp;sourceID=14","4.4")</f>
        <v>4.4</v>
      </c>
      <c r="G11878" s="4" t="str">
        <f>HYPERLINK("http://141.218.60.56/~jnz1568/getInfo.php?workbook=20_05.xlsx&amp;sheet=U0&amp;row=11878&amp;col=7&amp;number=0.0169&amp;sourceID=14","0.0169")</f>
        <v>0.0169</v>
      </c>
    </row>
    <row r="11879" spans="1:7">
      <c r="A11879" s="3"/>
      <c r="B11879" s="3"/>
      <c r="C11879" s="3"/>
      <c r="D11879" s="3"/>
      <c r="E11879" s="3">
        <v>16</v>
      </c>
      <c r="F11879" s="4" t="str">
        <f>HYPERLINK("http://141.218.60.56/~jnz1568/getInfo.php?workbook=20_05.xlsx&amp;sheet=U0&amp;row=11879&amp;col=6&amp;number=4.5&amp;sourceID=14","4.5")</f>
        <v>4.5</v>
      </c>
      <c r="G11879" s="4" t="str">
        <f>HYPERLINK("http://141.218.60.56/~jnz1568/getInfo.php?workbook=20_05.xlsx&amp;sheet=U0&amp;row=11879&amp;col=7&amp;number=0.0169&amp;sourceID=14","0.0169")</f>
        <v>0.0169</v>
      </c>
    </row>
    <row r="11880" spans="1:7">
      <c r="A11880" s="3"/>
      <c r="B11880" s="3"/>
      <c r="C11880" s="3"/>
      <c r="D11880" s="3"/>
      <c r="E11880" s="3">
        <v>17</v>
      </c>
      <c r="F11880" s="4" t="str">
        <f>HYPERLINK("http://141.218.60.56/~jnz1568/getInfo.php?workbook=20_05.xlsx&amp;sheet=U0&amp;row=11880&amp;col=6&amp;number=4.6&amp;sourceID=14","4.6")</f>
        <v>4.6</v>
      </c>
      <c r="G11880" s="4" t="str">
        <f>HYPERLINK("http://141.218.60.56/~jnz1568/getInfo.php?workbook=20_05.xlsx&amp;sheet=U0&amp;row=11880&amp;col=7&amp;number=0.0168&amp;sourceID=14","0.0168")</f>
        <v>0.0168</v>
      </c>
    </row>
    <row r="11881" spans="1:7">
      <c r="A11881" s="3"/>
      <c r="B11881" s="3"/>
      <c r="C11881" s="3"/>
      <c r="D11881" s="3"/>
      <c r="E11881" s="3">
        <v>18</v>
      </c>
      <c r="F11881" s="4" t="str">
        <f>HYPERLINK("http://141.218.60.56/~jnz1568/getInfo.php?workbook=20_05.xlsx&amp;sheet=U0&amp;row=11881&amp;col=6&amp;number=4.7&amp;sourceID=14","4.7")</f>
        <v>4.7</v>
      </c>
      <c r="G11881" s="4" t="str">
        <f>HYPERLINK("http://141.218.60.56/~jnz1568/getInfo.php?workbook=20_05.xlsx&amp;sheet=U0&amp;row=11881&amp;col=7&amp;number=0.0168&amp;sourceID=14","0.0168")</f>
        <v>0.0168</v>
      </c>
    </row>
    <row r="11882" spans="1:7">
      <c r="A11882" s="3"/>
      <c r="B11882" s="3"/>
      <c r="C11882" s="3"/>
      <c r="D11882" s="3"/>
      <c r="E11882" s="3">
        <v>19</v>
      </c>
      <c r="F11882" s="4" t="str">
        <f>HYPERLINK("http://141.218.60.56/~jnz1568/getInfo.php?workbook=20_05.xlsx&amp;sheet=U0&amp;row=11882&amp;col=6&amp;number=4.8&amp;sourceID=14","4.8")</f>
        <v>4.8</v>
      </c>
      <c r="G11882" s="4" t="str">
        <f>HYPERLINK("http://141.218.60.56/~jnz1568/getInfo.php?workbook=20_05.xlsx&amp;sheet=U0&amp;row=11882&amp;col=7&amp;number=0.0167&amp;sourceID=14","0.0167")</f>
        <v>0.0167</v>
      </c>
    </row>
    <row r="11883" spans="1:7">
      <c r="A11883" s="3"/>
      <c r="B11883" s="3"/>
      <c r="C11883" s="3"/>
      <c r="D11883" s="3"/>
      <c r="E11883" s="3">
        <v>20</v>
      </c>
      <c r="F11883" s="4" t="str">
        <f>HYPERLINK("http://141.218.60.56/~jnz1568/getInfo.php?workbook=20_05.xlsx&amp;sheet=U0&amp;row=11883&amp;col=6&amp;number=4.9&amp;sourceID=14","4.9")</f>
        <v>4.9</v>
      </c>
      <c r="G11883" s="4" t="str">
        <f>HYPERLINK("http://141.218.60.56/~jnz1568/getInfo.php?workbook=20_05.xlsx&amp;sheet=U0&amp;row=11883&amp;col=7&amp;number=0.0167&amp;sourceID=14","0.0167")</f>
        <v>0.0167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2015-04-20T16:30:48Z</dcterms:created>
  <dcterms:modified xsi:type="dcterms:W3CDTF">2015-04-20T16:30:48Z</dcterms:modified>
</cp:coreProperties>
</file>