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0" sheetId="1" r:id="rId1"/>
    <sheet name="A0" sheetId="2" r:id="rId2"/>
    <sheet name="U0" sheetId="3" r:id="rId3"/>
  </sheets>
  <calcPr calcId="124519" fullCalcOnLoad="1"/>
</workbook>
</file>

<file path=xl/sharedStrings.xml><?xml version="1.0" encoding="utf-8"?>
<sst xmlns="http://schemas.openxmlformats.org/spreadsheetml/2006/main" count="210" uniqueCount="46">
  <si>
    <t>Fine Structure Energy Levels for Ca XI</t>
  </si>
  <si>
    <t>S14</t>
  </si>
  <si>
    <t>Z</t>
  </si>
  <si>
    <t>N</t>
  </si>
  <si>
    <t>i</t>
  </si>
  <si>
    <t>Conf</t>
  </si>
  <si>
    <t>Term</t>
  </si>
  <si>
    <t>2S+1</t>
  </si>
  <si>
    <t>L</t>
  </si>
  <si>
    <t>Pi</t>
  </si>
  <si>
    <t>J</t>
  </si>
  <si>
    <t>E (cm-1)</t>
  </si>
  <si>
    <t>2p6</t>
  </si>
  <si>
    <t>1S</t>
  </si>
  <si>
    <t>2p5.3s</t>
  </si>
  <si>
    <t>3P</t>
  </si>
  <si>
    <t>1P</t>
  </si>
  <si>
    <t>2p5.3p</t>
  </si>
  <si>
    <t>3S</t>
  </si>
  <si>
    <t>3D</t>
  </si>
  <si>
    <t>1D</t>
  </si>
  <si>
    <t>2p5.3d</t>
  </si>
  <si>
    <t>3F</t>
  </si>
  <si>
    <t>1F</t>
  </si>
  <si>
    <t>2s.2p6.3s</t>
  </si>
  <si>
    <t>2s.2p6.3p</t>
  </si>
  <si>
    <t>2p5.4s</t>
  </si>
  <si>
    <t>2p5.4p</t>
  </si>
  <si>
    <t>2p5.4d</t>
  </si>
  <si>
    <t>2p5.4f</t>
  </si>
  <si>
    <t>3G</t>
  </si>
  <si>
    <t>1G</t>
  </si>
  <si>
    <t>2s.2p6.3d</t>
  </si>
  <si>
    <t>2s.2p6.4s</t>
  </si>
  <si>
    <t>2s.2p6.4p</t>
  </si>
  <si>
    <t>2s.2p6.4d</t>
  </si>
  <si>
    <t>2s.2p6.4f</t>
  </si>
  <si>
    <t>A-values for fine-structure transitions in Ca XI</t>
  </si>
  <si>
    <t>k</t>
  </si>
  <si>
    <t>WL Vac (A)</t>
  </si>
  <si>
    <t>A (s-1)</t>
  </si>
  <si>
    <t>A2E1(s-1)</t>
  </si>
  <si>
    <t>Effective Collision Strengths for Ca XI</t>
  </si>
  <si>
    <t>np</t>
  </si>
  <si>
    <t>Log_T(K)</t>
  </si>
  <si>
    <t>EColSt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</si>
</sst>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u/>
      <sz val="10"/>
      <color rgb="FF0000F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92"/>
  <sheetViews>
    <sheetView tabSelected="1" workbookViewId="0"/>
  </sheetViews>
  <sheetFormatPr defaultRowHeight="15"/>
  <cols>
    <col min="1" max="1" width="3.7109375" customWidth="1"/>
    <col min="2" max="2" width="3.7109375" customWidth="1"/>
    <col min="3" max="3" width="3.7109375" customWidth="1"/>
    <col min="4" max="4" width="10.7109375" customWidth="1"/>
    <col min="5" max="5" width="5.7109375" customWidth="1"/>
    <col min="6" max="6" width="5.7109375" customWidth="1"/>
    <col min="7" max="7" width="2.7109375" customWidth="1"/>
    <col min="8" max="8" width="3.7109375" customWidth="1"/>
    <col min="9" max="9" width="2.7109375" customWidth="1"/>
    <col min="10" max="10" width="9.7109375" customWidth="1"/>
  </cols>
  <sheetData>
    <row r="1" spans="1:10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>
      <c r="A2" s="2"/>
      <c r="B2" s="2"/>
      <c r="C2" s="2"/>
      <c r="D2" s="2"/>
      <c r="E2" s="2"/>
      <c r="F2" s="2"/>
      <c r="G2" s="2"/>
      <c r="H2" s="2"/>
      <c r="I2" s="2"/>
      <c r="J2" s="2" t="s">
        <v>1</v>
      </c>
    </row>
    <row r="3" spans="1:10">
      <c r="A3" s="2" t="s">
        <v>2</v>
      </c>
      <c r="B3" s="2" t="s">
        <v>3</v>
      </c>
      <c r="C3" s="2" t="s">
        <v>4</v>
      </c>
      <c r="D3" s="2" t="s">
        <v>5</v>
      </c>
      <c r="E3" s="2" t="s">
        <v>6</v>
      </c>
      <c r="F3" s="2" t="s">
        <v>7</v>
      </c>
      <c r="G3" s="2" t="s">
        <v>8</v>
      </c>
      <c r="H3" s="2" t="s">
        <v>9</v>
      </c>
      <c r="I3" s="2" t="s">
        <v>10</v>
      </c>
      <c r="J3" s="2" t="s">
        <v>11</v>
      </c>
    </row>
    <row r="4" spans="1:10">
      <c r="A4" s="3">
        <v>20</v>
      </c>
      <c r="B4" s="3">
        <v>10</v>
      </c>
      <c r="C4" s="3">
        <v>1</v>
      </c>
      <c r="D4" s="3" t="s">
        <v>12</v>
      </c>
      <c r="E4" s="3" t="s">
        <v>13</v>
      </c>
      <c r="F4" s="3">
        <v>1</v>
      </c>
      <c r="G4" s="3">
        <v>0</v>
      </c>
      <c r="H4" s="3">
        <v>0</v>
      </c>
      <c r="I4" s="3">
        <v>0</v>
      </c>
      <c r="J4" s="4" t="str">
        <f>HYPERLINK("http://141.218.60.56/~jnz1568/getInfo.php?workbook=20_10.xlsx&amp;sheet=E0&amp;row=4&amp;col=10&amp;number=0&amp;sourceID=14","0")</f>
        <v>0</v>
      </c>
    </row>
    <row r="5" spans="1:10">
      <c r="A5" s="3">
        <v>20</v>
      </c>
      <c r="B5" s="3">
        <v>10</v>
      </c>
      <c r="C5" s="3">
        <v>2</v>
      </c>
      <c r="D5" s="3" t="s">
        <v>14</v>
      </c>
      <c r="E5" s="3" t="s">
        <v>15</v>
      </c>
      <c r="F5" s="3">
        <v>3</v>
      </c>
      <c r="G5" s="3">
        <v>1</v>
      </c>
      <c r="H5" s="3">
        <v>1</v>
      </c>
      <c r="I5" s="3">
        <v>2</v>
      </c>
      <c r="J5" s="4" t="str">
        <f>HYPERLINK("http://141.218.60.56/~jnz1568/getInfo.php?workbook=20_10.xlsx&amp;sheet=E0&amp;row=5&amp;col=10&amp;number=0&amp;sourceID=14","0")</f>
        <v>0</v>
      </c>
    </row>
    <row r="6" spans="1:10">
      <c r="A6" s="3">
        <v>20</v>
      </c>
      <c r="B6" s="3">
        <v>10</v>
      </c>
      <c r="C6" s="3">
        <v>3</v>
      </c>
      <c r="D6" s="3" t="s">
        <v>14</v>
      </c>
      <c r="E6" s="3" t="s">
        <v>15</v>
      </c>
      <c r="F6" s="3">
        <v>3</v>
      </c>
      <c r="G6" s="3">
        <v>1</v>
      </c>
      <c r="H6" s="3">
        <v>1</v>
      </c>
      <c r="I6" s="3">
        <v>1</v>
      </c>
      <c r="J6" s="4" t="str">
        <f>HYPERLINK("http://141.218.60.56/~jnz1568/getInfo.php?workbook=20_10.xlsx&amp;sheet=E0&amp;row=6&amp;col=10&amp;number=2810900&amp;sourceID=14","2810900")</f>
        <v>2810900</v>
      </c>
    </row>
    <row r="7" spans="1:10">
      <c r="A7" s="3">
        <v>20</v>
      </c>
      <c r="B7" s="3">
        <v>10</v>
      </c>
      <c r="C7" s="3">
        <v>4</v>
      </c>
      <c r="D7" s="3" t="s">
        <v>14</v>
      </c>
      <c r="E7" s="3" t="s">
        <v>15</v>
      </c>
      <c r="F7" s="3">
        <v>3</v>
      </c>
      <c r="G7" s="3">
        <v>1</v>
      </c>
      <c r="H7" s="3">
        <v>1</v>
      </c>
      <c r="I7" s="3">
        <v>0</v>
      </c>
      <c r="J7" s="4" t="str">
        <f>HYPERLINK("http://141.218.60.56/~jnz1568/getInfo.php?workbook=20_10.xlsx&amp;sheet=E0&amp;row=7&amp;col=10&amp;number=2831800&amp;sourceID=14","2831800")</f>
        <v>2831800</v>
      </c>
    </row>
    <row r="8" spans="1:10">
      <c r="A8" s="3">
        <v>20</v>
      </c>
      <c r="B8" s="3">
        <v>10</v>
      </c>
      <c r="C8" s="3">
        <v>5</v>
      </c>
      <c r="D8" s="3" t="s">
        <v>14</v>
      </c>
      <c r="E8" s="3" t="s">
        <v>16</v>
      </c>
      <c r="F8" s="3">
        <v>1</v>
      </c>
      <c r="G8" s="3">
        <v>1</v>
      </c>
      <c r="H8" s="3">
        <v>1</v>
      </c>
      <c r="I8" s="3">
        <v>1</v>
      </c>
      <c r="J8" s="4" t="str">
        <f>HYPERLINK("http://141.218.60.56/~jnz1568/getInfo.php?workbook=20_10.xlsx&amp;sheet=E0&amp;row=8&amp;col=10&amp;number=2839900&amp;sourceID=14","2839900")</f>
        <v>2839900</v>
      </c>
    </row>
    <row r="9" spans="1:10">
      <c r="A9" s="3">
        <v>20</v>
      </c>
      <c r="B9" s="3">
        <v>10</v>
      </c>
      <c r="C9" s="3">
        <v>6</v>
      </c>
      <c r="D9" s="3" t="s">
        <v>17</v>
      </c>
      <c r="E9" s="3" t="s">
        <v>18</v>
      </c>
      <c r="F9" s="3">
        <v>3</v>
      </c>
      <c r="G9" s="3">
        <v>0</v>
      </c>
      <c r="H9" s="3">
        <v>0</v>
      </c>
      <c r="I9" s="3">
        <v>1</v>
      </c>
      <c r="J9" s="4" t="str">
        <f>HYPERLINK("http://141.218.60.56/~jnz1568/getInfo.php?workbook=20_10.xlsx&amp;sheet=E0&amp;row=9&amp;col=10&amp;number=0&amp;sourceID=14","0")</f>
        <v>0</v>
      </c>
    </row>
    <row r="10" spans="1:10">
      <c r="A10" s="3">
        <v>20</v>
      </c>
      <c r="B10" s="3">
        <v>10</v>
      </c>
      <c r="C10" s="3">
        <v>7</v>
      </c>
      <c r="D10" s="3" t="s">
        <v>17</v>
      </c>
      <c r="E10" s="3" t="s">
        <v>19</v>
      </c>
      <c r="F10" s="3">
        <v>3</v>
      </c>
      <c r="G10" s="3">
        <v>2</v>
      </c>
      <c r="H10" s="3">
        <v>0</v>
      </c>
      <c r="I10" s="3">
        <v>2</v>
      </c>
      <c r="J10" s="4" t="str">
        <f>HYPERLINK("http://141.218.60.56/~jnz1568/getInfo.php?workbook=20_10.xlsx&amp;sheet=E0&amp;row=10&amp;col=10&amp;number=2974100&amp;sourceID=14","2974100")</f>
        <v>2974100</v>
      </c>
    </row>
    <row r="11" spans="1:10">
      <c r="A11" s="3">
        <v>20</v>
      </c>
      <c r="B11" s="3">
        <v>10</v>
      </c>
      <c r="C11" s="3">
        <v>8</v>
      </c>
      <c r="D11" s="3" t="s">
        <v>17</v>
      </c>
      <c r="E11" s="3" t="s">
        <v>19</v>
      </c>
      <c r="F11" s="3">
        <v>3</v>
      </c>
      <c r="G11" s="3">
        <v>2</v>
      </c>
      <c r="H11" s="3">
        <v>0</v>
      </c>
      <c r="I11" s="3">
        <v>3</v>
      </c>
      <c r="J11" s="4" t="str">
        <f>HYPERLINK("http://141.218.60.56/~jnz1568/getInfo.php?workbook=20_10.xlsx&amp;sheet=E0&amp;row=11&amp;col=10&amp;number=2974700&amp;sourceID=14","2974700")</f>
        <v>2974700</v>
      </c>
    </row>
    <row r="12" spans="1:10">
      <c r="A12" s="3">
        <v>20</v>
      </c>
      <c r="B12" s="3">
        <v>10</v>
      </c>
      <c r="C12" s="3">
        <v>9</v>
      </c>
      <c r="D12" s="3" t="s">
        <v>17</v>
      </c>
      <c r="E12" s="3" t="s">
        <v>15</v>
      </c>
      <c r="F12" s="3">
        <v>3</v>
      </c>
      <c r="G12" s="3">
        <v>1</v>
      </c>
      <c r="H12" s="3">
        <v>1</v>
      </c>
      <c r="I12" s="3">
        <v>2</v>
      </c>
      <c r="J12" s="4" t="str">
        <f>HYPERLINK("http://141.218.60.56/~jnz1568/getInfo.php?workbook=20_10.xlsx&amp;sheet=E0&amp;row=12&amp;col=10&amp;number=2989800&amp;sourceID=14","2989800")</f>
        <v>2989800</v>
      </c>
    </row>
    <row r="13" spans="1:10">
      <c r="A13" s="3">
        <v>20</v>
      </c>
      <c r="B13" s="3">
        <v>10</v>
      </c>
      <c r="C13" s="3">
        <v>10</v>
      </c>
      <c r="D13" s="3" t="s">
        <v>17</v>
      </c>
      <c r="E13" s="3" t="s">
        <v>16</v>
      </c>
      <c r="F13" s="3">
        <v>1</v>
      </c>
      <c r="G13" s="3">
        <v>1</v>
      </c>
      <c r="H13" s="3">
        <v>1</v>
      </c>
      <c r="I13" s="3">
        <v>1</v>
      </c>
      <c r="J13" s="4" t="str">
        <f>HYPERLINK("http://141.218.60.56/~jnz1568/getInfo.php?workbook=20_10.xlsx&amp;sheet=E0&amp;row=13&amp;col=10&amp;number=2982800&amp;sourceID=14","2982800")</f>
        <v>2982800</v>
      </c>
    </row>
    <row r="14" spans="1:10">
      <c r="A14" s="3">
        <v>20</v>
      </c>
      <c r="B14" s="3">
        <v>10</v>
      </c>
      <c r="C14" s="3">
        <v>11</v>
      </c>
      <c r="D14" s="3" t="s">
        <v>17</v>
      </c>
      <c r="E14" s="3" t="s">
        <v>19</v>
      </c>
      <c r="F14" s="3">
        <v>3</v>
      </c>
      <c r="G14" s="3">
        <v>2</v>
      </c>
      <c r="H14" s="3">
        <v>0</v>
      </c>
      <c r="I14" s="3">
        <v>1</v>
      </c>
      <c r="J14" s="4" t="str">
        <f>HYPERLINK("http://141.218.60.56/~jnz1568/getInfo.php?workbook=20_10.xlsx&amp;sheet=E0&amp;row=14&amp;col=10&amp;number=2985500&amp;sourceID=14","2985500")</f>
        <v>2985500</v>
      </c>
    </row>
    <row r="15" spans="1:10">
      <c r="A15" s="3">
        <v>20</v>
      </c>
      <c r="B15" s="3">
        <v>10</v>
      </c>
      <c r="C15" s="3">
        <v>12</v>
      </c>
      <c r="D15" s="3" t="s">
        <v>17</v>
      </c>
      <c r="E15" s="3" t="s">
        <v>15</v>
      </c>
      <c r="F15" s="3">
        <v>3</v>
      </c>
      <c r="G15" s="3">
        <v>1</v>
      </c>
      <c r="H15" s="3">
        <v>1</v>
      </c>
      <c r="I15" s="3">
        <v>0</v>
      </c>
      <c r="J15" s="4" t="str">
        <f>HYPERLINK("http://141.218.60.56/~jnz1568/getInfo.php?workbook=20_10.xlsx&amp;sheet=E0&amp;row=15&amp;col=10&amp;number=0&amp;sourceID=14","0")</f>
        <v>0</v>
      </c>
    </row>
    <row r="16" spans="1:10">
      <c r="A16" s="3">
        <v>20</v>
      </c>
      <c r="B16" s="3">
        <v>10</v>
      </c>
      <c r="C16" s="3">
        <v>13</v>
      </c>
      <c r="D16" s="3" t="s">
        <v>17</v>
      </c>
      <c r="E16" s="3" t="s">
        <v>20</v>
      </c>
      <c r="F16" s="3">
        <v>1</v>
      </c>
      <c r="G16" s="3">
        <v>2</v>
      </c>
      <c r="H16" s="3">
        <v>0</v>
      </c>
      <c r="I16" s="3">
        <v>2</v>
      </c>
      <c r="J16" s="4" t="str">
        <f>HYPERLINK("http://141.218.60.56/~jnz1568/getInfo.php?workbook=20_10.xlsx&amp;sheet=E0&amp;row=16&amp;col=10&amp;number=3016600&amp;sourceID=14","3016600")</f>
        <v>3016600</v>
      </c>
    </row>
    <row r="17" spans="1:10">
      <c r="A17" s="3">
        <v>20</v>
      </c>
      <c r="B17" s="3">
        <v>10</v>
      </c>
      <c r="C17" s="3">
        <v>14</v>
      </c>
      <c r="D17" s="3" t="s">
        <v>17</v>
      </c>
      <c r="E17" s="3" t="s">
        <v>15</v>
      </c>
      <c r="F17" s="3">
        <v>3</v>
      </c>
      <c r="G17" s="3">
        <v>1</v>
      </c>
      <c r="H17" s="3">
        <v>1</v>
      </c>
      <c r="I17" s="3">
        <v>1</v>
      </c>
      <c r="J17" s="4" t="str">
        <f>HYPERLINK("http://141.218.60.56/~jnz1568/getInfo.php?workbook=20_10.xlsx&amp;sheet=E0&amp;row=17&amp;col=10&amp;number=3016500&amp;sourceID=14","3016500")</f>
        <v>3016500</v>
      </c>
    </row>
    <row r="18" spans="1:10">
      <c r="A18" s="3">
        <v>20</v>
      </c>
      <c r="B18" s="3">
        <v>10</v>
      </c>
      <c r="C18" s="3">
        <v>15</v>
      </c>
      <c r="D18" s="3" t="s">
        <v>17</v>
      </c>
      <c r="E18" s="3" t="s">
        <v>13</v>
      </c>
      <c r="F18" s="3">
        <v>1</v>
      </c>
      <c r="G18" s="3">
        <v>0</v>
      </c>
      <c r="H18" s="3">
        <v>0</v>
      </c>
      <c r="I18" s="3">
        <v>0</v>
      </c>
      <c r="J18" s="4" t="str">
        <f>HYPERLINK("http://141.218.60.56/~jnz1568/getInfo.php?workbook=20_10.xlsx&amp;sheet=E0&amp;row=18&amp;col=10&amp;number=0&amp;sourceID=14","0")</f>
        <v>0</v>
      </c>
    </row>
    <row r="19" spans="1:10">
      <c r="A19" s="3">
        <v>20</v>
      </c>
      <c r="B19" s="3">
        <v>10</v>
      </c>
      <c r="C19" s="3">
        <v>16</v>
      </c>
      <c r="D19" s="3" t="s">
        <v>21</v>
      </c>
      <c r="E19" s="3" t="s">
        <v>15</v>
      </c>
      <c r="F19" s="3">
        <v>3</v>
      </c>
      <c r="G19" s="3">
        <v>1</v>
      </c>
      <c r="H19" s="3">
        <v>1</v>
      </c>
      <c r="I19" s="3">
        <v>0</v>
      </c>
      <c r="J19" s="4" t="str">
        <f>HYPERLINK("http://141.218.60.56/~jnz1568/getInfo.php?workbook=20_10.xlsx&amp;sheet=E0&amp;row=19&amp;col=10&amp;number=0&amp;sourceID=14","0")</f>
        <v>0</v>
      </c>
    </row>
    <row r="20" spans="1:10">
      <c r="A20" s="3">
        <v>20</v>
      </c>
      <c r="B20" s="3">
        <v>10</v>
      </c>
      <c r="C20" s="3">
        <v>17</v>
      </c>
      <c r="D20" s="3" t="s">
        <v>21</v>
      </c>
      <c r="E20" s="3" t="s">
        <v>15</v>
      </c>
      <c r="F20" s="3">
        <v>3</v>
      </c>
      <c r="G20" s="3">
        <v>1</v>
      </c>
      <c r="H20" s="3">
        <v>1</v>
      </c>
      <c r="I20" s="3">
        <v>1</v>
      </c>
      <c r="J20" s="4" t="str">
        <f>HYPERLINK("http://141.218.60.56/~jnz1568/getInfo.php?workbook=20_10.xlsx&amp;sheet=E0&amp;row=20&amp;col=10&amp;number=3199300&amp;sourceID=14","3199300")</f>
        <v>3199300</v>
      </c>
    </row>
    <row r="21" spans="1:10">
      <c r="A21" s="3">
        <v>20</v>
      </c>
      <c r="B21" s="3">
        <v>10</v>
      </c>
      <c r="C21" s="3">
        <v>18</v>
      </c>
      <c r="D21" s="3" t="s">
        <v>21</v>
      </c>
      <c r="E21" s="3" t="s">
        <v>15</v>
      </c>
      <c r="F21" s="3">
        <v>3</v>
      </c>
      <c r="G21" s="3">
        <v>1</v>
      </c>
      <c r="H21" s="3">
        <v>1</v>
      </c>
      <c r="I21" s="3">
        <v>2</v>
      </c>
      <c r="J21" s="4" t="str">
        <f>HYPERLINK("http://141.218.60.56/~jnz1568/getInfo.php?workbook=20_10.xlsx&amp;sheet=E0&amp;row=21&amp;col=10&amp;number=0&amp;sourceID=14","0")</f>
        <v>0</v>
      </c>
    </row>
    <row r="22" spans="1:10">
      <c r="A22" s="3">
        <v>20</v>
      </c>
      <c r="B22" s="3">
        <v>10</v>
      </c>
      <c r="C22" s="3">
        <v>19</v>
      </c>
      <c r="D22" s="3" t="s">
        <v>21</v>
      </c>
      <c r="E22" s="3" t="s">
        <v>22</v>
      </c>
      <c r="F22" s="3">
        <v>3</v>
      </c>
      <c r="G22" s="3">
        <v>3</v>
      </c>
      <c r="H22" s="3">
        <v>1</v>
      </c>
      <c r="I22" s="3">
        <v>4</v>
      </c>
      <c r="J22" s="4" t="str">
        <f>HYPERLINK("http://141.218.60.56/~jnz1568/getInfo.php?workbook=20_10.xlsx&amp;sheet=E0&amp;row=22&amp;col=10&amp;number=3208100&amp;sourceID=14","3208100")</f>
        <v>3208100</v>
      </c>
    </row>
    <row r="23" spans="1:10">
      <c r="A23" s="3">
        <v>20</v>
      </c>
      <c r="B23" s="3">
        <v>10</v>
      </c>
      <c r="C23" s="3">
        <v>20</v>
      </c>
      <c r="D23" s="3" t="s">
        <v>21</v>
      </c>
      <c r="E23" s="3" t="s">
        <v>22</v>
      </c>
      <c r="F23" s="3">
        <v>3</v>
      </c>
      <c r="G23" s="3">
        <v>3</v>
      </c>
      <c r="H23" s="3">
        <v>1</v>
      </c>
      <c r="I23" s="3">
        <v>3</v>
      </c>
      <c r="J23" s="4" t="str">
        <f>HYPERLINK("http://141.218.60.56/~jnz1568/getInfo.php?workbook=20_10.xlsx&amp;sheet=E0&amp;row=23&amp;col=10&amp;number=3212100&amp;sourceID=14","3212100")</f>
        <v>3212100</v>
      </c>
    </row>
    <row r="24" spans="1:10">
      <c r="A24" s="3">
        <v>20</v>
      </c>
      <c r="B24" s="3">
        <v>10</v>
      </c>
      <c r="C24" s="3">
        <v>21</v>
      </c>
      <c r="D24" s="3" t="s">
        <v>21</v>
      </c>
      <c r="E24" s="3" t="s">
        <v>22</v>
      </c>
      <c r="F24" s="3">
        <v>3</v>
      </c>
      <c r="G24" s="3">
        <v>3</v>
      </c>
      <c r="H24" s="3">
        <v>1</v>
      </c>
      <c r="I24" s="3">
        <v>2</v>
      </c>
      <c r="J24" s="4" t="str">
        <f>HYPERLINK("http://141.218.60.56/~jnz1568/getInfo.php?workbook=20_10.xlsx&amp;sheet=E0&amp;row=24&amp;col=10&amp;number=3226600&amp;sourceID=14","3226600")</f>
        <v>3226600</v>
      </c>
    </row>
    <row r="25" spans="1:10">
      <c r="A25" s="3">
        <v>20</v>
      </c>
      <c r="B25" s="3">
        <v>10</v>
      </c>
      <c r="C25" s="3">
        <v>22</v>
      </c>
      <c r="D25" s="3" t="s">
        <v>21</v>
      </c>
      <c r="E25" s="3" t="s">
        <v>19</v>
      </c>
      <c r="F25" s="3">
        <v>3</v>
      </c>
      <c r="G25" s="3">
        <v>2</v>
      </c>
      <c r="H25" s="3">
        <v>0</v>
      </c>
      <c r="I25" s="3">
        <v>3</v>
      </c>
      <c r="J25" s="4" t="str">
        <f>HYPERLINK("http://141.218.60.56/~jnz1568/getInfo.php?workbook=20_10.xlsx&amp;sheet=E0&amp;row=25&amp;col=10&amp;number=3223700&amp;sourceID=14","3223700")</f>
        <v>3223700</v>
      </c>
    </row>
    <row r="26" spans="1:10">
      <c r="A26" s="3">
        <v>20</v>
      </c>
      <c r="B26" s="3">
        <v>10</v>
      </c>
      <c r="C26" s="3">
        <v>23</v>
      </c>
      <c r="D26" s="3" t="s">
        <v>21</v>
      </c>
      <c r="E26" s="3" t="s">
        <v>19</v>
      </c>
      <c r="F26" s="3">
        <v>3</v>
      </c>
      <c r="G26" s="3">
        <v>2</v>
      </c>
      <c r="H26" s="3">
        <v>0</v>
      </c>
      <c r="I26" s="3">
        <v>1</v>
      </c>
      <c r="J26" s="4" t="str">
        <f>HYPERLINK("http://141.218.60.56/~jnz1568/getInfo.php?workbook=20_10.xlsx&amp;sheet=E0&amp;row=26&amp;col=10&amp;number=3239700&amp;sourceID=14","3239700")</f>
        <v>3239700</v>
      </c>
    </row>
    <row r="27" spans="1:10">
      <c r="A27" s="3">
        <v>20</v>
      </c>
      <c r="B27" s="3">
        <v>10</v>
      </c>
      <c r="C27" s="3">
        <v>24</v>
      </c>
      <c r="D27" s="3" t="s">
        <v>21</v>
      </c>
      <c r="E27" s="3" t="s">
        <v>20</v>
      </c>
      <c r="F27" s="3">
        <v>1</v>
      </c>
      <c r="G27" s="3">
        <v>2</v>
      </c>
      <c r="H27" s="3">
        <v>0</v>
      </c>
      <c r="I27" s="3">
        <v>2</v>
      </c>
      <c r="J27" s="4" t="str">
        <f>HYPERLINK("http://141.218.60.56/~jnz1568/getInfo.php?workbook=20_10.xlsx&amp;sheet=E0&amp;row=27&amp;col=10&amp;number=3251200&amp;sourceID=14","3251200")</f>
        <v>3251200</v>
      </c>
    </row>
    <row r="28" spans="1:10">
      <c r="A28" s="3">
        <v>20</v>
      </c>
      <c r="B28" s="3">
        <v>10</v>
      </c>
      <c r="C28" s="3">
        <v>25</v>
      </c>
      <c r="D28" s="3" t="s">
        <v>21</v>
      </c>
      <c r="E28" s="3" t="s">
        <v>19</v>
      </c>
      <c r="F28" s="3">
        <v>3</v>
      </c>
      <c r="G28" s="3">
        <v>2</v>
      </c>
      <c r="H28" s="3">
        <v>0</v>
      </c>
      <c r="I28" s="3">
        <v>2</v>
      </c>
      <c r="J28" s="4" t="str">
        <f>HYPERLINK("http://141.218.60.56/~jnz1568/getInfo.php?workbook=20_10.xlsx&amp;sheet=E0&amp;row=28&amp;col=10&amp;number=3242800&amp;sourceID=14","3242800")</f>
        <v>3242800</v>
      </c>
    </row>
    <row r="29" spans="1:10">
      <c r="A29" s="3">
        <v>20</v>
      </c>
      <c r="B29" s="3">
        <v>10</v>
      </c>
      <c r="C29" s="3">
        <v>26</v>
      </c>
      <c r="D29" s="3" t="s">
        <v>21</v>
      </c>
      <c r="E29" s="3" t="s">
        <v>23</v>
      </c>
      <c r="F29" s="3">
        <v>1</v>
      </c>
      <c r="G29" s="3">
        <v>3</v>
      </c>
      <c r="H29" s="3">
        <v>1</v>
      </c>
      <c r="I29" s="3">
        <v>3</v>
      </c>
      <c r="J29" s="4" t="str">
        <f>HYPERLINK("http://141.218.60.56/~jnz1568/getInfo.php?workbook=20_10.xlsx&amp;sheet=E0&amp;row=29&amp;col=10&amp;number=3251000&amp;sourceID=14","3251000")</f>
        <v>3251000</v>
      </c>
    </row>
    <row r="30" spans="1:10">
      <c r="A30" s="3">
        <v>20</v>
      </c>
      <c r="B30" s="3">
        <v>10</v>
      </c>
      <c r="C30" s="3">
        <v>27</v>
      </c>
      <c r="D30" s="3" t="s">
        <v>21</v>
      </c>
      <c r="E30" s="3" t="s">
        <v>16</v>
      </c>
      <c r="F30" s="3">
        <v>1</v>
      </c>
      <c r="G30" s="3">
        <v>1</v>
      </c>
      <c r="H30" s="3">
        <v>1</v>
      </c>
      <c r="I30" s="3">
        <v>1</v>
      </c>
      <c r="J30" s="4" t="str">
        <f>HYPERLINK("http://141.218.60.56/~jnz1568/getInfo.php?workbook=20_10.xlsx&amp;sheet=E0&amp;row=30&amp;col=10&amp;number=3284300&amp;sourceID=14","3284300")</f>
        <v>3284300</v>
      </c>
    </row>
    <row r="31" spans="1:10">
      <c r="A31" s="3">
        <v>20</v>
      </c>
      <c r="B31" s="3">
        <v>10</v>
      </c>
      <c r="C31" s="3">
        <v>28</v>
      </c>
      <c r="D31" s="3" t="s">
        <v>24</v>
      </c>
      <c r="E31" s="3" t="s">
        <v>18</v>
      </c>
      <c r="F31" s="3">
        <v>3</v>
      </c>
      <c r="G31" s="3">
        <v>0</v>
      </c>
      <c r="H31" s="3">
        <v>0</v>
      </c>
      <c r="I31" s="3">
        <v>1</v>
      </c>
      <c r="J31" s="4" t="str">
        <f>HYPERLINK("http://141.218.60.56/~jnz1568/getInfo.php?workbook=20_10.xlsx&amp;sheet=E0&amp;row=31&amp;col=10&amp;number=0&amp;sourceID=14","0")</f>
        <v>0</v>
      </c>
    </row>
    <row r="32" spans="1:10">
      <c r="A32" s="3">
        <v>20</v>
      </c>
      <c r="B32" s="3">
        <v>10</v>
      </c>
      <c r="C32" s="3">
        <v>29</v>
      </c>
      <c r="D32" s="3" t="s">
        <v>24</v>
      </c>
      <c r="E32" s="3" t="s">
        <v>13</v>
      </c>
      <c r="F32" s="3">
        <v>1</v>
      </c>
      <c r="G32" s="3">
        <v>0</v>
      </c>
      <c r="H32" s="3">
        <v>0</v>
      </c>
      <c r="I32" s="3">
        <v>0</v>
      </c>
      <c r="J32" s="4" t="str">
        <f>HYPERLINK("http://141.218.60.56/~jnz1568/getInfo.php?workbook=20_10.xlsx&amp;sheet=E0&amp;row=32&amp;col=10&amp;number=0&amp;sourceID=14","0")</f>
        <v>0</v>
      </c>
    </row>
    <row r="33" spans="1:10">
      <c r="A33" s="3">
        <v>20</v>
      </c>
      <c r="B33" s="3">
        <v>10</v>
      </c>
      <c r="C33" s="3">
        <v>30</v>
      </c>
      <c r="D33" s="3" t="s">
        <v>25</v>
      </c>
      <c r="E33" s="3" t="s">
        <v>15</v>
      </c>
      <c r="F33" s="3">
        <v>3</v>
      </c>
      <c r="G33" s="3">
        <v>1</v>
      </c>
      <c r="H33" s="3">
        <v>1</v>
      </c>
      <c r="I33" s="3">
        <v>0</v>
      </c>
      <c r="J33" s="4" t="str">
        <f>HYPERLINK("http://141.218.60.56/~jnz1568/getInfo.php?workbook=20_10.xlsx&amp;sheet=E0&amp;row=33&amp;col=10&amp;number=0&amp;sourceID=14","0")</f>
        <v>0</v>
      </c>
    </row>
    <row r="34" spans="1:10">
      <c r="A34" s="3">
        <v>20</v>
      </c>
      <c r="B34" s="3">
        <v>10</v>
      </c>
      <c r="C34" s="3">
        <v>31</v>
      </c>
      <c r="D34" s="3" t="s">
        <v>25</v>
      </c>
      <c r="E34" s="3" t="s">
        <v>15</v>
      </c>
      <c r="F34" s="3">
        <v>3</v>
      </c>
      <c r="G34" s="3">
        <v>1</v>
      </c>
      <c r="H34" s="3">
        <v>1</v>
      </c>
      <c r="I34" s="3">
        <v>1</v>
      </c>
      <c r="J34" s="4" t="str">
        <f>HYPERLINK("http://141.218.60.56/~jnz1568/getInfo.php?workbook=20_10.xlsx&amp;sheet=E0&amp;row=34&amp;col=10&amp;number=3692900&amp;sourceID=14","3692900")</f>
        <v>3692900</v>
      </c>
    </row>
    <row r="35" spans="1:10">
      <c r="A35" s="3">
        <v>20</v>
      </c>
      <c r="B35" s="3">
        <v>10</v>
      </c>
      <c r="C35" s="3">
        <v>32</v>
      </c>
      <c r="D35" s="3" t="s">
        <v>25</v>
      </c>
      <c r="E35" s="3" t="s">
        <v>15</v>
      </c>
      <c r="F35" s="3">
        <v>3</v>
      </c>
      <c r="G35" s="3">
        <v>1</v>
      </c>
      <c r="H35" s="3">
        <v>1</v>
      </c>
      <c r="I35" s="3">
        <v>2</v>
      </c>
      <c r="J35" s="4" t="str">
        <f>HYPERLINK("http://141.218.60.56/~jnz1568/getInfo.php?workbook=20_10.xlsx&amp;sheet=E0&amp;row=35&amp;col=10&amp;number=0&amp;sourceID=14","0")</f>
        <v>0</v>
      </c>
    </row>
    <row r="36" spans="1:10">
      <c r="A36" s="3">
        <v>20</v>
      </c>
      <c r="B36" s="3">
        <v>10</v>
      </c>
      <c r="C36" s="3">
        <v>33</v>
      </c>
      <c r="D36" s="3" t="s">
        <v>25</v>
      </c>
      <c r="E36" s="3" t="s">
        <v>16</v>
      </c>
      <c r="F36" s="3">
        <v>1</v>
      </c>
      <c r="G36" s="3">
        <v>1</v>
      </c>
      <c r="H36" s="3">
        <v>1</v>
      </c>
      <c r="I36" s="3">
        <v>1</v>
      </c>
      <c r="J36" s="4" t="str">
        <f>HYPERLINK("http://141.218.60.56/~jnz1568/getInfo.php?workbook=20_10.xlsx&amp;sheet=E0&amp;row=36&amp;col=10&amp;number=3708900&amp;sourceID=14","3708900")</f>
        <v>3708900</v>
      </c>
    </row>
    <row r="37" spans="1:10">
      <c r="A37" s="3">
        <v>20</v>
      </c>
      <c r="B37" s="3">
        <v>10</v>
      </c>
      <c r="C37" s="3">
        <v>34</v>
      </c>
      <c r="D37" s="3" t="s">
        <v>26</v>
      </c>
      <c r="E37" s="3" t="s">
        <v>15</v>
      </c>
      <c r="F37" s="3">
        <v>3</v>
      </c>
      <c r="G37" s="3">
        <v>1</v>
      </c>
      <c r="H37" s="3">
        <v>1</v>
      </c>
      <c r="I37" s="3">
        <v>2</v>
      </c>
      <c r="J37" s="4" t="str">
        <f>HYPERLINK("http://141.218.60.56/~jnz1568/getInfo.php?workbook=20_10.xlsx&amp;sheet=E0&amp;row=37&amp;col=10&amp;number=0&amp;sourceID=14","0")</f>
        <v>0</v>
      </c>
    </row>
    <row r="38" spans="1:10">
      <c r="A38" s="3">
        <v>20</v>
      </c>
      <c r="B38" s="3">
        <v>10</v>
      </c>
      <c r="C38" s="3">
        <v>35</v>
      </c>
      <c r="D38" s="3" t="s">
        <v>26</v>
      </c>
      <c r="E38" s="3" t="s">
        <v>16</v>
      </c>
      <c r="F38" s="3">
        <v>1</v>
      </c>
      <c r="G38" s="3">
        <v>1</v>
      </c>
      <c r="H38" s="3">
        <v>1</v>
      </c>
      <c r="I38" s="3">
        <v>1</v>
      </c>
      <c r="J38" s="4" t="str">
        <f>HYPERLINK("http://141.218.60.56/~jnz1568/getInfo.php?workbook=20_10.xlsx&amp;sheet=E0&amp;row=38&amp;col=10&amp;number=3781900&amp;sourceID=14","3781900")</f>
        <v>3781900</v>
      </c>
    </row>
    <row r="39" spans="1:10">
      <c r="A39" s="3">
        <v>20</v>
      </c>
      <c r="B39" s="3">
        <v>10</v>
      </c>
      <c r="C39" s="3">
        <v>36</v>
      </c>
      <c r="D39" s="3" t="s">
        <v>26</v>
      </c>
      <c r="E39" s="3" t="s">
        <v>15</v>
      </c>
      <c r="F39" s="3">
        <v>3</v>
      </c>
      <c r="G39" s="3">
        <v>1</v>
      </c>
      <c r="H39" s="3">
        <v>1</v>
      </c>
      <c r="I39" s="3">
        <v>0</v>
      </c>
      <c r="J39" s="4" t="str">
        <f>HYPERLINK("http://141.218.60.56/~jnz1568/getInfo.php?workbook=20_10.xlsx&amp;sheet=E0&amp;row=39&amp;col=10&amp;number=0&amp;sourceID=14","0")</f>
        <v>0</v>
      </c>
    </row>
    <row r="40" spans="1:10">
      <c r="A40" s="3">
        <v>20</v>
      </c>
      <c r="B40" s="3">
        <v>10</v>
      </c>
      <c r="C40" s="3">
        <v>37</v>
      </c>
      <c r="D40" s="3" t="s">
        <v>26</v>
      </c>
      <c r="E40" s="3" t="s">
        <v>15</v>
      </c>
      <c r="F40" s="3">
        <v>3</v>
      </c>
      <c r="G40" s="3">
        <v>1</v>
      </c>
      <c r="H40" s="3">
        <v>1</v>
      </c>
      <c r="I40" s="3">
        <v>1</v>
      </c>
      <c r="J40" s="4" t="str">
        <f>HYPERLINK("http://141.218.60.56/~jnz1568/getInfo.php?workbook=20_10.xlsx&amp;sheet=E0&amp;row=40&amp;col=10&amp;number=3753900&amp;sourceID=14","3753900")</f>
        <v>3753900</v>
      </c>
    </row>
    <row r="41" spans="1:10">
      <c r="A41" s="3">
        <v>20</v>
      </c>
      <c r="B41" s="3">
        <v>10</v>
      </c>
      <c r="C41" s="3">
        <v>38</v>
      </c>
      <c r="D41" s="3" t="s">
        <v>27</v>
      </c>
      <c r="E41" s="3" t="s">
        <v>18</v>
      </c>
      <c r="F41" s="3">
        <v>3</v>
      </c>
      <c r="G41" s="3">
        <v>0</v>
      </c>
      <c r="H41" s="3">
        <v>0</v>
      </c>
      <c r="I41" s="3">
        <v>1</v>
      </c>
      <c r="J41" s="4" t="str">
        <f>HYPERLINK("http://141.218.60.56/~jnz1568/getInfo.php?workbook=20_10.xlsx&amp;sheet=E0&amp;row=41&amp;col=10&amp;number=0&amp;sourceID=14","0")</f>
        <v>0</v>
      </c>
    </row>
    <row r="42" spans="1:10">
      <c r="A42" s="3">
        <v>20</v>
      </c>
      <c r="B42" s="3">
        <v>10</v>
      </c>
      <c r="C42" s="3">
        <v>39</v>
      </c>
      <c r="D42" s="3" t="s">
        <v>27</v>
      </c>
      <c r="E42" s="3" t="s">
        <v>19</v>
      </c>
      <c r="F42" s="3">
        <v>3</v>
      </c>
      <c r="G42" s="3">
        <v>2</v>
      </c>
      <c r="H42" s="3">
        <v>0</v>
      </c>
      <c r="I42" s="3">
        <v>2</v>
      </c>
      <c r="J42" s="4" t="str">
        <f>HYPERLINK("http://141.218.60.56/~jnz1568/getInfo.php?workbook=20_10.xlsx&amp;sheet=E0&amp;row=42&amp;col=10&amp;number=0&amp;sourceID=14","0")</f>
        <v>0</v>
      </c>
    </row>
    <row r="43" spans="1:10">
      <c r="A43" s="3">
        <v>20</v>
      </c>
      <c r="B43" s="3">
        <v>10</v>
      </c>
      <c r="C43" s="3">
        <v>40</v>
      </c>
      <c r="D43" s="3" t="s">
        <v>27</v>
      </c>
      <c r="E43" s="3" t="s">
        <v>19</v>
      </c>
      <c r="F43" s="3">
        <v>3</v>
      </c>
      <c r="G43" s="3">
        <v>2</v>
      </c>
      <c r="H43" s="3">
        <v>0</v>
      </c>
      <c r="I43" s="3">
        <v>3</v>
      </c>
      <c r="J43" s="4" t="str">
        <f>HYPERLINK("http://141.218.60.56/~jnz1568/getInfo.php?workbook=20_10.xlsx&amp;sheet=E0&amp;row=43&amp;col=10&amp;number=0&amp;sourceID=14","0")</f>
        <v>0</v>
      </c>
    </row>
    <row r="44" spans="1:10">
      <c r="A44" s="3">
        <v>20</v>
      </c>
      <c r="B44" s="3">
        <v>10</v>
      </c>
      <c r="C44" s="3">
        <v>41</v>
      </c>
      <c r="D44" s="3" t="s">
        <v>27</v>
      </c>
      <c r="E44" s="3" t="s">
        <v>16</v>
      </c>
      <c r="F44" s="3">
        <v>1</v>
      </c>
      <c r="G44" s="3">
        <v>1</v>
      </c>
      <c r="H44" s="3">
        <v>1</v>
      </c>
      <c r="I44" s="3">
        <v>1</v>
      </c>
      <c r="J44" s="4" t="str">
        <f>HYPERLINK("http://141.218.60.56/~jnz1568/getInfo.php?workbook=20_10.xlsx&amp;sheet=E0&amp;row=44&amp;col=10&amp;number=0&amp;sourceID=14","0")</f>
        <v>0</v>
      </c>
    </row>
    <row r="45" spans="1:10">
      <c r="A45" s="3">
        <v>20</v>
      </c>
      <c r="B45" s="3">
        <v>10</v>
      </c>
      <c r="C45" s="3">
        <v>42</v>
      </c>
      <c r="D45" s="3" t="s">
        <v>27</v>
      </c>
      <c r="E45" s="3" t="s">
        <v>15</v>
      </c>
      <c r="F45" s="3">
        <v>3</v>
      </c>
      <c r="G45" s="3">
        <v>1</v>
      </c>
      <c r="H45" s="3">
        <v>1</v>
      </c>
      <c r="I45" s="3">
        <v>2</v>
      </c>
      <c r="J45" s="4" t="str">
        <f>HYPERLINK("http://141.218.60.56/~jnz1568/getInfo.php?workbook=20_10.xlsx&amp;sheet=E0&amp;row=45&amp;col=10&amp;number=0&amp;sourceID=14","0")</f>
        <v>0</v>
      </c>
    </row>
    <row r="46" spans="1:10">
      <c r="A46" s="3">
        <v>20</v>
      </c>
      <c r="B46" s="3">
        <v>10</v>
      </c>
      <c r="C46" s="3">
        <v>43</v>
      </c>
      <c r="D46" s="3" t="s">
        <v>27</v>
      </c>
      <c r="E46" s="3" t="s">
        <v>15</v>
      </c>
      <c r="F46" s="3">
        <v>3</v>
      </c>
      <c r="G46" s="3">
        <v>1</v>
      </c>
      <c r="H46" s="3">
        <v>1</v>
      </c>
      <c r="I46" s="3">
        <v>0</v>
      </c>
      <c r="J46" s="4" t="str">
        <f>HYPERLINK("http://141.218.60.56/~jnz1568/getInfo.php?workbook=20_10.xlsx&amp;sheet=E0&amp;row=46&amp;col=10&amp;number=0&amp;sourceID=14","0")</f>
        <v>0</v>
      </c>
    </row>
    <row r="47" spans="1:10">
      <c r="A47" s="3">
        <v>20</v>
      </c>
      <c r="B47" s="3">
        <v>10</v>
      </c>
      <c r="C47" s="3">
        <v>44</v>
      </c>
      <c r="D47" s="3" t="s">
        <v>27</v>
      </c>
      <c r="E47" s="3" t="s">
        <v>19</v>
      </c>
      <c r="F47" s="3">
        <v>3</v>
      </c>
      <c r="G47" s="3">
        <v>2</v>
      </c>
      <c r="H47" s="3">
        <v>0</v>
      </c>
      <c r="I47" s="3">
        <v>1</v>
      </c>
      <c r="J47" s="4" t="str">
        <f>HYPERLINK("http://141.218.60.56/~jnz1568/getInfo.php?workbook=20_10.xlsx&amp;sheet=E0&amp;row=47&amp;col=10&amp;number=3847700&amp;sourceID=14","3847700")</f>
        <v>3847700</v>
      </c>
    </row>
    <row r="48" spans="1:10">
      <c r="A48" s="3">
        <v>20</v>
      </c>
      <c r="B48" s="3">
        <v>10</v>
      </c>
      <c r="C48" s="3">
        <v>45</v>
      </c>
      <c r="D48" s="3" t="s">
        <v>27</v>
      </c>
      <c r="E48" s="3" t="s">
        <v>15</v>
      </c>
      <c r="F48" s="3">
        <v>3</v>
      </c>
      <c r="G48" s="3">
        <v>1</v>
      </c>
      <c r="H48" s="3">
        <v>1</v>
      </c>
      <c r="I48" s="3">
        <v>1</v>
      </c>
      <c r="J48" s="4" t="str">
        <f>HYPERLINK("http://141.218.60.56/~jnz1568/getInfo.php?workbook=20_10.xlsx&amp;sheet=E0&amp;row=48&amp;col=10&amp;number=0&amp;sourceID=14","0")</f>
        <v>0</v>
      </c>
    </row>
    <row r="49" spans="1:10">
      <c r="A49" s="3">
        <v>20</v>
      </c>
      <c r="B49" s="3">
        <v>10</v>
      </c>
      <c r="C49" s="3">
        <v>46</v>
      </c>
      <c r="D49" s="3" t="s">
        <v>27</v>
      </c>
      <c r="E49" s="3" t="s">
        <v>20</v>
      </c>
      <c r="F49" s="3">
        <v>1</v>
      </c>
      <c r="G49" s="3">
        <v>2</v>
      </c>
      <c r="H49" s="3">
        <v>0</v>
      </c>
      <c r="I49" s="3">
        <v>2</v>
      </c>
      <c r="J49" s="4" t="str">
        <f>HYPERLINK("http://141.218.60.56/~jnz1568/getInfo.php?workbook=20_10.xlsx&amp;sheet=E0&amp;row=49&amp;col=10&amp;number=0&amp;sourceID=14","0")</f>
        <v>0</v>
      </c>
    </row>
    <row r="50" spans="1:10">
      <c r="A50" s="3">
        <v>20</v>
      </c>
      <c r="B50" s="3">
        <v>10</v>
      </c>
      <c r="C50" s="3">
        <v>47</v>
      </c>
      <c r="D50" s="3" t="s">
        <v>27</v>
      </c>
      <c r="E50" s="3" t="s">
        <v>13</v>
      </c>
      <c r="F50" s="3">
        <v>1</v>
      </c>
      <c r="G50" s="3">
        <v>0</v>
      </c>
      <c r="H50" s="3">
        <v>0</v>
      </c>
      <c r="I50" s="3">
        <v>0</v>
      </c>
      <c r="J50" s="4" t="str">
        <f>HYPERLINK("http://141.218.60.56/~jnz1568/getInfo.php?workbook=20_10.xlsx&amp;sheet=E0&amp;row=50&amp;col=10&amp;number=0&amp;sourceID=14","0")</f>
        <v>0</v>
      </c>
    </row>
    <row r="51" spans="1:10">
      <c r="A51" s="3">
        <v>20</v>
      </c>
      <c r="B51" s="3">
        <v>10</v>
      </c>
      <c r="C51" s="3">
        <v>48</v>
      </c>
      <c r="D51" s="3" t="s">
        <v>28</v>
      </c>
      <c r="E51" s="3" t="s">
        <v>15</v>
      </c>
      <c r="F51" s="3">
        <v>3</v>
      </c>
      <c r="G51" s="3">
        <v>1</v>
      </c>
      <c r="H51" s="3">
        <v>1</v>
      </c>
      <c r="I51" s="3">
        <v>0</v>
      </c>
      <c r="J51" s="4" t="str">
        <f>HYPERLINK("http://141.218.60.56/~jnz1568/getInfo.php?workbook=20_10.xlsx&amp;sheet=E0&amp;row=51&amp;col=10&amp;number=0&amp;sourceID=14","0")</f>
        <v>0</v>
      </c>
    </row>
    <row r="52" spans="1:10">
      <c r="A52" s="3">
        <v>20</v>
      </c>
      <c r="B52" s="3">
        <v>10</v>
      </c>
      <c r="C52" s="3">
        <v>49</v>
      </c>
      <c r="D52" s="3" t="s">
        <v>28</v>
      </c>
      <c r="E52" s="3" t="s">
        <v>15</v>
      </c>
      <c r="F52" s="3">
        <v>3</v>
      </c>
      <c r="G52" s="3">
        <v>1</v>
      </c>
      <c r="H52" s="3">
        <v>1</v>
      </c>
      <c r="I52" s="3">
        <v>1</v>
      </c>
      <c r="J52" s="4" t="str">
        <f>HYPERLINK("http://141.218.60.56/~jnz1568/getInfo.php?workbook=20_10.xlsx&amp;sheet=E0&amp;row=52&amp;col=10&amp;number=0&amp;sourceID=14","0")</f>
        <v>0</v>
      </c>
    </row>
    <row r="53" spans="1:10">
      <c r="A53" s="3">
        <v>20</v>
      </c>
      <c r="B53" s="3">
        <v>10</v>
      </c>
      <c r="C53" s="3">
        <v>50</v>
      </c>
      <c r="D53" s="3" t="s">
        <v>28</v>
      </c>
      <c r="E53" s="3" t="s">
        <v>22</v>
      </c>
      <c r="F53" s="3">
        <v>3</v>
      </c>
      <c r="G53" s="3">
        <v>3</v>
      </c>
      <c r="H53" s="3">
        <v>1</v>
      </c>
      <c r="I53" s="3">
        <v>4</v>
      </c>
      <c r="J53" s="4" t="str">
        <f>HYPERLINK("http://141.218.60.56/~jnz1568/getInfo.php?workbook=20_10.xlsx&amp;sheet=E0&amp;row=53&amp;col=10&amp;number=3898360&amp;sourceID=14","3898360")</f>
        <v>3898360</v>
      </c>
    </row>
    <row r="54" spans="1:10">
      <c r="A54" s="3">
        <v>20</v>
      </c>
      <c r="B54" s="3">
        <v>10</v>
      </c>
      <c r="C54" s="3">
        <v>51</v>
      </c>
      <c r="D54" s="3" t="s">
        <v>28</v>
      </c>
      <c r="E54" s="3" t="s">
        <v>15</v>
      </c>
      <c r="F54" s="3">
        <v>3</v>
      </c>
      <c r="G54" s="3">
        <v>1</v>
      </c>
      <c r="H54" s="3">
        <v>1</v>
      </c>
      <c r="I54" s="3">
        <v>2</v>
      </c>
      <c r="J54" s="4" t="str">
        <f>HYPERLINK("http://141.218.60.56/~jnz1568/getInfo.php?workbook=20_10.xlsx&amp;sheet=E0&amp;row=54&amp;col=10&amp;number=0&amp;sourceID=14","0")</f>
        <v>0</v>
      </c>
    </row>
    <row r="55" spans="1:10">
      <c r="A55" s="3">
        <v>20</v>
      </c>
      <c r="B55" s="3">
        <v>10</v>
      </c>
      <c r="C55" s="3">
        <v>52</v>
      </c>
      <c r="D55" s="3" t="s">
        <v>28</v>
      </c>
      <c r="E55" s="3" t="s">
        <v>22</v>
      </c>
      <c r="F55" s="3">
        <v>3</v>
      </c>
      <c r="G55" s="3">
        <v>3</v>
      </c>
      <c r="H55" s="3">
        <v>1</v>
      </c>
      <c r="I55" s="3">
        <v>3</v>
      </c>
      <c r="J55" s="4" t="str">
        <f>HYPERLINK("http://141.218.60.56/~jnz1568/getInfo.php?workbook=20_10.xlsx&amp;sheet=E0&amp;row=55&amp;col=10&amp;number=3904440&amp;sourceID=14","3904440")</f>
        <v>3904440</v>
      </c>
    </row>
    <row r="56" spans="1:10">
      <c r="A56" s="3">
        <v>20</v>
      </c>
      <c r="B56" s="3">
        <v>10</v>
      </c>
      <c r="C56" s="3">
        <v>53</v>
      </c>
      <c r="D56" s="3" t="s">
        <v>28</v>
      </c>
      <c r="E56" s="3" t="s">
        <v>20</v>
      </c>
      <c r="F56" s="3">
        <v>1</v>
      </c>
      <c r="G56" s="3">
        <v>2</v>
      </c>
      <c r="H56" s="3">
        <v>0</v>
      </c>
      <c r="I56" s="3">
        <v>2</v>
      </c>
      <c r="J56" s="4" t="str">
        <f>HYPERLINK("http://141.218.60.56/~jnz1568/getInfo.php?workbook=20_10.xlsx&amp;sheet=E0&amp;row=56&amp;col=10&amp;number=3909210&amp;sourceID=14","3909210")</f>
        <v>3909210</v>
      </c>
    </row>
    <row r="57" spans="1:10">
      <c r="A57" s="3">
        <v>20</v>
      </c>
      <c r="B57" s="3">
        <v>10</v>
      </c>
      <c r="C57" s="3">
        <v>54</v>
      </c>
      <c r="D57" s="3" t="s">
        <v>28</v>
      </c>
      <c r="E57" s="3" t="s">
        <v>19</v>
      </c>
      <c r="F57" s="3">
        <v>3</v>
      </c>
      <c r="G57" s="3">
        <v>2</v>
      </c>
      <c r="H57" s="3">
        <v>0</v>
      </c>
      <c r="I57" s="3">
        <v>3</v>
      </c>
      <c r="J57" s="4" t="str">
        <f>HYPERLINK("http://141.218.60.56/~jnz1568/getInfo.php?workbook=20_10.xlsx&amp;sheet=E0&amp;row=57&amp;col=10&amp;number=3899810&amp;sourceID=14","3899810")</f>
        <v>3899810</v>
      </c>
    </row>
    <row r="58" spans="1:10">
      <c r="A58" s="3">
        <v>20</v>
      </c>
      <c r="B58" s="3">
        <v>10</v>
      </c>
      <c r="C58" s="3">
        <v>55</v>
      </c>
      <c r="D58" s="3" t="s">
        <v>28</v>
      </c>
      <c r="E58" s="3" t="s">
        <v>19</v>
      </c>
      <c r="F58" s="3">
        <v>3</v>
      </c>
      <c r="G58" s="3">
        <v>2</v>
      </c>
      <c r="H58" s="3">
        <v>0</v>
      </c>
      <c r="I58" s="3">
        <v>1</v>
      </c>
      <c r="J58" s="4" t="str">
        <f>HYPERLINK("http://141.218.60.56/~jnz1568/getInfo.php?workbook=20_10.xlsx&amp;sheet=E0&amp;row=58&amp;col=10&amp;number=3919000&amp;sourceID=14","3919000")</f>
        <v>3919000</v>
      </c>
    </row>
    <row r="59" spans="1:10">
      <c r="A59" s="3">
        <v>20</v>
      </c>
      <c r="B59" s="3">
        <v>10</v>
      </c>
      <c r="C59" s="3">
        <v>56</v>
      </c>
      <c r="D59" s="3" t="s">
        <v>29</v>
      </c>
      <c r="E59" s="3" t="s">
        <v>19</v>
      </c>
      <c r="F59" s="3">
        <v>3</v>
      </c>
      <c r="G59" s="3">
        <v>2</v>
      </c>
      <c r="H59" s="3">
        <v>0</v>
      </c>
      <c r="I59" s="3">
        <v>1</v>
      </c>
      <c r="J59" s="4" t="str">
        <f>HYPERLINK("http://141.218.60.56/~jnz1568/getInfo.php?workbook=20_10.xlsx&amp;sheet=E0&amp;row=59&amp;col=10&amp;number=0&amp;sourceID=14","0")</f>
        <v>0</v>
      </c>
    </row>
    <row r="60" spans="1:10">
      <c r="A60" s="3">
        <v>20</v>
      </c>
      <c r="B60" s="3">
        <v>10</v>
      </c>
      <c r="C60" s="3">
        <v>57</v>
      </c>
      <c r="D60" s="3" t="s">
        <v>29</v>
      </c>
      <c r="E60" s="3" t="s">
        <v>19</v>
      </c>
      <c r="F60" s="3">
        <v>3</v>
      </c>
      <c r="G60" s="3">
        <v>2</v>
      </c>
      <c r="H60" s="3">
        <v>0</v>
      </c>
      <c r="I60" s="3">
        <v>2</v>
      </c>
      <c r="J60" s="4" t="str">
        <f>HYPERLINK("http://141.218.60.56/~jnz1568/getInfo.php?workbook=20_10.xlsx&amp;sheet=E0&amp;row=60&amp;col=10&amp;number=0&amp;sourceID=14","0")</f>
        <v>0</v>
      </c>
    </row>
    <row r="61" spans="1:10">
      <c r="A61" s="3">
        <v>20</v>
      </c>
      <c r="B61" s="3">
        <v>10</v>
      </c>
      <c r="C61" s="3">
        <v>58</v>
      </c>
      <c r="D61" s="3" t="s">
        <v>28</v>
      </c>
      <c r="E61" s="3" t="s">
        <v>22</v>
      </c>
      <c r="F61" s="3">
        <v>3</v>
      </c>
      <c r="G61" s="3">
        <v>3</v>
      </c>
      <c r="H61" s="3">
        <v>1</v>
      </c>
      <c r="I61" s="3">
        <v>2</v>
      </c>
      <c r="J61" s="4" t="str">
        <f>HYPERLINK("http://141.218.60.56/~jnz1568/getInfo.php?workbook=20_10.xlsx&amp;sheet=E0&amp;row=61&amp;col=10&amp;number=3936610&amp;sourceID=14","3936610")</f>
        <v>3936610</v>
      </c>
    </row>
    <row r="62" spans="1:10">
      <c r="A62" s="3">
        <v>20</v>
      </c>
      <c r="B62" s="3">
        <v>10</v>
      </c>
      <c r="C62" s="3">
        <v>59</v>
      </c>
      <c r="D62" s="3" t="s">
        <v>28</v>
      </c>
      <c r="E62" s="3" t="s">
        <v>19</v>
      </c>
      <c r="F62" s="3">
        <v>3</v>
      </c>
      <c r="G62" s="3">
        <v>2</v>
      </c>
      <c r="H62" s="3">
        <v>0</v>
      </c>
      <c r="I62" s="3">
        <v>2</v>
      </c>
      <c r="J62" s="4" t="str">
        <f>HYPERLINK("http://141.218.60.56/~jnz1568/getInfo.php?workbook=20_10.xlsx&amp;sheet=E0&amp;row=62&amp;col=10&amp;number=3902860&amp;sourceID=14","3902860")</f>
        <v>3902860</v>
      </c>
    </row>
    <row r="63" spans="1:10">
      <c r="A63" s="3">
        <v>20</v>
      </c>
      <c r="B63" s="3">
        <v>10</v>
      </c>
      <c r="C63" s="3">
        <v>60</v>
      </c>
      <c r="D63" s="3" t="s">
        <v>29</v>
      </c>
      <c r="E63" s="3" t="s">
        <v>30</v>
      </c>
      <c r="F63" s="3">
        <v>3</v>
      </c>
      <c r="G63" s="3">
        <v>4</v>
      </c>
      <c r="H63" s="3">
        <v>0</v>
      </c>
      <c r="I63" s="3">
        <v>5</v>
      </c>
      <c r="J63" s="4" t="str">
        <f>HYPERLINK("http://141.218.60.56/~jnz1568/getInfo.php?workbook=20_10.xlsx&amp;sheet=E0&amp;row=63&amp;col=10&amp;number=3936300&amp;sourceID=14","3936300")</f>
        <v>3936300</v>
      </c>
    </row>
    <row r="64" spans="1:10">
      <c r="A64" s="3">
        <v>20</v>
      </c>
      <c r="B64" s="3">
        <v>10</v>
      </c>
      <c r="C64" s="3">
        <v>61</v>
      </c>
      <c r="D64" s="3" t="s">
        <v>29</v>
      </c>
      <c r="E64" s="3" t="s">
        <v>31</v>
      </c>
      <c r="F64" s="3">
        <v>1</v>
      </c>
      <c r="G64" s="3">
        <v>4</v>
      </c>
      <c r="H64" s="3">
        <v>0</v>
      </c>
      <c r="I64" s="3">
        <v>4</v>
      </c>
      <c r="J64" s="4" t="str">
        <f>HYPERLINK("http://141.218.60.56/~jnz1568/getInfo.php?workbook=20_10.xlsx&amp;sheet=E0&amp;row=64&amp;col=10&amp;number=0&amp;sourceID=14","0")</f>
        <v>0</v>
      </c>
    </row>
    <row r="65" spans="1:10">
      <c r="A65" s="3">
        <v>20</v>
      </c>
      <c r="B65" s="3">
        <v>10</v>
      </c>
      <c r="C65" s="3">
        <v>62</v>
      </c>
      <c r="D65" s="3" t="s">
        <v>28</v>
      </c>
      <c r="E65" s="3" t="s">
        <v>23</v>
      </c>
      <c r="F65" s="3">
        <v>1</v>
      </c>
      <c r="G65" s="3">
        <v>3</v>
      </c>
      <c r="H65" s="3">
        <v>1</v>
      </c>
      <c r="I65" s="3">
        <v>3</v>
      </c>
      <c r="J65" s="4" t="str">
        <f>HYPERLINK("http://141.218.60.56/~jnz1568/getInfo.php?workbook=20_10.xlsx&amp;sheet=E0&amp;row=65&amp;col=10&amp;number=3935480&amp;sourceID=14","3935480")</f>
        <v>3935480</v>
      </c>
    </row>
    <row r="66" spans="1:10">
      <c r="A66" s="3">
        <v>20</v>
      </c>
      <c r="B66" s="3">
        <v>10</v>
      </c>
      <c r="C66" s="3">
        <v>63</v>
      </c>
      <c r="D66" s="3" t="s">
        <v>29</v>
      </c>
      <c r="E66" s="3" t="s">
        <v>19</v>
      </c>
      <c r="F66" s="3">
        <v>3</v>
      </c>
      <c r="G66" s="3">
        <v>2</v>
      </c>
      <c r="H66" s="3">
        <v>0</v>
      </c>
      <c r="I66" s="3">
        <v>3</v>
      </c>
      <c r="J66" s="4" t="str">
        <f>HYPERLINK("http://141.218.60.56/~jnz1568/getInfo.php?workbook=20_10.xlsx&amp;sheet=E0&amp;row=66&amp;col=10&amp;number=0&amp;sourceID=14","0")</f>
        <v>0</v>
      </c>
    </row>
    <row r="67" spans="1:10">
      <c r="A67" s="3">
        <v>20</v>
      </c>
      <c r="B67" s="3">
        <v>10</v>
      </c>
      <c r="C67" s="3">
        <v>64</v>
      </c>
      <c r="D67" s="3" t="s">
        <v>29</v>
      </c>
      <c r="E67" s="3" t="s">
        <v>20</v>
      </c>
      <c r="F67" s="3">
        <v>1</v>
      </c>
      <c r="G67" s="3">
        <v>2</v>
      </c>
      <c r="H67" s="3">
        <v>0</v>
      </c>
      <c r="I67" s="3">
        <v>2</v>
      </c>
      <c r="J67" s="4" t="str">
        <f>HYPERLINK("http://141.218.60.56/~jnz1568/getInfo.php?workbook=20_10.xlsx&amp;sheet=E0&amp;row=67&amp;col=10&amp;number=0&amp;sourceID=14","0")</f>
        <v>0</v>
      </c>
    </row>
    <row r="68" spans="1:10">
      <c r="A68" s="3">
        <v>20</v>
      </c>
      <c r="B68" s="3">
        <v>10</v>
      </c>
      <c r="C68" s="3">
        <v>65</v>
      </c>
      <c r="D68" s="3" t="s">
        <v>29</v>
      </c>
      <c r="E68" s="3" t="s">
        <v>23</v>
      </c>
      <c r="F68" s="3">
        <v>1</v>
      </c>
      <c r="G68" s="3">
        <v>3</v>
      </c>
      <c r="H68" s="3">
        <v>1</v>
      </c>
      <c r="I68" s="3">
        <v>3</v>
      </c>
      <c r="J68" s="4" t="str">
        <f>HYPERLINK("http://141.218.60.56/~jnz1568/getInfo.php?workbook=20_10.xlsx&amp;sheet=E0&amp;row=68&amp;col=10&amp;number=0&amp;sourceID=14","0")</f>
        <v>0</v>
      </c>
    </row>
    <row r="69" spans="1:10">
      <c r="A69" s="3">
        <v>20</v>
      </c>
      <c r="B69" s="3">
        <v>10</v>
      </c>
      <c r="C69" s="3">
        <v>66</v>
      </c>
      <c r="D69" s="3" t="s">
        <v>29</v>
      </c>
      <c r="E69" s="3" t="s">
        <v>22</v>
      </c>
      <c r="F69" s="3">
        <v>3</v>
      </c>
      <c r="G69" s="3">
        <v>3</v>
      </c>
      <c r="H69" s="3">
        <v>1</v>
      </c>
      <c r="I69" s="3">
        <v>4</v>
      </c>
      <c r="J69" s="4" t="str">
        <f>HYPERLINK("http://141.218.60.56/~jnz1568/getInfo.php?workbook=20_10.xlsx&amp;sheet=E0&amp;row=69&amp;col=10&amp;number=0&amp;sourceID=14","0")</f>
        <v>0</v>
      </c>
    </row>
    <row r="70" spans="1:10">
      <c r="A70" s="3">
        <v>20</v>
      </c>
      <c r="B70" s="3">
        <v>10</v>
      </c>
      <c r="C70" s="3">
        <v>67</v>
      </c>
      <c r="D70" s="3" t="s">
        <v>32</v>
      </c>
      <c r="E70" s="3" t="s">
        <v>19</v>
      </c>
      <c r="F70" s="3">
        <v>3</v>
      </c>
      <c r="G70" s="3">
        <v>2</v>
      </c>
      <c r="H70" s="3">
        <v>0</v>
      </c>
      <c r="I70" s="3">
        <v>1</v>
      </c>
      <c r="J70" s="4" t="str">
        <f>HYPERLINK("http://141.218.60.56/~jnz1568/getInfo.php?workbook=20_10.xlsx&amp;sheet=E0&amp;row=70&amp;col=10&amp;number=0&amp;sourceID=14","0")</f>
        <v>0</v>
      </c>
    </row>
    <row r="71" spans="1:10">
      <c r="A71" s="3">
        <v>20</v>
      </c>
      <c r="B71" s="3">
        <v>10</v>
      </c>
      <c r="C71" s="3">
        <v>68</v>
      </c>
      <c r="D71" s="3" t="s">
        <v>32</v>
      </c>
      <c r="E71" s="3" t="s">
        <v>19</v>
      </c>
      <c r="F71" s="3">
        <v>3</v>
      </c>
      <c r="G71" s="3">
        <v>2</v>
      </c>
      <c r="H71" s="3">
        <v>0</v>
      </c>
      <c r="I71" s="3">
        <v>2</v>
      </c>
      <c r="J71" s="4" t="str">
        <f>HYPERLINK("http://141.218.60.56/~jnz1568/getInfo.php?workbook=20_10.xlsx&amp;sheet=E0&amp;row=71&amp;col=10&amp;number=0&amp;sourceID=14","0")</f>
        <v>0</v>
      </c>
    </row>
    <row r="72" spans="1:10">
      <c r="A72" s="3">
        <v>20</v>
      </c>
      <c r="B72" s="3">
        <v>10</v>
      </c>
      <c r="C72" s="3">
        <v>69</v>
      </c>
      <c r="D72" s="3" t="s">
        <v>32</v>
      </c>
      <c r="E72" s="3" t="s">
        <v>19</v>
      </c>
      <c r="F72" s="3">
        <v>3</v>
      </c>
      <c r="G72" s="3">
        <v>2</v>
      </c>
      <c r="H72" s="3">
        <v>0</v>
      </c>
      <c r="I72" s="3">
        <v>3</v>
      </c>
      <c r="J72" s="4" t="str">
        <f>HYPERLINK("http://141.218.60.56/~jnz1568/getInfo.php?workbook=20_10.xlsx&amp;sheet=E0&amp;row=72&amp;col=10&amp;number=0&amp;sourceID=14","0")</f>
        <v>0</v>
      </c>
    </row>
    <row r="73" spans="1:10">
      <c r="A73" s="3">
        <v>20</v>
      </c>
      <c r="B73" s="3">
        <v>10</v>
      </c>
      <c r="C73" s="3">
        <v>70</v>
      </c>
      <c r="D73" s="3" t="s">
        <v>28</v>
      </c>
      <c r="E73" s="3" t="s">
        <v>16</v>
      </c>
      <c r="F73" s="3">
        <v>1</v>
      </c>
      <c r="G73" s="3">
        <v>1</v>
      </c>
      <c r="H73" s="3">
        <v>1</v>
      </c>
      <c r="I73" s="3">
        <v>1</v>
      </c>
      <c r="J73" s="4" t="str">
        <f>HYPERLINK("http://141.218.60.56/~jnz1568/getInfo.php?workbook=20_10.xlsx&amp;sheet=E0&amp;row=73&amp;col=10&amp;number=3948400&amp;sourceID=14","3948400")</f>
        <v>3948400</v>
      </c>
    </row>
    <row r="74" spans="1:10">
      <c r="A74" s="3">
        <v>20</v>
      </c>
      <c r="B74" s="3">
        <v>10</v>
      </c>
      <c r="C74" s="3">
        <v>71</v>
      </c>
      <c r="D74" s="3" t="s">
        <v>32</v>
      </c>
      <c r="E74" s="3" t="s">
        <v>20</v>
      </c>
      <c r="F74" s="3">
        <v>1</v>
      </c>
      <c r="G74" s="3">
        <v>2</v>
      </c>
      <c r="H74" s="3">
        <v>0</v>
      </c>
      <c r="I74" s="3">
        <v>2</v>
      </c>
      <c r="J74" s="4" t="str">
        <f>HYPERLINK("http://141.218.60.56/~jnz1568/getInfo.php?workbook=20_10.xlsx&amp;sheet=E0&amp;row=74&amp;col=10&amp;number=0&amp;sourceID=14","0")</f>
        <v>0</v>
      </c>
    </row>
    <row r="75" spans="1:10">
      <c r="A75" s="3">
        <v>20</v>
      </c>
      <c r="B75" s="3">
        <v>10</v>
      </c>
      <c r="C75" s="3">
        <v>72</v>
      </c>
      <c r="D75" s="3" t="s">
        <v>29</v>
      </c>
      <c r="E75" s="3" t="s">
        <v>30</v>
      </c>
      <c r="F75" s="3">
        <v>3</v>
      </c>
      <c r="G75" s="3">
        <v>4</v>
      </c>
      <c r="H75" s="3">
        <v>0</v>
      </c>
      <c r="I75" s="3">
        <v>3</v>
      </c>
      <c r="J75" s="4" t="str">
        <f>HYPERLINK("http://141.218.60.56/~jnz1568/getInfo.php?workbook=20_10.xlsx&amp;sheet=E0&amp;row=75&amp;col=10&amp;number=0&amp;sourceID=14","0")</f>
        <v>0</v>
      </c>
    </row>
    <row r="76" spans="1:10">
      <c r="A76" s="3">
        <v>20</v>
      </c>
      <c r="B76" s="3">
        <v>10</v>
      </c>
      <c r="C76" s="3">
        <v>73</v>
      </c>
      <c r="D76" s="3" t="s">
        <v>29</v>
      </c>
      <c r="E76" s="3" t="s">
        <v>22</v>
      </c>
      <c r="F76" s="3">
        <v>3</v>
      </c>
      <c r="G76" s="3">
        <v>3</v>
      </c>
      <c r="H76" s="3">
        <v>1</v>
      </c>
      <c r="I76" s="3">
        <v>3</v>
      </c>
      <c r="J76" s="4" t="str">
        <f>HYPERLINK("http://141.218.60.56/~jnz1568/getInfo.php?workbook=20_10.xlsx&amp;sheet=E0&amp;row=76&amp;col=10&amp;number=0&amp;sourceID=14","0")</f>
        <v>0</v>
      </c>
    </row>
    <row r="77" spans="1:10">
      <c r="A77" s="3">
        <v>20</v>
      </c>
      <c r="B77" s="3">
        <v>10</v>
      </c>
      <c r="C77" s="3">
        <v>74</v>
      </c>
      <c r="D77" s="3" t="s">
        <v>29</v>
      </c>
      <c r="E77" s="3" t="s">
        <v>30</v>
      </c>
      <c r="F77" s="3">
        <v>3</v>
      </c>
      <c r="G77" s="3">
        <v>4</v>
      </c>
      <c r="H77" s="3">
        <v>0</v>
      </c>
      <c r="I77" s="3">
        <v>4</v>
      </c>
      <c r="J77" s="4" t="str">
        <f>HYPERLINK("http://141.218.60.56/~jnz1568/getInfo.php?workbook=20_10.xlsx&amp;sheet=E0&amp;row=77&amp;col=10&amp;number=0&amp;sourceID=14","0")</f>
        <v>0</v>
      </c>
    </row>
    <row r="78" spans="1:10">
      <c r="A78" s="3">
        <v>20</v>
      </c>
      <c r="B78" s="3">
        <v>10</v>
      </c>
      <c r="C78" s="3">
        <v>75</v>
      </c>
      <c r="D78" s="3" t="s">
        <v>29</v>
      </c>
      <c r="E78" s="3" t="s">
        <v>22</v>
      </c>
      <c r="F78" s="3">
        <v>3</v>
      </c>
      <c r="G78" s="3">
        <v>3</v>
      </c>
      <c r="H78" s="3">
        <v>1</v>
      </c>
      <c r="I78" s="3">
        <v>2</v>
      </c>
      <c r="J78" s="4" t="str">
        <f>HYPERLINK("http://141.218.60.56/~jnz1568/getInfo.php?workbook=20_10.xlsx&amp;sheet=E0&amp;row=78&amp;col=10&amp;number=0&amp;sourceID=14","0")</f>
        <v>0</v>
      </c>
    </row>
    <row r="79" spans="1:10">
      <c r="A79" s="3">
        <v>20</v>
      </c>
      <c r="B79" s="3">
        <v>10</v>
      </c>
      <c r="C79" s="3">
        <v>76</v>
      </c>
      <c r="D79" s="3" t="s">
        <v>33</v>
      </c>
      <c r="E79" s="3" t="s">
        <v>18</v>
      </c>
      <c r="F79" s="3">
        <v>3</v>
      </c>
      <c r="G79" s="3">
        <v>0</v>
      </c>
      <c r="H79" s="3">
        <v>0</v>
      </c>
      <c r="I79" s="3">
        <v>1</v>
      </c>
      <c r="J79" s="4" t="str">
        <f>HYPERLINK("http://141.218.60.56/~jnz1568/getInfo.php?workbook=20_10.xlsx&amp;sheet=E0&amp;row=79&amp;col=10&amp;number=0&amp;sourceID=14","0")</f>
        <v>0</v>
      </c>
    </row>
    <row r="80" spans="1:10">
      <c r="A80" s="3">
        <v>20</v>
      </c>
      <c r="B80" s="3">
        <v>10</v>
      </c>
      <c r="C80" s="3">
        <v>77</v>
      </c>
      <c r="D80" s="3" t="s">
        <v>33</v>
      </c>
      <c r="E80" s="3" t="s">
        <v>13</v>
      </c>
      <c r="F80" s="3">
        <v>1</v>
      </c>
      <c r="G80" s="3">
        <v>0</v>
      </c>
      <c r="H80" s="3">
        <v>0</v>
      </c>
      <c r="I80" s="3">
        <v>0</v>
      </c>
      <c r="J80" s="4" t="str">
        <f>HYPERLINK("http://141.218.60.56/~jnz1568/getInfo.php?workbook=20_10.xlsx&amp;sheet=E0&amp;row=80&amp;col=10&amp;number=0&amp;sourceID=14","0")</f>
        <v>0</v>
      </c>
    </row>
    <row r="81" spans="1:10">
      <c r="A81" s="3">
        <v>20</v>
      </c>
      <c r="B81" s="3">
        <v>10</v>
      </c>
      <c r="C81" s="3">
        <v>78</v>
      </c>
      <c r="D81" s="3" t="s">
        <v>34</v>
      </c>
      <c r="E81" s="3" t="s">
        <v>15</v>
      </c>
      <c r="F81" s="3">
        <v>3</v>
      </c>
      <c r="G81" s="3">
        <v>1</v>
      </c>
      <c r="H81" s="3">
        <v>1</v>
      </c>
      <c r="I81" s="3">
        <v>0</v>
      </c>
      <c r="J81" s="4" t="str">
        <f>HYPERLINK("http://141.218.60.56/~jnz1568/getInfo.php?workbook=20_10.xlsx&amp;sheet=E0&amp;row=81&amp;col=10&amp;number=0&amp;sourceID=14","0")</f>
        <v>0</v>
      </c>
    </row>
    <row r="82" spans="1:10">
      <c r="A82" s="3">
        <v>20</v>
      </c>
      <c r="B82" s="3">
        <v>10</v>
      </c>
      <c r="C82" s="3">
        <v>79</v>
      </c>
      <c r="D82" s="3" t="s">
        <v>34</v>
      </c>
      <c r="E82" s="3" t="s">
        <v>15</v>
      </c>
      <c r="F82" s="3">
        <v>3</v>
      </c>
      <c r="G82" s="3">
        <v>1</v>
      </c>
      <c r="H82" s="3">
        <v>1</v>
      </c>
      <c r="I82" s="3">
        <v>1</v>
      </c>
      <c r="J82" s="4" t="str">
        <f>HYPERLINK("http://141.218.60.56/~jnz1568/getInfo.php?workbook=20_10.xlsx&amp;sheet=E0&amp;row=82&amp;col=10&amp;number=0&amp;sourceID=14","0")</f>
        <v>0</v>
      </c>
    </row>
    <row r="83" spans="1:10">
      <c r="A83" s="3">
        <v>20</v>
      </c>
      <c r="B83" s="3">
        <v>10</v>
      </c>
      <c r="C83" s="3">
        <v>80</v>
      </c>
      <c r="D83" s="3" t="s">
        <v>34</v>
      </c>
      <c r="E83" s="3" t="s">
        <v>15</v>
      </c>
      <c r="F83" s="3">
        <v>3</v>
      </c>
      <c r="G83" s="3">
        <v>1</v>
      </c>
      <c r="H83" s="3">
        <v>1</v>
      </c>
      <c r="I83" s="3">
        <v>2</v>
      </c>
      <c r="J83" s="4" t="str">
        <f>HYPERLINK("http://141.218.60.56/~jnz1568/getInfo.php?workbook=20_10.xlsx&amp;sheet=E0&amp;row=83&amp;col=10&amp;number=0&amp;sourceID=14","0")</f>
        <v>0</v>
      </c>
    </row>
    <row r="84" spans="1:10">
      <c r="A84" s="3">
        <v>20</v>
      </c>
      <c r="B84" s="3">
        <v>10</v>
      </c>
      <c r="C84" s="3">
        <v>81</v>
      </c>
      <c r="D84" s="3" t="s">
        <v>34</v>
      </c>
      <c r="E84" s="3" t="s">
        <v>16</v>
      </c>
      <c r="F84" s="3">
        <v>1</v>
      </c>
      <c r="G84" s="3">
        <v>1</v>
      </c>
      <c r="H84" s="3">
        <v>1</v>
      </c>
      <c r="I84" s="3">
        <v>1</v>
      </c>
      <c r="J84" s="4" t="str">
        <f>HYPERLINK("http://141.218.60.56/~jnz1568/getInfo.php?workbook=20_10.xlsx&amp;sheet=E0&amp;row=84&amp;col=10&amp;number=0&amp;sourceID=14","0")</f>
        <v>0</v>
      </c>
    </row>
    <row r="85" spans="1:10">
      <c r="A85" s="3">
        <v>20</v>
      </c>
      <c r="B85" s="3">
        <v>10</v>
      </c>
      <c r="C85" s="3">
        <v>82</v>
      </c>
      <c r="D85" s="3" t="s">
        <v>35</v>
      </c>
      <c r="E85" s="3" t="s">
        <v>19</v>
      </c>
      <c r="F85" s="3">
        <v>3</v>
      </c>
      <c r="G85" s="3">
        <v>2</v>
      </c>
      <c r="H85" s="3">
        <v>0</v>
      </c>
      <c r="I85" s="3">
        <v>1</v>
      </c>
      <c r="J85" s="4" t="str">
        <f>HYPERLINK("http://141.218.60.56/~jnz1568/getInfo.php?workbook=20_10.xlsx&amp;sheet=E0&amp;row=85&amp;col=10&amp;number=0&amp;sourceID=14","0")</f>
        <v>0</v>
      </c>
    </row>
    <row r="86" spans="1:10">
      <c r="A86" s="3">
        <v>20</v>
      </c>
      <c r="B86" s="3">
        <v>10</v>
      </c>
      <c r="C86" s="3">
        <v>83</v>
      </c>
      <c r="D86" s="3" t="s">
        <v>35</v>
      </c>
      <c r="E86" s="3" t="s">
        <v>19</v>
      </c>
      <c r="F86" s="3">
        <v>3</v>
      </c>
      <c r="G86" s="3">
        <v>2</v>
      </c>
      <c r="H86" s="3">
        <v>0</v>
      </c>
      <c r="I86" s="3">
        <v>2</v>
      </c>
      <c r="J86" s="4" t="str">
        <f>HYPERLINK("http://141.218.60.56/~jnz1568/getInfo.php?workbook=20_10.xlsx&amp;sheet=E0&amp;row=86&amp;col=10&amp;number=0&amp;sourceID=14","0")</f>
        <v>0</v>
      </c>
    </row>
    <row r="87" spans="1:10">
      <c r="A87" s="3">
        <v>20</v>
      </c>
      <c r="B87" s="3">
        <v>10</v>
      </c>
      <c r="C87" s="3">
        <v>84</v>
      </c>
      <c r="D87" s="3" t="s">
        <v>35</v>
      </c>
      <c r="E87" s="3" t="s">
        <v>19</v>
      </c>
      <c r="F87" s="3">
        <v>3</v>
      </c>
      <c r="G87" s="3">
        <v>2</v>
      </c>
      <c r="H87" s="3">
        <v>0</v>
      </c>
      <c r="I87" s="3">
        <v>3</v>
      </c>
      <c r="J87" s="4" t="str">
        <f>HYPERLINK("http://141.218.60.56/~jnz1568/getInfo.php?workbook=20_10.xlsx&amp;sheet=E0&amp;row=87&amp;col=10&amp;number=0&amp;sourceID=14","0")</f>
        <v>0</v>
      </c>
    </row>
    <row r="88" spans="1:10">
      <c r="A88" s="3">
        <v>20</v>
      </c>
      <c r="B88" s="3">
        <v>10</v>
      </c>
      <c r="C88" s="3">
        <v>85</v>
      </c>
      <c r="D88" s="3" t="s">
        <v>35</v>
      </c>
      <c r="E88" s="3" t="s">
        <v>20</v>
      </c>
      <c r="F88" s="3">
        <v>1</v>
      </c>
      <c r="G88" s="3">
        <v>2</v>
      </c>
      <c r="H88" s="3">
        <v>0</v>
      </c>
      <c r="I88" s="3">
        <v>2</v>
      </c>
      <c r="J88" s="4" t="str">
        <f>HYPERLINK("http://141.218.60.56/~jnz1568/getInfo.php?workbook=20_10.xlsx&amp;sheet=E0&amp;row=88&amp;col=10&amp;number=0&amp;sourceID=14","0")</f>
        <v>0</v>
      </c>
    </row>
    <row r="89" spans="1:10">
      <c r="A89" s="3">
        <v>20</v>
      </c>
      <c r="B89" s="3">
        <v>10</v>
      </c>
      <c r="C89" s="3">
        <v>86</v>
      </c>
      <c r="D89" s="3" t="s">
        <v>36</v>
      </c>
      <c r="E89" s="3" t="s">
        <v>22</v>
      </c>
      <c r="F89" s="3">
        <v>3</v>
      </c>
      <c r="G89" s="3">
        <v>3</v>
      </c>
      <c r="H89" s="3">
        <v>1</v>
      </c>
      <c r="I89" s="3">
        <v>2</v>
      </c>
      <c r="J89" s="4" t="str">
        <f>HYPERLINK("http://141.218.60.56/~jnz1568/getInfo.php?workbook=20_10.xlsx&amp;sheet=E0&amp;row=89&amp;col=10&amp;number=0&amp;sourceID=14","0")</f>
        <v>0</v>
      </c>
    </row>
    <row r="90" spans="1:10">
      <c r="A90" s="3">
        <v>20</v>
      </c>
      <c r="B90" s="3">
        <v>10</v>
      </c>
      <c r="C90" s="3">
        <v>87</v>
      </c>
      <c r="D90" s="3" t="s">
        <v>36</v>
      </c>
      <c r="E90" s="3" t="s">
        <v>22</v>
      </c>
      <c r="F90" s="3">
        <v>3</v>
      </c>
      <c r="G90" s="3">
        <v>3</v>
      </c>
      <c r="H90" s="3">
        <v>1</v>
      </c>
      <c r="I90" s="3">
        <v>3</v>
      </c>
      <c r="J90" s="4" t="str">
        <f>HYPERLINK("http://141.218.60.56/~jnz1568/getInfo.php?workbook=20_10.xlsx&amp;sheet=E0&amp;row=90&amp;col=10&amp;number=0&amp;sourceID=14","0")</f>
        <v>0</v>
      </c>
    </row>
    <row r="91" spans="1:10">
      <c r="A91" s="3">
        <v>20</v>
      </c>
      <c r="B91" s="3">
        <v>10</v>
      </c>
      <c r="C91" s="3">
        <v>88</v>
      </c>
      <c r="D91" s="3" t="s">
        <v>36</v>
      </c>
      <c r="E91" s="3" t="s">
        <v>22</v>
      </c>
      <c r="F91" s="3">
        <v>3</v>
      </c>
      <c r="G91" s="3">
        <v>3</v>
      </c>
      <c r="H91" s="3">
        <v>1</v>
      </c>
      <c r="I91" s="3">
        <v>4</v>
      </c>
      <c r="J91" s="4" t="str">
        <f>HYPERLINK("http://141.218.60.56/~jnz1568/getInfo.php?workbook=20_10.xlsx&amp;sheet=E0&amp;row=91&amp;col=10&amp;number=0&amp;sourceID=14","0")</f>
        <v>0</v>
      </c>
    </row>
    <row r="92" spans="1:10">
      <c r="A92" s="3">
        <v>20</v>
      </c>
      <c r="B92" s="3">
        <v>10</v>
      </c>
      <c r="C92" s="3">
        <v>89</v>
      </c>
      <c r="D92" s="3" t="s">
        <v>36</v>
      </c>
      <c r="E92" s="3" t="s">
        <v>23</v>
      </c>
      <c r="F92" s="3">
        <v>1</v>
      </c>
      <c r="G92" s="3">
        <v>3</v>
      </c>
      <c r="H92" s="3">
        <v>1</v>
      </c>
      <c r="I92" s="3">
        <v>3</v>
      </c>
      <c r="J92" s="4" t="str">
        <f>HYPERLINK("http://141.218.60.56/~jnz1568/getInfo.php?workbook=20_10.xlsx&amp;sheet=E0&amp;row=92&amp;col=10&amp;number=0&amp;sourceID=14","0")</f>
        <v>0</v>
      </c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974"/>
  <sheetViews>
    <sheetView workbookViewId="0"/>
  </sheetViews>
  <sheetFormatPr defaultRowHeight="15"/>
  <cols>
    <col min="1" max="1" width="3.7109375" customWidth="1"/>
    <col min="2" max="2" width="3.7109375" customWidth="1"/>
    <col min="3" max="3" width="3.7109375" customWidth="1"/>
    <col min="4" max="4" width="3.7109375" customWidth="1"/>
    <col min="5" max="5" width="11.7109375" customWidth="1"/>
    <col min="6" max="6" width="14.7109375" customWidth="1"/>
    <col min="7" max="7" width="10.7109375" customWidth="1"/>
  </cols>
  <sheetData>
    <row r="1" spans="1:7">
      <c r="A1" s="1" t="s">
        <v>37</v>
      </c>
      <c r="B1" s="1"/>
      <c r="C1" s="1"/>
      <c r="D1" s="1"/>
      <c r="E1" s="1"/>
      <c r="F1" s="1"/>
      <c r="G1" s="1"/>
    </row>
    <row r="2" spans="1:7">
      <c r="A2" s="2"/>
      <c r="B2" s="2"/>
      <c r="C2" s="2"/>
      <c r="D2" s="2"/>
      <c r="E2" s="2"/>
      <c r="F2" s="2" t="s">
        <v>1</v>
      </c>
      <c r="G2" s="2" t="s">
        <v>1</v>
      </c>
    </row>
    <row r="3" spans="1:7">
      <c r="A3" s="2" t="s">
        <v>2</v>
      </c>
      <c r="B3" s="2" t="s">
        <v>3</v>
      </c>
      <c r="C3" s="2" t="s">
        <v>38</v>
      </c>
      <c r="D3" s="2" t="s">
        <v>4</v>
      </c>
      <c r="E3" s="2" t="s">
        <v>39</v>
      </c>
      <c r="F3" s="2" t="s">
        <v>40</v>
      </c>
      <c r="G3" s="2" t="s">
        <v>41</v>
      </c>
    </row>
    <row r="4" spans="1:7">
      <c r="A4" s="3">
        <v>20</v>
      </c>
      <c r="B4" s="3">
        <v>10</v>
      </c>
      <c r="C4" s="3">
        <v>2</v>
      </c>
      <c r="D4" s="3">
        <v>1</v>
      </c>
      <c r="E4" s="3">
        <v>-35.737</v>
      </c>
      <c r="F4" s="4" t="str">
        <f>HYPERLINK("http://141.218.60.56/~jnz1568/getInfo.php?workbook=20_10.xlsx&amp;sheet=A0&amp;row=4&amp;col=6&amp;number=13070&amp;sourceID=14","13070")</f>
        <v>13070</v>
      </c>
      <c r="G4" s="4" t="str">
        <f>HYPERLINK("http://141.218.60.56/~jnz1568/getInfo.php?workbook=20_10.xlsx&amp;sheet=A0&amp;row=4&amp;col=7&amp;number=0&amp;sourceID=14","0")</f>
        <v>0</v>
      </c>
    </row>
    <row r="5" spans="1:7">
      <c r="A5" s="3">
        <v>20</v>
      </c>
      <c r="B5" s="3">
        <v>10</v>
      </c>
      <c r="C5" s="3">
        <v>3</v>
      </c>
      <c r="D5" s="3">
        <v>1</v>
      </c>
      <c r="E5" s="3">
        <v>35.576</v>
      </c>
      <c r="F5" s="4" t="str">
        <f>HYPERLINK("http://141.218.60.56/~jnz1568/getInfo.php?workbook=20_10.xlsx&amp;sheet=A0&amp;row=5&amp;col=6&amp;number=190500000000&amp;sourceID=14","190500000000")</f>
        <v>190500000000</v>
      </c>
      <c r="G5" s="4" t="str">
        <f>HYPERLINK("http://141.218.60.56/~jnz1568/getInfo.php?workbook=20_10.xlsx&amp;sheet=A0&amp;row=5&amp;col=7&amp;number=0&amp;sourceID=14","0")</f>
        <v>0</v>
      </c>
    </row>
    <row r="6" spans="1:7">
      <c r="A6" s="3">
        <v>20</v>
      </c>
      <c r="B6" s="3">
        <v>10</v>
      </c>
      <c r="C6" s="3">
        <v>4</v>
      </c>
      <c r="D6" s="3">
        <v>3</v>
      </c>
      <c r="E6" s="3">
        <v>4784.698</v>
      </c>
      <c r="F6" s="4" t="str">
        <f>HYPERLINK("http://141.218.60.56/~jnz1568/getInfo.php?workbook=20_10.xlsx&amp;sheet=A0&amp;row=6&amp;col=6&amp;number=312.1&amp;sourceID=14","312.1")</f>
        <v>312.1</v>
      </c>
      <c r="G6" s="4" t="str">
        <f>HYPERLINK("http://141.218.60.56/~jnz1568/getInfo.php?workbook=20_10.xlsx&amp;sheet=A0&amp;row=6&amp;col=7&amp;number=0&amp;sourceID=14","0")</f>
        <v>0</v>
      </c>
    </row>
    <row r="7" spans="1:7">
      <c r="A7" s="3">
        <v>20</v>
      </c>
      <c r="B7" s="3">
        <v>10</v>
      </c>
      <c r="C7" s="3">
        <v>5</v>
      </c>
      <c r="D7" s="3">
        <v>1</v>
      </c>
      <c r="E7" s="3">
        <v>35.213</v>
      </c>
      <c r="F7" s="4" t="str">
        <f>HYPERLINK("http://141.218.60.56/~jnz1568/getInfo.php?workbook=20_10.xlsx&amp;sheet=A0&amp;row=7&amp;col=6&amp;number=287300000000&amp;sourceID=14","287300000000")</f>
        <v>287300000000</v>
      </c>
      <c r="G7" s="4" t="str">
        <f>HYPERLINK("http://141.218.60.56/~jnz1568/getInfo.php?workbook=20_10.xlsx&amp;sheet=A0&amp;row=7&amp;col=7&amp;number=0&amp;sourceID=14","0")</f>
        <v>0</v>
      </c>
    </row>
    <row r="8" spans="1:7">
      <c r="A8" s="3">
        <v>20</v>
      </c>
      <c r="B8" s="3">
        <v>10</v>
      </c>
      <c r="C8" s="3">
        <v>6</v>
      </c>
      <c r="D8" s="3">
        <v>2</v>
      </c>
      <c r="E8" s="3">
        <v>-637.394</v>
      </c>
      <c r="F8" s="4" t="str">
        <f>HYPERLINK("http://141.218.60.56/~jnz1568/getInfo.php?workbook=20_10.xlsx&amp;sheet=A0&amp;row=8&amp;col=6&amp;number=1420000000&amp;sourceID=14","1420000000")</f>
        <v>1420000000</v>
      </c>
      <c r="G8" s="4" t="str">
        <f>HYPERLINK("http://141.218.60.56/~jnz1568/getInfo.php?workbook=20_10.xlsx&amp;sheet=A0&amp;row=8&amp;col=7&amp;number=0&amp;sourceID=14","0")</f>
        <v>0</v>
      </c>
    </row>
    <row r="9" spans="1:7">
      <c r="A9" s="3">
        <v>20</v>
      </c>
      <c r="B9" s="3">
        <v>10</v>
      </c>
      <c r="C9" s="3">
        <v>6</v>
      </c>
      <c r="D9" s="3">
        <v>3</v>
      </c>
      <c r="E9" s="3">
        <v>-672.067</v>
      </c>
      <c r="F9" s="4" t="str">
        <f>HYPERLINK("http://141.218.60.56/~jnz1568/getInfo.php?workbook=20_10.xlsx&amp;sheet=A0&amp;row=9&amp;col=6&amp;number=221200000&amp;sourceID=14","221200000")</f>
        <v>221200000</v>
      </c>
      <c r="G9" s="4" t="str">
        <f>HYPERLINK("http://141.218.60.56/~jnz1568/getInfo.php?workbook=20_10.xlsx&amp;sheet=A0&amp;row=9&amp;col=7&amp;number=0&amp;sourceID=14","0")</f>
        <v>0</v>
      </c>
    </row>
    <row r="10" spans="1:7">
      <c r="A10" s="3">
        <v>20</v>
      </c>
      <c r="B10" s="3">
        <v>10</v>
      </c>
      <c r="C10" s="3">
        <v>6</v>
      </c>
      <c r="D10" s="3">
        <v>4</v>
      </c>
      <c r="E10" s="3">
        <v>-786.827</v>
      </c>
      <c r="F10" s="4" t="str">
        <f>HYPERLINK("http://141.218.60.56/~jnz1568/getInfo.php?workbook=20_10.xlsx&amp;sheet=A0&amp;row=10&amp;col=6&amp;number=37130000&amp;sourceID=14","37130000")</f>
        <v>37130000</v>
      </c>
      <c r="G10" s="4" t="str">
        <f>HYPERLINK("http://141.218.60.56/~jnz1568/getInfo.php?workbook=20_10.xlsx&amp;sheet=A0&amp;row=10&amp;col=7&amp;number=0&amp;sourceID=14","0")</f>
        <v>0</v>
      </c>
    </row>
    <row r="11" spans="1:7">
      <c r="A11" s="3">
        <v>20</v>
      </c>
      <c r="B11" s="3">
        <v>10</v>
      </c>
      <c r="C11" s="3">
        <v>6</v>
      </c>
      <c r="D11" s="3">
        <v>5</v>
      </c>
      <c r="E11" s="3">
        <v>-831.997</v>
      </c>
      <c r="F11" s="4" t="str">
        <f>HYPERLINK("http://141.218.60.56/~jnz1568/getInfo.php?workbook=20_10.xlsx&amp;sheet=A0&amp;row=11&amp;col=6&amp;number=27500000&amp;sourceID=14","27500000")</f>
        <v>27500000</v>
      </c>
      <c r="G11" s="4" t="str">
        <f>HYPERLINK("http://141.218.60.56/~jnz1568/getInfo.php?workbook=20_10.xlsx&amp;sheet=A0&amp;row=11&amp;col=7&amp;number=0&amp;sourceID=14","0")</f>
        <v>0</v>
      </c>
    </row>
    <row r="12" spans="1:7">
      <c r="A12" s="3">
        <v>20</v>
      </c>
      <c r="B12" s="3">
        <v>10</v>
      </c>
      <c r="C12" s="3">
        <v>7</v>
      </c>
      <c r="D12" s="3">
        <v>1</v>
      </c>
      <c r="E12" s="3">
        <v>33.624</v>
      </c>
      <c r="F12" s="4" t="str">
        <f>HYPERLINK("http://141.218.60.56/~jnz1568/getInfo.php?workbook=20_10.xlsx&amp;sheet=A0&amp;row=12&amp;col=6&amp;number=44000000&amp;sourceID=14","44000000")</f>
        <v>44000000</v>
      </c>
      <c r="G12" s="4" t="str">
        <f>HYPERLINK("http://141.218.60.56/~jnz1568/getInfo.php?workbook=20_10.xlsx&amp;sheet=A0&amp;row=12&amp;col=7&amp;number=0&amp;sourceID=14","0")</f>
        <v>0</v>
      </c>
    </row>
    <row r="13" spans="1:7">
      <c r="A13" s="3">
        <v>20</v>
      </c>
      <c r="B13" s="3">
        <v>10</v>
      </c>
      <c r="C13" s="3">
        <v>7</v>
      </c>
      <c r="D13" s="3">
        <v>2</v>
      </c>
      <c r="E13" s="3">
        <v>-565.302</v>
      </c>
      <c r="F13" s="4" t="str">
        <f>HYPERLINK("http://141.218.60.56/~jnz1568/getInfo.php?workbook=20_10.xlsx&amp;sheet=A0&amp;row=13&amp;col=6&amp;number=1304000000&amp;sourceID=14","1304000000")</f>
        <v>1304000000</v>
      </c>
      <c r="G13" s="4" t="str">
        <f>HYPERLINK("http://141.218.60.56/~jnz1568/getInfo.php?workbook=20_10.xlsx&amp;sheet=A0&amp;row=13&amp;col=7&amp;number=0&amp;sourceID=14","0")</f>
        <v>0</v>
      </c>
    </row>
    <row r="14" spans="1:7">
      <c r="A14" s="3">
        <v>20</v>
      </c>
      <c r="B14" s="3">
        <v>10</v>
      </c>
      <c r="C14" s="3">
        <v>7</v>
      </c>
      <c r="D14" s="3">
        <v>3</v>
      </c>
      <c r="E14" s="3">
        <v>612.746</v>
      </c>
      <c r="F14" s="4" t="str">
        <f>HYPERLINK("http://141.218.60.56/~jnz1568/getInfo.php?workbook=20_10.xlsx&amp;sheet=A0&amp;row=14&amp;col=6&amp;number=1520000000&amp;sourceID=14","1520000000")</f>
        <v>1520000000</v>
      </c>
      <c r="G14" s="4" t="str">
        <f>HYPERLINK("http://141.218.60.56/~jnz1568/getInfo.php?workbook=20_10.xlsx&amp;sheet=A0&amp;row=14&amp;col=7&amp;number=0&amp;sourceID=14","0")</f>
        <v>0</v>
      </c>
    </row>
    <row r="15" spans="1:7">
      <c r="A15" s="3">
        <v>20</v>
      </c>
      <c r="B15" s="3">
        <v>10</v>
      </c>
      <c r="C15" s="3">
        <v>7</v>
      </c>
      <c r="D15" s="3">
        <v>5</v>
      </c>
      <c r="E15" s="3">
        <v>745.158</v>
      </c>
      <c r="F15" s="4" t="str">
        <f>HYPERLINK("http://141.218.60.56/~jnz1568/getInfo.php?workbook=20_10.xlsx&amp;sheet=A0&amp;row=15&amp;col=6&amp;number=1186000&amp;sourceID=14","1186000")</f>
        <v>1186000</v>
      </c>
      <c r="G15" s="4" t="str">
        <f>HYPERLINK("http://141.218.60.56/~jnz1568/getInfo.php?workbook=20_10.xlsx&amp;sheet=A0&amp;row=15&amp;col=7&amp;number=0&amp;sourceID=14","0")</f>
        <v>0</v>
      </c>
    </row>
    <row r="16" spans="1:7">
      <c r="A16" s="3">
        <v>20</v>
      </c>
      <c r="B16" s="3">
        <v>10</v>
      </c>
      <c r="C16" s="3">
        <v>8</v>
      </c>
      <c r="D16" s="3">
        <v>2</v>
      </c>
      <c r="E16" s="3">
        <v>-563.902</v>
      </c>
      <c r="F16" s="4" t="str">
        <f>HYPERLINK("http://141.218.60.56/~jnz1568/getInfo.php?workbook=20_10.xlsx&amp;sheet=A0&amp;row=16&amp;col=6&amp;number=3088000000&amp;sourceID=14","3088000000")</f>
        <v>3088000000</v>
      </c>
      <c r="G16" s="4" t="str">
        <f>HYPERLINK("http://141.218.60.56/~jnz1568/getInfo.php?workbook=20_10.xlsx&amp;sheet=A0&amp;row=16&amp;col=7&amp;number=0&amp;sourceID=14","0")</f>
        <v>0</v>
      </c>
    </row>
    <row r="17" spans="1:7">
      <c r="A17" s="3">
        <v>20</v>
      </c>
      <c r="B17" s="3">
        <v>10</v>
      </c>
      <c r="C17" s="3">
        <v>9</v>
      </c>
      <c r="D17" s="3">
        <v>1</v>
      </c>
      <c r="E17" s="3">
        <v>33.447</v>
      </c>
      <c r="F17" s="4" t="str">
        <f>HYPERLINK("http://141.218.60.56/~jnz1568/getInfo.php?workbook=20_10.xlsx&amp;sheet=A0&amp;row=17&amp;col=6&amp;number=64260000&amp;sourceID=14","64260000")</f>
        <v>64260000</v>
      </c>
      <c r="G17" s="4" t="str">
        <f>HYPERLINK("http://141.218.60.56/~jnz1568/getInfo.php?workbook=20_10.xlsx&amp;sheet=A0&amp;row=17&amp;col=7&amp;number=0&amp;sourceID=14","0")</f>
        <v>0</v>
      </c>
    </row>
    <row r="18" spans="1:7">
      <c r="A18" s="3">
        <v>20</v>
      </c>
      <c r="B18" s="3">
        <v>10</v>
      </c>
      <c r="C18" s="3">
        <v>9</v>
      </c>
      <c r="D18" s="3">
        <v>2</v>
      </c>
      <c r="E18" s="3">
        <v>-525.263</v>
      </c>
      <c r="F18" s="4" t="str">
        <f>HYPERLINK("http://141.218.60.56/~jnz1568/getInfo.php?workbook=20_10.xlsx&amp;sheet=A0&amp;row=18&amp;col=6&amp;number=2190000000&amp;sourceID=14","2190000000")</f>
        <v>2190000000</v>
      </c>
      <c r="G18" s="4" t="str">
        <f>HYPERLINK("http://141.218.60.56/~jnz1568/getInfo.php?workbook=20_10.xlsx&amp;sheet=A0&amp;row=18&amp;col=7&amp;number=0&amp;sourceID=14","0")</f>
        <v>0</v>
      </c>
    </row>
    <row r="19" spans="1:7">
      <c r="A19" s="3">
        <v>20</v>
      </c>
      <c r="B19" s="3">
        <v>10</v>
      </c>
      <c r="C19" s="3">
        <v>9</v>
      </c>
      <c r="D19" s="3">
        <v>3</v>
      </c>
      <c r="E19" s="3">
        <v>558.973</v>
      </c>
      <c r="F19" s="4" t="str">
        <f>HYPERLINK("http://141.218.60.56/~jnz1568/getInfo.php?workbook=20_10.xlsx&amp;sheet=A0&amp;row=19&amp;col=6&amp;number=1362000000&amp;sourceID=14","1362000000")</f>
        <v>1362000000</v>
      </c>
      <c r="G19" s="4" t="str">
        <f>HYPERLINK("http://141.218.60.56/~jnz1568/getInfo.php?workbook=20_10.xlsx&amp;sheet=A0&amp;row=19&amp;col=7&amp;number=0&amp;sourceID=14","0")</f>
        <v>0</v>
      </c>
    </row>
    <row r="20" spans="1:7">
      <c r="A20" s="3">
        <v>20</v>
      </c>
      <c r="B20" s="3">
        <v>10</v>
      </c>
      <c r="C20" s="3">
        <v>9</v>
      </c>
      <c r="D20" s="3">
        <v>5</v>
      </c>
      <c r="E20" s="3">
        <v>667.113</v>
      </c>
      <c r="F20" s="4" t="str">
        <f>HYPERLINK("http://141.218.60.56/~jnz1568/getInfo.php?workbook=20_10.xlsx&amp;sheet=A0&amp;row=20&amp;col=6&amp;number=134800000&amp;sourceID=14","134800000")</f>
        <v>134800000</v>
      </c>
      <c r="G20" s="4" t="str">
        <f>HYPERLINK("http://141.218.60.56/~jnz1568/getInfo.php?workbook=20_10.xlsx&amp;sheet=A0&amp;row=20&amp;col=7&amp;number=0&amp;sourceID=14","0")</f>
        <v>0</v>
      </c>
    </row>
    <row r="21" spans="1:7">
      <c r="A21" s="3">
        <v>20</v>
      </c>
      <c r="B21" s="3">
        <v>10</v>
      </c>
      <c r="C21" s="3">
        <v>10</v>
      </c>
      <c r="D21" s="3">
        <v>2</v>
      </c>
      <c r="E21" s="3">
        <v>-541.546</v>
      </c>
      <c r="F21" s="4" t="str">
        <f>HYPERLINK("http://141.218.60.56/~jnz1568/getInfo.php?workbook=20_10.xlsx&amp;sheet=A0&amp;row=21&amp;col=6&amp;number=425000000&amp;sourceID=14","425000000")</f>
        <v>425000000</v>
      </c>
      <c r="G21" s="4" t="str">
        <f>HYPERLINK("http://141.218.60.56/~jnz1568/getInfo.php?workbook=20_10.xlsx&amp;sheet=A0&amp;row=21&amp;col=7&amp;number=0&amp;sourceID=14","0")</f>
        <v>0</v>
      </c>
    </row>
    <row r="22" spans="1:7">
      <c r="A22" s="3">
        <v>20</v>
      </c>
      <c r="B22" s="3">
        <v>10</v>
      </c>
      <c r="C22" s="3">
        <v>10</v>
      </c>
      <c r="D22" s="3">
        <v>3</v>
      </c>
      <c r="E22" s="3">
        <v>581.735</v>
      </c>
      <c r="F22" s="4" t="str">
        <f>HYPERLINK("http://141.218.60.56/~jnz1568/getInfo.php?workbook=20_10.xlsx&amp;sheet=A0&amp;row=22&amp;col=6&amp;number=2545000000&amp;sourceID=14","2545000000")</f>
        <v>2545000000</v>
      </c>
      <c r="G22" s="4" t="str">
        <f>HYPERLINK("http://141.218.60.56/~jnz1568/getInfo.php?workbook=20_10.xlsx&amp;sheet=A0&amp;row=22&amp;col=7&amp;number=0&amp;sourceID=14","0")</f>
        <v>0</v>
      </c>
    </row>
    <row r="23" spans="1:7">
      <c r="A23" s="3">
        <v>20</v>
      </c>
      <c r="B23" s="3">
        <v>10</v>
      </c>
      <c r="C23" s="3">
        <v>10</v>
      </c>
      <c r="D23" s="3">
        <v>4</v>
      </c>
      <c r="E23" s="3">
        <v>662.253</v>
      </c>
      <c r="F23" s="4" t="str">
        <f>HYPERLINK("http://141.218.60.56/~jnz1568/getInfo.php?workbook=20_10.xlsx&amp;sheet=A0&amp;row=23&amp;col=6&amp;number=85070000&amp;sourceID=14","85070000")</f>
        <v>85070000</v>
      </c>
      <c r="G23" s="4" t="str">
        <f>HYPERLINK("http://141.218.60.56/~jnz1568/getInfo.php?workbook=20_10.xlsx&amp;sheet=A0&amp;row=23&amp;col=7&amp;number=0&amp;sourceID=14","0")</f>
        <v>0</v>
      </c>
    </row>
    <row r="24" spans="1:7">
      <c r="A24" s="3">
        <v>20</v>
      </c>
      <c r="B24" s="3">
        <v>10</v>
      </c>
      <c r="C24" s="3">
        <v>10</v>
      </c>
      <c r="D24" s="3">
        <v>5</v>
      </c>
      <c r="E24" s="3">
        <v>699.791</v>
      </c>
      <c r="F24" s="4" t="str">
        <f>HYPERLINK("http://141.218.60.56/~jnz1568/getInfo.php?workbook=20_10.xlsx&amp;sheet=A0&amp;row=24&amp;col=6&amp;number=3410000&amp;sourceID=14","3410000")</f>
        <v>3410000</v>
      </c>
      <c r="G24" s="4" t="str">
        <f>HYPERLINK("http://141.218.60.56/~jnz1568/getInfo.php?workbook=20_10.xlsx&amp;sheet=A0&amp;row=24&amp;col=7&amp;number=0&amp;sourceID=14","0")</f>
        <v>0</v>
      </c>
    </row>
    <row r="25" spans="1:7">
      <c r="A25" s="3">
        <v>20</v>
      </c>
      <c r="B25" s="3">
        <v>10</v>
      </c>
      <c r="C25" s="3">
        <v>11</v>
      </c>
      <c r="D25" s="3">
        <v>2</v>
      </c>
      <c r="E25" s="3">
        <v>-485.978</v>
      </c>
      <c r="F25" s="4" t="str">
        <f>HYPERLINK("http://141.218.60.56/~jnz1568/getInfo.php?workbook=20_10.xlsx&amp;sheet=A0&amp;row=25&amp;col=6&amp;number=8093000&amp;sourceID=14","8093000")</f>
        <v>8093000</v>
      </c>
      <c r="G25" s="4" t="str">
        <f>HYPERLINK("http://141.218.60.56/~jnz1568/getInfo.php?workbook=20_10.xlsx&amp;sheet=A0&amp;row=25&amp;col=7&amp;number=0&amp;sourceID=14","0")</f>
        <v>0</v>
      </c>
    </row>
    <row r="26" spans="1:7">
      <c r="A26" s="3">
        <v>20</v>
      </c>
      <c r="B26" s="3">
        <v>10</v>
      </c>
      <c r="C26" s="3">
        <v>11</v>
      </c>
      <c r="D26" s="3">
        <v>3</v>
      </c>
      <c r="E26" s="3">
        <v>572.739</v>
      </c>
      <c r="F26" s="4" t="str">
        <f>HYPERLINK("http://141.218.60.56/~jnz1568/getInfo.php?workbook=20_10.xlsx&amp;sheet=A0&amp;row=26&amp;col=6&amp;number=41900000&amp;sourceID=14","41900000")</f>
        <v>41900000</v>
      </c>
      <c r="G26" s="4" t="str">
        <f>HYPERLINK("http://141.218.60.56/~jnz1568/getInfo.php?workbook=20_10.xlsx&amp;sheet=A0&amp;row=26&amp;col=7&amp;number=0&amp;sourceID=14","0")</f>
        <v>0</v>
      </c>
    </row>
    <row r="27" spans="1:7">
      <c r="A27" s="3">
        <v>20</v>
      </c>
      <c r="B27" s="3">
        <v>10</v>
      </c>
      <c r="C27" s="3">
        <v>11</v>
      </c>
      <c r="D27" s="3">
        <v>4</v>
      </c>
      <c r="E27" s="3">
        <v>650.619</v>
      </c>
      <c r="F27" s="4" t="str">
        <f>HYPERLINK("http://141.218.60.56/~jnz1568/getInfo.php?workbook=20_10.xlsx&amp;sheet=A0&amp;row=27&amp;col=6&amp;number=1401000000&amp;sourceID=14","1401000000")</f>
        <v>1401000000</v>
      </c>
      <c r="G27" s="4" t="str">
        <f>HYPERLINK("http://141.218.60.56/~jnz1568/getInfo.php?workbook=20_10.xlsx&amp;sheet=A0&amp;row=27&amp;col=7&amp;number=0&amp;sourceID=14","0")</f>
        <v>0</v>
      </c>
    </row>
    <row r="28" spans="1:7">
      <c r="A28" s="3">
        <v>20</v>
      </c>
      <c r="B28" s="3">
        <v>10</v>
      </c>
      <c r="C28" s="3">
        <v>11</v>
      </c>
      <c r="D28" s="3">
        <v>5</v>
      </c>
      <c r="E28" s="3">
        <v>686.814</v>
      </c>
      <c r="F28" s="4" t="str">
        <f>HYPERLINK("http://141.218.60.56/~jnz1568/getInfo.php?workbook=20_10.xlsx&amp;sheet=A0&amp;row=28&amp;col=6&amp;number=1375000000&amp;sourceID=14","1375000000")</f>
        <v>1375000000</v>
      </c>
      <c r="G28" s="4" t="str">
        <f>HYPERLINK("http://141.218.60.56/~jnz1568/getInfo.php?workbook=20_10.xlsx&amp;sheet=A0&amp;row=28&amp;col=7&amp;number=0&amp;sourceID=14","0")</f>
        <v>0</v>
      </c>
    </row>
    <row r="29" spans="1:7">
      <c r="A29" s="3">
        <v>20</v>
      </c>
      <c r="B29" s="3">
        <v>10</v>
      </c>
      <c r="C29" s="3">
        <v>12</v>
      </c>
      <c r="D29" s="3">
        <v>3</v>
      </c>
      <c r="E29" s="3">
        <v>-505.159</v>
      </c>
      <c r="F29" s="4" t="str">
        <f>HYPERLINK("http://141.218.60.56/~jnz1568/getInfo.php?workbook=20_10.xlsx&amp;sheet=A0&amp;row=29&amp;col=6&amp;number=3299000000&amp;sourceID=14","3299000000")</f>
        <v>3299000000</v>
      </c>
      <c r="G29" s="4" t="str">
        <f>HYPERLINK("http://141.218.60.56/~jnz1568/getInfo.php?workbook=20_10.xlsx&amp;sheet=A0&amp;row=29&amp;col=7&amp;number=0&amp;sourceID=14","0")</f>
        <v>0</v>
      </c>
    </row>
    <row r="30" spans="1:7">
      <c r="A30" s="3">
        <v>20</v>
      </c>
      <c r="B30" s="3">
        <v>10</v>
      </c>
      <c r="C30" s="3">
        <v>12</v>
      </c>
      <c r="D30" s="3">
        <v>5</v>
      </c>
      <c r="E30" s="3">
        <v>-590.473</v>
      </c>
      <c r="F30" s="4" t="str">
        <f>HYPERLINK("http://141.218.60.56/~jnz1568/getInfo.php?workbook=20_10.xlsx&amp;sheet=A0&amp;row=30&amp;col=6&amp;number=724800000&amp;sourceID=14","724800000")</f>
        <v>724800000</v>
      </c>
      <c r="G30" s="4" t="str">
        <f>HYPERLINK("http://141.218.60.56/~jnz1568/getInfo.php?workbook=20_10.xlsx&amp;sheet=A0&amp;row=30&amp;col=7&amp;number=0&amp;sourceID=14","0")</f>
        <v>0</v>
      </c>
    </row>
    <row r="31" spans="1:7">
      <c r="A31" s="3">
        <v>20</v>
      </c>
      <c r="B31" s="3">
        <v>10</v>
      </c>
      <c r="C31" s="3">
        <v>13</v>
      </c>
      <c r="D31" s="3">
        <v>1</v>
      </c>
      <c r="E31" s="3">
        <v>33.15</v>
      </c>
      <c r="F31" s="4" t="str">
        <f>HYPERLINK("http://141.218.60.56/~jnz1568/getInfo.php?workbook=20_10.xlsx&amp;sheet=A0&amp;row=31&amp;col=6&amp;number=79280000&amp;sourceID=14","79280000")</f>
        <v>79280000</v>
      </c>
      <c r="G31" s="4" t="str">
        <f>HYPERLINK("http://141.218.60.56/~jnz1568/getInfo.php?workbook=20_10.xlsx&amp;sheet=A0&amp;row=31&amp;col=7&amp;number=0&amp;sourceID=14","0")</f>
        <v>0</v>
      </c>
    </row>
    <row r="32" spans="1:7">
      <c r="A32" s="3">
        <v>20</v>
      </c>
      <c r="B32" s="3">
        <v>10</v>
      </c>
      <c r="C32" s="3">
        <v>13</v>
      </c>
      <c r="D32" s="3">
        <v>2</v>
      </c>
      <c r="E32" s="3">
        <v>-466.495</v>
      </c>
      <c r="F32" s="4" t="str">
        <f>HYPERLINK("http://141.218.60.56/~jnz1568/getInfo.php?workbook=20_10.xlsx&amp;sheet=A0&amp;row=32&amp;col=6&amp;number=186400000&amp;sourceID=14","186400000")</f>
        <v>186400000</v>
      </c>
      <c r="G32" s="4" t="str">
        <f>HYPERLINK("http://141.218.60.56/~jnz1568/getInfo.php?workbook=20_10.xlsx&amp;sheet=A0&amp;row=32&amp;col=7&amp;number=0&amp;sourceID=14","0")</f>
        <v>0</v>
      </c>
    </row>
    <row r="33" spans="1:7">
      <c r="A33" s="3">
        <v>20</v>
      </c>
      <c r="B33" s="3">
        <v>10</v>
      </c>
      <c r="C33" s="3">
        <v>13</v>
      </c>
      <c r="D33" s="3">
        <v>3</v>
      </c>
      <c r="E33" s="3">
        <v>486.146</v>
      </c>
      <c r="F33" s="4" t="str">
        <f>HYPERLINK("http://141.218.60.56/~jnz1568/getInfo.php?workbook=20_10.xlsx&amp;sheet=A0&amp;row=33&amp;col=6&amp;number=164500000&amp;sourceID=14","164500000")</f>
        <v>164500000</v>
      </c>
      <c r="G33" s="4" t="str">
        <f>HYPERLINK("http://141.218.60.56/~jnz1568/getInfo.php?workbook=20_10.xlsx&amp;sheet=A0&amp;row=33&amp;col=7&amp;number=0&amp;sourceID=14","0")</f>
        <v>0</v>
      </c>
    </row>
    <row r="34" spans="1:7">
      <c r="A34" s="3">
        <v>20</v>
      </c>
      <c r="B34" s="3">
        <v>10</v>
      </c>
      <c r="C34" s="3">
        <v>13</v>
      </c>
      <c r="D34" s="3">
        <v>5</v>
      </c>
      <c r="E34" s="3">
        <v>565.932</v>
      </c>
      <c r="F34" s="4" t="str">
        <f>HYPERLINK("http://141.218.60.56/~jnz1568/getInfo.php?workbook=20_10.xlsx&amp;sheet=A0&amp;row=34&amp;col=6&amp;number=9861000000&amp;sourceID=14","9861000000")</f>
        <v>9861000000</v>
      </c>
      <c r="G34" s="4" t="str">
        <f>HYPERLINK("http://141.218.60.56/~jnz1568/getInfo.php?workbook=20_10.xlsx&amp;sheet=A0&amp;row=34&amp;col=7&amp;number=0&amp;sourceID=14","0")</f>
        <v>0</v>
      </c>
    </row>
    <row r="35" spans="1:7">
      <c r="A35" s="3">
        <v>20</v>
      </c>
      <c r="B35" s="3">
        <v>10</v>
      </c>
      <c r="C35" s="3">
        <v>14</v>
      </c>
      <c r="D35" s="3">
        <v>2</v>
      </c>
      <c r="E35" s="3">
        <v>-466.495</v>
      </c>
      <c r="F35" s="4" t="str">
        <f>HYPERLINK("http://141.218.60.56/~jnz1568/getInfo.php?workbook=20_10.xlsx&amp;sheet=A0&amp;row=35&amp;col=6&amp;number=658300000&amp;sourceID=14","658300000")</f>
        <v>658300000</v>
      </c>
      <c r="G35" s="4" t="str">
        <f>HYPERLINK("http://141.218.60.56/~jnz1568/getInfo.php?workbook=20_10.xlsx&amp;sheet=A0&amp;row=35&amp;col=7&amp;number=0&amp;sourceID=14","0")</f>
        <v>0</v>
      </c>
    </row>
    <row r="36" spans="1:7">
      <c r="A36" s="3">
        <v>20</v>
      </c>
      <c r="B36" s="3">
        <v>10</v>
      </c>
      <c r="C36" s="3">
        <v>14</v>
      </c>
      <c r="D36" s="3">
        <v>3</v>
      </c>
      <c r="E36" s="3">
        <v>486.382</v>
      </c>
      <c r="F36" s="4" t="str">
        <f>HYPERLINK("http://141.218.60.56/~jnz1568/getInfo.php?workbook=20_10.xlsx&amp;sheet=A0&amp;row=36&amp;col=6&amp;number=17860000&amp;sourceID=14","17860000")</f>
        <v>17860000</v>
      </c>
      <c r="G36" s="4" t="str">
        <f>HYPERLINK("http://141.218.60.56/~jnz1568/getInfo.php?workbook=20_10.xlsx&amp;sheet=A0&amp;row=36&amp;col=7&amp;number=0&amp;sourceID=14","0")</f>
        <v>0</v>
      </c>
    </row>
    <row r="37" spans="1:7">
      <c r="A37" s="3">
        <v>20</v>
      </c>
      <c r="B37" s="3">
        <v>10</v>
      </c>
      <c r="C37" s="3">
        <v>14</v>
      </c>
      <c r="D37" s="3">
        <v>4</v>
      </c>
      <c r="E37" s="3">
        <v>541.419</v>
      </c>
      <c r="F37" s="4" t="str">
        <f>HYPERLINK("http://141.218.60.56/~jnz1568/getInfo.php?workbook=20_10.xlsx&amp;sheet=A0&amp;row=37&amp;col=6&amp;number=1628000000&amp;sourceID=14","1628000000")</f>
        <v>1628000000</v>
      </c>
      <c r="G37" s="4" t="str">
        <f>HYPERLINK("http://141.218.60.56/~jnz1568/getInfo.php?workbook=20_10.xlsx&amp;sheet=A0&amp;row=37&amp;col=7&amp;number=0&amp;sourceID=14","0")</f>
        <v>0</v>
      </c>
    </row>
    <row r="38" spans="1:7">
      <c r="A38" s="3">
        <v>20</v>
      </c>
      <c r="B38" s="3">
        <v>10</v>
      </c>
      <c r="C38" s="3">
        <v>14</v>
      </c>
      <c r="D38" s="3">
        <v>5</v>
      </c>
      <c r="E38" s="3">
        <v>566.252</v>
      </c>
      <c r="F38" s="4" t="str">
        <f>HYPERLINK("http://141.218.60.56/~jnz1568/getInfo.php?workbook=20_10.xlsx&amp;sheet=A0&amp;row=38&amp;col=6&amp;number=1338000000&amp;sourceID=14","1338000000")</f>
        <v>1338000000</v>
      </c>
      <c r="G38" s="4" t="str">
        <f>HYPERLINK("http://141.218.60.56/~jnz1568/getInfo.php?workbook=20_10.xlsx&amp;sheet=A0&amp;row=38&amp;col=7&amp;number=0&amp;sourceID=14","0")</f>
        <v>0</v>
      </c>
    </row>
    <row r="39" spans="1:7">
      <c r="A39" s="3">
        <v>20</v>
      </c>
      <c r="B39" s="3">
        <v>10</v>
      </c>
      <c r="C39" s="3">
        <v>15</v>
      </c>
      <c r="D39" s="3">
        <v>3</v>
      </c>
      <c r="E39" s="3">
        <v>-342.067</v>
      </c>
      <c r="F39" s="4" t="str">
        <f>HYPERLINK("http://141.218.60.56/~jnz1568/getInfo.php?workbook=20_10.xlsx&amp;sheet=A0&amp;row=39&amp;col=6&amp;number=4461000000&amp;sourceID=14","4461000000")</f>
        <v>4461000000</v>
      </c>
      <c r="G39" s="4" t="str">
        <f>HYPERLINK("http://141.218.60.56/~jnz1568/getInfo.php?workbook=20_10.xlsx&amp;sheet=A0&amp;row=39&amp;col=7&amp;number=0&amp;sourceID=14","0")</f>
        <v>0</v>
      </c>
    </row>
    <row r="40" spans="1:7">
      <c r="A40" s="3">
        <v>20</v>
      </c>
      <c r="B40" s="3">
        <v>10</v>
      </c>
      <c r="C40" s="3">
        <v>15</v>
      </c>
      <c r="D40" s="3">
        <v>5</v>
      </c>
      <c r="E40" s="3">
        <v>-379.163</v>
      </c>
      <c r="F40" s="4" t="str">
        <f>HYPERLINK("http://141.218.60.56/~jnz1568/getInfo.php?workbook=20_10.xlsx&amp;sheet=A0&amp;row=40&amp;col=6&amp;number=8476000000&amp;sourceID=14","8476000000")</f>
        <v>8476000000</v>
      </c>
      <c r="G40" s="4" t="str">
        <f>HYPERLINK("http://141.218.60.56/~jnz1568/getInfo.php?workbook=20_10.xlsx&amp;sheet=A0&amp;row=40&amp;col=7&amp;number=0&amp;sourceID=14","0")</f>
        <v>0</v>
      </c>
    </row>
    <row r="41" spans="1:7">
      <c r="A41" s="3">
        <v>20</v>
      </c>
      <c r="B41" s="3">
        <v>10</v>
      </c>
      <c r="C41" s="3">
        <v>16</v>
      </c>
      <c r="D41" s="3">
        <v>6</v>
      </c>
      <c r="E41" s="3">
        <v>-417.522</v>
      </c>
      <c r="F41" s="4" t="str">
        <f>HYPERLINK("http://141.218.60.56/~jnz1568/getInfo.php?workbook=20_10.xlsx&amp;sheet=A0&amp;row=41&amp;col=6&amp;number=6080000000&amp;sourceID=14","6080000000")</f>
        <v>6080000000</v>
      </c>
      <c r="G41" s="4" t="str">
        <f>HYPERLINK("http://141.218.60.56/~jnz1568/getInfo.php?workbook=20_10.xlsx&amp;sheet=A0&amp;row=41&amp;col=7&amp;number=0&amp;sourceID=14","0")</f>
        <v>0</v>
      </c>
    </row>
    <row r="42" spans="1:7">
      <c r="A42" s="3">
        <v>20</v>
      </c>
      <c r="B42" s="3">
        <v>10</v>
      </c>
      <c r="C42" s="3">
        <v>16</v>
      </c>
      <c r="D42" s="3">
        <v>10</v>
      </c>
      <c r="E42" s="3">
        <v>-472.276</v>
      </c>
      <c r="F42" s="4" t="str">
        <f>HYPERLINK("http://141.218.60.56/~jnz1568/getInfo.php?workbook=20_10.xlsx&amp;sheet=A0&amp;row=42&amp;col=6&amp;number=534300000&amp;sourceID=14","534300000")</f>
        <v>534300000</v>
      </c>
      <c r="G42" s="4" t="str">
        <f>HYPERLINK("http://141.218.60.56/~jnz1568/getInfo.php?workbook=20_10.xlsx&amp;sheet=A0&amp;row=42&amp;col=7&amp;number=0&amp;sourceID=14","0")</f>
        <v>0</v>
      </c>
    </row>
    <row r="43" spans="1:7">
      <c r="A43" s="3">
        <v>20</v>
      </c>
      <c r="B43" s="3">
        <v>10</v>
      </c>
      <c r="C43" s="3">
        <v>16</v>
      </c>
      <c r="D43" s="3">
        <v>11</v>
      </c>
      <c r="E43" s="3">
        <v>-524.586</v>
      </c>
      <c r="F43" s="4" t="str">
        <f>HYPERLINK("http://141.218.60.56/~jnz1568/getInfo.php?workbook=20_10.xlsx&amp;sheet=A0&amp;row=43&amp;col=6&amp;number=23570000&amp;sourceID=14","23570000")</f>
        <v>23570000</v>
      </c>
      <c r="G43" s="4" t="str">
        <f>HYPERLINK("http://141.218.60.56/~jnz1568/getInfo.php?workbook=20_10.xlsx&amp;sheet=A0&amp;row=43&amp;col=7&amp;number=0&amp;sourceID=14","0")</f>
        <v>0</v>
      </c>
    </row>
    <row r="44" spans="1:7">
      <c r="A44" s="3">
        <v>20</v>
      </c>
      <c r="B44" s="3">
        <v>10</v>
      </c>
      <c r="C44" s="3">
        <v>16</v>
      </c>
      <c r="D44" s="3">
        <v>14</v>
      </c>
      <c r="E44" s="3">
        <v>-549.352</v>
      </c>
      <c r="F44" s="4" t="str">
        <f>HYPERLINK("http://141.218.60.56/~jnz1568/getInfo.php?workbook=20_10.xlsx&amp;sheet=A0&amp;row=44&amp;col=6&amp;number=407000000&amp;sourceID=14","407000000")</f>
        <v>407000000</v>
      </c>
      <c r="G44" s="4" t="str">
        <f>HYPERLINK("http://141.218.60.56/~jnz1568/getInfo.php?workbook=20_10.xlsx&amp;sheet=A0&amp;row=44&amp;col=7&amp;number=0&amp;sourceID=14","0")</f>
        <v>0</v>
      </c>
    </row>
    <row r="45" spans="1:7">
      <c r="A45" s="3">
        <v>20</v>
      </c>
      <c r="B45" s="3">
        <v>10</v>
      </c>
      <c r="C45" s="3">
        <v>17</v>
      </c>
      <c r="D45" s="3">
        <v>1</v>
      </c>
      <c r="E45" s="3">
        <v>31.257</v>
      </c>
      <c r="F45" s="4" t="str">
        <f>HYPERLINK("http://141.218.60.56/~jnz1568/getInfo.php?workbook=20_10.xlsx&amp;sheet=A0&amp;row=45&amp;col=6&amp;number=16380000000&amp;sourceID=14","16380000000")</f>
        <v>16380000000</v>
      </c>
      <c r="G45" s="4" t="str">
        <f>HYPERLINK("http://141.218.60.56/~jnz1568/getInfo.php?workbook=20_10.xlsx&amp;sheet=A0&amp;row=45&amp;col=7&amp;number=0&amp;sourceID=14","0")</f>
        <v>0</v>
      </c>
    </row>
    <row r="46" spans="1:7">
      <c r="A46" s="3">
        <v>20</v>
      </c>
      <c r="B46" s="3">
        <v>10</v>
      </c>
      <c r="C46" s="3">
        <v>17</v>
      </c>
      <c r="D46" s="3">
        <v>6</v>
      </c>
      <c r="E46" s="3">
        <v>-412.353</v>
      </c>
      <c r="F46" s="4" t="str">
        <f>HYPERLINK("http://141.218.60.56/~jnz1568/getInfo.php?workbook=20_10.xlsx&amp;sheet=A0&amp;row=46&amp;col=6&amp;number=5387000000&amp;sourceID=14","5387000000")</f>
        <v>5387000000</v>
      </c>
      <c r="G46" s="4" t="str">
        <f>HYPERLINK("http://141.218.60.56/~jnz1568/getInfo.php?workbook=20_10.xlsx&amp;sheet=A0&amp;row=46&amp;col=7&amp;number=0&amp;sourceID=14","0")</f>
        <v>0</v>
      </c>
    </row>
    <row r="47" spans="1:7">
      <c r="A47" s="3">
        <v>20</v>
      </c>
      <c r="B47" s="3">
        <v>10</v>
      </c>
      <c r="C47" s="3">
        <v>17</v>
      </c>
      <c r="D47" s="3">
        <v>7</v>
      </c>
      <c r="E47" s="3">
        <v>444.051</v>
      </c>
      <c r="F47" s="4" t="str">
        <f>HYPERLINK("http://141.218.60.56/~jnz1568/getInfo.php?workbook=20_10.xlsx&amp;sheet=A0&amp;row=47&amp;col=6&amp;number=363700000&amp;sourceID=14","363700000")</f>
        <v>363700000</v>
      </c>
      <c r="G47" s="4" t="str">
        <f>HYPERLINK("http://141.218.60.56/~jnz1568/getInfo.php?workbook=20_10.xlsx&amp;sheet=A0&amp;row=47&amp;col=7&amp;number=0&amp;sourceID=14","0")</f>
        <v>0</v>
      </c>
    </row>
    <row r="48" spans="1:7">
      <c r="A48" s="3">
        <v>20</v>
      </c>
      <c r="B48" s="3">
        <v>10</v>
      </c>
      <c r="C48" s="3">
        <v>17</v>
      </c>
      <c r="D48" s="3">
        <v>9</v>
      </c>
      <c r="E48" s="3">
        <v>477.328</v>
      </c>
      <c r="F48" s="4" t="str">
        <f>HYPERLINK("http://141.218.60.56/~jnz1568/getInfo.php?workbook=20_10.xlsx&amp;sheet=A0&amp;row=48&amp;col=6&amp;number=692300000&amp;sourceID=14","692300000")</f>
        <v>692300000</v>
      </c>
      <c r="G48" s="4" t="str">
        <f>HYPERLINK("http://141.218.60.56/~jnz1568/getInfo.php?workbook=20_10.xlsx&amp;sheet=A0&amp;row=48&amp;col=7&amp;number=0&amp;sourceID=14","0")</f>
        <v>0</v>
      </c>
    </row>
    <row r="49" spans="1:7">
      <c r="A49" s="3">
        <v>20</v>
      </c>
      <c r="B49" s="3">
        <v>10</v>
      </c>
      <c r="C49" s="3">
        <v>17</v>
      </c>
      <c r="D49" s="3">
        <v>10</v>
      </c>
      <c r="E49" s="3">
        <v>461.895</v>
      </c>
      <c r="F49" s="4" t="str">
        <f>HYPERLINK("http://141.218.60.56/~jnz1568/getInfo.php?workbook=20_10.xlsx&amp;sheet=A0&amp;row=49&amp;col=6&amp;number=93530000&amp;sourceID=14","93530000")</f>
        <v>93530000</v>
      </c>
      <c r="G49" s="4" t="str">
        <f>HYPERLINK("http://141.218.60.56/~jnz1568/getInfo.php?workbook=20_10.xlsx&amp;sheet=A0&amp;row=49&amp;col=7&amp;number=0&amp;sourceID=14","0")</f>
        <v>0</v>
      </c>
    </row>
    <row r="50" spans="1:7">
      <c r="A50" s="3">
        <v>20</v>
      </c>
      <c r="B50" s="3">
        <v>10</v>
      </c>
      <c r="C50" s="3">
        <v>17</v>
      </c>
      <c r="D50" s="3">
        <v>11</v>
      </c>
      <c r="E50" s="3">
        <v>467.728</v>
      </c>
      <c r="F50" s="4" t="str">
        <f>HYPERLINK("http://141.218.60.56/~jnz1568/getInfo.php?workbook=20_10.xlsx&amp;sheet=A0&amp;row=50&amp;col=6&amp;number=20000000&amp;sourceID=14","20000000")</f>
        <v>20000000</v>
      </c>
      <c r="G50" s="4" t="str">
        <f>HYPERLINK("http://141.218.60.56/~jnz1568/getInfo.php?workbook=20_10.xlsx&amp;sheet=A0&amp;row=50&amp;col=7&amp;number=0&amp;sourceID=14","0")</f>
        <v>0</v>
      </c>
    </row>
    <row r="51" spans="1:7">
      <c r="A51" s="3">
        <v>20</v>
      </c>
      <c r="B51" s="3">
        <v>10</v>
      </c>
      <c r="C51" s="3">
        <v>17</v>
      </c>
      <c r="D51" s="3">
        <v>12</v>
      </c>
      <c r="E51" s="3">
        <v>-517.203</v>
      </c>
      <c r="F51" s="4" t="str">
        <f>HYPERLINK("http://141.218.60.56/~jnz1568/getInfo.php?workbook=20_10.xlsx&amp;sheet=A0&amp;row=51&amp;col=6&amp;number=254000000&amp;sourceID=14","254000000")</f>
        <v>254000000</v>
      </c>
      <c r="G51" s="4" t="str">
        <f>HYPERLINK("http://141.218.60.56/~jnz1568/getInfo.php?workbook=20_10.xlsx&amp;sheet=A0&amp;row=51&amp;col=7&amp;number=0&amp;sourceID=14","0")</f>
        <v>0</v>
      </c>
    </row>
    <row r="52" spans="1:7">
      <c r="A52" s="3">
        <v>20</v>
      </c>
      <c r="B52" s="3">
        <v>10</v>
      </c>
      <c r="C52" s="3">
        <v>17</v>
      </c>
      <c r="D52" s="3">
        <v>13</v>
      </c>
      <c r="E52" s="3">
        <v>547.346</v>
      </c>
      <c r="F52" s="4" t="str">
        <f>HYPERLINK("http://141.218.60.56/~jnz1568/getInfo.php?workbook=20_10.xlsx&amp;sheet=A0&amp;row=52&amp;col=6&amp;number=76730000&amp;sourceID=14","76730000")</f>
        <v>76730000</v>
      </c>
      <c r="G52" s="4" t="str">
        <f>HYPERLINK("http://141.218.60.56/~jnz1568/getInfo.php?workbook=20_10.xlsx&amp;sheet=A0&amp;row=52&amp;col=7&amp;number=0&amp;sourceID=14","0")</f>
        <v>0</v>
      </c>
    </row>
    <row r="53" spans="1:7">
      <c r="A53" s="3">
        <v>20</v>
      </c>
      <c r="B53" s="3">
        <v>10</v>
      </c>
      <c r="C53" s="3">
        <v>17</v>
      </c>
      <c r="D53" s="3">
        <v>14</v>
      </c>
      <c r="E53" s="3">
        <v>547.047</v>
      </c>
      <c r="F53" s="4" t="str">
        <f>HYPERLINK("http://141.218.60.56/~jnz1568/getInfo.php?workbook=20_10.xlsx&amp;sheet=A0&amp;row=53&amp;col=6&amp;number=64690000&amp;sourceID=14","64690000")</f>
        <v>64690000</v>
      </c>
      <c r="G53" s="4" t="str">
        <f>HYPERLINK("http://141.218.60.56/~jnz1568/getInfo.php?workbook=20_10.xlsx&amp;sheet=A0&amp;row=53&amp;col=7&amp;number=0&amp;sourceID=14","0")</f>
        <v>0</v>
      </c>
    </row>
    <row r="54" spans="1:7">
      <c r="A54" s="3">
        <v>20</v>
      </c>
      <c r="B54" s="3">
        <v>10</v>
      </c>
      <c r="C54" s="3">
        <v>17</v>
      </c>
      <c r="D54" s="3">
        <v>15</v>
      </c>
      <c r="E54" s="3">
        <v>-1010.46</v>
      </c>
      <c r="F54" s="4" t="str">
        <f>HYPERLINK("http://141.218.60.56/~jnz1568/getInfo.php?workbook=20_10.xlsx&amp;sheet=A0&amp;row=54&amp;col=6&amp;number=51070&amp;sourceID=14","51070")</f>
        <v>51070</v>
      </c>
      <c r="G54" s="4" t="str">
        <f>HYPERLINK("http://141.218.60.56/~jnz1568/getInfo.php?workbook=20_10.xlsx&amp;sheet=A0&amp;row=54&amp;col=7&amp;number=0&amp;sourceID=14","0")</f>
        <v>0</v>
      </c>
    </row>
    <row r="55" spans="1:7">
      <c r="A55" s="3">
        <v>20</v>
      </c>
      <c r="B55" s="3">
        <v>10</v>
      </c>
      <c r="C55" s="3">
        <v>18</v>
      </c>
      <c r="D55" s="3">
        <v>6</v>
      </c>
      <c r="E55" s="3">
        <v>-402.404</v>
      </c>
      <c r="F55" s="4" t="str">
        <f>HYPERLINK("http://141.218.60.56/~jnz1568/getInfo.php?workbook=20_10.xlsx&amp;sheet=A0&amp;row=55&amp;col=6&amp;number=3878000000&amp;sourceID=14","3878000000")</f>
        <v>3878000000</v>
      </c>
      <c r="G55" s="4" t="str">
        <f>HYPERLINK("http://141.218.60.56/~jnz1568/getInfo.php?workbook=20_10.xlsx&amp;sheet=A0&amp;row=55&amp;col=7&amp;number=0&amp;sourceID=14","0")</f>
        <v>0</v>
      </c>
    </row>
    <row r="56" spans="1:7">
      <c r="A56" s="3">
        <v>20</v>
      </c>
      <c r="B56" s="3">
        <v>10</v>
      </c>
      <c r="C56" s="3">
        <v>18</v>
      </c>
      <c r="D56" s="3">
        <v>7</v>
      </c>
      <c r="E56" s="3">
        <v>-437.639</v>
      </c>
      <c r="F56" s="4" t="str">
        <f>HYPERLINK("http://141.218.60.56/~jnz1568/getInfo.php?workbook=20_10.xlsx&amp;sheet=A0&amp;row=56&amp;col=6&amp;number=216400000&amp;sourceID=14","216400000")</f>
        <v>216400000</v>
      </c>
      <c r="G56" s="4" t="str">
        <f>HYPERLINK("http://141.218.60.56/~jnz1568/getInfo.php?workbook=20_10.xlsx&amp;sheet=A0&amp;row=56&amp;col=7&amp;number=0&amp;sourceID=14","0")</f>
        <v>0</v>
      </c>
    </row>
    <row r="57" spans="1:7">
      <c r="A57" s="3">
        <v>20</v>
      </c>
      <c r="B57" s="3">
        <v>10</v>
      </c>
      <c r="C57" s="3">
        <v>18</v>
      </c>
      <c r="D57" s="3">
        <v>8</v>
      </c>
      <c r="E57" s="3">
        <v>-438.482</v>
      </c>
      <c r="F57" s="4" t="str">
        <f>HYPERLINK("http://141.218.60.56/~jnz1568/getInfo.php?workbook=20_10.xlsx&amp;sheet=A0&amp;row=57&amp;col=6&amp;number=172600000&amp;sourceID=14","172600000")</f>
        <v>172600000</v>
      </c>
      <c r="G57" s="4" t="str">
        <f>HYPERLINK("http://141.218.60.56/~jnz1568/getInfo.php?workbook=20_10.xlsx&amp;sheet=A0&amp;row=57&amp;col=7&amp;number=0&amp;sourceID=14","0")</f>
        <v>0</v>
      </c>
    </row>
    <row r="58" spans="1:7">
      <c r="A58" s="3">
        <v>20</v>
      </c>
      <c r="B58" s="3">
        <v>10</v>
      </c>
      <c r="C58" s="3">
        <v>18</v>
      </c>
      <c r="D58" s="3">
        <v>9</v>
      </c>
      <c r="E58" s="3">
        <v>-465.085</v>
      </c>
      <c r="F58" s="4" t="str">
        <f>HYPERLINK("http://141.218.60.56/~jnz1568/getInfo.php?workbook=20_10.xlsx&amp;sheet=A0&amp;row=58&amp;col=6&amp;number=2006000000&amp;sourceID=14","2006000000")</f>
        <v>2006000000</v>
      </c>
      <c r="G58" s="4" t="str">
        <f>HYPERLINK("http://141.218.60.56/~jnz1568/getInfo.php?workbook=20_10.xlsx&amp;sheet=A0&amp;row=58&amp;col=7&amp;number=0&amp;sourceID=14","0")</f>
        <v>0</v>
      </c>
    </row>
    <row r="59" spans="1:7">
      <c r="A59" s="3">
        <v>20</v>
      </c>
      <c r="B59" s="3">
        <v>10</v>
      </c>
      <c r="C59" s="3">
        <v>18</v>
      </c>
      <c r="D59" s="3">
        <v>10</v>
      </c>
      <c r="E59" s="3">
        <v>-453.025</v>
      </c>
      <c r="F59" s="4" t="str">
        <f>HYPERLINK("http://141.218.60.56/~jnz1568/getInfo.php?workbook=20_10.xlsx&amp;sheet=A0&amp;row=59&amp;col=6&amp;number=381600000&amp;sourceID=14","381600000")</f>
        <v>381600000</v>
      </c>
      <c r="G59" s="4" t="str">
        <f>HYPERLINK("http://141.218.60.56/~jnz1568/getInfo.php?workbook=20_10.xlsx&amp;sheet=A0&amp;row=59&amp;col=7&amp;number=0&amp;sourceID=14","0")</f>
        <v>0</v>
      </c>
    </row>
    <row r="60" spans="1:7">
      <c r="A60" s="3">
        <v>20</v>
      </c>
      <c r="B60" s="3">
        <v>10</v>
      </c>
      <c r="C60" s="3">
        <v>18</v>
      </c>
      <c r="D60" s="3">
        <v>11</v>
      </c>
      <c r="E60" s="3">
        <v>-500.94</v>
      </c>
      <c r="F60" s="4" t="str">
        <f>HYPERLINK("http://141.218.60.56/~jnz1568/getInfo.php?workbook=20_10.xlsx&amp;sheet=A0&amp;row=60&amp;col=6&amp;number=51800000&amp;sourceID=14","51800000")</f>
        <v>51800000</v>
      </c>
      <c r="G60" s="4" t="str">
        <f>HYPERLINK("http://141.218.60.56/~jnz1568/getInfo.php?workbook=20_10.xlsx&amp;sheet=A0&amp;row=60&amp;col=7&amp;number=0&amp;sourceID=14","0")</f>
        <v>0</v>
      </c>
    </row>
    <row r="61" spans="1:7">
      <c r="A61" s="3">
        <v>20</v>
      </c>
      <c r="B61" s="3">
        <v>10</v>
      </c>
      <c r="C61" s="3">
        <v>18</v>
      </c>
      <c r="D61" s="3">
        <v>13</v>
      </c>
      <c r="E61" s="3">
        <v>-523.476</v>
      </c>
      <c r="F61" s="4" t="str">
        <f>HYPERLINK("http://141.218.60.56/~jnz1568/getInfo.php?workbook=20_10.xlsx&amp;sheet=A0&amp;row=61&amp;col=6&amp;number=188400000&amp;sourceID=14","188400000")</f>
        <v>188400000</v>
      </c>
      <c r="G61" s="4" t="str">
        <f>HYPERLINK("http://141.218.60.56/~jnz1568/getInfo.php?workbook=20_10.xlsx&amp;sheet=A0&amp;row=61&amp;col=7&amp;number=0&amp;sourceID=14","0")</f>
        <v>0</v>
      </c>
    </row>
    <row r="62" spans="1:7">
      <c r="A62" s="3">
        <v>20</v>
      </c>
      <c r="B62" s="3">
        <v>10</v>
      </c>
      <c r="C62" s="3">
        <v>18</v>
      </c>
      <c r="D62" s="3">
        <v>14</v>
      </c>
      <c r="E62" s="3">
        <v>-523.476</v>
      </c>
      <c r="F62" s="4" t="str">
        <f>HYPERLINK("http://141.218.60.56/~jnz1568/getInfo.php?workbook=20_10.xlsx&amp;sheet=A0&amp;row=62&amp;col=6&amp;number=61500000&amp;sourceID=14","61500000")</f>
        <v>61500000</v>
      </c>
      <c r="G62" s="4" t="str">
        <f>HYPERLINK("http://141.218.60.56/~jnz1568/getInfo.php?workbook=20_10.xlsx&amp;sheet=A0&amp;row=62&amp;col=7&amp;number=0&amp;sourceID=14","0")</f>
        <v>0</v>
      </c>
    </row>
    <row r="63" spans="1:7">
      <c r="A63" s="3">
        <v>20</v>
      </c>
      <c r="B63" s="3">
        <v>10</v>
      </c>
      <c r="C63" s="3">
        <v>19</v>
      </c>
      <c r="D63" s="3">
        <v>8</v>
      </c>
      <c r="E63" s="3">
        <v>428.45</v>
      </c>
      <c r="F63" s="4" t="str">
        <f>HYPERLINK("http://141.218.60.56/~jnz1568/getInfo.php?workbook=20_10.xlsx&amp;sheet=A0&amp;row=63&amp;col=6&amp;number=7123000000&amp;sourceID=14","7123000000")</f>
        <v>7123000000</v>
      </c>
      <c r="G63" s="4" t="str">
        <f>HYPERLINK("http://141.218.60.56/~jnz1568/getInfo.php?workbook=20_10.xlsx&amp;sheet=A0&amp;row=63&amp;col=7&amp;number=0&amp;sourceID=14","0")</f>
        <v>0</v>
      </c>
    </row>
    <row r="64" spans="1:7">
      <c r="A64" s="3">
        <v>20</v>
      </c>
      <c r="B64" s="3">
        <v>10</v>
      </c>
      <c r="C64" s="3">
        <v>20</v>
      </c>
      <c r="D64" s="3">
        <v>7</v>
      </c>
      <c r="E64" s="3">
        <v>420.169</v>
      </c>
      <c r="F64" s="4" t="str">
        <f>HYPERLINK("http://141.218.60.56/~jnz1568/getInfo.php?workbook=20_10.xlsx&amp;sheet=A0&amp;row=64&amp;col=6&amp;number=6413000000&amp;sourceID=14","6413000000")</f>
        <v>6413000000</v>
      </c>
      <c r="G64" s="4" t="str">
        <f>HYPERLINK("http://141.218.60.56/~jnz1568/getInfo.php?workbook=20_10.xlsx&amp;sheet=A0&amp;row=64&amp;col=7&amp;number=0&amp;sourceID=14","0")</f>
        <v>0</v>
      </c>
    </row>
    <row r="65" spans="1:7">
      <c r="A65" s="3">
        <v>20</v>
      </c>
      <c r="B65" s="3">
        <v>10</v>
      </c>
      <c r="C65" s="3">
        <v>20</v>
      </c>
      <c r="D65" s="3">
        <v>8</v>
      </c>
      <c r="E65" s="3">
        <v>421.231</v>
      </c>
      <c r="F65" s="4" t="str">
        <f>HYPERLINK("http://141.218.60.56/~jnz1568/getInfo.php?workbook=20_10.xlsx&amp;sheet=A0&amp;row=65&amp;col=6&amp;number=1102000000&amp;sourceID=14","1102000000")</f>
        <v>1102000000</v>
      </c>
      <c r="G65" s="4" t="str">
        <f>HYPERLINK("http://141.218.60.56/~jnz1568/getInfo.php?workbook=20_10.xlsx&amp;sheet=A0&amp;row=65&amp;col=7&amp;number=0&amp;sourceID=14","0")</f>
        <v>0</v>
      </c>
    </row>
    <row r="66" spans="1:7">
      <c r="A66" s="3">
        <v>20</v>
      </c>
      <c r="B66" s="3">
        <v>10</v>
      </c>
      <c r="C66" s="3">
        <v>20</v>
      </c>
      <c r="D66" s="3">
        <v>9</v>
      </c>
      <c r="E66" s="3">
        <v>449.843</v>
      </c>
      <c r="F66" s="4" t="str">
        <f>HYPERLINK("http://141.218.60.56/~jnz1568/getInfo.php?workbook=20_10.xlsx&amp;sheet=A0&amp;row=66&amp;col=6&amp;number=32910000&amp;sourceID=14","32910000")</f>
        <v>32910000</v>
      </c>
      <c r="G66" s="4" t="str">
        <f>HYPERLINK("http://141.218.60.56/~jnz1568/getInfo.php?workbook=20_10.xlsx&amp;sheet=A0&amp;row=66&amp;col=7&amp;number=0&amp;sourceID=14","0")</f>
        <v>0</v>
      </c>
    </row>
    <row r="67" spans="1:7">
      <c r="A67" s="3">
        <v>20</v>
      </c>
      <c r="B67" s="3">
        <v>10</v>
      </c>
      <c r="C67" s="3">
        <v>20</v>
      </c>
      <c r="D67" s="3">
        <v>13</v>
      </c>
      <c r="E67" s="3">
        <v>511.51</v>
      </c>
      <c r="F67" s="4" t="str">
        <f>HYPERLINK("http://141.218.60.56/~jnz1568/getInfo.php?workbook=20_10.xlsx&amp;sheet=A0&amp;row=67&amp;col=6&amp;number=3866000&amp;sourceID=14","3866000")</f>
        <v>3866000</v>
      </c>
      <c r="G67" s="4" t="str">
        <f>HYPERLINK("http://141.218.60.56/~jnz1568/getInfo.php?workbook=20_10.xlsx&amp;sheet=A0&amp;row=67&amp;col=7&amp;number=0&amp;sourceID=14","0")</f>
        <v>0</v>
      </c>
    </row>
    <row r="68" spans="1:7">
      <c r="A68" s="3">
        <v>20</v>
      </c>
      <c r="B68" s="3">
        <v>10</v>
      </c>
      <c r="C68" s="3">
        <v>21</v>
      </c>
      <c r="D68" s="3">
        <v>6</v>
      </c>
      <c r="E68" s="3">
        <v>-382.988</v>
      </c>
      <c r="F68" s="4" t="str">
        <f>HYPERLINK("http://141.218.60.56/~jnz1568/getInfo.php?workbook=20_10.xlsx&amp;sheet=A0&amp;row=68&amp;col=6&amp;number=39740000&amp;sourceID=14","39740000")</f>
        <v>39740000</v>
      </c>
      <c r="G68" s="4" t="str">
        <f>HYPERLINK("http://141.218.60.56/~jnz1568/getInfo.php?workbook=20_10.xlsx&amp;sheet=A0&amp;row=68&amp;col=7&amp;number=0&amp;sourceID=14","0")</f>
        <v>0</v>
      </c>
    </row>
    <row r="69" spans="1:7">
      <c r="A69" s="3">
        <v>20</v>
      </c>
      <c r="B69" s="3">
        <v>10</v>
      </c>
      <c r="C69" s="3">
        <v>21</v>
      </c>
      <c r="D69" s="3">
        <v>7</v>
      </c>
      <c r="E69" s="3">
        <v>396.04</v>
      </c>
      <c r="F69" s="4" t="str">
        <f>HYPERLINK("http://141.218.60.56/~jnz1568/getInfo.php?workbook=20_10.xlsx&amp;sheet=A0&amp;row=69&amp;col=6&amp;number=2694000000&amp;sourceID=14","2694000000")</f>
        <v>2694000000</v>
      </c>
      <c r="G69" s="4" t="str">
        <f>HYPERLINK("http://141.218.60.56/~jnz1568/getInfo.php?workbook=20_10.xlsx&amp;sheet=A0&amp;row=69&amp;col=7&amp;number=0&amp;sourceID=14","0")</f>
        <v>0</v>
      </c>
    </row>
    <row r="70" spans="1:7">
      <c r="A70" s="3">
        <v>20</v>
      </c>
      <c r="B70" s="3">
        <v>10</v>
      </c>
      <c r="C70" s="3">
        <v>21</v>
      </c>
      <c r="D70" s="3">
        <v>8</v>
      </c>
      <c r="E70" s="3">
        <v>396.984</v>
      </c>
      <c r="F70" s="4" t="str">
        <f>HYPERLINK("http://141.218.60.56/~jnz1568/getInfo.php?workbook=20_10.xlsx&amp;sheet=A0&amp;row=70&amp;col=6&amp;number=148000000&amp;sourceID=14","148000000")</f>
        <v>148000000</v>
      </c>
      <c r="G70" s="4" t="str">
        <f>HYPERLINK("http://141.218.60.56/~jnz1568/getInfo.php?workbook=20_10.xlsx&amp;sheet=A0&amp;row=70&amp;col=7&amp;number=0&amp;sourceID=14","0")</f>
        <v>0</v>
      </c>
    </row>
    <row r="71" spans="1:7">
      <c r="A71" s="3">
        <v>20</v>
      </c>
      <c r="B71" s="3">
        <v>10</v>
      </c>
      <c r="C71" s="3">
        <v>21</v>
      </c>
      <c r="D71" s="3">
        <v>9</v>
      </c>
      <c r="E71" s="3">
        <v>422.298</v>
      </c>
      <c r="F71" s="4" t="str">
        <f>HYPERLINK("http://141.218.60.56/~jnz1568/getInfo.php?workbook=20_10.xlsx&amp;sheet=A0&amp;row=71&amp;col=6&amp;number=7269000&amp;sourceID=14","7269000")</f>
        <v>7269000</v>
      </c>
      <c r="G71" s="4" t="str">
        <f>HYPERLINK("http://141.218.60.56/~jnz1568/getInfo.php?workbook=20_10.xlsx&amp;sheet=A0&amp;row=71&amp;col=7&amp;number=0&amp;sourceID=14","0")</f>
        <v>0</v>
      </c>
    </row>
    <row r="72" spans="1:7">
      <c r="A72" s="3">
        <v>20</v>
      </c>
      <c r="B72" s="3">
        <v>10</v>
      </c>
      <c r="C72" s="3">
        <v>21</v>
      </c>
      <c r="D72" s="3">
        <v>10</v>
      </c>
      <c r="E72" s="3">
        <v>410.173</v>
      </c>
      <c r="F72" s="4" t="str">
        <f>HYPERLINK("http://141.218.60.56/~jnz1568/getInfo.php?workbook=20_10.xlsx&amp;sheet=A0&amp;row=72&amp;col=6&amp;number=4886000000&amp;sourceID=14","4886000000")</f>
        <v>4886000000</v>
      </c>
      <c r="G72" s="4" t="str">
        <f>HYPERLINK("http://141.218.60.56/~jnz1568/getInfo.php?workbook=20_10.xlsx&amp;sheet=A0&amp;row=72&amp;col=7&amp;number=0&amp;sourceID=14","0")</f>
        <v>0</v>
      </c>
    </row>
    <row r="73" spans="1:7">
      <c r="A73" s="3">
        <v>20</v>
      </c>
      <c r="B73" s="3">
        <v>10</v>
      </c>
      <c r="C73" s="3">
        <v>21</v>
      </c>
      <c r="D73" s="3">
        <v>11</v>
      </c>
      <c r="E73" s="3">
        <v>414.766</v>
      </c>
      <c r="F73" s="4" t="str">
        <f>HYPERLINK("http://141.218.60.56/~jnz1568/getInfo.php?workbook=20_10.xlsx&amp;sheet=A0&amp;row=73&amp;col=6&amp;number=38800000&amp;sourceID=14","38800000")</f>
        <v>38800000</v>
      </c>
      <c r="G73" s="4" t="str">
        <f>HYPERLINK("http://141.218.60.56/~jnz1568/getInfo.php?workbook=20_10.xlsx&amp;sheet=A0&amp;row=73&amp;col=7&amp;number=0&amp;sourceID=14","0")</f>
        <v>0</v>
      </c>
    </row>
    <row r="74" spans="1:7">
      <c r="A74" s="3">
        <v>20</v>
      </c>
      <c r="B74" s="3">
        <v>10</v>
      </c>
      <c r="C74" s="3">
        <v>21</v>
      </c>
      <c r="D74" s="3">
        <v>13</v>
      </c>
      <c r="E74" s="3">
        <v>476.191</v>
      </c>
      <c r="F74" s="4" t="str">
        <f>HYPERLINK("http://141.218.60.56/~jnz1568/getInfo.php?workbook=20_10.xlsx&amp;sheet=A0&amp;row=74&amp;col=6&amp;number=882400&amp;sourceID=14","882400")</f>
        <v>882400</v>
      </c>
      <c r="G74" s="4" t="str">
        <f>HYPERLINK("http://141.218.60.56/~jnz1568/getInfo.php?workbook=20_10.xlsx&amp;sheet=A0&amp;row=74&amp;col=7&amp;number=0&amp;sourceID=14","0")</f>
        <v>0</v>
      </c>
    </row>
    <row r="75" spans="1:7">
      <c r="A75" s="3">
        <v>20</v>
      </c>
      <c r="B75" s="3">
        <v>10</v>
      </c>
      <c r="C75" s="3">
        <v>21</v>
      </c>
      <c r="D75" s="3">
        <v>14</v>
      </c>
      <c r="E75" s="3">
        <v>475.965</v>
      </c>
      <c r="F75" s="4" t="str">
        <f>HYPERLINK("http://141.218.60.56/~jnz1568/getInfo.php?workbook=20_10.xlsx&amp;sheet=A0&amp;row=75&amp;col=6&amp;number=18170000&amp;sourceID=14","18170000")</f>
        <v>18170000</v>
      </c>
      <c r="G75" s="4" t="str">
        <f>HYPERLINK("http://141.218.60.56/~jnz1568/getInfo.php?workbook=20_10.xlsx&amp;sheet=A0&amp;row=75&amp;col=7&amp;number=0&amp;sourceID=14","0")</f>
        <v>0</v>
      </c>
    </row>
    <row r="76" spans="1:7">
      <c r="A76" s="3">
        <v>20</v>
      </c>
      <c r="B76" s="3">
        <v>10</v>
      </c>
      <c r="C76" s="3">
        <v>22</v>
      </c>
      <c r="D76" s="3">
        <v>7</v>
      </c>
      <c r="E76" s="3">
        <v>400.642</v>
      </c>
      <c r="F76" s="4" t="str">
        <f>HYPERLINK("http://141.218.60.56/~jnz1568/getInfo.php?workbook=20_10.xlsx&amp;sheet=A0&amp;row=76&amp;col=6&amp;number=95590000&amp;sourceID=14","95590000")</f>
        <v>95590000</v>
      </c>
      <c r="G76" s="4" t="str">
        <f>HYPERLINK("http://141.218.60.56/~jnz1568/getInfo.php?workbook=20_10.xlsx&amp;sheet=A0&amp;row=76&amp;col=7&amp;number=0&amp;sourceID=14","0")</f>
        <v>0</v>
      </c>
    </row>
    <row r="77" spans="1:7">
      <c r="A77" s="3">
        <v>20</v>
      </c>
      <c r="B77" s="3">
        <v>10</v>
      </c>
      <c r="C77" s="3">
        <v>22</v>
      </c>
      <c r="D77" s="3">
        <v>8</v>
      </c>
      <c r="E77" s="3">
        <v>401.607</v>
      </c>
      <c r="F77" s="4" t="str">
        <f>HYPERLINK("http://141.218.60.56/~jnz1568/getInfo.php?workbook=20_10.xlsx&amp;sheet=A0&amp;row=77&amp;col=6&amp;number=1521000000&amp;sourceID=14","1521000000")</f>
        <v>1521000000</v>
      </c>
      <c r="G77" s="4" t="str">
        <f>HYPERLINK("http://141.218.60.56/~jnz1568/getInfo.php?workbook=20_10.xlsx&amp;sheet=A0&amp;row=77&amp;col=7&amp;number=0&amp;sourceID=14","0")</f>
        <v>0</v>
      </c>
    </row>
    <row r="78" spans="1:7">
      <c r="A78" s="3">
        <v>20</v>
      </c>
      <c r="B78" s="3">
        <v>10</v>
      </c>
      <c r="C78" s="3">
        <v>22</v>
      </c>
      <c r="D78" s="3">
        <v>9</v>
      </c>
      <c r="E78" s="3">
        <v>427.534</v>
      </c>
      <c r="F78" s="4" t="str">
        <f>HYPERLINK("http://141.218.60.56/~jnz1568/getInfo.php?workbook=20_10.xlsx&amp;sheet=A0&amp;row=78&amp;col=6&amp;number=6029000000&amp;sourceID=14","6029000000")</f>
        <v>6029000000</v>
      </c>
      <c r="G78" s="4" t="str">
        <f>HYPERLINK("http://141.218.60.56/~jnz1568/getInfo.php?workbook=20_10.xlsx&amp;sheet=A0&amp;row=78&amp;col=7&amp;number=0&amp;sourceID=14","0")</f>
        <v>0</v>
      </c>
    </row>
    <row r="79" spans="1:7">
      <c r="A79" s="3">
        <v>20</v>
      </c>
      <c r="B79" s="3">
        <v>10</v>
      </c>
      <c r="C79" s="3">
        <v>22</v>
      </c>
      <c r="D79" s="3">
        <v>13</v>
      </c>
      <c r="E79" s="3">
        <v>482.859</v>
      </c>
      <c r="F79" s="4" t="str">
        <f>HYPERLINK("http://141.218.60.56/~jnz1568/getInfo.php?workbook=20_10.xlsx&amp;sheet=A0&amp;row=79&amp;col=6&amp;number=56990000&amp;sourceID=14","56990000")</f>
        <v>56990000</v>
      </c>
      <c r="G79" s="4" t="str">
        <f>HYPERLINK("http://141.218.60.56/~jnz1568/getInfo.php?workbook=20_10.xlsx&amp;sheet=A0&amp;row=79&amp;col=7&amp;number=0&amp;sourceID=14","0")</f>
        <v>0</v>
      </c>
    </row>
    <row r="80" spans="1:7">
      <c r="A80" s="3">
        <v>20</v>
      </c>
      <c r="B80" s="3">
        <v>10</v>
      </c>
      <c r="C80" s="3">
        <v>23</v>
      </c>
      <c r="D80" s="3">
        <v>1</v>
      </c>
      <c r="E80" s="3">
        <v>30.867</v>
      </c>
      <c r="F80" s="4" t="str">
        <f>HYPERLINK("http://141.218.60.56/~jnz1568/getInfo.php?workbook=20_10.xlsx&amp;sheet=A0&amp;row=80&amp;col=6&amp;number=545800000000&amp;sourceID=14","545800000000")</f>
        <v>545800000000</v>
      </c>
      <c r="G80" s="4" t="str">
        <f>HYPERLINK("http://141.218.60.56/~jnz1568/getInfo.php?workbook=20_10.xlsx&amp;sheet=A0&amp;row=80&amp;col=7&amp;number=0&amp;sourceID=14","0")</f>
        <v>0</v>
      </c>
    </row>
    <row r="81" spans="1:7">
      <c r="A81" s="3">
        <v>20</v>
      </c>
      <c r="B81" s="3">
        <v>10</v>
      </c>
      <c r="C81" s="3">
        <v>23</v>
      </c>
      <c r="D81" s="3">
        <v>6</v>
      </c>
      <c r="E81" s="3">
        <v>-357.516</v>
      </c>
      <c r="F81" s="4" t="str">
        <f>HYPERLINK("http://141.218.60.56/~jnz1568/getInfo.php?workbook=20_10.xlsx&amp;sheet=A0&amp;row=81&amp;col=6&amp;number=114300&amp;sourceID=14","114300")</f>
        <v>114300</v>
      </c>
      <c r="G81" s="4" t="str">
        <f>HYPERLINK("http://141.218.60.56/~jnz1568/getInfo.php?workbook=20_10.xlsx&amp;sheet=A0&amp;row=81&amp;col=7&amp;number=0&amp;sourceID=14","0")</f>
        <v>0</v>
      </c>
    </row>
    <row r="82" spans="1:7">
      <c r="A82" s="3">
        <v>20</v>
      </c>
      <c r="B82" s="3">
        <v>10</v>
      </c>
      <c r="C82" s="3">
        <v>23</v>
      </c>
      <c r="D82" s="3">
        <v>7</v>
      </c>
      <c r="E82" s="3">
        <v>376.507</v>
      </c>
      <c r="F82" s="4" t="str">
        <f>HYPERLINK("http://141.218.60.56/~jnz1568/getInfo.php?workbook=20_10.xlsx&amp;sheet=A0&amp;row=82&amp;col=6&amp;number=508000000&amp;sourceID=14","508000000")</f>
        <v>508000000</v>
      </c>
      <c r="G82" s="4" t="str">
        <f>HYPERLINK("http://141.218.60.56/~jnz1568/getInfo.php?workbook=20_10.xlsx&amp;sheet=A0&amp;row=82&amp;col=7&amp;number=0&amp;sourceID=14","0")</f>
        <v>0</v>
      </c>
    </row>
    <row r="83" spans="1:7">
      <c r="A83" s="3">
        <v>20</v>
      </c>
      <c r="B83" s="3">
        <v>10</v>
      </c>
      <c r="C83" s="3">
        <v>23</v>
      </c>
      <c r="D83" s="3">
        <v>9</v>
      </c>
      <c r="E83" s="3">
        <v>400.161</v>
      </c>
      <c r="F83" s="4" t="str">
        <f>HYPERLINK("http://141.218.60.56/~jnz1568/getInfo.php?workbook=20_10.xlsx&amp;sheet=A0&amp;row=83&amp;col=6&amp;number=29370000&amp;sourceID=14","29370000")</f>
        <v>29370000</v>
      </c>
      <c r="G83" s="4" t="str">
        <f>HYPERLINK("http://141.218.60.56/~jnz1568/getInfo.php?workbook=20_10.xlsx&amp;sheet=A0&amp;row=83&amp;col=7&amp;number=0&amp;sourceID=14","0")</f>
        <v>0</v>
      </c>
    </row>
    <row r="84" spans="1:7">
      <c r="A84" s="3">
        <v>20</v>
      </c>
      <c r="B84" s="3">
        <v>10</v>
      </c>
      <c r="C84" s="3">
        <v>23</v>
      </c>
      <c r="D84" s="3">
        <v>10</v>
      </c>
      <c r="E84" s="3">
        <v>389.257</v>
      </c>
      <c r="F84" s="4" t="str">
        <f>HYPERLINK("http://141.218.60.56/~jnz1568/getInfo.php?workbook=20_10.xlsx&amp;sheet=A0&amp;row=84&amp;col=6&amp;number=3803000000&amp;sourceID=14","3803000000")</f>
        <v>3803000000</v>
      </c>
      <c r="G84" s="4" t="str">
        <f>HYPERLINK("http://141.218.60.56/~jnz1568/getInfo.php?workbook=20_10.xlsx&amp;sheet=A0&amp;row=84&amp;col=7&amp;number=0&amp;sourceID=14","0")</f>
        <v>0</v>
      </c>
    </row>
    <row r="85" spans="1:7">
      <c r="A85" s="3">
        <v>20</v>
      </c>
      <c r="B85" s="3">
        <v>10</v>
      </c>
      <c r="C85" s="3">
        <v>23</v>
      </c>
      <c r="D85" s="3">
        <v>11</v>
      </c>
      <c r="E85" s="3">
        <v>393.392</v>
      </c>
      <c r="F85" s="4" t="str">
        <f>HYPERLINK("http://141.218.60.56/~jnz1568/getInfo.php?workbook=20_10.xlsx&amp;sheet=A0&amp;row=85&amp;col=6&amp;number=36130000&amp;sourceID=14","36130000")</f>
        <v>36130000</v>
      </c>
      <c r="G85" s="4" t="str">
        <f>HYPERLINK("http://141.218.60.56/~jnz1568/getInfo.php?workbook=20_10.xlsx&amp;sheet=A0&amp;row=85&amp;col=7&amp;number=0&amp;sourceID=14","0")</f>
        <v>0</v>
      </c>
    </row>
    <row r="86" spans="1:7">
      <c r="A86" s="3">
        <v>20</v>
      </c>
      <c r="B86" s="3">
        <v>10</v>
      </c>
      <c r="C86" s="3">
        <v>23</v>
      </c>
      <c r="D86" s="3">
        <v>12</v>
      </c>
      <c r="E86" s="3">
        <v>-433.756</v>
      </c>
      <c r="F86" s="4" t="str">
        <f>HYPERLINK("http://141.218.60.56/~jnz1568/getInfo.php?workbook=20_10.xlsx&amp;sheet=A0&amp;row=86&amp;col=6&amp;number=3527000000&amp;sourceID=14","3527000000")</f>
        <v>3527000000</v>
      </c>
      <c r="G86" s="4" t="str">
        <f>HYPERLINK("http://141.218.60.56/~jnz1568/getInfo.php?workbook=20_10.xlsx&amp;sheet=A0&amp;row=86&amp;col=7&amp;number=0&amp;sourceID=14","0")</f>
        <v>0</v>
      </c>
    </row>
    <row r="87" spans="1:7">
      <c r="A87" s="3">
        <v>20</v>
      </c>
      <c r="B87" s="3">
        <v>10</v>
      </c>
      <c r="C87" s="3">
        <v>23</v>
      </c>
      <c r="D87" s="3">
        <v>13</v>
      </c>
      <c r="E87" s="3">
        <v>448.23</v>
      </c>
      <c r="F87" s="4" t="str">
        <f>HYPERLINK("http://141.218.60.56/~jnz1568/getInfo.php?workbook=20_10.xlsx&amp;sheet=A0&amp;row=87&amp;col=6&amp;number=29520000&amp;sourceID=14","29520000")</f>
        <v>29520000</v>
      </c>
      <c r="G87" s="4" t="str">
        <f>HYPERLINK("http://141.218.60.56/~jnz1568/getInfo.php?workbook=20_10.xlsx&amp;sheet=A0&amp;row=87&amp;col=7&amp;number=0&amp;sourceID=14","0")</f>
        <v>0</v>
      </c>
    </row>
    <row r="88" spans="1:7">
      <c r="A88" s="3">
        <v>20</v>
      </c>
      <c r="B88" s="3">
        <v>10</v>
      </c>
      <c r="C88" s="3">
        <v>23</v>
      </c>
      <c r="D88" s="3">
        <v>14</v>
      </c>
      <c r="E88" s="3">
        <v>448.03</v>
      </c>
      <c r="F88" s="4" t="str">
        <f>HYPERLINK("http://141.218.60.56/~jnz1568/getInfo.php?workbook=20_10.xlsx&amp;sheet=A0&amp;row=88&amp;col=6&amp;number=442000000&amp;sourceID=14","442000000")</f>
        <v>442000000</v>
      </c>
      <c r="G88" s="4" t="str">
        <f>HYPERLINK("http://141.218.60.56/~jnz1568/getInfo.php?workbook=20_10.xlsx&amp;sheet=A0&amp;row=88&amp;col=7&amp;number=0&amp;sourceID=14","0")</f>
        <v>0</v>
      </c>
    </row>
    <row r="89" spans="1:7">
      <c r="A89" s="3">
        <v>20</v>
      </c>
      <c r="B89" s="3">
        <v>10</v>
      </c>
      <c r="C89" s="3">
        <v>23</v>
      </c>
      <c r="D89" s="3">
        <v>15</v>
      </c>
      <c r="E89" s="3">
        <v>-734.421</v>
      </c>
      <c r="F89" s="4" t="str">
        <f>HYPERLINK("http://141.218.60.56/~jnz1568/getInfo.php?workbook=20_10.xlsx&amp;sheet=A0&amp;row=89&amp;col=6&amp;number=33070000&amp;sourceID=14","33070000")</f>
        <v>33070000</v>
      </c>
      <c r="G89" s="4" t="str">
        <f>HYPERLINK("http://141.218.60.56/~jnz1568/getInfo.php?workbook=20_10.xlsx&amp;sheet=A0&amp;row=89&amp;col=7&amp;number=0&amp;sourceID=14","0")</f>
        <v>0</v>
      </c>
    </row>
    <row r="90" spans="1:7">
      <c r="A90" s="3">
        <v>20</v>
      </c>
      <c r="B90" s="3">
        <v>10</v>
      </c>
      <c r="C90" s="3">
        <v>24</v>
      </c>
      <c r="D90" s="3">
        <v>6</v>
      </c>
      <c r="E90" s="3">
        <v>-349.766</v>
      </c>
      <c r="F90" s="4" t="str">
        <f>HYPERLINK("http://141.218.60.56/~jnz1568/getInfo.php?workbook=20_10.xlsx&amp;sheet=A0&amp;row=90&amp;col=6&amp;number=20040000&amp;sourceID=14","20040000")</f>
        <v>20040000</v>
      </c>
      <c r="G90" s="4" t="str">
        <f>HYPERLINK("http://141.218.60.56/~jnz1568/getInfo.php?workbook=20_10.xlsx&amp;sheet=A0&amp;row=90&amp;col=7&amp;number=0&amp;sourceID=14","0")</f>
        <v>0</v>
      </c>
    </row>
    <row r="91" spans="1:7">
      <c r="A91" s="3">
        <v>20</v>
      </c>
      <c r="B91" s="3">
        <v>10</v>
      </c>
      <c r="C91" s="3">
        <v>24</v>
      </c>
      <c r="D91" s="3">
        <v>7</v>
      </c>
      <c r="E91" s="3">
        <v>360.881</v>
      </c>
      <c r="F91" s="4" t="str">
        <f>HYPERLINK("http://141.218.60.56/~jnz1568/getInfo.php?workbook=20_10.xlsx&amp;sheet=A0&amp;row=91&amp;col=6&amp;number=158900000&amp;sourceID=14","158900000")</f>
        <v>158900000</v>
      </c>
      <c r="G91" s="4" t="str">
        <f>HYPERLINK("http://141.218.60.56/~jnz1568/getInfo.php?workbook=20_10.xlsx&amp;sheet=A0&amp;row=91&amp;col=7&amp;number=0&amp;sourceID=14","0")</f>
        <v>0</v>
      </c>
    </row>
    <row r="92" spans="1:7">
      <c r="A92" s="3">
        <v>20</v>
      </c>
      <c r="B92" s="3">
        <v>10</v>
      </c>
      <c r="C92" s="3">
        <v>24</v>
      </c>
      <c r="D92" s="3">
        <v>8</v>
      </c>
      <c r="E92" s="3">
        <v>361.664</v>
      </c>
      <c r="F92" s="4" t="str">
        <f>HYPERLINK("http://141.218.60.56/~jnz1568/getInfo.php?workbook=20_10.xlsx&amp;sheet=A0&amp;row=92&amp;col=6&amp;number=10100000&amp;sourceID=14","10100000")</f>
        <v>10100000</v>
      </c>
      <c r="G92" s="4" t="str">
        <f>HYPERLINK("http://141.218.60.56/~jnz1568/getInfo.php?workbook=20_10.xlsx&amp;sheet=A0&amp;row=92&amp;col=7&amp;number=0&amp;sourceID=14","0")</f>
        <v>0</v>
      </c>
    </row>
    <row r="93" spans="1:7">
      <c r="A93" s="3">
        <v>20</v>
      </c>
      <c r="B93" s="3">
        <v>10</v>
      </c>
      <c r="C93" s="3">
        <v>24</v>
      </c>
      <c r="D93" s="3">
        <v>9</v>
      </c>
      <c r="E93" s="3">
        <v>382.556</v>
      </c>
      <c r="F93" s="4" t="str">
        <f>HYPERLINK("http://141.218.60.56/~jnz1568/getInfo.php?workbook=20_10.xlsx&amp;sheet=A0&amp;row=93&amp;col=6&amp;number=39860000&amp;sourceID=14","39860000")</f>
        <v>39860000</v>
      </c>
      <c r="G93" s="4" t="str">
        <f>HYPERLINK("http://141.218.60.56/~jnz1568/getInfo.php?workbook=20_10.xlsx&amp;sheet=A0&amp;row=93&amp;col=7&amp;number=0&amp;sourceID=14","0")</f>
        <v>0</v>
      </c>
    </row>
    <row r="94" spans="1:7">
      <c r="A94" s="3">
        <v>20</v>
      </c>
      <c r="B94" s="3">
        <v>10</v>
      </c>
      <c r="C94" s="3">
        <v>24</v>
      </c>
      <c r="D94" s="3">
        <v>10</v>
      </c>
      <c r="E94" s="3">
        <v>372.579</v>
      </c>
      <c r="F94" s="4" t="str">
        <f>HYPERLINK("http://141.218.60.56/~jnz1568/getInfo.php?workbook=20_10.xlsx&amp;sheet=A0&amp;row=94&amp;col=6&amp;number=6048000&amp;sourceID=14","6048000")</f>
        <v>6048000</v>
      </c>
      <c r="G94" s="4" t="str">
        <f>HYPERLINK("http://141.218.60.56/~jnz1568/getInfo.php?workbook=20_10.xlsx&amp;sheet=A0&amp;row=94&amp;col=7&amp;number=0&amp;sourceID=14","0")</f>
        <v>0</v>
      </c>
    </row>
    <row r="95" spans="1:7">
      <c r="A95" s="3">
        <v>20</v>
      </c>
      <c r="B95" s="3">
        <v>10</v>
      </c>
      <c r="C95" s="3">
        <v>24</v>
      </c>
      <c r="D95" s="3">
        <v>11</v>
      </c>
      <c r="E95" s="3">
        <v>376.365</v>
      </c>
      <c r="F95" s="4" t="str">
        <f>HYPERLINK("http://141.218.60.56/~jnz1568/getInfo.php?workbook=20_10.xlsx&amp;sheet=A0&amp;row=95&amp;col=6&amp;number=6628000000&amp;sourceID=14","6628000000")</f>
        <v>6628000000</v>
      </c>
      <c r="G95" s="4" t="str">
        <f>HYPERLINK("http://141.218.60.56/~jnz1568/getInfo.php?workbook=20_10.xlsx&amp;sheet=A0&amp;row=95&amp;col=7&amp;number=0&amp;sourceID=14","0")</f>
        <v>0</v>
      </c>
    </row>
    <row r="96" spans="1:7">
      <c r="A96" s="3">
        <v>20</v>
      </c>
      <c r="B96" s="3">
        <v>10</v>
      </c>
      <c r="C96" s="3">
        <v>24</v>
      </c>
      <c r="D96" s="3">
        <v>13</v>
      </c>
      <c r="E96" s="3">
        <v>426.258</v>
      </c>
      <c r="F96" s="4" t="str">
        <f>HYPERLINK("http://141.218.60.56/~jnz1568/getInfo.php?workbook=20_10.xlsx&amp;sheet=A0&amp;row=96&amp;col=6&amp;number=1059000000&amp;sourceID=14","1059000000")</f>
        <v>1059000000</v>
      </c>
      <c r="G96" s="4" t="str">
        <f>HYPERLINK("http://141.218.60.56/~jnz1568/getInfo.php?workbook=20_10.xlsx&amp;sheet=A0&amp;row=96&amp;col=7&amp;number=0&amp;sourceID=14","0")</f>
        <v>0</v>
      </c>
    </row>
    <row r="97" spans="1:7">
      <c r="A97" s="3">
        <v>20</v>
      </c>
      <c r="B97" s="3">
        <v>10</v>
      </c>
      <c r="C97" s="3">
        <v>24</v>
      </c>
      <c r="D97" s="3">
        <v>14</v>
      </c>
      <c r="E97" s="3">
        <v>426.077</v>
      </c>
      <c r="F97" s="4" t="str">
        <f>HYPERLINK("http://141.218.60.56/~jnz1568/getInfo.php?workbook=20_10.xlsx&amp;sheet=A0&amp;row=97&amp;col=6&amp;number=862000&amp;sourceID=14","862000")</f>
        <v>862000</v>
      </c>
      <c r="G97" s="4" t="str">
        <f>HYPERLINK("http://141.218.60.56/~jnz1568/getInfo.php?workbook=20_10.xlsx&amp;sheet=A0&amp;row=97&amp;col=7&amp;number=0&amp;sourceID=14","0")</f>
        <v>0</v>
      </c>
    </row>
    <row r="98" spans="1:7">
      <c r="A98" s="3">
        <v>20</v>
      </c>
      <c r="B98" s="3">
        <v>10</v>
      </c>
      <c r="C98" s="3">
        <v>25</v>
      </c>
      <c r="D98" s="3">
        <v>6</v>
      </c>
      <c r="E98" s="3">
        <v>-346.015</v>
      </c>
      <c r="F98" s="4" t="str">
        <f>HYPERLINK("http://141.218.60.56/~jnz1568/getInfo.php?workbook=20_10.xlsx&amp;sheet=A0&amp;row=98&amp;col=6&amp;number=38820000&amp;sourceID=14","38820000")</f>
        <v>38820000</v>
      </c>
      <c r="G98" s="4" t="str">
        <f>HYPERLINK("http://141.218.60.56/~jnz1568/getInfo.php?workbook=20_10.xlsx&amp;sheet=A0&amp;row=98&amp;col=7&amp;number=0&amp;sourceID=14","0")</f>
        <v>0</v>
      </c>
    </row>
    <row r="99" spans="1:7">
      <c r="A99" s="3">
        <v>20</v>
      </c>
      <c r="B99" s="3">
        <v>10</v>
      </c>
      <c r="C99" s="3">
        <v>25</v>
      </c>
      <c r="D99" s="3">
        <v>7</v>
      </c>
      <c r="E99" s="3">
        <v>372.163</v>
      </c>
      <c r="F99" s="4" t="str">
        <f>HYPERLINK("http://141.218.60.56/~jnz1568/getInfo.php?workbook=20_10.xlsx&amp;sheet=A0&amp;row=99&amp;col=6&amp;number=410600000&amp;sourceID=14","410600000")</f>
        <v>410600000</v>
      </c>
      <c r="G99" s="4" t="str">
        <f>HYPERLINK("http://141.218.60.56/~jnz1568/getInfo.php?workbook=20_10.xlsx&amp;sheet=A0&amp;row=99&amp;col=7&amp;number=0&amp;sourceID=14","0")</f>
        <v>0</v>
      </c>
    </row>
    <row r="100" spans="1:7">
      <c r="A100" s="3">
        <v>20</v>
      </c>
      <c r="B100" s="3">
        <v>10</v>
      </c>
      <c r="C100" s="3">
        <v>25</v>
      </c>
      <c r="D100" s="3">
        <v>8</v>
      </c>
      <c r="E100" s="3">
        <v>372.996</v>
      </c>
      <c r="F100" s="4" t="str">
        <f>HYPERLINK("http://141.218.60.56/~jnz1568/getInfo.php?workbook=20_10.xlsx&amp;sheet=A0&amp;row=100&amp;col=6&amp;number=153800000&amp;sourceID=14","153800000")</f>
        <v>153800000</v>
      </c>
      <c r="G100" s="4" t="str">
        <f>HYPERLINK("http://141.218.60.56/~jnz1568/getInfo.php?workbook=20_10.xlsx&amp;sheet=A0&amp;row=100&amp;col=7&amp;number=0&amp;sourceID=14","0")</f>
        <v>0</v>
      </c>
    </row>
    <row r="101" spans="1:7">
      <c r="A101" s="3">
        <v>20</v>
      </c>
      <c r="B101" s="3">
        <v>10</v>
      </c>
      <c r="C101" s="3">
        <v>25</v>
      </c>
      <c r="D101" s="3">
        <v>9</v>
      </c>
      <c r="E101" s="3">
        <v>395.258</v>
      </c>
      <c r="F101" s="4" t="str">
        <f>HYPERLINK("http://141.218.60.56/~jnz1568/getInfo.php?workbook=20_10.xlsx&amp;sheet=A0&amp;row=101&amp;col=6&amp;number=802000000&amp;sourceID=14","802000000")</f>
        <v>802000000</v>
      </c>
      <c r="G101" s="4" t="str">
        <f>HYPERLINK("http://141.218.60.56/~jnz1568/getInfo.php?workbook=20_10.xlsx&amp;sheet=A0&amp;row=101&amp;col=7&amp;number=0&amp;sourceID=14","0")</f>
        <v>0</v>
      </c>
    </row>
    <row r="102" spans="1:7">
      <c r="A102" s="3">
        <v>20</v>
      </c>
      <c r="B102" s="3">
        <v>10</v>
      </c>
      <c r="C102" s="3">
        <v>25</v>
      </c>
      <c r="D102" s="3">
        <v>10</v>
      </c>
      <c r="E102" s="3">
        <v>384.616</v>
      </c>
      <c r="F102" s="4" t="str">
        <f>HYPERLINK("http://141.218.60.56/~jnz1568/getInfo.php?workbook=20_10.xlsx&amp;sheet=A0&amp;row=102&amp;col=6&amp;number=53720000&amp;sourceID=14","53720000")</f>
        <v>53720000</v>
      </c>
      <c r="G102" s="4" t="str">
        <f>HYPERLINK("http://141.218.60.56/~jnz1568/getInfo.php?workbook=20_10.xlsx&amp;sheet=A0&amp;row=102&amp;col=7&amp;number=0&amp;sourceID=14","0")</f>
        <v>0</v>
      </c>
    </row>
    <row r="103" spans="1:7">
      <c r="A103" s="3">
        <v>20</v>
      </c>
      <c r="B103" s="3">
        <v>10</v>
      </c>
      <c r="C103" s="3">
        <v>25</v>
      </c>
      <c r="D103" s="3">
        <v>11</v>
      </c>
      <c r="E103" s="3">
        <v>388.652</v>
      </c>
      <c r="F103" s="4" t="str">
        <f>HYPERLINK("http://141.218.60.56/~jnz1568/getInfo.php?workbook=20_10.xlsx&amp;sheet=A0&amp;row=103&amp;col=6&amp;number=100000000&amp;sourceID=14","100000000")</f>
        <v>100000000</v>
      </c>
      <c r="G103" s="4" t="str">
        <f>HYPERLINK("http://141.218.60.56/~jnz1568/getInfo.php?workbook=20_10.xlsx&amp;sheet=A0&amp;row=103&amp;col=7&amp;number=0&amp;sourceID=14","0")</f>
        <v>0</v>
      </c>
    </row>
    <row r="104" spans="1:7">
      <c r="A104" s="3">
        <v>20</v>
      </c>
      <c r="B104" s="3">
        <v>10</v>
      </c>
      <c r="C104" s="3">
        <v>25</v>
      </c>
      <c r="D104" s="3">
        <v>13</v>
      </c>
      <c r="E104" s="3">
        <v>442.087</v>
      </c>
      <c r="F104" s="4" t="str">
        <f>HYPERLINK("http://141.218.60.56/~jnz1568/getInfo.php?workbook=20_10.xlsx&amp;sheet=A0&amp;row=104&amp;col=6&amp;number=443400000&amp;sourceID=14","443400000")</f>
        <v>443400000</v>
      </c>
      <c r="G104" s="4" t="str">
        <f>HYPERLINK("http://141.218.60.56/~jnz1568/getInfo.php?workbook=20_10.xlsx&amp;sheet=A0&amp;row=104&amp;col=7&amp;number=0&amp;sourceID=14","0")</f>
        <v>0</v>
      </c>
    </row>
    <row r="105" spans="1:7">
      <c r="A105" s="3">
        <v>20</v>
      </c>
      <c r="B105" s="3">
        <v>10</v>
      </c>
      <c r="C105" s="3">
        <v>25</v>
      </c>
      <c r="D105" s="3">
        <v>14</v>
      </c>
      <c r="E105" s="3">
        <v>441.892</v>
      </c>
      <c r="F105" s="4" t="str">
        <f>HYPERLINK("http://141.218.60.56/~jnz1568/getInfo.php?workbook=20_10.xlsx&amp;sheet=A0&amp;row=105&amp;col=6&amp;number=5990000000&amp;sourceID=14","5990000000")</f>
        <v>5990000000</v>
      </c>
      <c r="G105" s="4" t="str">
        <f>HYPERLINK("http://141.218.60.56/~jnz1568/getInfo.php?workbook=20_10.xlsx&amp;sheet=A0&amp;row=105&amp;col=7&amp;number=0&amp;sourceID=14","0")</f>
        <v>0</v>
      </c>
    </row>
    <row r="106" spans="1:7">
      <c r="A106" s="3">
        <v>20</v>
      </c>
      <c r="B106" s="3">
        <v>10</v>
      </c>
      <c r="C106" s="3">
        <v>26</v>
      </c>
      <c r="D106" s="3">
        <v>7</v>
      </c>
      <c r="E106" s="3">
        <v>361.142</v>
      </c>
      <c r="F106" s="4" t="str">
        <f>HYPERLINK("http://141.218.60.56/~jnz1568/getInfo.php?workbook=20_10.xlsx&amp;sheet=A0&amp;row=106&amp;col=6&amp;number=2111000&amp;sourceID=14","2111000")</f>
        <v>2111000</v>
      </c>
      <c r="G106" s="4" t="str">
        <f>HYPERLINK("http://141.218.60.56/~jnz1568/getInfo.php?workbook=20_10.xlsx&amp;sheet=A0&amp;row=106&amp;col=7&amp;number=0&amp;sourceID=14","0")</f>
        <v>0</v>
      </c>
    </row>
    <row r="107" spans="1:7">
      <c r="A107" s="3">
        <v>20</v>
      </c>
      <c r="B107" s="3">
        <v>10</v>
      </c>
      <c r="C107" s="3">
        <v>26</v>
      </c>
      <c r="D107" s="3">
        <v>8</v>
      </c>
      <c r="E107" s="3">
        <v>361.926</v>
      </c>
      <c r="F107" s="4" t="str">
        <f>HYPERLINK("http://141.218.60.56/~jnz1568/getInfo.php?workbook=20_10.xlsx&amp;sheet=A0&amp;row=107&amp;col=6&amp;number=262900000&amp;sourceID=14","262900000")</f>
        <v>262900000</v>
      </c>
      <c r="G107" s="4" t="str">
        <f>HYPERLINK("http://141.218.60.56/~jnz1568/getInfo.php?workbook=20_10.xlsx&amp;sheet=A0&amp;row=107&amp;col=7&amp;number=0&amp;sourceID=14","0")</f>
        <v>0</v>
      </c>
    </row>
    <row r="108" spans="1:7">
      <c r="A108" s="3">
        <v>20</v>
      </c>
      <c r="B108" s="3">
        <v>10</v>
      </c>
      <c r="C108" s="3">
        <v>26</v>
      </c>
      <c r="D108" s="3">
        <v>9</v>
      </c>
      <c r="E108" s="3">
        <v>382.849</v>
      </c>
      <c r="F108" s="4" t="str">
        <f>HYPERLINK("http://141.218.60.56/~jnz1568/getInfo.php?workbook=20_10.xlsx&amp;sheet=A0&amp;row=108&amp;col=6&amp;number=31100000&amp;sourceID=14","31100000")</f>
        <v>31100000</v>
      </c>
      <c r="G108" s="4" t="str">
        <f>HYPERLINK("http://141.218.60.56/~jnz1568/getInfo.php?workbook=20_10.xlsx&amp;sheet=A0&amp;row=108&amp;col=7&amp;number=0&amp;sourceID=14","0")</f>
        <v>0</v>
      </c>
    </row>
    <row r="109" spans="1:7">
      <c r="A109" s="3">
        <v>20</v>
      </c>
      <c r="B109" s="3">
        <v>10</v>
      </c>
      <c r="C109" s="3">
        <v>26</v>
      </c>
      <c r="D109" s="3">
        <v>13</v>
      </c>
      <c r="E109" s="3">
        <v>426.622</v>
      </c>
      <c r="F109" s="4" t="str">
        <f>HYPERLINK("http://141.218.60.56/~jnz1568/getInfo.php?workbook=20_10.xlsx&amp;sheet=A0&amp;row=109&amp;col=6&amp;number=7279000000&amp;sourceID=14","7279000000")</f>
        <v>7279000000</v>
      </c>
      <c r="G109" s="4" t="str">
        <f>HYPERLINK("http://141.218.60.56/~jnz1568/getInfo.php?workbook=20_10.xlsx&amp;sheet=A0&amp;row=109&amp;col=7&amp;number=0&amp;sourceID=14","0")</f>
        <v>0</v>
      </c>
    </row>
    <row r="110" spans="1:7">
      <c r="A110" s="3">
        <v>20</v>
      </c>
      <c r="B110" s="3">
        <v>10</v>
      </c>
      <c r="C110" s="3">
        <v>27</v>
      </c>
      <c r="D110" s="3">
        <v>1</v>
      </c>
      <c r="E110" s="3">
        <v>30.448</v>
      </c>
      <c r="F110" s="4" t="str">
        <f>HYPERLINK("http://141.218.60.56/~jnz1568/getInfo.php?workbook=20_10.xlsx&amp;sheet=A0&amp;row=110&amp;col=6&amp;number=6430000000000&amp;sourceID=14","6430000000000")</f>
        <v>6430000000000</v>
      </c>
      <c r="G110" s="4" t="str">
        <f>HYPERLINK("http://141.218.60.56/~jnz1568/getInfo.php?workbook=20_10.xlsx&amp;sheet=A0&amp;row=110&amp;col=7&amp;number=0&amp;sourceID=14","0")</f>
        <v>0</v>
      </c>
    </row>
    <row r="111" spans="1:7">
      <c r="A111" s="3">
        <v>20</v>
      </c>
      <c r="B111" s="3">
        <v>10</v>
      </c>
      <c r="C111" s="3">
        <v>27</v>
      </c>
      <c r="D111" s="3">
        <v>6</v>
      </c>
      <c r="E111" s="3">
        <v>-306.082</v>
      </c>
      <c r="F111" s="4" t="str">
        <f>HYPERLINK("http://141.218.60.56/~jnz1568/getInfo.php?workbook=20_10.xlsx&amp;sheet=A0&amp;row=111&amp;col=6&amp;number=6413000&amp;sourceID=14","6413000")</f>
        <v>6413000</v>
      </c>
      <c r="G111" s="4" t="str">
        <f>HYPERLINK("http://141.218.60.56/~jnz1568/getInfo.php?workbook=20_10.xlsx&amp;sheet=A0&amp;row=111&amp;col=7&amp;number=0&amp;sourceID=14","0")</f>
        <v>0</v>
      </c>
    </row>
    <row r="112" spans="1:7">
      <c r="A112" s="3">
        <v>20</v>
      </c>
      <c r="B112" s="3">
        <v>10</v>
      </c>
      <c r="C112" s="3">
        <v>27</v>
      </c>
      <c r="D112" s="3">
        <v>7</v>
      </c>
      <c r="E112" s="3">
        <v>322.373</v>
      </c>
      <c r="F112" s="4" t="str">
        <f>HYPERLINK("http://141.218.60.56/~jnz1568/getInfo.php?workbook=20_10.xlsx&amp;sheet=A0&amp;row=112&amp;col=6&amp;number=152600&amp;sourceID=14","152600")</f>
        <v>152600</v>
      </c>
      <c r="G112" s="4" t="str">
        <f>HYPERLINK("http://141.218.60.56/~jnz1568/getInfo.php?workbook=20_10.xlsx&amp;sheet=A0&amp;row=112&amp;col=7&amp;number=0&amp;sourceID=14","0")</f>
        <v>0</v>
      </c>
    </row>
    <row r="113" spans="1:7">
      <c r="A113" s="3">
        <v>20</v>
      </c>
      <c r="B113" s="3">
        <v>10</v>
      </c>
      <c r="C113" s="3">
        <v>27</v>
      </c>
      <c r="D113" s="3">
        <v>9</v>
      </c>
      <c r="E113" s="3">
        <v>339.559</v>
      </c>
      <c r="F113" s="4" t="str">
        <f>HYPERLINK("http://141.218.60.56/~jnz1568/getInfo.php?workbook=20_10.xlsx&amp;sheet=A0&amp;row=113&amp;col=6&amp;number=56800000&amp;sourceID=14","56800000")</f>
        <v>56800000</v>
      </c>
      <c r="G113" s="4" t="str">
        <f>HYPERLINK("http://141.218.60.56/~jnz1568/getInfo.php?workbook=20_10.xlsx&amp;sheet=A0&amp;row=113&amp;col=7&amp;number=0&amp;sourceID=14","0")</f>
        <v>0</v>
      </c>
    </row>
    <row r="114" spans="1:7">
      <c r="A114" s="3">
        <v>20</v>
      </c>
      <c r="B114" s="3">
        <v>10</v>
      </c>
      <c r="C114" s="3">
        <v>27</v>
      </c>
      <c r="D114" s="3">
        <v>10</v>
      </c>
      <c r="E114" s="3">
        <v>331.676</v>
      </c>
      <c r="F114" s="4" t="str">
        <f>HYPERLINK("http://141.218.60.56/~jnz1568/getInfo.php?workbook=20_10.xlsx&amp;sheet=A0&amp;row=114&amp;col=6&amp;number=761300000&amp;sourceID=14","761300000")</f>
        <v>761300000</v>
      </c>
      <c r="G114" s="4" t="str">
        <f>HYPERLINK("http://141.218.60.56/~jnz1568/getInfo.php?workbook=20_10.xlsx&amp;sheet=A0&amp;row=114&amp;col=7&amp;number=0&amp;sourceID=14","0")</f>
        <v>0</v>
      </c>
    </row>
    <row r="115" spans="1:7">
      <c r="A115" s="3">
        <v>20</v>
      </c>
      <c r="B115" s="3">
        <v>10</v>
      </c>
      <c r="C115" s="3">
        <v>27</v>
      </c>
      <c r="D115" s="3">
        <v>11</v>
      </c>
      <c r="E115" s="3">
        <v>334.673</v>
      </c>
      <c r="F115" s="4" t="str">
        <f>HYPERLINK("http://141.218.60.56/~jnz1568/getInfo.php?workbook=20_10.xlsx&amp;sheet=A0&amp;row=115&amp;col=6&amp;number=2962000000&amp;sourceID=14","2962000000")</f>
        <v>2962000000</v>
      </c>
      <c r="G115" s="4" t="str">
        <f>HYPERLINK("http://141.218.60.56/~jnz1568/getInfo.php?workbook=20_10.xlsx&amp;sheet=A0&amp;row=115&amp;col=7&amp;number=0&amp;sourceID=14","0")</f>
        <v>0</v>
      </c>
    </row>
    <row r="116" spans="1:7">
      <c r="A116" s="3">
        <v>20</v>
      </c>
      <c r="B116" s="3">
        <v>10</v>
      </c>
      <c r="C116" s="3">
        <v>27</v>
      </c>
      <c r="D116" s="3">
        <v>12</v>
      </c>
      <c r="E116" s="3">
        <v>-360.3</v>
      </c>
      <c r="F116" s="4" t="str">
        <f>HYPERLINK("http://141.218.60.56/~jnz1568/getInfo.php?workbook=20_10.xlsx&amp;sheet=A0&amp;row=116&amp;col=6&amp;number=243100000&amp;sourceID=14","243100000")</f>
        <v>243100000</v>
      </c>
      <c r="G116" s="4" t="str">
        <f>HYPERLINK("http://141.218.60.56/~jnz1568/getInfo.php?workbook=20_10.xlsx&amp;sheet=A0&amp;row=116&amp;col=7&amp;number=0&amp;sourceID=14","0")</f>
        <v>0</v>
      </c>
    </row>
    <row r="117" spans="1:7">
      <c r="A117" s="3">
        <v>20</v>
      </c>
      <c r="B117" s="3">
        <v>10</v>
      </c>
      <c r="C117" s="3">
        <v>27</v>
      </c>
      <c r="D117" s="3">
        <v>13</v>
      </c>
      <c r="E117" s="3">
        <v>373.553</v>
      </c>
      <c r="F117" s="4" t="str">
        <f>HYPERLINK("http://141.218.60.56/~jnz1568/getInfo.php?workbook=20_10.xlsx&amp;sheet=A0&amp;row=117&amp;col=6&amp;number=108600000&amp;sourceID=14","108600000")</f>
        <v>108600000</v>
      </c>
      <c r="G117" s="4" t="str">
        <f>HYPERLINK("http://141.218.60.56/~jnz1568/getInfo.php?workbook=20_10.xlsx&amp;sheet=A0&amp;row=117&amp;col=7&amp;number=0&amp;sourceID=14","0")</f>
        <v>0</v>
      </c>
    </row>
    <row r="118" spans="1:7">
      <c r="A118" s="3">
        <v>20</v>
      </c>
      <c r="B118" s="3">
        <v>10</v>
      </c>
      <c r="C118" s="3">
        <v>27</v>
      </c>
      <c r="D118" s="3">
        <v>14</v>
      </c>
      <c r="E118" s="3">
        <v>373.414</v>
      </c>
      <c r="F118" s="4" t="str">
        <f>HYPERLINK("http://141.218.60.56/~jnz1568/getInfo.php?workbook=20_10.xlsx&amp;sheet=A0&amp;row=118&amp;col=6&amp;number=1998000000&amp;sourceID=14","1998000000")</f>
        <v>1998000000</v>
      </c>
      <c r="G118" s="4" t="str">
        <f>HYPERLINK("http://141.218.60.56/~jnz1568/getInfo.php?workbook=20_10.xlsx&amp;sheet=A0&amp;row=118&amp;col=7&amp;number=0&amp;sourceID=14","0")</f>
        <v>0</v>
      </c>
    </row>
    <row r="119" spans="1:7">
      <c r="A119" s="3">
        <v>20</v>
      </c>
      <c r="B119" s="3">
        <v>10</v>
      </c>
      <c r="C119" s="3">
        <v>27</v>
      </c>
      <c r="D119" s="3">
        <v>15</v>
      </c>
      <c r="E119" s="3">
        <v>-545.96</v>
      </c>
      <c r="F119" s="4" t="str">
        <f>HYPERLINK("http://141.218.60.56/~jnz1568/getInfo.php?workbook=20_10.xlsx&amp;sheet=A0&amp;row=119&amp;col=6&amp;number=1983000000&amp;sourceID=14","1983000000")</f>
        <v>1983000000</v>
      </c>
      <c r="G119" s="4" t="str">
        <f>HYPERLINK("http://141.218.60.56/~jnz1568/getInfo.php?workbook=20_10.xlsx&amp;sheet=A0&amp;row=119&amp;col=7&amp;number=0&amp;sourceID=14","0")</f>
        <v>0</v>
      </c>
    </row>
    <row r="120" spans="1:7">
      <c r="A120" s="3">
        <v>20</v>
      </c>
      <c r="B120" s="3">
        <v>10</v>
      </c>
      <c r="C120" s="3">
        <v>28</v>
      </c>
      <c r="D120" s="3">
        <v>2</v>
      </c>
      <c r="E120" s="3">
        <v>-135.465</v>
      </c>
      <c r="F120" s="4" t="str">
        <f>HYPERLINK("http://141.218.60.56/~jnz1568/getInfo.php?workbook=20_10.xlsx&amp;sheet=A0&amp;row=120&amp;col=6&amp;number=56690000000&amp;sourceID=14","56690000000")</f>
        <v>56690000000</v>
      </c>
      <c r="G120" s="4" t="str">
        <f>HYPERLINK("http://141.218.60.56/~jnz1568/getInfo.php?workbook=20_10.xlsx&amp;sheet=A0&amp;row=120&amp;col=7&amp;number=0&amp;sourceID=14","0")</f>
        <v>0</v>
      </c>
    </row>
    <row r="121" spans="1:7">
      <c r="A121" s="3">
        <v>20</v>
      </c>
      <c r="B121" s="3">
        <v>10</v>
      </c>
      <c r="C121" s="3">
        <v>28</v>
      </c>
      <c r="D121" s="3">
        <v>3</v>
      </c>
      <c r="E121" s="3">
        <v>-136.967</v>
      </c>
      <c r="F121" s="4" t="str">
        <f>HYPERLINK("http://141.218.60.56/~jnz1568/getInfo.php?workbook=20_10.xlsx&amp;sheet=A0&amp;row=121&amp;col=6&amp;number=20840000000&amp;sourceID=14","20840000000")</f>
        <v>20840000000</v>
      </c>
      <c r="G121" s="4" t="str">
        <f>HYPERLINK("http://141.218.60.56/~jnz1568/getInfo.php?workbook=20_10.xlsx&amp;sheet=A0&amp;row=121&amp;col=7&amp;number=0&amp;sourceID=14","0")</f>
        <v>0</v>
      </c>
    </row>
    <row r="122" spans="1:7">
      <c r="A122" s="3">
        <v>20</v>
      </c>
      <c r="B122" s="3">
        <v>10</v>
      </c>
      <c r="C122" s="3">
        <v>28</v>
      </c>
      <c r="D122" s="3">
        <v>4</v>
      </c>
      <c r="E122" s="3">
        <v>-141.163</v>
      </c>
      <c r="F122" s="4" t="str">
        <f>HYPERLINK("http://141.218.60.56/~jnz1568/getInfo.php?workbook=20_10.xlsx&amp;sheet=A0&amp;row=122&amp;col=6&amp;number=10120000000&amp;sourceID=14","10120000000")</f>
        <v>10120000000</v>
      </c>
      <c r="G122" s="4" t="str">
        <f>HYPERLINK("http://141.218.60.56/~jnz1568/getInfo.php?workbook=20_10.xlsx&amp;sheet=A0&amp;row=122&amp;col=7&amp;number=0&amp;sourceID=14","0")</f>
        <v>0</v>
      </c>
    </row>
    <row r="123" spans="1:7">
      <c r="A123" s="3">
        <v>20</v>
      </c>
      <c r="B123" s="3">
        <v>10</v>
      </c>
      <c r="C123" s="3">
        <v>28</v>
      </c>
      <c r="D123" s="3">
        <v>5</v>
      </c>
      <c r="E123" s="3">
        <v>-142.551</v>
      </c>
      <c r="F123" s="4" t="str">
        <f>HYPERLINK("http://141.218.60.56/~jnz1568/getInfo.php?workbook=20_10.xlsx&amp;sheet=A0&amp;row=123&amp;col=6&amp;number=10720000000&amp;sourceID=14","10720000000")</f>
        <v>10720000000</v>
      </c>
      <c r="G123" s="4" t="str">
        <f>HYPERLINK("http://141.218.60.56/~jnz1568/getInfo.php?workbook=20_10.xlsx&amp;sheet=A0&amp;row=123&amp;col=7&amp;number=0&amp;sourceID=14","0")</f>
        <v>0</v>
      </c>
    </row>
    <row r="124" spans="1:7">
      <c r="A124" s="3">
        <v>20</v>
      </c>
      <c r="B124" s="3">
        <v>10</v>
      </c>
      <c r="C124" s="3">
        <v>28</v>
      </c>
      <c r="D124" s="3">
        <v>18</v>
      </c>
      <c r="E124" s="3">
        <v>-300.479</v>
      </c>
      <c r="F124" s="4" t="str">
        <f>HYPERLINK("http://141.218.60.56/~jnz1568/getInfo.php?workbook=20_10.xlsx&amp;sheet=A0&amp;row=124&amp;col=6&amp;number=15330000&amp;sourceID=14","15330000")</f>
        <v>15330000</v>
      </c>
      <c r="G124" s="4" t="str">
        <f>HYPERLINK("http://141.218.60.56/~jnz1568/getInfo.php?workbook=20_10.xlsx&amp;sheet=A0&amp;row=124&amp;col=7&amp;number=0&amp;sourceID=14","0")</f>
        <v>0</v>
      </c>
    </row>
    <row r="125" spans="1:7">
      <c r="A125" s="3">
        <v>20</v>
      </c>
      <c r="B125" s="3">
        <v>10</v>
      </c>
      <c r="C125" s="3">
        <v>29</v>
      </c>
      <c r="D125" s="3">
        <v>3</v>
      </c>
      <c r="E125" s="3">
        <v>-131.192</v>
      </c>
      <c r="F125" s="4" t="str">
        <f>HYPERLINK("http://141.218.60.56/~jnz1568/getInfo.php?workbook=20_10.xlsx&amp;sheet=A0&amp;row=125&amp;col=6&amp;number=25470000000&amp;sourceID=14","25470000000")</f>
        <v>25470000000</v>
      </c>
      <c r="G125" s="4" t="str">
        <f>HYPERLINK("http://141.218.60.56/~jnz1568/getInfo.php?workbook=20_10.xlsx&amp;sheet=A0&amp;row=125&amp;col=7&amp;number=0&amp;sourceID=14","0")</f>
        <v>0</v>
      </c>
    </row>
    <row r="126" spans="1:7">
      <c r="A126" s="3">
        <v>20</v>
      </c>
      <c r="B126" s="3">
        <v>10</v>
      </c>
      <c r="C126" s="3">
        <v>29</v>
      </c>
      <c r="D126" s="3">
        <v>5</v>
      </c>
      <c r="E126" s="3">
        <v>-136.306</v>
      </c>
      <c r="F126" s="4" t="str">
        <f>HYPERLINK("http://141.218.60.56/~jnz1568/getInfo.php?workbook=20_10.xlsx&amp;sheet=A0&amp;row=126&amp;col=6&amp;number=39240000000&amp;sourceID=14","39240000000")</f>
        <v>39240000000</v>
      </c>
      <c r="G126" s="4" t="str">
        <f>HYPERLINK("http://141.218.60.56/~jnz1568/getInfo.php?workbook=20_10.xlsx&amp;sheet=A0&amp;row=126&amp;col=7&amp;number=0&amp;sourceID=14","0")</f>
        <v>0</v>
      </c>
    </row>
    <row r="127" spans="1:7">
      <c r="A127" s="3">
        <v>20</v>
      </c>
      <c r="B127" s="3">
        <v>10</v>
      </c>
      <c r="C127" s="3">
        <v>29</v>
      </c>
      <c r="D127" s="3">
        <v>23</v>
      </c>
      <c r="E127" s="3">
        <v>-299.633</v>
      </c>
      <c r="F127" s="4" t="str">
        <f>HYPERLINK("http://141.218.60.56/~jnz1568/getInfo.php?workbook=20_10.xlsx&amp;sheet=A0&amp;row=127&amp;col=6&amp;number=59380000&amp;sourceID=14","59380000")</f>
        <v>59380000</v>
      </c>
      <c r="G127" s="4" t="str">
        <f>HYPERLINK("http://141.218.60.56/~jnz1568/getInfo.php?workbook=20_10.xlsx&amp;sheet=A0&amp;row=127&amp;col=7&amp;number=0&amp;sourceID=14","0")</f>
        <v>0</v>
      </c>
    </row>
    <row r="128" spans="1:7">
      <c r="A128" s="3">
        <v>20</v>
      </c>
      <c r="B128" s="3">
        <v>10</v>
      </c>
      <c r="C128" s="3">
        <v>29</v>
      </c>
      <c r="D128" s="3">
        <v>27</v>
      </c>
      <c r="E128" s="3">
        <v>-348.749</v>
      </c>
      <c r="F128" s="4" t="str">
        <f>HYPERLINK("http://141.218.60.56/~jnz1568/getInfo.php?workbook=20_10.xlsx&amp;sheet=A0&amp;row=128&amp;col=6&amp;number=520900000&amp;sourceID=14","520900000")</f>
        <v>520900000</v>
      </c>
      <c r="G128" s="4" t="str">
        <f>HYPERLINK("http://141.218.60.56/~jnz1568/getInfo.php?workbook=20_10.xlsx&amp;sheet=A0&amp;row=128&amp;col=7&amp;number=0&amp;sourceID=14","0")</f>
        <v>0</v>
      </c>
    </row>
    <row r="129" spans="1:7">
      <c r="A129" s="3">
        <v>20</v>
      </c>
      <c r="B129" s="3">
        <v>10</v>
      </c>
      <c r="C129" s="3">
        <v>30</v>
      </c>
      <c r="D129" s="3">
        <v>6</v>
      </c>
      <c r="E129" s="3">
        <v>-132.678</v>
      </c>
      <c r="F129" s="4" t="str">
        <f>HYPERLINK("http://141.218.60.56/~jnz1568/getInfo.php?workbook=20_10.xlsx&amp;sheet=A0&amp;row=129&amp;col=6&amp;number=19620000000&amp;sourceID=14","19620000000")</f>
        <v>19620000000</v>
      </c>
      <c r="G129" s="4" t="str">
        <f>HYPERLINK("http://141.218.60.56/~jnz1568/getInfo.php?workbook=20_10.xlsx&amp;sheet=A0&amp;row=129&amp;col=7&amp;number=0&amp;sourceID=14","0")</f>
        <v>0</v>
      </c>
    </row>
    <row r="130" spans="1:7">
      <c r="A130" s="3">
        <v>20</v>
      </c>
      <c r="B130" s="3">
        <v>10</v>
      </c>
      <c r="C130" s="3">
        <v>30</v>
      </c>
      <c r="D130" s="3">
        <v>10</v>
      </c>
      <c r="E130" s="3">
        <v>-137.754</v>
      </c>
      <c r="F130" s="4" t="str">
        <f>HYPERLINK("http://141.218.60.56/~jnz1568/getInfo.php?workbook=20_10.xlsx&amp;sheet=A0&amp;row=130&amp;col=6&amp;number=51340000000&amp;sourceID=14","51340000000")</f>
        <v>51340000000</v>
      </c>
      <c r="G130" s="4" t="str">
        <f>HYPERLINK("http://141.218.60.56/~jnz1568/getInfo.php?workbook=20_10.xlsx&amp;sheet=A0&amp;row=130&amp;col=7&amp;number=0&amp;sourceID=14","0")</f>
        <v>0</v>
      </c>
    </row>
    <row r="131" spans="1:7">
      <c r="A131" s="3">
        <v>20</v>
      </c>
      <c r="B131" s="3">
        <v>10</v>
      </c>
      <c r="C131" s="3">
        <v>30</v>
      </c>
      <c r="D131" s="3">
        <v>11</v>
      </c>
      <c r="E131" s="3">
        <v>-141.88</v>
      </c>
      <c r="F131" s="4" t="str">
        <f>HYPERLINK("http://141.218.60.56/~jnz1568/getInfo.php?workbook=20_10.xlsx&amp;sheet=A0&amp;row=131&amp;col=6&amp;number=19700000000&amp;sourceID=14","19700000000")</f>
        <v>19700000000</v>
      </c>
      <c r="G131" s="4" t="str">
        <f>HYPERLINK("http://141.218.60.56/~jnz1568/getInfo.php?workbook=20_10.xlsx&amp;sheet=A0&amp;row=131&amp;col=7&amp;number=0&amp;sourceID=14","0")</f>
        <v>0</v>
      </c>
    </row>
    <row r="132" spans="1:7">
      <c r="A132" s="3">
        <v>20</v>
      </c>
      <c r="B132" s="3">
        <v>10</v>
      </c>
      <c r="C132" s="3">
        <v>30</v>
      </c>
      <c r="D132" s="3">
        <v>14</v>
      </c>
      <c r="E132" s="3">
        <v>-143.632</v>
      </c>
      <c r="F132" s="4" t="str">
        <f>HYPERLINK("http://141.218.60.56/~jnz1568/getInfo.php?workbook=20_10.xlsx&amp;sheet=A0&amp;row=132&amp;col=6&amp;number=2954000000&amp;sourceID=14","2954000000")</f>
        <v>2954000000</v>
      </c>
      <c r="G132" s="4" t="str">
        <f>HYPERLINK("http://141.218.60.56/~jnz1568/getInfo.php?workbook=20_10.xlsx&amp;sheet=A0&amp;row=132&amp;col=7&amp;number=0&amp;sourceID=14","0")</f>
        <v>0</v>
      </c>
    </row>
    <row r="133" spans="1:7">
      <c r="A133" s="3">
        <v>20</v>
      </c>
      <c r="B133" s="3">
        <v>10</v>
      </c>
      <c r="C133" s="3">
        <v>30</v>
      </c>
      <c r="D133" s="3">
        <v>28</v>
      </c>
      <c r="E133" s="3">
        <v>-580.071</v>
      </c>
      <c r="F133" s="4" t="str">
        <f>HYPERLINK("http://141.218.60.56/~jnz1568/getInfo.php?workbook=20_10.xlsx&amp;sheet=A0&amp;row=133&amp;col=6&amp;number=3153000000&amp;sourceID=14","3153000000")</f>
        <v>3153000000</v>
      </c>
      <c r="G133" s="4" t="str">
        <f>HYPERLINK("http://141.218.60.56/~jnz1568/getInfo.php?workbook=20_10.xlsx&amp;sheet=A0&amp;row=133&amp;col=7&amp;number=0&amp;sourceID=14","0")</f>
        <v>0</v>
      </c>
    </row>
    <row r="134" spans="1:7">
      <c r="A134" s="3">
        <v>20</v>
      </c>
      <c r="B134" s="3">
        <v>10</v>
      </c>
      <c r="C134" s="3">
        <v>31</v>
      </c>
      <c r="D134" s="3">
        <v>1</v>
      </c>
      <c r="E134" s="3">
        <v>27.079</v>
      </c>
      <c r="F134" s="4" t="str">
        <f>HYPERLINK("http://141.218.60.56/~jnz1568/getInfo.php?workbook=20_10.xlsx&amp;sheet=A0&amp;row=134&amp;col=6&amp;number=32430000000&amp;sourceID=14","32430000000")</f>
        <v>32430000000</v>
      </c>
      <c r="G134" s="4" t="str">
        <f>HYPERLINK("http://141.218.60.56/~jnz1568/getInfo.php?workbook=20_10.xlsx&amp;sheet=A0&amp;row=134&amp;col=7&amp;number=0&amp;sourceID=14","0")</f>
        <v>0</v>
      </c>
    </row>
    <row r="135" spans="1:7">
      <c r="A135" s="3">
        <v>20</v>
      </c>
      <c r="B135" s="3">
        <v>10</v>
      </c>
      <c r="C135" s="3">
        <v>31</v>
      </c>
      <c r="D135" s="3">
        <v>6</v>
      </c>
      <c r="E135" s="3">
        <v>-132.449</v>
      </c>
      <c r="F135" s="4" t="str">
        <f>HYPERLINK("http://141.218.60.56/~jnz1568/getInfo.php?workbook=20_10.xlsx&amp;sheet=A0&amp;row=135&amp;col=6&amp;number=12450000000&amp;sourceID=14","12450000000")</f>
        <v>12450000000</v>
      </c>
      <c r="G135" s="4" t="str">
        <f>HYPERLINK("http://141.218.60.56/~jnz1568/getInfo.php?workbook=20_10.xlsx&amp;sheet=A0&amp;row=135&amp;col=7&amp;number=0&amp;sourceID=14","0")</f>
        <v>0</v>
      </c>
    </row>
    <row r="136" spans="1:7">
      <c r="A136" s="3">
        <v>20</v>
      </c>
      <c r="B136" s="3">
        <v>10</v>
      </c>
      <c r="C136" s="3">
        <v>31</v>
      </c>
      <c r="D136" s="3">
        <v>7</v>
      </c>
      <c r="E136" s="3">
        <v>139.121</v>
      </c>
      <c r="F136" s="4" t="str">
        <f>HYPERLINK("http://141.218.60.56/~jnz1568/getInfo.php?workbook=20_10.xlsx&amp;sheet=A0&amp;row=136&amp;col=6&amp;number=52370000000&amp;sourceID=14","52370000000")</f>
        <v>52370000000</v>
      </c>
      <c r="G136" s="4" t="str">
        <f>HYPERLINK("http://141.218.60.56/~jnz1568/getInfo.php?workbook=20_10.xlsx&amp;sheet=A0&amp;row=136&amp;col=7&amp;number=0&amp;sourceID=14","0")</f>
        <v>0</v>
      </c>
    </row>
    <row r="137" spans="1:7">
      <c r="A137" s="3">
        <v>20</v>
      </c>
      <c r="B137" s="3">
        <v>10</v>
      </c>
      <c r="C137" s="3">
        <v>31</v>
      </c>
      <c r="D137" s="3">
        <v>9</v>
      </c>
      <c r="E137" s="3">
        <v>142.228</v>
      </c>
      <c r="F137" s="4" t="str">
        <f>HYPERLINK("http://141.218.60.56/~jnz1568/getInfo.php?workbook=20_10.xlsx&amp;sheet=A0&amp;row=137&amp;col=6&amp;number=2740000000&amp;sourceID=14","2740000000")</f>
        <v>2740000000</v>
      </c>
      <c r="G137" s="4" t="str">
        <f>HYPERLINK("http://141.218.60.56/~jnz1568/getInfo.php?workbook=20_10.xlsx&amp;sheet=A0&amp;row=137&amp;col=7&amp;number=0&amp;sourceID=14","0")</f>
        <v>0</v>
      </c>
    </row>
    <row r="138" spans="1:7">
      <c r="A138" s="3">
        <v>20</v>
      </c>
      <c r="B138" s="3">
        <v>10</v>
      </c>
      <c r="C138" s="3">
        <v>31</v>
      </c>
      <c r="D138" s="3">
        <v>10</v>
      </c>
      <c r="E138" s="3">
        <v>140.826</v>
      </c>
      <c r="F138" s="4" t="str">
        <f>HYPERLINK("http://141.218.60.56/~jnz1568/getInfo.php?workbook=20_10.xlsx&amp;sheet=A0&amp;row=138&amp;col=6&amp;number=2692000000&amp;sourceID=14","2692000000")</f>
        <v>2692000000</v>
      </c>
      <c r="G138" s="4" t="str">
        <f>HYPERLINK("http://141.218.60.56/~jnz1568/getInfo.php?workbook=20_10.xlsx&amp;sheet=A0&amp;row=138&amp;col=7&amp;number=0&amp;sourceID=14","0")</f>
        <v>0</v>
      </c>
    </row>
    <row r="139" spans="1:7">
      <c r="A139" s="3">
        <v>20</v>
      </c>
      <c r="B139" s="3">
        <v>10</v>
      </c>
      <c r="C139" s="3">
        <v>31</v>
      </c>
      <c r="D139" s="3">
        <v>11</v>
      </c>
      <c r="E139" s="3">
        <v>141.363</v>
      </c>
      <c r="F139" s="4" t="str">
        <f>HYPERLINK("http://141.218.60.56/~jnz1568/getInfo.php?workbook=20_10.xlsx&amp;sheet=A0&amp;row=139&amp;col=6&amp;number=14470000000&amp;sourceID=14","14470000000")</f>
        <v>14470000000</v>
      </c>
      <c r="G139" s="4" t="str">
        <f>HYPERLINK("http://141.218.60.56/~jnz1568/getInfo.php?workbook=20_10.xlsx&amp;sheet=A0&amp;row=139&amp;col=7&amp;number=0&amp;sourceID=14","0")</f>
        <v>0</v>
      </c>
    </row>
    <row r="140" spans="1:7">
      <c r="A140" s="3">
        <v>20</v>
      </c>
      <c r="B140" s="3">
        <v>10</v>
      </c>
      <c r="C140" s="3">
        <v>31</v>
      </c>
      <c r="D140" s="3">
        <v>12</v>
      </c>
      <c r="E140" s="3">
        <v>-141.674</v>
      </c>
      <c r="F140" s="4" t="str">
        <f>HYPERLINK("http://141.218.60.56/~jnz1568/getInfo.php?workbook=20_10.xlsx&amp;sheet=A0&amp;row=140&amp;col=6&amp;number=4555000000&amp;sourceID=14","4555000000")</f>
        <v>4555000000</v>
      </c>
      <c r="G140" s="4" t="str">
        <f>HYPERLINK("http://141.218.60.56/~jnz1568/getInfo.php?workbook=20_10.xlsx&amp;sheet=A0&amp;row=140&amp;col=7&amp;number=0&amp;sourceID=14","0")</f>
        <v>0</v>
      </c>
    </row>
    <row r="141" spans="1:7">
      <c r="A141" s="3">
        <v>20</v>
      </c>
      <c r="B141" s="3">
        <v>10</v>
      </c>
      <c r="C141" s="3">
        <v>31</v>
      </c>
      <c r="D141" s="3">
        <v>13</v>
      </c>
      <c r="E141" s="3">
        <v>147.864</v>
      </c>
      <c r="F141" s="4" t="str">
        <f>HYPERLINK("http://141.218.60.56/~jnz1568/getInfo.php?workbook=20_10.xlsx&amp;sheet=A0&amp;row=141&amp;col=6&amp;number=2115000000&amp;sourceID=14","2115000000")</f>
        <v>2115000000</v>
      </c>
      <c r="G141" s="4" t="str">
        <f>HYPERLINK("http://141.218.60.56/~jnz1568/getInfo.php?workbook=20_10.xlsx&amp;sheet=A0&amp;row=141&amp;col=7&amp;number=0&amp;sourceID=14","0")</f>
        <v>0</v>
      </c>
    </row>
    <row r="142" spans="1:7">
      <c r="A142" s="3">
        <v>20</v>
      </c>
      <c r="B142" s="3">
        <v>10</v>
      </c>
      <c r="C142" s="3">
        <v>31</v>
      </c>
      <c r="D142" s="3">
        <v>14</v>
      </c>
      <c r="E142" s="3">
        <v>147.842</v>
      </c>
      <c r="F142" s="4" t="str">
        <f>HYPERLINK("http://141.218.60.56/~jnz1568/getInfo.php?workbook=20_10.xlsx&amp;sheet=A0&amp;row=142&amp;col=6&amp;number=1187000000&amp;sourceID=14","1187000000")</f>
        <v>1187000000</v>
      </c>
      <c r="G142" s="4" t="str">
        <f>HYPERLINK("http://141.218.60.56/~jnz1568/getInfo.php?workbook=20_10.xlsx&amp;sheet=A0&amp;row=142&amp;col=7&amp;number=0&amp;sourceID=14","0")</f>
        <v>0</v>
      </c>
    </row>
    <row r="143" spans="1:7">
      <c r="A143" s="3">
        <v>20</v>
      </c>
      <c r="B143" s="3">
        <v>10</v>
      </c>
      <c r="C143" s="3">
        <v>31</v>
      </c>
      <c r="D143" s="3">
        <v>15</v>
      </c>
      <c r="E143" s="3">
        <v>-163.542</v>
      </c>
      <c r="F143" s="4" t="str">
        <f>HYPERLINK("http://141.218.60.56/~jnz1568/getInfo.php?workbook=20_10.xlsx&amp;sheet=A0&amp;row=143&amp;col=6&amp;number=950900000&amp;sourceID=14","950900000")</f>
        <v>950900000</v>
      </c>
      <c r="G143" s="4" t="str">
        <f>HYPERLINK("http://141.218.60.56/~jnz1568/getInfo.php?workbook=20_10.xlsx&amp;sheet=A0&amp;row=143&amp;col=7&amp;number=0&amp;sourceID=14","0")</f>
        <v>0</v>
      </c>
    </row>
    <row r="144" spans="1:7">
      <c r="A144" s="3">
        <v>20</v>
      </c>
      <c r="B144" s="3">
        <v>10</v>
      </c>
      <c r="C144" s="3">
        <v>31</v>
      </c>
      <c r="D144" s="3">
        <v>28</v>
      </c>
      <c r="E144" s="3">
        <v>-575.703</v>
      </c>
      <c r="F144" s="4" t="str">
        <f>HYPERLINK("http://141.218.60.56/~jnz1568/getInfo.php?workbook=20_10.xlsx&amp;sheet=A0&amp;row=144&amp;col=6&amp;number=3077000000&amp;sourceID=14","3077000000")</f>
        <v>3077000000</v>
      </c>
      <c r="G144" s="4" t="str">
        <f>HYPERLINK("http://141.218.60.56/~jnz1568/getInfo.php?workbook=20_10.xlsx&amp;sheet=A0&amp;row=144&amp;col=7&amp;number=0&amp;sourceID=14","0")</f>
        <v>0</v>
      </c>
    </row>
    <row r="145" spans="1:7">
      <c r="A145" s="3">
        <v>20</v>
      </c>
      <c r="B145" s="3">
        <v>10</v>
      </c>
      <c r="C145" s="3">
        <v>31</v>
      </c>
      <c r="D145" s="3">
        <v>29</v>
      </c>
      <c r="E145" s="3">
        <v>-706.411</v>
      </c>
      <c r="F145" s="4" t="str">
        <f>HYPERLINK("http://141.218.60.56/~jnz1568/getInfo.php?workbook=20_10.xlsx&amp;sheet=A0&amp;row=145&amp;col=6&amp;number=33140000&amp;sourceID=14","33140000")</f>
        <v>33140000</v>
      </c>
      <c r="G145" s="4" t="str">
        <f>HYPERLINK("http://141.218.60.56/~jnz1568/getInfo.php?workbook=20_10.xlsx&amp;sheet=A0&amp;row=145&amp;col=7&amp;number=0&amp;sourceID=14","0")</f>
        <v>0</v>
      </c>
    </row>
    <row r="146" spans="1:7">
      <c r="A146" s="3">
        <v>20</v>
      </c>
      <c r="B146" s="3">
        <v>10</v>
      </c>
      <c r="C146" s="3">
        <v>32</v>
      </c>
      <c r="D146" s="3">
        <v>6</v>
      </c>
      <c r="E146" s="3">
        <v>-131.733</v>
      </c>
      <c r="F146" s="4" t="str">
        <f>HYPERLINK("http://141.218.60.56/~jnz1568/getInfo.php?workbook=20_10.xlsx&amp;sheet=A0&amp;row=146&amp;col=6&amp;number=9042000000&amp;sourceID=14","9042000000")</f>
        <v>9042000000</v>
      </c>
      <c r="G146" s="4" t="str">
        <f>HYPERLINK("http://141.218.60.56/~jnz1568/getInfo.php?workbook=20_10.xlsx&amp;sheet=A0&amp;row=146&amp;col=7&amp;number=0&amp;sourceID=14","0")</f>
        <v>0</v>
      </c>
    </row>
    <row r="147" spans="1:7">
      <c r="A147" s="3">
        <v>20</v>
      </c>
      <c r="B147" s="3">
        <v>10</v>
      </c>
      <c r="C147" s="3">
        <v>32</v>
      </c>
      <c r="D147" s="3">
        <v>7</v>
      </c>
      <c r="E147" s="3">
        <v>-135.299</v>
      </c>
      <c r="F147" s="4" t="str">
        <f>HYPERLINK("http://141.218.60.56/~jnz1568/getInfo.php?workbook=20_10.xlsx&amp;sheet=A0&amp;row=147&amp;col=6&amp;number=3798000000&amp;sourceID=14","3798000000")</f>
        <v>3798000000</v>
      </c>
      <c r="G147" s="4" t="str">
        <f>HYPERLINK("http://141.218.60.56/~jnz1568/getInfo.php?workbook=20_10.xlsx&amp;sheet=A0&amp;row=147&amp;col=7&amp;number=0&amp;sourceID=14","0")</f>
        <v>0</v>
      </c>
    </row>
    <row r="148" spans="1:7">
      <c r="A148" s="3">
        <v>20</v>
      </c>
      <c r="B148" s="3">
        <v>10</v>
      </c>
      <c r="C148" s="3">
        <v>32</v>
      </c>
      <c r="D148" s="3">
        <v>8</v>
      </c>
      <c r="E148" s="3">
        <v>-135.38</v>
      </c>
      <c r="F148" s="4" t="str">
        <f>HYPERLINK("http://141.218.60.56/~jnz1568/getInfo.php?workbook=20_10.xlsx&amp;sheet=A0&amp;row=148&amp;col=6&amp;number=66230000000&amp;sourceID=14","66230000000")</f>
        <v>66230000000</v>
      </c>
      <c r="G148" s="4" t="str">
        <f>HYPERLINK("http://141.218.60.56/~jnz1568/getInfo.php?workbook=20_10.xlsx&amp;sheet=A0&amp;row=148&amp;col=7&amp;number=0&amp;sourceID=14","0")</f>
        <v>0</v>
      </c>
    </row>
    <row r="149" spans="1:7">
      <c r="A149" s="3">
        <v>20</v>
      </c>
      <c r="B149" s="3">
        <v>10</v>
      </c>
      <c r="C149" s="3">
        <v>32</v>
      </c>
      <c r="D149" s="3">
        <v>9</v>
      </c>
      <c r="E149" s="3">
        <v>-137.814</v>
      </c>
      <c r="F149" s="4" t="str">
        <f>HYPERLINK("http://141.218.60.56/~jnz1568/getInfo.php?workbook=20_10.xlsx&amp;sheet=A0&amp;row=149&amp;col=6&amp;number=4827000000&amp;sourceID=14","4827000000")</f>
        <v>4827000000</v>
      </c>
      <c r="G149" s="4" t="str">
        <f>HYPERLINK("http://141.218.60.56/~jnz1568/getInfo.php?workbook=20_10.xlsx&amp;sheet=A0&amp;row=149&amp;col=7&amp;number=0&amp;sourceID=14","0")</f>
        <v>0</v>
      </c>
    </row>
    <row r="150" spans="1:7">
      <c r="A150" s="3">
        <v>20</v>
      </c>
      <c r="B150" s="3">
        <v>10</v>
      </c>
      <c r="C150" s="3">
        <v>32</v>
      </c>
      <c r="D150" s="3">
        <v>10</v>
      </c>
      <c r="E150" s="3">
        <v>-136.735</v>
      </c>
      <c r="F150" s="4" t="str">
        <f>HYPERLINK("http://141.218.60.56/~jnz1568/getInfo.php?workbook=20_10.xlsx&amp;sheet=A0&amp;row=150&amp;col=6&amp;number=218000000&amp;sourceID=14","218000000")</f>
        <v>218000000</v>
      </c>
      <c r="G150" s="4" t="str">
        <f>HYPERLINK("http://141.218.60.56/~jnz1568/getInfo.php?workbook=20_10.xlsx&amp;sheet=A0&amp;row=150&amp;col=7&amp;number=0&amp;sourceID=14","0")</f>
        <v>0</v>
      </c>
    </row>
    <row r="151" spans="1:7">
      <c r="A151" s="3">
        <v>20</v>
      </c>
      <c r="B151" s="3">
        <v>10</v>
      </c>
      <c r="C151" s="3">
        <v>32</v>
      </c>
      <c r="D151" s="3">
        <v>11</v>
      </c>
      <c r="E151" s="3">
        <v>-140.8</v>
      </c>
      <c r="F151" s="4" t="str">
        <f>HYPERLINK("http://141.218.60.56/~jnz1568/getInfo.php?workbook=20_10.xlsx&amp;sheet=A0&amp;row=151&amp;col=6&amp;number=1114000000&amp;sourceID=14","1114000000")</f>
        <v>1114000000</v>
      </c>
      <c r="G151" s="4" t="str">
        <f>HYPERLINK("http://141.218.60.56/~jnz1568/getInfo.php?workbook=20_10.xlsx&amp;sheet=A0&amp;row=151&amp;col=7&amp;number=0&amp;sourceID=14","0")</f>
        <v>0</v>
      </c>
    </row>
    <row r="152" spans="1:7">
      <c r="A152" s="3">
        <v>20</v>
      </c>
      <c r="B152" s="3">
        <v>10</v>
      </c>
      <c r="C152" s="3">
        <v>32</v>
      </c>
      <c r="D152" s="3">
        <v>13</v>
      </c>
      <c r="E152" s="3">
        <v>-142.525</v>
      </c>
      <c r="F152" s="4" t="str">
        <f>HYPERLINK("http://141.218.60.56/~jnz1568/getInfo.php?workbook=20_10.xlsx&amp;sheet=A0&amp;row=152&amp;col=6&amp;number=10660000000&amp;sourceID=14","10660000000")</f>
        <v>10660000000</v>
      </c>
      <c r="G152" s="4" t="str">
        <f>HYPERLINK("http://141.218.60.56/~jnz1568/getInfo.php?workbook=20_10.xlsx&amp;sheet=A0&amp;row=152&amp;col=7&amp;number=0&amp;sourceID=14","0")</f>
        <v>0</v>
      </c>
    </row>
    <row r="153" spans="1:7">
      <c r="A153" s="3">
        <v>20</v>
      </c>
      <c r="B153" s="3">
        <v>10</v>
      </c>
      <c r="C153" s="3">
        <v>32</v>
      </c>
      <c r="D153" s="3">
        <v>14</v>
      </c>
      <c r="E153" s="3">
        <v>-142.525</v>
      </c>
      <c r="F153" s="4" t="str">
        <f>HYPERLINK("http://141.218.60.56/~jnz1568/getInfo.php?workbook=20_10.xlsx&amp;sheet=A0&amp;row=153&amp;col=6&amp;number=4732000000&amp;sourceID=14","4732000000")</f>
        <v>4732000000</v>
      </c>
      <c r="G153" s="4" t="str">
        <f>HYPERLINK("http://141.218.60.56/~jnz1568/getInfo.php?workbook=20_10.xlsx&amp;sheet=A0&amp;row=153&amp;col=7&amp;number=0&amp;sourceID=14","0")</f>
        <v>0</v>
      </c>
    </row>
    <row r="154" spans="1:7">
      <c r="A154" s="3">
        <v>20</v>
      </c>
      <c r="B154" s="3">
        <v>10</v>
      </c>
      <c r="C154" s="3">
        <v>32</v>
      </c>
      <c r="D154" s="3">
        <v>28</v>
      </c>
      <c r="E154" s="3">
        <v>-562.428</v>
      </c>
      <c r="F154" s="4" t="str">
        <f>HYPERLINK("http://141.218.60.56/~jnz1568/getInfo.php?workbook=20_10.xlsx&amp;sheet=A0&amp;row=154&amp;col=6&amp;number=3215000000&amp;sourceID=14","3215000000")</f>
        <v>3215000000</v>
      </c>
      <c r="G154" s="4" t="str">
        <f>HYPERLINK("http://141.218.60.56/~jnz1568/getInfo.php?workbook=20_10.xlsx&amp;sheet=A0&amp;row=154&amp;col=7&amp;number=0&amp;sourceID=14","0")</f>
        <v>0</v>
      </c>
    </row>
    <row r="155" spans="1:7">
      <c r="A155" s="3">
        <v>20</v>
      </c>
      <c r="B155" s="3">
        <v>10</v>
      </c>
      <c r="C155" s="3">
        <v>33</v>
      </c>
      <c r="D155" s="3">
        <v>1</v>
      </c>
      <c r="E155" s="3">
        <v>26.962</v>
      </c>
      <c r="F155" s="4" t="str">
        <f>HYPERLINK("http://141.218.60.56/~jnz1568/getInfo.php?workbook=20_10.xlsx&amp;sheet=A0&amp;row=155&amp;col=6&amp;number=947000000000&amp;sourceID=14","947000000000")</f>
        <v>947000000000</v>
      </c>
      <c r="G155" s="4" t="str">
        <f>HYPERLINK("http://141.218.60.56/~jnz1568/getInfo.php?workbook=20_10.xlsx&amp;sheet=A0&amp;row=155&amp;col=7&amp;number=0&amp;sourceID=14","0")</f>
        <v>0</v>
      </c>
    </row>
    <row r="156" spans="1:7">
      <c r="A156" s="3">
        <v>20</v>
      </c>
      <c r="B156" s="3">
        <v>10</v>
      </c>
      <c r="C156" s="3">
        <v>33</v>
      </c>
      <c r="D156" s="3">
        <v>6</v>
      </c>
      <c r="E156" s="3">
        <v>-130.089</v>
      </c>
      <c r="F156" s="4" t="str">
        <f>HYPERLINK("http://141.218.60.56/~jnz1568/getInfo.php?workbook=20_10.xlsx&amp;sheet=A0&amp;row=156&amp;col=6&amp;number=1113000000&amp;sourceID=14","1113000000")</f>
        <v>1113000000</v>
      </c>
      <c r="G156" s="4" t="str">
        <f>HYPERLINK("http://141.218.60.56/~jnz1568/getInfo.php?workbook=20_10.xlsx&amp;sheet=A0&amp;row=156&amp;col=7&amp;number=0&amp;sourceID=14","0")</f>
        <v>0</v>
      </c>
    </row>
    <row r="157" spans="1:7">
      <c r="A157" s="3">
        <v>20</v>
      </c>
      <c r="B157" s="3">
        <v>10</v>
      </c>
      <c r="C157" s="3">
        <v>33</v>
      </c>
      <c r="D157" s="3">
        <v>7</v>
      </c>
      <c r="E157" s="3">
        <v>136.092</v>
      </c>
      <c r="F157" s="4" t="str">
        <f>HYPERLINK("http://141.218.60.56/~jnz1568/getInfo.php?workbook=20_10.xlsx&amp;sheet=A0&amp;row=157&amp;col=6&amp;number=6712000000&amp;sourceID=14","6712000000")</f>
        <v>6712000000</v>
      </c>
      <c r="G157" s="4" t="str">
        <f>HYPERLINK("http://141.218.60.56/~jnz1568/getInfo.php?workbook=20_10.xlsx&amp;sheet=A0&amp;row=157&amp;col=7&amp;number=0&amp;sourceID=14","0")</f>
        <v>0</v>
      </c>
    </row>
    <row r="158" spans="1:7">
      <c r="A158" s="3">
        <v>20</v>
      </c>
      <c r="B158" s="3">
        <v>10</v>
      </c>
      <c r="C158" s="3">
        <v>33</v>
      </c>
      <c r="D158" s="3">
        <v>9</v>
      </c>
      <c r="E158" s="3">
        <v>139.063</v>
      </c>
      <c r="F158" s="4" t="str">
        <f>HYPERLINK("http://141.218.60.56/~jnz1568/getInfo.php?workbook=20_10.xlsx&amp;sheet=A0&amp;row=158&amp;col=6&amp;number=22990000000&amp;sourceID=14","22990000000")</f>
        <v>22990000000</v>
      </c>
      <c r="G158" s="4" t="str">
        <f>HYPERLINK("http://141.218.60.56/~jnz1568/getInfo.php?workbook=20_10.xlsx&amp;sheet=A0&amp;row=158&amp;col=7&amp;number=0&amp;sourceID=14","0")</f>
        <v>0</v>
      </c>
    </row>
    <row r="159" spans="1:7">
      <c r="A159" s="3">
        <v>20</v>
      </c>
      <c r="B159" s="3">
        <v>10</v>
      </c>
      <c r="C159" s="3">
        <v>33</v>
      </c>
      <c r="D159" s="3">
        <v>10</v>
      </c>
      <c r="E159" s="3">
        <v>137.722</v>
      </c>
      <c r="F159" s="4" t="str">
        <f>HYPERLINK("http://141.218.60.56/~jnz1568/getInfo.php?workbook=20_10.xlsx&amp;sheet=A0&amp;row=159&amp;col=6&amp;number=10550000000&amp;sourceID=14","10550000000")</f>
        <v>10550000000</v>
      </c>
      <c r="G159" s="4" t="str">
        <f>HYPERLINK("http://141.218.60.56/~jnz1568/getInfo.php?workbook=20_10.xlsx&amp;sheet=A0&amp;row=159&amp;col=7&amp;number=0&amp;sourceID=14","0")</f>
        <v>0</v>
      </c>
    </row>
    <row r="160" spans="1:7">
      <c r="A160" s="3">
        <v>20</v>
      </c>
      <c r="B160" s="3">
        <v>10</v>
      </c>
      <c r="C160" s="3">
        <v>33</v>
      </c>
      <c r="D160" s="3">
        <v>11</v>
      </c>
      <c r="E160" s="3">
        <v>138.236</v>
      </c>
      <c r="F160" s="4" t="str">
        <f>HYPERLINK("http://141.218.60.56/~jnz1568/getInfo.php?workbook=20_10.xlsx&amp;sheet=A0&amp;row=160&amp;col=6&amp;number=6858000000&amp;sourceID=14","6858000000")</f>
        <v>6858000000</v>
      </c>
      <c r="G160" s="4" t="str">
        <f>HYPERLINK("http://141.218.60.56/~jnz1568/getInfo.php?workbook=20_10.xlsx&amp;sheet=A0&amp;row=160&amp;col=7&amp;number=0&amp;sourceID=14","0")</f>
        <v>0</v>
      </c>
    </row>
    <row r="161" spans="1:7">
      <c r="A161" s="3">
        <v>20</v>
      </c>
      <c r="B161" s="3">
        <v>10</v>
      </c>
      <c r="C161" s="3">
        <v>33</v>
      </c>
      <c r="D161" s="3">
        <v>12</v>
      </c>
      <c r="E161" s="3">
        <v>-138.977</v>
      </c>
      <c r="F161" s="4" t="str">
        <f>HYPERLINK("http://141.218.60.56/~jnz1568/getInfo.php?workbook=20_10.xlsx&amp;sheet=A0&amp;row=161&amp;col=6&amp;number=963100000&amp;sourceID=14","963100000")</f>
        <v>963100000</v>
      </c>
      <c r="G161" s="4" t="str">
        <f>HYPERLINK("http://141.218.60.56/~jnz1568/getInfo.php?workbook=20_10.xlsx&amp;sheet=A0&amp;row=161&amp;col=7&amp;number=0&amp;sourceID=14","0")</f>
        <v>0</v>
      </c>
    </row>
    <row r="162" spans="1:7">
      <c r="A162" s="3">
        <v>20</v>
      </c>
      <c r="B162" s="3">
        <v>10</v>
      </c>
      <c r="C162" s="3">
        <v>33</v>
      </c>
      <c r="D162" s="3">
        <v>13</v>
      </c>
      <c r="E162" s="3">
        <v>144.446</v>
      </c>
      <c r="F162" s="4" t="str">
        <f>HYPERLINK("http://141.218.60.56/~jnz1568/getInfo.php?workbook=20_10.xlsx&amp;sheet=A0&amp;row=162&amp;col=6&amp;number=22990000000&amp;sourceID=14","22990000000")</f>
        <v>22990000000</v>
      </c>
      <c r="G162" s="4" t="str">
        <f>HYPERLINK("http://141.218.60.56/~jnz1568/getInfo.php?workbook=20_10.xlsx&amp;sheet=A0&amp;row=162&amp;col=7&amp;number=0&amp;sourceID=14","0")</f>
        <v>0</v>
      </c>
    </row>
    <row r="163" spans="1:7">
      <c r="A163" s="3">
        <v>20</v>
      </c>
      <c r="B163" s="3">
        <v>10</v>
      </c>
      <c r="C163" s="3">
        <v>33</v>
      </c>
      <c r="D163" s="3">
        <v>14</v>
      </c>
      <c r="E163" s="3">
        <v>144.425</v>
      </c>
      <c r="F163" s="4" t="str">
        <f>HYPERLINK("http://141.218.60.56/~jnz1568/getInfo.php?workbook=20_10.xlsx&amp;sheet=A0&amp;row=163&amp;col=6&amp;number=7458000000&amp;sourceID=14","7458000000")</f>
        <v>7458000000</v>
      </c>
      <c r="G163" s="4" t="str">
        <f>HYPERLINK("http://141.218.60.56/~jnz1568/getInfo.php?workbook=20_10.xlsx&amp;sheet=A0&amp;row=163&amp;col=7&amp;number=0&amp;sourceID=14","0")</f>
        <v>0</v>
      </c>
    </row>
    <row r="164" spans="1:7">
      <c r="A164" s="3">
        <v>20</v>
      </c>
      <c r="B164" s="3">
        <v>10</v>
      </c>
      <c r="C164" s="3">
        <v>33</v>
      </c>
      <c r="D164" s="3">
        <v>15</v>
      </c>
      <c r="E164" s="3">
        <v>-159.959</v>
      </c>
      <c r="F164" s="4" t="str">
        <f>HYPERLINK("http://141.218.60.56/~jnz1568/getInfo.php?workbook=20_10.xlsx&amp;sheet=A0&amp;row=164&amp;col=6&amp;number=15590000000&amp;sourceID=14","15590000000")</f>
        <v>15590000000</v>
      </c>
      <c r="G164" s="4" t="str">
        <f>HYPERLINK("http://141.218.60.56/~jnz1568/getInfo.php?workbook=20_10.xlsx&amp;sheet=A0&amp;row=164&amp;col=7&amp;number=0&amp;sourceID=14","0")</f>
        <v>0</v>
      </c>
    </row>
    <row r="165" spans="1:7">
      <c r="A165" s="3">
        <v>20</v>
      </c>
      <c r="B165" s="3">
        <v>10</v>
      </c>
      <c r="C165" s="3">
        <v>33</v>
      </c>
      <c r="D165" s="3">
        <v>28</v>
      </c>
      <c r="E165" s="3">
        <v>-533.63</v>
      </c>
      <c r="F165" s="4" t="str">
        <f>HYPERLINK("http://141.218.60.56/~jnz1568/getInfo.php?workbook=20_10.xlsx&amp;sheet=A0&amp;row=165&amp;col=6&amp;number=117500000&amp;sourceID=14","117500000")</f>
        <v>117500000</v>
      </c>
      <c r="G165" s="4" t="str">
        <f>HYPERLINK("http://141.218.60.56/~jnz1568/getInfo.php?workbook=20_10.xlsx&amp;sheet=A0&amp;row=165&amp;col=7&amp;number=0&amp;sourceID=14","0")</f>
        <v>0</v>
      </c>
    </row>
    <row r="166" spans="1:7">
      <c r="A166" s="3">
        <v>20</v>
      </c>
      <c r="B166" s="3">
        <v>10</v>
      </c>
      <c r="C166" s="3">
        <v>33</v>
      </c>
      <c r="D166" s="3">
        <v>29</v>
      </c>
      <c r="E166" s="3">
        <v>-644.099</v>
      </c>
      <c r="F166" s="4" t="str">
        <f>HYPERLINK("http://141.218.60.56/~jnz1568/getInfo.php?workbook=20_10.xlsx&amp;sheet=A0&amp;row=166&amp;col=6&amp;number=2019000000&amp;sourceID=14","2019000000")</f>
        <v>2019000000</v>
      </c>
      <c r="G166" s="4" t="str">
        <f>HYPERLINK("http://141.218.60.56/~jnz1568/getInfo.php?workbook=20_10.xlsx&amp;sheet=A0&amp;row=166&amp;col=7&amp;number=0&amp;sourceID=14","0")</f>
        <v>0</v>
      </c>
    </row>
    <row r="167" spans="1:7">
      <c r="A167" s="3">
        <v>20</v>
      </c>
      <c r="B167" s="3">
        <v>10</v>
      </c>
      <c r="C167" s="3">
        <v>34</v>
      </c>
      <c r="D167" s="3">
        <v>6</v>
      </c>
      <c r="E167" s="3">
        <v>-126.119</v>
      </c>
      <c r="F167" s="4" t="str">
        <f>HYPERLINK("http://141.218.60.56/~jnz1568/getInfo.php?workbook=20_10.xlsx&amp;sheet=A0&amp;row=167&amp;col=6&amp;number=7431000000&amp;sourceID=14","7431000000")</f>
        <v>7431000000</v>
      </c>
      <c r="G167" s="4" t="str">
        <f>HYPERLINK("http://141.218.60.56/~jnz1568/getInfo.php?workbook=20_10.xlsx&amp;sheet=A0&amp;row=167&amp;col=7&amp;number=0&amp;sourceID=14","0")</f>
        <v>0</v>
      </c>
    </row>
    <row r="168" spans="1:7">
      <c r="A168" s="3">
        <v>20</v>
      </c>
      <c r="B168" s="3">
        <v>10</v>
      </c>
      <c r="C168" s="3">
        <v>34</v>
      </c>
      <c r="D168" s="3">
        <v>7</v>
      </c>
      <c r="E168" s="3">
        <v>-129.383</v>
      </c>
      <c r="F168" s="4" t="str">
        <f>HYPERLINK("http://141.218.60.56/~jnz1568/getInfo.php?workbook=20_10.xlsx&amp;sheet=A0&amp;row=168&amp;col=6&amp;number=8425000000&amp;sourceID=14","8425000000")</f>
        <v>8425000000</v>
      </c>
      <c r="G168" s="4" t="str">
        <f>HYPERLINK("http://141.218.60.56/~jnz1568/getInfo.php?workbook=20_10.xlsx&amp;sheet=A0&amp;row=168&amp;col=7&amp;number=0&amp;sourceID=14","0")</f>
        <v>0</v>
      </c>
    </row>
    <row r="169" spans="1:7">
      <c r="A169" s="3">
        <v>20</v>
      </c>
      <c r="B169" s="3">
        <v>10</v>
      </c>
      <c r="C169" s="3">
        <v>34</v>
      </c>
      <c r="D169" s="3">
        <v>8</v>
      </c>
      <c r="E169" s="3">
        <v>-129.457</v>
      </c>
      <c r="F169" s="4" t="str">
        <f>HYPERLINK("http://141.218.60.56/~jnz1568/getInfo.php?workbook=20_10.xlsx&amp;sheet=A0&amp;row=169&amp;col=6&amp;number=13230000000&amp;sourceID=14","13230000000")</f>
        <v>13230000000</v>
      </c>
      <c r="G169" s="4" t="str">
        <f>HYPERLINK("http://141.218.60.56/~jnz1568/getInfo.php?workbook=20_10.xlsx&amp;sheet=A0&amp;row=169&amp;col=7&amp;number=0&amp;sourceID=14","0")</f>
        <v>0</v>
      </c>
    </row>
    <row r="170" spans="1:7">
      <c r="A170" s="3">
        <v>20</v>
      </c>
      <c r="B170" s="3">
        <v>10</v>
      </c>
      <c r="C170" s="3">
        <v>34</v>
      </c>
      <c r="D170" s="3">
        <v>9</v>
      </c>
      <c r="E170" s="3">
        <v>-131.681</v>
      </c>
      <c r="F170" s="4" t="str">
        <f>HYPERLINK("http://141.218.60.56/~jnz1568/getInfo.php?workbook=20_10.xlsx&amp;sheet=A0&amp;row=170&amp;col=6&amp;number=23730000000&amp;sourceID=14","23730000000")</f>
        <v>23730000000</v>
      </c>
      <c r="G170" s="4" t="str">
        <f>HYPERLINK("http://141.218.60.56/~jnz1568/getInfo.php?workbook=20_10.xlsx&amp;sheet=A0&amp;row=170&amp;col=7&amp;number=0&amp;sourceID=14","0")</f>
        <v>0</v>
      </c>
    </row>
    <row r="171" spans="1:7">
      <c r="A171" s="3">
        <v>20</v>
      </c>
      <c r="B171" s="3">
        <v>10</v>
      </c>
      <c r="C171" s="3">
        <v>34</v>
      </c>
      <c r="D171" s="3">
        <v>10</v>
      </c>
      <c r="E171" s="3">
        <v>-130.696</v>
      </c>
      <c r="F171" s="4" t="str">
        <f>HYPERLINK("http://141.218.60.56/~jnz1568/getInfo.php?workbook=20_10.xlsx&amp;sheet=A0&amp;row=171&amp;col=6&amp;number=2663000000&amp;sourceID=14","2663000000")</f>
        <v>2663000000</v>
      </c>
      <c r="G171" s="4" t="str">
        <f>HYPERLINK("http://141.218.60.56/~jnz1568/getInfo.php?workbook=20_10.xlsx&amp;sheet=A0&amp;row=171&amp;col=7&amp;number=0&amp;sourceID=14","0")</f>
        <v>0</v>
      </c>
    </row>
    <row r="172" spans="1:7">
      <c r="A172" s="3">
        <v>20</v>
      </c>
      <c r="B172" s="3">
        <v>10</v>
      </c>
      <c r="C172" s="3">
        <v>34</v>
      </c>
      <c r="D172" s="3">
        <v>11</v>
      </c>
      <c r="E172" s="3">
        <v>-134.405</v>
      </c>
      <c r="F172" s="4" t="str">
        <f>HYPERLINK("http://141.218.60.56/~jnz1568/getInfo.php?workbook=20_10.xlsx&amp;sheet=A0&amp;row=172&amp;col=6&amp;number=413000000&amp;sourceID=14","413000000")</f>
        <v>413000000</v>
      </c>
      <c r="G172" s="4" t="str">
        <f>HYPERLINK("http://141.218.60.56/~jnz1568/getInfo.php?workbook=20_10.xlsx&amp;sheet=A0&amp;row=172&amp;col=7&amp;number=0&amp;sourceID=14","0")</f>
        <v>0</v>
      </c>
    </row>
    <row r="173" spans="1:7">
      <c r="A173" s="3">
        <v>20</v>
      </c>
      <c r="B173" s="3">
        <v>10</v>
      </c>
      <c r="C173" s="3">
        <v>34</v>
      </c>
      <c r="D173" s="3">
        <v>13</v>
      </c>
      <c r="E173" s="3">
        <v>-135.975</v>
      </c>
      <c r="F173" s="4" t="str">
        <f>HYPERLINK("http://141.218.60.56/~jnz1568/getInfo.php?workbook=20_10.xlsx&amp;sheet=A0&amp;row=173&amp;col=6&amp;number=4532000000&amp;sourceID=14","4532000000")</f>
        <v>4532000000</v>
      </c>
      <c r="G173" s="4" t="str">
        <f>HYPERLINK("http://141.218.60.56/~jnz1568/getInfo.php?workbook=20_10.xlsx&amp;sheet=A0&amp;row=173&amp;col=7&amp;number=0&amp;sourceID=14","0")</f>
        <v>0</v>
      </c>
    </row>
    <row r="174" spans="1:7">
      <c r="A174" s="3">
        <v>20</v>
      </c>
      <c r="B174" s="3">
        <v>10</v>
      </c>
      <c r="C174" s="3">
        <v>34</v>
      </c>
      <c r="D174" s="3">
        <v>14</v>
      </c>
      <c r="E174" s="3">
        <v>-135.975</v>
      </c>
      <c r="F174" s="4" t="str">
        <f>HYPERLINK("http://141.218.60.56/~jnz1568/getInfo.php?workbook=20_10.xlsx&amp;sheet=A0&amp;row=174&amp;col=6&amp;number=4757000000&amp;sourceID=14","4757000000")</f>
        <v>4757000000</v>
      </c>
      <c r="G174" s="4" t="str">
        <f>HYPERLINK("http://141.218.60.56/~jnz1568/getInfo.php?workbook=20_10.xlsx&amp;sheet=A0&amp;row=174&amp;col=7&amp;number=0&amp;sourceID=14","0")</f>
        <v>0</v>
      </c>
    </row>
    <row r="175" spans="1:7">
      <c r="A175" s="3">
        <v>20</v>
      </c>
      <c r="B175" s="3">
        <v>10</v>
      </c>
      <c r="C175" s="3">
        <v>34</v>
      </c>
      <c r="D175" s="3">
        <v>28</v>
      </c>
      <c r="E175" s="3">
        <v>-472.6</v>
      </c>
      <c r="F175" s="4" t="str">
        <f>HYPERLINK("http://141.218.60.56/~jnz1568/getInfo.php?workbook=20_10.xlsx&amp;sheet=A0&amp;row=175&amp;col=6&amp;number=322400000&amp;sourceID=14","322400000")</f>
        <v>322400000</v>
      </c>
      <c r="G175" s="4" t="str">
        <f>HYPERLINK("http://141.218.60.56/~jnz1568/getInfo.php?workbook=20_10.xlsx&amp;sheet=A0&amp;row=175&amp;col=7&amp;number=0&amp;sourceID=14","0")</f>
        <v>0</v>
      </c>
    </row>
    <row r="176" spans="1:7">
      <c r="A176" s="3">
        <v>20</v>
      </c>
      <c r="B176" s="3">
        <v>10</v>
      </c>
      <c r="C176" s="3">
        <v>35</v>
      </c>
      <c r="D176" s="3">
        <v>1</v>
      </c>
      <c r="E176" s="3">
        <v>26.442</v>
      </c>
      <c r="F176" s="4" t="str">
        <f>HYPERLINK("http://141.218.60.56/~jnz1568/getInfo.php?workbook=20_10.xlsx&amp;sheet=A0&amp;row=176&amp;col=6&amp;number=98210000000&amp;sourceID=14","98210000000")</f>
        <v>98210000000</v>
      </c>
      <c r="G176" s="4" t="str">
        <f>HYPERLINK("http://141.218.60.56/~jnz1568/getInfo.php?workbook=20_10.xlsx&amp;sheet=A0&amp;row=176&amp;col=7&amp;number=0&amp;sourceID=14","0")</f>
        <v>0</v>
      </c>
    </row>
    <row r="177" spans="1:7">
      <c r="A177" s="3">
        <v>20</v>
      </c>
      <c r="B177" s="3">
        <v>10</v>
      </c>
      <c r="C177" s="3">
        <v>35</v>
      </c>
      <c r="D177" s="3">
        <v>6</v>
      </c>
      <c r="E177" s="3">
        <v>-125.643</v>
      </c>
      <c r="F177" s="4" t="str">
        <f>HYPERLINK("http://141.218.60.56/~jnz1568/getInfo.php?workbook=20_10.xlsx&amp;sheet=A0&amp;row=177&amp;col=6&amp;number=1405000000&amp;sourceID=14","1405000000")</f>
        <v>1405000000</v>
      </c>
      <c r="G177" s="4" t="str">
        <f>HYPERLINK("http://141.218.60.56/~jnz1568/getInfo.php?workbook=20_10.xlsx&amp;sheet=A0&amp;row=177&amp;col=7&amp;number=0&amp;sourceID=14","0")</f>
        <v>0</v>
      </c>
    </row>
    <row r="178" spans="1:7">
      <c r="A178" s="3">
        <v>20</v>
      </c>
      <c r="B178" s="3">
        <v>10</v>
      </c>
      <c r="C178" s="3">
        <v>35</v>
      </c>
      <c r="D178" s="3">
        <v>7</v>
      </c>
      <c r="E178" s="3">
        <v>123.793</v>
      </c>
      <c r="F178" s="4" t="str">
        <f>HYPERLINK("http://141.218.60.56/~jnz1568/getInfo.php?workbook=20_10.xlsx&amp;sheet=A0&amp;row=178&amp;col=6&amp;number=12370000000&amp;sourceID=14","12370000000")</f>
        <v>12370000000</v>
      </c>
      <c r="G178" s="4" t="str">
        <f>HYPERLINK("http://141.218.60.56/~jnz1568/getInfo.php?workbook=20_10.xlsx&amp;sheet=A0&amp;row=178&amp;col=7&amp;number=0&amp;sourceID=14","0")</f>
        <v>0</v>
      </c>
    </row>
    <row r="179" spans="1:7">
      <c r="A179" s="3">
        <v>20</v>
      </c>
      <c r="B179" s="3">
        <v>10</v>
      </c>
      <c r="C179" s="3">
        <v>35</v>
      </c>
      <c r="D179" s="3">
        <v>9</v>
      </c>
      <c r="E179" s="3">
        <v>126.247</v>
      </c>
      <c r="F179" s="4" t="str">
        <f>HYPERLINK("http://141.218.60.56/~jnz1568/getInfo.php?workbook=20_10.xlsx&amp;sheet=A0&amp;row=179&amp;col=6&amp;number=24350000000&amp;sourceID=14","24350000000")</f>
        <v>24350000000</v>
      </c>
      <c r="G179" s="4" t="str">
        <f>HYPERLINK("http://141.218.60.56/~jnz1568/getInfo.php?workbook=20_10.xlsx&amp;sheet=A0&amp;row=179&amp;col=7&amp;number=0&amp;sourceID=14","0")</f>
        <v>0</v>
      </c>
    </row>
    <row r="180" spans="1:7">
      <c r="A180" s="3">
        <v>20</v>
      </c>
      <c r="B180" s="3">
        <v>10</v>
      </c>
      <c r="C180" s="3">
        <v>35</v>
      </c>
      <c r="D180" s="3">
        <v>10</v>
      </c>
      <c r="E180" s="3">
        <v>125.141</v>
      </c>
      <c r="F180" s="4" t="str">
        <f>HYPERLINK("http://141.218.60.56/~jnz1568/getInfo.php?workbook=20_10.xlsx&amp;sheet=A0&amp;row=180&amp;col=6&amp;number=23350000000&amp;sourceID=14","23350000000")</f>
        <v>23350000000</v>
      </c>
      <c r="G180" s="4" t="str">
        <f>HYPERLINK("http://141.218.60.56/~jnz1568/getInfo.php?workbook=20_10.xlsx&amp;sheet=A0&amp;row=180&amp;col=7&amp;number=0&amp;sourceID=14","0")</f>
        <v>0</v>
      </c>
    </row>
    <row r="181" spans="1:7">
      <c r="A181" s="3">
        <v>20</v>
      </c>
      <c r="B181" s="3">
        <v>10</v>
      </c>
      <c r="C181" s="3">
        <v>35</v>
      </c>
      <c r="D181" s="3">
        <v>11</v>
      </c>
      <c r="E181" s="3">
        <v>125.565</v>
      </c>
      <c r="F181" s="4" t="str">
        <f>HYPERLINK("http://141.218.60.56/~jnz1568/getInfo.php?workbook=20_10.xlsx&amp;sheet=A0&amp;row=181&amp;col=6&amp;number=6621000000&amp;sourceID=14","6621000000")</f>
        <v>6621000000</v>
      </c>
      <c r="G181" s="4" t="str">
        <f>HYPERLINK("http://141.218.60.56/~jnz1568/getInfo.php?workbook=20_10.xlsx&amp;sheet=A0&amp;row=181&amp;col=7&amp;number=0&amp;sourceID=14","0")</f>
        <v>0</v>
      </c>
    </row>
    <row r="182" spans="1:7">
      <c r="A182" s="3">
        <v>20</v>
      </c>
      <c r="B182" s="3">
        <v>10</v>
      </c>
      <c r="C182" s="3">
        <v>35</v>
      </c>
      <c r="D182" s="3">
        <v>12</v>
      </c>
      <c r="E182" s="3">
        <v>-133.915</v>
      </c>
      <c r="F182" s="4" t="str">
        <f>HYPERLINK("http://141.218.60.56/~jnz1568/getInfo.php?workbook=20_10.xlsx&amp;sheet=A0&amp;row=182&amp;col=6&amp;number=6960000000&amp;sourceID=14","6960000000")</f>
        <v>6960000000</v>
      </c>
      <c r="G182" s="4" t="str">
        <f>HYPERLINK("http://141.218.60.56/~jnz1568/getInfo.php?workbook=20_10.xlsx&amp;sheet=A0&amp;row=182&amp;col=7&amp;number=0&amp;sourceID=14","0")</f>
        <v>0</v>
      </c>
    </row>
    <row r="183" spans="1:7">
      <c r="A183" s="3">
        <v>20</v>
      </c>
      <c r="B183" s="3">
        <v>10</v>
      </c>
      <c r="C183" s="3">
        <v>35</v>
      </c>
      <c r="D183" s="3">
        <v>13</v>
      </c>
      <c r="E183" s="3">
        <v>130.668</v>
      </c>
      <c r="F183" s="4" t="str">
        <f>HYPERLINK("http://141.218.60.56/~jnz1568/getInfo.php?workbook=20_10.xlsx&amp;sheet=A0&amp;row=183&amp;col=6&amp;number=58330000&amp;sourceID=14","58330000")</f>
        <v>58330000</v>
      </c>
      <c r="G183" s="4" t="str">
        <f>HYPERLINK("http://141.218.60.56/~jnz1568/getInfo.php?workbook=20_10.xlsx&amp;sheet=A0&amp;row=183&amp;col=7&amp;number=0&amp;sourceID=14","0")</f>
        <v>0</v>
      </c>
    </row>
    <row r="184" spans="1:7">
      <c r="A184" s="3">
        <v>20</v>
      </c>
      <c r="B184" s="3">
        <v>10</v>
      </c>
      <c r="C184" s="3">
        <v>35</v>
      </c>
      <c r="D184" s="3">
        <v>14</v>
      </c>
      <c r="E184" s="3">
        <v>130.651</v>
      </c>
      <c r="F184" s="4" t="str">
        <f>HYPERLINK("http://141.218.60.56/~jnz1568/getInfo.php?workbook=20_10.xlsx&amp;sheet=A0&amp;row=184&amp;col=6&amp;number=254000000&amp;sourceID=14","254000000")</f>
        <v>254000000</v>
      </c>
      <c r="G184" s="4" t="str">
        <f>HYPERLINK("http://141.218.60.56/~jnz1568/getInfo.php?workbook=20_10.xlsx&amp;sheet=A0&amp;row=184&amp;col=7&amp;number=0&amp;sourceID=14","0")</f>
        <v>0</v>
      </c>
    </row>
    <row r="185" spans="1:7">
      <c r="A185" s="3">
        <v>20</v>
      </c>
      <c r="B185" s="3">
        <v>10</v>
      </c>
      <c r="C185" s="3">
        <v>35</v>
      </c>
      <c r="D185" s="3">
        <v>15</v>
      </c>
      <c r="E185" s="3">
        <v>-153.289</v>
      </c>
      <c r="F185" s="4" t="str">
        <f>HYPERLINK("http://141.218.60.56/~jnz1568/getInfo.php?workbook=20_10.xlsx&amp;sheet=A0&amp;row=185&amp;col=6&amp;number=5899000000&amp;sourceID=14","5899000000")</f>
        <v>5899000000</v>
      </c>
      <c r="G185" s="4" t="str">
        <f>HYPERLINK("http://141.218.60.56/~jnz1568/getInfo.php?workbook=20_10.xlsx&amp;sheet=A0&amp;row=185&amp;col=7&amp;number=0&amp;sourceID=14","0")</f>
        <v>0</v>
      </c>
    </row>
    <row r="186" spans="1:7">
      <c r="A186" s="3">
        <v>20</v>
      </c>
      <c r="B186" s="3">
        <v>10</v>
      </c>
      <c r="C186" s="3">
        <v>35</v>
      </c>
      <c r="D186" s="3">
        <v>28</v>
      </c>
      <c r="E186" s="3">
        <v>-465.988</v>
      </c>
      <c r="F186" s="4" t="str">
        <f>HYPERLINK("http://141.218.60.56/~jnz1568/getInfo.php?workbook=20_10.xlsx&amp;sheet=A0&amp;row=186&amp;col=6&amp;number=81970000&amp;sourceID=14","81970000")</f>
        <v>81970000</v>
      </c>
      <c r="G186" s="4" t="str">
        <f>HYPERLINK("http://141.218.60.56/~jnz1568/getInfo.php?workbook=20_10.xlsx&amp;sheet=A0&amp;row=186&amp;col=7&amp;number=0&amp;sourceID=14","0")</f>
        <v>0</v>
      </c>
    </row>
    <row r="187" spans="1:7">
      <c r="A187" s="3">
        <v>20</v>
      </c>
      <c r="B187" s="3">
        <v>10</v>
      </c>
      <c r="C187" s="3">
        <v>35</v>
      </c>
      <c r="D187" s="3">
        <v>29</v>
      </c>
      <c r="E187" s="3">
        <v>-548.072</v>
      </c>
      <c r="F187" s="4" t="str">
        <f>HYPERLINK("http://141.218.60.56/~jnz1568/getInfo.php?workbook=20_10.xlsx&amp;sheet=A0&amp;row=187&amp;col=6&amp;number=121800000&amp;sourceID=14","121800000")</f>
        <v>121800000</v>
      </c>
      <c r="G187" s="4" t="str">
        <f>HYPERLINK("http://141.218.60.56/~jnz1568/getInfo.php?workbook=20_10.xlsx&amp;sheet=A0&amp;row=187&amp;col=7&amp;number=0&amp;sourceID=14","0")</f>
        <v>0</v>
      </c>
    </row>
    <row r="188" spans="1:7">
      <c r="A188" s="3">
        <v>20</v>
      </c>
      <c r="B188" s="3">
        <v>10</v>
      </c>
      <c r="C188" s="3">
        <v>36</v>
      </c>
      <c r="D188" s="3">
        <v>6</v>
      </c>
      <c r="E188" s="3">
        <v>-121.521</v>
      </c>
      <c r="F188" s="4" t="str">
        <f>HYPERLINK("http://141.218.60.56/~jnz1568/getInfo.php?workbook=20_10.xlsx&amp;sheet=A0&amp;row=188&amp;col=6&amp;number=1288000000&amp;sourceID=14","1288000000")</f>
        <v>1288000000</v>
      </c>
      <c r="G188" s="4" t="str">
        <f>HYPERLINK("http://141.218.60.56/~jnz1568/getInfo.php?workbook=20_10.xlsx&amp;sheet=A0&amp;row=188&amp;col=7&amp;number=0&amp;sourceID=14","0")</f>
        <v>0</v>
      </c>
    </row>
    <row r="189" spans="1:7">
      <c r="A189" s="3">
        <v>20</v>
      </c>
      <c r="B189" s="3">
        <v>10</v>
      </c>
      <c r="C189" s="3">
        <v>36</v>
      </c>
      <c r="D189" s="3">
        <v>10</v>
      </c>
      <c r="E189" s="3">
        <v>-125.765</v>
      </c>
      <c r="F189" s="4" t="str">
        <f>HYPERLINK("http://141.218.60.56/~jnz1568/getInfo.php?workbook=20_10.xlsx&amp;sheet=A0&amp;row=189&amp;col=6&amp;number=252600000&amp;sourceID=14","252600000")</f>
        <v>252600000</v>
      </c>
      <c r="G189" s="4" t="str">
        <f>HYPERLINK("http://141.218.60.56/~jnz1568/getInfo.php?workbook=20_10.xlsx&amp;sheet=A0&amp;row=189&amp;col=7&amp;number=0&amp;sourceID=14","0")</f>
        <v>0</v>
      </c>
    </row>
    <row r="190" spans="1:7">
      <c r="A190" s="3">
        <v>20</v>
      </c>
      <c r="B190" s="3">
        <v>10</v>
      </c>
      <c r="C190" s="3">
        <v>36</v>
      </c>
      <c r="D190" s="3">
        <v>11</v>
      </c>
      <c r="E190" s="3">
        <v>-129.196</v>
      </c>
      <c r="F190" s="4" t="str">
        <f>HYPERLINK("http://141.218.60.56/~jnz1568/getInfo.php?workbook=20_10.xlsx&amp;sheet=A0&amp;row=190&amp;col=6&amp;number=30260000000&amp;sourceID=14","30260000000")</f>
        <v>30260000000</v>
      </c>
      <c r="G190" s="4" t="str">
        <f>HYPERLINK("http://141.218.60.56/~jnz1568/getInfo.php?workbook=20_10.xlsx&amp;sheet=A0&amp;row=190&amp;col=7&amp;number=0&amp;sourceID=14","0")</f>
        <v>0</v>
      </c>
    </row>
    <row r="191" spans="1:7">
      <c r="A191" s="3">
        <v>20</v>
      </c>
      <c r="B191" s="3">
        <v>10</v>
      </c>
      <c r="C191" s="3">
        <v>36</v>
      </c>
      <c r="D191" s="3">
        <v>14</v>
      </c>
      <c r="E191" s="3">
        <v>-130.646</v>
      </c>
      <c r="F191" s="4" t="str">
        <f>HYPERLINK("http://141.218.60.56/~jnz1568/getInfo.php?workbook=20_10.xlsx&amp;sheet=A0&amp;row=191&amp;col=6&amp;number=40530000000&amp;sourceID=14","40530000000")</f>
        <v>40530000000</v>
      </c>
      <c r="G191" s="4" t="str">
        <f>HYPERLINK("http://141.218.60.56/~jnz1568/getInfo.php?workbook=20_10.xlsx&amp;sheet=A0&amp;row=191&amp;col=7&amp;number=0&amp;sourceID=14","0")</f>
        <v>0</v>
      </c>
    </row>
    <row r="192" spans="1:7">
      <c r="A192" s="3">
        <v>20</v>
      </c>
      <c r="B192" s="3">
        <v>10</v>
      </c>
      <c r="C192" s="3">
        <v>36</v>
      </c>
      <c r="D192" s="3">
        <v>28</v>
      </c>
      <c r="E192" s="3">
        <v>-413.92</v>
      </c>
      <c r="F192" s="4" t="str">
        <f>HYPERLINK("http://141.218.60.56/~jnz1568/getInfo.php?workbook=20_10.xlsx&amp;sheet=A0&amp;row=192&amp;col=6&amp;number=64220000&amp;sourceID=14","64220000")</f>
        <v>64220000</v>
      </c>
      <c r="G192" s="4" t="str">
        <f>HYPERLINK("http://141.218.60.56/~jnz1568/getInfo.php?workbook=20_10.xlsx&amp;sheet=A0&amp;row=192&amp;col=7&amp;number=0&amp;sourceID=14","0")</f>
        <v>0</v>
      </c>
    </row>
    <row r="193" spans="1:7">
      <c r="A193" s="3">
        <v>20</v>
      </c>
      <c r="B193" s="3">
        <v>10</v>
      </c>
      <c r="C193" s="3">
        <v>37</v>
      </c>
      <c r="D193" s="3">
        <v>1</v>
      </c>
      <c r="E193" s="3">
        <v>26.639</v>
      </c>
      <c r="F193" s="4" t="str">
        <f>HYPERLINK("http://141.218.60.56/~jnz1568/getInfo.php?workbook=20_10.xlsx&amp;sheet=A0&amp;row=193&amp;col=6&amp;number=70770000000&amp;sourceID=14","70770000000")</f>
        <v>70770000000</v>
      </c>
      <c r="G193" s="4" t="str">
        <f>HYPERLINK("http://141.218.60.56/~jnz1568/getInfo.php?workbook=20_10.xlsx&amp;sheet=A0&amp;row=193&amp;col=7&amp;number=0&amp;sourceID=14","0")</f>
        <v>0</v>
      </c>
    </row>
    <row r="194" spans="1:7">
      <c r="A194" s="3">
        <v>20</v>
      </c>
      <c r="B194" s="3">
        <v>10</v>
      </c>
      <c r="C194" s="3">
        <v>37</v>
      </c>
      <c r="D194" s="3">
        <v>6</v>
      </c>
      <c r="E194" s="3">
        <v>-121.27</v>
      </c>
      <c r="F194" s="4" t="str">
        <f>HYPERLINK("http://141.218.60.56/~jnz1568/getInfo.php?workbook=20_10.xlsx&amp;sheet=A0&amp;row=194&amp;col=6&amp;number=1004000000&amp;sourceID=14","1004000000")</f>
        <v>1004000000</v>
      </c>
      <c r="G194" s="4" t="str">
        <f>HYPERLINK("http://141.218.60.56/~jnz1568/getInfo.php?workbook=20_10.xlsx&amp;sheet=A0&amp;row=194&amp;col=7&amp;number=0&amp;sourceID=14","0")</f>
        <v>0</v>
      </c>
    </row>
    <row r="195" spans="1:7">
      <c r="A195" s="3">
        <v>20</v>
      </c>
      <c r="B195" s="3">
        <v>10</v>
      </c>
      <c r="C195" s="3">
        <v>37</v>
      </c>
      <c r="D195" s="3">
        <v>7</v>
      </c>
      <c r="E195" s="3">
        <v>128.238</v>
      </c>
      <c r="F195" s="4" t="str">
        <f>HYPERLINK("http://141.218.60.56/~jnz1568/getInfo.php?workbook=20_10.xlsx&amp;sheet=A0&amp;row=195&amp;col=6&amp;number=37000000&amp;sourceID=14","37000000")</f>
        <v>37000000</v>
      </c>
      <c r="G195" s="4" t="str">
        <f>HYPERLINK("http://141.218.60.56/~jnz1568/getInfo.php?workbook=20_10.xlsx&amp;sheet=A0&amp;row=195&amp;col=7&amp;number=0&amp;sourceID=14","0")</f>
        <v>0</v>
      </c>
    </row>
    <row r="196" spans="1:7">
      <c r="A196" s="3">
        <v>20</v>
      </c>
      <c r="B196" s="3">
        <v>10</v>
      </c>
      <c r="C196" s="3">
        <v>37</v>
      </c>
      <c r="D196" s="3">
        <v>10</v>
      </c>
      <c r="E196" s="3">
        <v>129.685</v>
      </c>
      <c r="F196" s="4" t="str">
        <f>HYPERLINK("http://141.218.60.56/~jnz1568/getInfo.php?workbook=20_10.xlsx&amp;sheet=A0&amp;row=196&amp;col=6&amp;number=395900000&amp;sourceID=14","395900000")</f>
        <v>395900000</v>
      </c>
      <c r="G196" s="4" t="str">
        <f>HYPERLINK("http://141.218.60.56/~jnz1568/getInfo.php?workbook=20_10.xlsx&amp;sheet=A0&amp;row=196&amp;col=7&amp;number=0&amp;sourceID=14","0")</f>
        <v>0</v>
      </c>
    </row>
    <row r="197" spans="1:7">
      <c r="A197" s="3">
        <v>20</v>
      </c>
      <c r="B197" s="3">
        <v>10</v>
      </c>
      <c r="C197" s="3">
        <v>37</v>
      </c>
      <c r="D197" s="3">
        <v>11</v>
      </c>
      <c r="E197" s="3">
        <v>130.141</v>
      </c>
      <c r="F197" s="4" t="str">
        <f>HYPERLINK("http://141.218.60.56/~jnz1568/getInfo.php?workbook=20_10.xlsx&amp;sheet=A0&amp;row=197&amp;col=6&amp;number=8254000000&amp;sourceID=14","8254000000")</f>
        <v>8254000000</v>
      </c>
      <c r="G197" s="4" t="str">
        <f>HYPERLINK("http://141.218.60.56/~jnz1568/getInfo.php?workbook=20_10.xlsx&amp;sheet=A0&amp;row=197&amp;col=7&amp;number=0&amp;sourceID=14","0")</f>
        <v>0</v>
      </c>
    </row>
    <row r="198" spans="1:7">
      <c r="A198" s="3">
        <v>20</v>
      </c>
      <c r="B198" s="3">
        <v>10</v>
      </c>
      <c r="C198" s="3">
        <v>37</v>
      </c>
      <c r="D198" s="3">
        <v>12</v>
      </c>
      <c r="E198" s="3">
        <v>-128.959</v>
      </c>
      <c r="F198" s="4" t="str">
        <f>HYPERLINK("http://141.218.60.56/~jnz1568/getInfo.php?workbook=20_10.xlsx&amp;sheet=A0&amp;row=198&amp;col=6&amp;number=6350000000&amp;sourceID=14","6350000000")</f>
        <v>6350000000</v>
      </c>
      <c r="G198" s="4" t="str">
        <f>HYPERLINK("http://141.218.60.56/~jnz1568/getInfo.php?workbook=20_10.xlsx&amp;sheet=A0&amp;row=198&amp;col=7&amp;number=0&amp;sourceID=14","0")</f>
        <v>0</v>
      </c>
    </row>
    <row r="199" spans="1:7">
      <c r="A199" s="3">
        <v>20</v>
      </c>
      <c r="B199" s="3">
        <v>10</v>
      </c>
      <c r="C199" s="3">
        <v>37</v>
      </c>
      <c r="D199" s="3">
        <v>13</v>
      </c>
      <c r="E199" s="3">
        <v>135.63</v>
      </c>
      <c r="F199" s="4" t="str">
        <f>HYPERLINK("http://141.218.60.56/~jnz1568/getInfo.php?workbook=20_10.xlsx&amp;sheet=A0&amp;row=199&amp;col=6&amp;number=33360000000&amp;sourceID=14","33360000000")</f>
        <v>33360000000</v>
      </c>
      <c r="G199" s="4" t="str">
        <f>HYPERLINK("http://141.218.60.56/~jnz1568/getInfo.php?workbook=20_10.xlsx&amp;sheet=A0&amp;row=199&amp;col=7&amp;number=0&amp;sourceID=14","0")</f>
        <v>0</v>
      </c>
    </row>
    <row r="200" spans="1:7">
      <c r="A200" s="3">
        <v>20</v>
      </c>
      <c r="B200" s="3">
        <v>10</v>
      </c>
      <c r="C200" s="3">
        <v>37</v>
      </c>
      <c r="D200" s="3">
        <v>14</v>
      </c>
      <c r="E200" s="3">
        <v>135.612</v>
      </c>
      <c r="F200" s="4" t="str">
        <f>HYPERLINK("http://141.218.60.56/~jnz1568/getInfo.php?workbook=20_10.xlsx&amp;sheet=A0&amp;row=200&amp;col=6&amp;number=13570000000&amp;sourceID=14","13570000000")</f>
        <v>13570000000</v>
      </c>
      <c r="G200" s="4" t="str">
        <f>HYPERLINK("http://141.218.60.56/~jnz1568/getInfo.php?workbook=20_10.xlsx&amp;sheet=A0&amp;row=200&amp;col=7&amp;number=0&amp;sourceID=14","0")</f>
        <v>0</v>
      </c>
    </row>
    <row r="201" spans="1:7">
      <c r="A201" s="3">
        <v>20</v>
      </c>
      <c r="B201" s="3">
        <v>10</v>
      </c>
      <c r="C201" s="3">
        <v>37</v>
      </c>
      <c r="D201" s="3">
        <v>15</v>
      </c>
      <c r="E201" s="3">
        <v>-146.83</v>
      </c>
      <c r="F201" s="4" t="str">
        <f>HYPERLINK("http://141.218.60.56/~jnz1568/getInfo.php?workbook=20_10.xlsx&amp;sheet=A0&amp;row=201&amp;col=6&amp;number=6299000000&amp;sourceID=14","6299000000")</f>
        <v>6299000000</v>
      </c>
      <c r="G201" s="4" t="str">
        <f>HYPERLINK("http://141.218.60.56/~jnz1568/getInfo.php?workbook=20_10.xlsx&amp;sheet=A0&amp;row=201&amp;col=7&amp;number=0&amp;sourceID=14","0")</f>
        <v>0</v>
      </c>
    </row>
    <row r="202" spans="1:7">
      <c r="A202" s="3">
        <v>20</v>
      </c>
      <c r="B202" s="3">
        <v>10</v>
      </c>
      <c r="C202" s="3">
        <v>37</v>
      </c>
      <c r="D202" s="3">
        <v>28</v>
      </c>
      <c r="E202" s="3">
        <v>-411.021</v>
      </c>
      <c r="F202" s="4" t="str">
        <f>HYPERLINK("http://141.218.60.56/~jnz1568/getInfo.php?workbook=20_10.xlsx&amp;sheet=A0&amp;row=202&amp;col=6&amp;number=44580000&amp;sourceID=14","44580000")</f>
        <v>44580000</v>
      </c>
      <c r="G202" s="4" t="str">
        <f>HYPERLINK("http://141.218.60.56/~jnz1568/getInfo.php?workbook=20_10.xlsx&amp;sheet=A0&amp;row=202&amp;col=7&amp;number=0&amp;sourceID=14","0")</f>
        <v>0</v>
      </c>
    </row>
    <row r="203" spans="1:7">
      <c r="A203" s="3">
        <v>20</v>
      </c>
      <c r="B203" s="3">
        <v>10</v>
      </c>
      <c r="C203" s="3">
        <v>37</v>
      </c>
      <c r="D203" s="3">
        <v>29</v>
      </c>
      <c r="E203" s="3">
        <v>-473.582</v>
      </c>
      <c r="F203" s="4" t="str">
        <f>HYPERLINK("http://141.218.60.56/~jnz1568/getInfo.php?workbook=20_10.xlsx&amp;sheet=A0&amp;row=203&amp;col=6&amp;number=67190000&amp;sourceID=14","67190000")</f>
        <v>67190000</v>
      </c>
      <c r="G203" s="4" t="str">
        <f>HYPERLINK("http://141.218.60.56/~jnz1568/getInfo.php?workbook=20_10.xlsx&amp;sheet=A0&amp;row=203&amp;col=7&amp;number=0&amp;sourceID=14","0")</f>
        <v>0</v>
      </c>
    </row>
    <row r="204" spans="1:7">
      <c r="A204" s="3">
        <v>20</v>
      </c>
      <c r="B204" s="3">
        <v>10</v>
      </c>
      <c r="C204" s="3">
        <v>38</v>
      </c>
      <c r="D204" s="3">
        <v>2</v>
      </c>
      <c r="E204" s="3">
        <v>-98.699</v>
      </c>
      <c r="F204" s="4" t="str">
        <f>HYPERLINK("http://141.218.60.56/~jnz1568/getInfo.php?workbook=20_10.xlsx&amp;sheet=A0&amp;row=204&amp;col=6&amp;number=28630000000&amp;sourceID=14","28630000000")</f>
        <v>28630000000</v>
      </c>
      <c r="G204" s="4" t="str">
        <f>HYPERLINK("http://141.218.60.56/~jnz1568/getInfo.php?workbook=20_10.xlsx&amp;sheet=A0&amp;row=204&amp;col=7&amp;number=0&amp;sourceID=14","0")</f>
        <v>0</v>
      </c>
    </row>
    <row r="205" spans="1:7">
      <c r="A205" s="3">
        <v>20</v>
      </c>
      <c r="B205" s="3">
        <v>10</v>
      </c>
      <c r="C205" s="3">
        <v>38</v>
      </c>
      <c r="D205" s="3">
        <v>3</v>
      </c>
      <c r="E205" s="3">
        <v>-99.493</v>
      </c>
      <c r="F205" s="4" t="str">
        <f>HYPERLINK("http://141.218.60.56/~jnz1568/getInfo.php?workbook=20_10.xlsx&amp;sheet=A0&amp;row=205&amp;col=6&amp;number=2960000000&amp;sourceID=14","2960000000")</f>
        <v>2960000000</v>
      </c>
      <c r="G205" s="4" t="str">
        <f>HYPERLINK("http://141.218.60.56/~jnz1568/getInfo.php?workbook=20_10.xlsx&amp;sheet=A0&amp;row=205&amp;col=7&amp;number=0&amp;sourceID=14","0")</f>
        <v>0</v>
      </c>
    </row>
    <row r="206" spans="1:7">
      <c r="A206" s="3">
        <v>20</v>
      </c>
      <c r="B206" s="3">
        <v>10</v>
      </c>
      <c r="C206" s="3">
        <v>38</v>
      </c>
      <c r="D206" s="3">
        <v>4</v>
      </c>
      <c r="E206" s="3">
        <v>-101.689</v>
      </c>
      <c r="F206" s="4" t="str">
        <f>HYPERLINK("http://141.218.60.56/~jnz1568/getInfo.php?workbook=20_10.xlsx&amp;sheet=A0&amp;row=206&amp;col=6&amp;number=251400000&amp;sourceID=14","251400000")</f>
        <v>251400000</v>
      </c>
      <c r="G206" s="4" t="str">
        <f>HYPERLINK("http://141.218.60.56/~jnz1568/getInfo.php?workbook=20_10.xlsx&amp;sheet=A0&amp;row=206&amp;col=7&amp;number=0&amp;sourceID=14","0")</f>
        <v>0</v>
      </c>
    </row>
    <row r="207" spans="1:7">
      <c r="A207" s="3">
        <v>20</v>
      </c>
      <c r="B207" s="3">
        <v>10</v>
      </c>
      <c r="C207" s="3">
        <v>38</v>
      </c>
      <c r="D207" s="3">
        <v>16</v>
      </c>
      <c r="E207" s="3">
        <v>-162.13</v>
      </c>
      <c r="F207" s="4" t="str">
        <f>HYPERLINK("http://141.218.60.56/~jnz1568/getInfo.php?workbook=20_10.xlsx&amp;sheet=A0&amp;row=207&amp;col=6&amp;number=3253000000&amp;sourceID=14","3253000000")</f>
        <v>3253000000</v>
      </c>
      <c r="G207" s="4" t="str">
        <f>HYPERLINK("http://141.218.60.56/~jnz1568/getInfo.php?workbook=20_10.xlsx&amp;sheet=A0&amp;row=207&amp;col=7&amp;number=0&amp;sourceID=14","0")</f>
        <v>0</v>
      </c>
    </row>
    <row r="208" spans="1:7">
      <c r="A208" s="3">
        <v>20</v>
      </c>
      <c r="B208" s="3">
        <v>10</v>
      </c>
      <c r="C208" s="3">
        <v>38</v>
      </c>
      <c r="D208" s="3">
        <v>17</v>
      </c>
      <c r="E208" s="3">
        <v>-162.923</v>
      </c>
      <c r="F208" s="4" t="str">
        <f>HYPERLINK("http://141.218.60.56/~jnz1568/getInfo.php?workbook=20_10.xlsx&amp;sheet=A0&amp;row=208&amp;col=6&amp;number=7629000000&amp;sourceID=14","7629000000")</f>
        <v>7629000000</v>
      </c>
      <c r="G208" s="4" t="str">
        <f>HYPERLINK("http://141.218.60.56/~jnz1568/getInfo.php?workbook=20_10.xlsx&amp;sheet=A0&amp;row=208&amp;col=7&amp;number=0&amp;sourceID=14","0")</f>
        <v>0</v>
      </c>
    </row>
    <row r="209" spans="1:7">
      <c r="A209" s="3">
        <v>20</v>
      </c>
      <c r="B209" s="3">
        <v>10</v>
      </c>
      <c r="C209" s="3">
        <v>38</v>
      </c>
      <c r="D209" s="3">
        <v>18</v>
      </c>
      <c r="E209" s="3">
        <v>-164.53</v>
      </c>
      <c r="F209" s="4" t="str">
        <f>HYPERLINK("http://141.218.60.56/~jnz1568/getInfo.php?workbook=20_10.xlsx&amp;sheet=A0&amp;row=209&amp;col=6&amp;number=6485000000&amp;sourceID=14","6485000000")</f>
        <v>6485000000</v>
      </c>
      <c r="G209" s="4" t="str">
        <f>HYPERLINK("http://141.218.60.56/~jnz1568/getInfo.php?workbook=20_10.xlsx&amp;sheet=A0&amp;row=209&amp;col=7&amp;number=0&amp;sourceID=14","0")</f>
        <v>0</v>
      </c>
    </row>
    <row r="210" spans="1:7">
      <c r="A210" s="3">
        <v>20</v>
      </c>
      <c r="B210" s="3">
        <v>10</v>
      </c>
      <c r="C210" s="3">
        <v>38</v>
      </c>
      <c r="D210" s="3">
        <v>21</v>
      </c>
      <c r="E210" s="3">
        <v>-168.013</v>
      </c>
      <c r="F210" s="4" t="str">
        <f>HYPERLINK("http://141.218.60.56/~jnz1568/getInfo.php?workbook=20_10.xlsx&amp;sheet=A0&amp;row=210&amp;col=6&amp;number=158500000&amp;sourceID=14","158500000")</f>
        <v>158500000</v>
      </c>
      <c r="G210" s="4" t="str">
        <f>HYPERLINK("http://141.218.60.56/~jnz1568/getInfo.php?workbook=20_10.xlsx&amp;sheet=A0&amp;row=210&amp;col=7&amp;number=0&amp;sourceID=14","0")</f>
        <v>0</v>
      </c>
    </row>
    <row r="211" spans="1:7">
      <c r="A211" s="3">
        <v>20</v>
      </c>
      <c r="B211" s="3">
        <v>10</v>
      </c>
      <c r="C211" s="3">
        <v>38</v>
      </c>
      <c r="D211" s="3">
        <v>23</v>
      </c>
      <c r="E211" s="3">
        <v>-173.433</v>
      </c>
      <c r="F211" s="4" t="str">
        <f>HYPERLINK("http://141.218.60.56/~jnz1568/getInfo.php?workbook=20_10.xlsx&amp;sheet=A0&amp;row=211&amp;col=6&amp;number=77480000&amp;sourceID=14","77480000")</f>
        <v>77480000</v>
      </c>
      <c r="G211" s="4" t="str">
        <f>HYPERLINK("http://141.218.60.56/~jnz1568/getInfo.php?workbook=20_10.xlsx&amp;sheet=A0&amp;row=211&amp;col=7&amp;number=0&amp;sourceID=14","0")</f>
        <v>0</v>
      </c>
    </row>
    <row r="212" spans="1:7">
      <c r="A212" s="3">
        <v>20</v>
      </c>
      <c r="B212" s="3">
        <v>10</v>
      </c>
      <c r="C212" s="3">
        <v>38</v>
      </c>
      <c r="D212" s="3">
        <v>24</v>
      </c>
      <c r="E212" s="3">
        <v>-175.318</v>
      </c>
      <c r="F212" s="4" t="str">
        <f>HYPERLINK("http://141.218.60.56/~jnz1568/getInfo.php?workbook=20_10.xlsx&amp;sheet=A0&amp;row=212&amp;col=6&amp;number=10600000&amp;sourceID=14","10600000")</f>
        <v>10600000</v>
      </c>
      <c r="G212" s="4" t="str">
        <f>HYPERLINK("http://141.218.60.56/~jnz1568/getInfo.php?workbook=20_10.xlsx&amp;sheet=A0&amp;row=212&amp;col=7&amp;number=0&amp;sourceID=14","0")</f>
        <v>0</v>
      </c>
    </row>
    <row r="213" spans="1:7">
      <c r="A213" s="3">
        <v>20</v>
      </c>
      <c r="B213" s="3">
        <v>10</v>
      </c>
      <c r="C213" s="3">
        <v>38</v>
      </c>
      <c r="D213" s="3">
        <v>25</v>
      </c>
      <c r="E213" s="3">
        <v>-176.276</v>
      </c>
      <c r="F213" s="4" t="str">
        <f>HYPERLINK("http://141.218.60.56/~jnz1568/getInfo.php?workbook=20_10.xlsx&amp;sheet=A0&amp;row=213&amp;col=6&amp;number=308800000&amp;sourceID=14","308800000")</f>
        <v>308800000</v>
      </c>
      <c r="G213" s="4" t="str">
        <f>HYPERLINK("http://141.218.60.56/~jnz1568/getInfo.php?workbook=20_10.xlsx&amp;sheet=A0&amp;row=213&amp;col=7&amp;number=0&amp;sourceID=14","0")</f>
        <v>0</v>
      </c>
    </row>
    <row r="214" spans="1:7">
      <c r="A214" s="3">
        <v>20</v>
      </c>
      <c r="B214" s="3">
        <v>10</v>
      </c>
      <c r="C214" s="3">
        <v>38</v>
      </c>
      <c r="D214" s="3">
        <v>27</v>
      </c>
      <c r="E214" s="3">
        <v>-188.826</v>
      </c>
      <c r="F214" s="4" t="str">
        <f>HYPERLINK("http://141.218.60.56/~jnz1568/getInfo.php?workbook=20_10.xlsx&amp;sheet=A0&amp;row=214&amp;col=6&amp;number=210000000&amp;sourceID=14","210000000")</f>
        <v>210000000</v>
      </c>
      <c r="G214" s="4" t="str">
        <f>HYPERLINK("http://141.218.60.56/~jnz1568/getInfo.php?workbook=20_10.xlsx&amp;sheet=A0&amp;row=214&amp;col=7&amp;number=0&amp;sourceID=14","0")</f>
        <v>0</v>
      </c>
    </row>
    <row r="215" spans="1:7">
      <c r="A215" s="3">
        <v>20</v>
      </c>
      <c r="B215" s="3">
        <v>10</v>
      </c>
      <c r="C215" s="3">
        <v>38</v>
      </c>
      <c r="D215" s="3">
        <v>32</v>
      </c>
      <c r="E215" s="3">
        <v>-1028.936</v>
      </c>
      <c r="F215" s="4" t="str">
        <f>HYPERLINK("http://141.218.60.56/~jnz1568/getInfo.php?workbook=20_10.xlsx&amp;sheet=A0&amp;row=215&amp;col=6&amp;number=175200000&amp;sourceID=14","175200000")</f>
        <v>175200000</v>
      </c>
      <c r="G215" s="4" t="str">
        <f>HYPERLINK("http://141.218.60.56/~jnz1568/getInfo.php?workbook=20_10.xlsx&amp;sheet=A0&amp;row=215&amp;col=7&amp;number=0&amp;sourceID=14","0")</f>
        <v>0</v>
      </c>
    </row>
    <row r="216" spans="1:7">
      <c r="A216" s="3">
        <v>20</v>
      </c>
      <c r="B216" s="3">
        <v>10</v>
      </c>
      <c r="C216" s="3">
        <v>38</v>
      </c>
      <c r="D216" s="3">
        <v>34</v>
      </c>
      <c r="E216" s="3">
        <v>-1577.464</v>
      </c>
      <c r="F216" s="4" t="str">
        <f>HYPERLINK("http://141.218.60.56/~jnz1568/getInfo.php?workbook=20_10.xlsx&amp;sheet=A0&amp;row=216&amp;col=6&amp;number=378000000&amp;sourceID=14","378000000")</f>
        <v>378000000</v>
      </c>
      <c r="G216" s="4" t="str">
        <f>HYPERLINK("http://141.218.60.56/~jnz1568/getInfo.php?workbook=20_10.xlsx&amp;sheet=A0&amp;row=216&amp;col=7&amp;number=0&amp;sourceID=14","0")</f>
        <v>0</v>
      </c>
    </row>
    <row r="217" spans="1:7">
      <c r="A217" s="3">
        <v>20</v>
      </c>
      <c r="B217" s="3">
        <v>10</v>
      </c>
      <c r="C217" s="3">
        <v>38</v>
      </c>
      <c r="D217" s="3">
        <v>35</v>
      </c>
      <c r="E217" s="3">
        <v>-1655.879</v>
      </c>
      <c r="F217" s="4" t="str">
        <f>HYPERLINK("http://141.218.60.56/~jnz1568/getInfo.php?workbook=20_10.xlsx&amp;sheet=A0&amp;row=217&amp;col=6&amp;number=36500000&amp;sourceID=14","36500000")</f>
        <v>36500000</v>
      </c>
      <c r="G217" s="4" t="str">
        <f>HYPERLINK("http://141.218.60.56/~jnz1568/getInfo.php?workbook=20_10.xlsx&amp;sheet=A0&amp;row=217&amp;col=7&amp;number=0&amp;sourceID=14","0")</f>
        <v>0</v>
      </c>
    </row>
    <row r="218" spans="1:7">
      <c r="A218" s="3">
        <v>20</v>
      </c>
      <c r="B218" s="3">
        <v>10</v>
      </c>
      <c r="C218" s="3">
        <v>39</v>
      </c>
      <c r="D218" s="3">
        <v>1</v>
      </c>
      <c r="E218" s="3">
        <v>-26.201</v>
      </c>
      <c r="F218" s="4" t="str">
        <f>HYPERLINK("http://141.218.60.56/~jnz1568/getInfo.php?workbook=20_10.xlsx&amp;sheet=A0&amp;row=218&amp;col=6&amp;number=64120000&amp;sourceID=14","64120000")</f>
        <v>64120000</v>
      </c>
      <c r="G218" s="4" t="str">
        <f>HYPERLINK("http://141.218.60.56/~jnz1568/getInfo.php?workbook=20_10.xlsx&amp;sheet=A0&amp;row=218&amp;col=7&amp;number=0&amp;sourceID=14","0")</f>
        <v>0</v>
      </c>
    </row>
    <row r="219" spans="1:7">
      <c r="A219" s="3">
        <v>20</v>
      </c>
      <c r="B219" s="3">
        <v>10</v>
      </c>
      <c r="C219" s="3">
        <v>39</v>
      </c>
      <c r="D219" s="3">
        <v>2</v>
      </c>
      <c r="E219" s="3">
        <v>-98.186</v>
      </c>
      <c r="F219" s="4" t="str">
        <f>HYPERLINK("http://141.218.60.56/~jnz1568/getInfo.php?workbook=20_10.xlsx&amp;sheet=A0&amp;row=219&amp;col=6&amp;number=15730000000&amp;sourceID=14","15730000000")</f>
        <v>15730000000</v>
      </c>
      <c r="G219" s="4" t="str">
        <f>HYPERLINK("http://141.218.60.56/~jnz1568/getInfo.php?workbook=20_10.xlsx&amp;sheet=A0&amp;row=219&amp;col=7&amp;number=0&amp;sourceID=14","0")</f>
        <v>0</v>
      </c>
    </row>
    <row r="220" spans="1:7">
      <c r="A220" s="3">
        <v>20</v>
      </c>
      <c r="B220" s="3">
        <v>10</v>
      </c>
      <c r="C220" s="3">
        <v>39</v>
      </c>
      <c r="D220" s="3">
        <v>3</v>
      </c>
      <c r="E220" s="3">
        <v>-98.972</v>
      </c>
      <c r="F220" s="4" t="str">
        <f>HYPERLINK("http://141.218.60.56/~jnz1568/getInfo.php?workbook=20_10.xlsx&amp;sheet=A0&amp;row=220&amp;col=6&amp;number=22950000000&amp;sourceID=14","22950000000")</f>
        <v>22950000000</v>
      </c>
      <c r="G220" s="4" t="str">
        <f>HYPERLINK("http://141.218.60.56/~jnz1568/getInfo.php?workbook=20_10.xlsx&amp;sheet=A0&amp;row=220&amp;col=7&amp;number=0&amp;sourceID=14","0")</f>
        <v>0</v>
      </c>
    </row>
    <row r="221" spans="1:7">
      <c r="A221" s="3">
        <v>20</v>
      </c>
      <c r="B221" s="3">
        <v>10</v>
      </c>
      <c r="C221" s="3">
        <v>39</v>
      </c>
      <c r="D221" s="3">
        <v>5</v>
      </c>
      <c r="E221" s="3">
        <v>-101.855</v>
      </c>
      <c r="F221" s="4" t="str">
        <f>HYPERLINK("http://141.218.60.56/~jnz1568/getInfo.php?workbook=20_10.xlsx&amp;sheet=A0&amp;row=221&amp;col=6&amp;number=972300000&amp;sourceID=14","972300000")</f>
        <v>972300000</v>
      </c>
      <c r="G221" s="4" t="str">
        <f>HYPERLINK("http://141.218.60.56/~jnz1568/getInfo.php?workbook=20_10.xlsx&amp;sheet=A0&amp;row=221&amp;col=7&amp;number=0&amp;sourceID=14","0")</f>
        <v>0</v>
      </c>
    </row>
    <row r="222" spans="1:7">
      <c r="A222" s="3">
        <v>20</v>
      </c>
      <c r="B222" s="3">
        <v>10</v>
      </c>
      <c r="C222" s="3">
        <v>39</v>
      </c>
      <c r="D222" s="3">
        <v>17</v>
      </c>
      <c r="E222" s="3">
        <v>-161.53</v>
      </c>
      <c r="F222" s="4" t="str">
        <f>HYPERLINK("http://141.218.60.56/~jnz1568/getInfo.php?workbook=20_10.xlsx&amp;sheet=A0&amp;row=222&amp;col=6&amp;number=350600000&amp;sourceID=14","350600000")</f>
        <v>350600000</v>
      </c>
      <c r="G222" s="4" t="str">
        <f>HYPERLINK("http://141.218.60.56/~jnz1568/getInfo.php?workbook=20_10.xlsx&amp;sheet=A0&amp;row=222&amp;col=7&amp;number=0&amp;sourceID=14","0")</f>
        <v>0</v>
      </c>
    </row>
    <row r="223" spans="1:7">
      <c r="A223" s="3">
        <v>20</v>
      </c>
      <c r="B223" s="3">
        <v>10</v>
      </c>
      <c r="C223" s="3">
        <v>39</v>
      </c>
      <c r="D223" s="3">
        <v>18</v>
      </c>
      <c r="E223" s="3">
        <v>-163.11</v>
      </c>
      <c r="F223" s="4" t="str">
        <f>HYPERLINK("http://141.218.60.56/~jnz1568/getInfo.php?workbook=20_10.xlsx&amp;sheet=A0&amp;row=223&amp;col=6&amp;number=521700000&amp;sourceID=14","521700000")</f>
        <v>521700000</v>
      </c>
      <c r="G223" s="4" t="str">
        <f>HYPERLINK("http://141.218.60.56/~jnz1568/getInfo.php?workbook=20_10.xlsx&amp;sheet=A0&amp;row=223&amp;col=7&amp;number=0&amp;sourceID=14","0")</f>
        <v>0</v>
      </c>
    </row>
    <row r="224" spans="1:7">
      <c r="A224" s="3">
        <v>20</v>
      </c>
      <c r="B224" s="3">
        <v>10</v>
      </c>
      <c r="C224" s="3">
        <v>39</v>
      </c>
      <c r="D224" s="3">
        <v>20</v>
      </c>
      <c r="E224" s="3">
        <v>-164.776</v>
      </c>
      <c r="F224" s="4" t="str">
        <f>HYPERLINK("http://141.218.60.56/~jnz1568/getInfo.php?workbook=20_10.xlsx&amp;sheet=A0&amp;row=224&amp;col=6&amp;number=15620000000&amp;sourceID=14","15620000000")</f>
        <v>15620000000</v>
      </c>
      <c r="G224" s="4" t="str">
        <f>HYPERLINK("http://141.218.60.56/~jnz1568/getInfo.php?workbook=20_10.xlsx&amp;sheet=A0&amp;row=224&amp;col=7&amp;number=0&amp;sourceID=14","0")</f>
        <v>0</v>
      </c>
    </row>
    <row r="225" spans="1:7">
      <c r="A225" s="3">
        <v>20</v>
      </c>
      <c r="B225" s="3">
        <v>10</v>
      </c>
      <c r="C225" s="3">
        <v>39</v>
      </c>
      <c r="D225" s="3">
        <v>21</v>
      </c>
      <c r="E225" s="3">
        <v>-166.532</v>
      </c>
      <c r="F225" s="4" t="str">
        <f>HYPERLINK("http://141.218.60.56/~jnz1568/getInfo.php?workbook=20_10.xlsx&amp;sheet=A0&amp;row=225&amp;col=6&amp;number=3518000000&amp;sourceID=14","3518000000")</f>
        <v>3518000000</v>
      </c>
      <c r="G225" s="4" t="str">
        <f>HYPERLINK("http://141.218.60.56/~jnz1568/getInfo.php?workbook=20_10.xlsx&amp;sheet=A0&amp;row=225&amp;col=7&amp;number=0&amp;sourceID=14","0")</f>
        <v>0</v>
      </c>
    </row>
    <row r="226" spans="1:7">
      <c r="A226" s="3">
        <v>20</v>
      </c>
      <c r="B226" s="3">
        <v>10</v>
      </c>
      <c r="C226" s="3">
        <v>39</v>
      </c>
      <c r="D226" s="3">
        <v>22</v>
      </c>
      <c r="E226" s="3">
        <v>-167.733</v>
      </c>
      <c r="F226" s="4" t="str">
        <f>HYPERLINK("http://141.218.60.56/~jnz1568/getInfo.php?workbook=20_10.xlsx&amp;sheet=A0&amp;row=226&amp;col=6&amp;number=432200000&amp;sourceID=14","432200000")</f>
        <v>432200000</v>
      </c>
      <c r="G226" s="4" t="str">
        <f>HYPERLINK("http://141.218.60.56/~jnz1568/getInfo.php?workbook=20_10.xlsx&amp;sheet=A0&amp;row=226&amp;col=7&amp;number=0&amp;sourceID=14","0")</f>
        <v>0</v>
      </c>
    </row>
    <row r="227" spans="1:7">
      <c r="A227" s="3">
        <v>20</v>
      </c>
      <c r="B227" s="3">
        <v>10</v>
      </c>
      <c r="C227" s="3">
        <v>39</v>
      </c>
      <c r="D227" s="3">
        <v>23</v>
      </c>
      <c r="E227" s="3">
        <v>-171.856</v>
      </c>
      <c r="F227" s="4" t="str">
        <f>HYPERLINK("http://141.218.60.56/~jnz1568/getInfo.php?workbook=20_10.xlsx&amp;sheet=A0&amp;row=227&amp;col=6&amp;number=234600000&amp;sourceID=14","234600000")</f>
        <v>234600000</v>
      </c>
      <c r="G227" s="4" t="str">
        <f>HYPERLINK("http://141.218.60.56/~jnz1568/getInfo.php?workbook=20_10.xlsx&amp;sheet=A0&amp;row=227&amp;col=7&amp;number=0&amp;sourceID=14","0")</f>
        <v>0</v>
      </c>
    </row>
    <row r="228" spans="1:7">
      <c r="A228" s="3">
        <v>20</v>
      </c>
      <c r="B228" s="3">
        <v>10</v>
      </c>
      <c r="C228" s="3">
        <v>39</v>
      </c>
      <c r="D228" s="3">
        <v>24</v>
      </c>
      <c r="E228" s="3">
        <v>-173.706</v>
      </c>
      <c r="F228" s="4" t="str">
        <f>HYPERLINK("http://141.218.60.56/~jnz1568/getInfo.php?workbook=20_10.xlsx&amp;sheet=A0&amp;row=228&amp;col=6&amp;number=222200000&amp;sourceID=14","222200000")</f>
        <v>222200000</v>
      </c>
      <c r="G228" s="4" t="str">
        <f>HYPERLINK("http://141.218.60.56/~jnz1568/getInfo.php?workbook=20_10.xlsx&amp;sheet=A0&amp;row=228&amp;col=7&amp;number=0&amp;sourceID=14","0")</f>
        <v>0</v>
      </c>
    </row>
    <row r="229" spans="1:7">
      <c r="A229" s="3">
        <v>20</v>
      </c>
      <c r="B229" s="3">
        <v>10</v>
      </c>
      <c r="C229" s="3">
        <v>39</v>
      </c>
      <c r="D229" s="3">
        <v>25</v>
      </c>
      <c r="E229" s="3">
        <v>-174.646</v>
      </c>
      <c r="F229" s="4" t="str">
        <f>HYPERLINK("http://141.218.60.56/~jnz1568/getInfo.php?workbook=20_10.xlsx&amp;sheet=A0&amp;row=229&amp;col=6&amp;number=115100000&amp;sourceID=14","115100000")</f>
        <v>115100000</v>
      </c>
      <c r="G229" s="4" t="str">
        <f>HYPERLINK("http://141.218.60.56/~jnz1568/getInfo.php?workbook=20_10.xlsx&amp;sheet=A0&amp;row=229&amp;col=7&amp;number=0&amp;sourceID=14","0")</f>
        <v>0</v>
      </c>
    </row>
    <row r="230" spans="1:7">
      <c r="A230" s="3">
        <v>20</v>
      </c>
      <c r="B230" s="3">
        <v>10</v>
      </c>
      <c r="C230" s="3">
        <v>39</v>
      </c>
      <c r="D230" s="3">
        <v>26</v>
      </c>
      <c r="E230" s="3">
        <v>-174.922</v>
      </c>
      <c r="F230" s="4" t="str">
        <f>HYPERLINK("http://141.218.60.56/~jnz1568/getInfo.php?workbook=20_10.xlsx&amp;sheet=A0&amp;row=230&amp;col=6&amp;number=197900000&amp;sourceID=14","197900000")</f>
        <v>197900000</v>
      </c>
      <c r="G230" s="4" t="str">
        <f>HYPERLINK("http://141.218.60.56/~jnz1568/getInfo.php?workbook=20_10.xlsx&amp;sheet=A0&amp;row=230&amp;col=7&amp;number=0&amp;sourceID=14","0")</f>
        <v>0</v>
      </c>
    </row>
    <row r="231" spans="1:7">
      <c r="A231" s="3">
        <v>20</v>
      </c>
      <c r="B231" s="3">
        <v>10</v>
      </c>
      <c r="C231" s="3">
        <v>39</v>
      </c>
      <c r="D231" s="3">
        <v>31</v>
      </c>
      <c r="E231" s="3">
        <v>-938.255</v>
      </c>
      <c r="F231" s="4" t="str">
        <f>HYPERLINK("http://141.218.60.56/~jnz1568/getInfo.php?workbook=20_10.xlsx&amp;sheet=A0&amp;row=231&amp;col=6&amp;number=93600000&amp;sourceID=14","93600000")</f>
        <v>93600000</v>
      </c>
      <c r="G231" s="4" t="str">
        <f>HYPERLINK("http://141.218.60.56/~jnz1568/getInfo.php?workbook=20_10.xlsx&amp;sheet=A0&amp;row=231&amp;col=7&amp;number=0&amp;sourceID=14","0")</f>
        <v>0</v>
      </c>
    </row>
    <row r="232" spans="1:7">
      <c r="A232" s="3">
        <v>20</v>
      </c>
      <c r="B232" s="3">
        <v>10</v>
      </c>
      <c r="C232" s="3">
        <v>39</v>
      </c>
      <c r="D232" s="3">
        <v>32</v>
      </c>
      <c r="E232" s="3">
        <v>-975.792</v>
      </c>
      <c r="F232" s="4" t="str">
        <f>HYPERLINK("http://141.218.60.56/~jnz1568/getInfo.php?workbook=20_10.xlsx&amp;sheet=A0&amp;row=232&amp;col=6&amp;number=121300000&amp;sourceID=14","121300000")</f>
        <v>121300000</v>
      </c>
      <c r="G232" s="4" t="str">
        <f>HYPERLINK("http://141.218.60.56/~jnz1568/getInfo.php?workbook=20_10.xlsx&amp;sheet=A0&amp;row=232&amp;col=7&amp;number=0&amp;sourceID=14","0")</f>
        <v>0</v>
      </c>
    </row>
    <row r="233" spans="1:7">
      <c r="A233" s="3">
        <v>20</v>
      </c>
      <c r="B233" s="3">
        <v>10</v>
      </c>
      <c r="C233" s="3">
        <v>39</v>
      </c>
      <c r="D233" s="3">
        <v>34</v>
      </c>
      <c r="E233" s="3">
        <v>-1455.903</v>
      </c>
      <c r="F233" s="4" t="str">
        <f>HYPERLINK("http://141.218.60.56/~jnz1568/getInfo.php?workbook=20_10.xlsx&amp;sheet=A0&amp;row=233&amp;col=6&amp;number=209800000&amp;sourceID=14","209800000")</f>
        <v>209800000</v>
      </c>
      <c r="G233" s="4" t="str">
        <f>HYPERLINK("http://141.218.60.56/~jnz1568/getInfo.php?workbook=20_10.xlsx&amp;sheet=A0&amp;row=233&amp;col=7&amp;number=0&amp;sourceID=14","0")</f>
        <v>0</v>
      </c>
    </row>
    <row r="234" spans="1:7">
      <c r="A234" s="3">
        <v>20</v>
      </c>
      <c r="B234" s="3">
        <v>10</v>
      </c>
      <c r="C234" s="3">
        <v>39</v>
      </c>
      <c r="D234" s="3">
        <v>35</v>
      </c>
      <c r="E234" s="3">
        <v>-1522.444</v>
      </c>
      <c r="F234" s="4" t="str">
        <f>HYPERLINK("http://141.218.60.56/~jnz1568/getInfo.php?workbook=20_10.xlsx&amp;sheet=A0&amp;row=234&amp;col=6&amp;number=298000000&amp;sourceID=14","298000000")</f>
        <v>298000000</v>
      </c>
      <c r="G234" s="4" t="str">
        <f>HYPERLINK("http://141.218.60.56/~jnz1568/getInfo.php?workbook=20_10.xlsx&amp;sheet=A0&amp;row=234&amp;col=7&amp;number=0&amp;sourceID=14","0")</f>
        <v>0</v>
      </c>
    </row>
    <row r="235" spans="1:7">
      <c r="A235" s="3">
        <v>20</v>
      </c>
      <c r="B235" s="3">
        <v>10</v>
      </c>
      <c r="C235" s="3">
        <v>40</v>
      </c>
      <c r="D235" s="3">
        <v>2</v>
      </c>
      <c r="E235" s="3">
        <v>-98.169</v>
      </c>
      <c r="F235" s="4" t="str">
        <f>HYPERLINK("http://141.218.60.56/~jnz1568/getInfo.php?workbook=20_10.xlsx&amp;sheet=A0&amp;row=235&amp;col=6&amp;number=38570000000&amp;sourceID=14","38570000000")</f>
        <v>38570000000</v>
      </c>
      <c r="G235" s="4" t="str">
        <f>HYPERLINK("http://141.218.60.56/~jnz1568/getInfo.php?workbook=20_10.xlsx&amp;sheet=A0&amp;row=235&amp;col=7&amp;number=0&amp;sourceID=14","0")</f>
        <v>0</v>
      </c>
    </row>
    <row r="236" spans="1:7">
      <c r="A236" s="3">
        <v>20</v>
      </c>
      <c r="B236" s="3">
        <v>10</v>
      </c>
      <c r="C236" s="3">
        <v>40</v>
      </c>
      <c r="D236" s="3">
        <v>19</v>
      </c>
      <c r="E236" s="3">
        <v>-163.703</v>
      </c>
      <c r="F236" s="4" t="str">
        <f>HYPERLINK("http://141.218.60.56/~jnz1568/getInfo.php?workbook=20_10.xlsx&amp;sheet=A0&amp;row=236&amp;col=6&amp;number=17090000000&amp;sourceID=14","17090000000")</f>
        <v>17090000000</v>
      </c>
      <c r="G236" s="4" t="str">
        <f>HYPERLINK("http://141.218.60.56/~jnz1568/getInfo.php?workbook=20_10.xlsx&amp;sheet=A0&amp;row=236&amp;col=7&amp;number=0&amp;sourceID=14","0")</f>
        <v>0</v>
      </c>
    </row>
    <row r="237" spans="1:7">
      <c r="A237" s="3">
        <v>20</v>
      </c>
      <c r="B237" s="3">
        <v>10</v>
      </c>
      <c r="C237" s="3">
        <v>40</v>
      </c>
      <c r="D237" s="3">
        <v>20</v>
      </c>
      <c r="E237" s="3">
        <v>-164.728</v>
      </c>
      <c r="F237" s="4" t="str">
        <f>HYPERLINK("http://141.218.60.56/~jnz1568/getInfo.php?workbook=20_10.xlsx&amp;sheet=A0&amp;row=237&amp;col=6&amp;number=1827000000&amp;sourceID=14","1827000000")</f>
        <v>1827000000</v>
      </c>
      <c r="G237" s="4" t="str">
        <f>HYPERLINK("http://141.218.60.56/~jnz1568/getInfo.php?workbook=20_10.xlsx&amp;sheet=A0&amp;row=237&amp;col=7&amp;number=0&amp;sourceID=14","0")</f>
        <v>0</v>
      </c>
    </row>
    <row r="238" spans="1:7">
      <c r="A238" s="3">
        <v>20</v>
      </c>
      <c r="B238" s="3">
        <v>10</v>
      </c>
      <c r="C238" s="3">
        <v>40</v>
      </c>
      <c r="D238" s="3">
        <v>21</v>
      </c>
      <c r="E238" s="3">
        <v>-166.483</v>
      </c>
      <c r="F238" s="4" t="str">
        <f>HYPERLINK("http://141.218.60.56/~jnz1568/getInfo.php?workbook=20_10.xlsx&amp;sheet=A0&amp;row=238&amp;col=6&amp;number=133700000&amp;sourceID=14","133700000")</f>
        <v>133700000</v>
      </c>
      <c r="G238" s="4" t="str">
        <f>HYPERLINK("http://141.218.60.56/~jnz1568/getInfo.php?workbook=20_10.xlsx&amp;sheet=A0&amp;row=238&amp;col=7&amp;number=0&amp;sourceID=14","0")</f>
        <v>0</v>
      </c>
    </row>
    <row r="239" spans="1:7">
      <c r="A239" s="3">
        <v>20</v>
      </c>
      <c r="B239" s="3">
        <v>10</v>
      </c>
      <c r="C239" s="3">
        <v>40</v>
      </c>
      <c r="D239" s="3">
        <v>22</v>
      </c>
      <c r="E239" s="3">
        <v>-167.684</v>
      </c>
      <c r="F239" s="4" t="str">
        <f>HYPERLINK("http://141.218.60.56/~jnz1568/getInfo.php?workbook=20_10.xlsx&amp;sheet=A0&amp;row=239&amp;col=6&amp;number=1674000000&amp;sourceID=14","1674000000")</f>
        <v>1674000000</v>
      </c>
      <c r="G239" s="4" t="str">
        <f>HYPERLINK("http://141.218.60.56/~jnz1568/getInfo.php?workbook=20_10.xlsx&amp;sheet=A0&amp;row=239&amp;col=7&amp;number=0&amp;sourceID=14","0")</f>
        <v>0</v>
      </c>
    </row>
    <row r="240" spans="1:7">
      <c r="A240" s="3">
        <v>20</v>
      </c>
      <c r="B240" s="3">
        <v>10</v>
      </c>
      <c r="C240" s="3">
        <v>40</v>
      </c>
      <c r="D240" s="3">
        <v>24</v>
      </c>
      <c r="E240" s="3">
        <v>-173.653</v>
      </c>
      <c r="F240" s="4" t="str">
        <f>HYPERLINK("http://141.218.60.56/~jnz1568/getInfo.php?workbook=20_10.xlsx&amp;sheet=A0&amp;row=240&amp;col=6&amp;number=10200000&amp;sourceID=14","10200000")</f>
        <v>10200000</v>
      </c>
      <c r="G240" s="4" t="str">
        <f>HYPERLINK("http://141.218.60.56/~jnz1568/getInfo.php?workbook=20_10.xlsx&amp;sheet=A0&amp;row=240&amp;col=7&amp;number=0&amp;sourceID=14","0")</f>
        <v>0</v>
      </c>
    </row>
    <row r="241" spans="1:7">
      <c r="A241" s="3">
        <v>20</v>
      </c>
      <c r="B241" s="3">
        <v>10</v>
      </c>
      <c r="C241" s="3">
        <v>40</v>
      </c>
      <c r="D241" s="3">
        <v>25</v>
      </c>
      <c r="E241" s="3">
        <v>-174.593</v>
      </c>
      <c r="F241" s="4" t="str">
        <f>HYPERLINK("http://141.218.60.56/~jnz1568/getInfo.php?workbook=20_10.xlsx&amp;sheet=A0&amp;row=241&amp;col=6&amp;number=72090000&amp;sourceID=14","72090000")</f>
        <v>72090000</v>
      </c>
      <c r="G241" s="4" t="str">
        <f>HYPERLINK("http://141.218.60.56/~jnz1568/getInfo.php?workbook=20_10.xlsx&amp;sheet=A0&amp;row=241&amp;col=7&amp;number=0&amp;sourceID=14","0")</f>
        <v>0</v>
      </c>
    </row>
    <row r="242" spans="1:7">
      <c r="A242" s="3">
        <v>20</v>
      </c>
      <c r="B242" s="3">
        <v>10</v>
      </c>
      <c r="C242" s="3">
        <v>40</v>
      </c>
      <c r="D242" s="3">
        <v>26</v>
      </c>
      <c r="E242" s="3">
        <v>-174.869</v>
      </c>
      <c r="F242" s="4" t="str">
        <f>HYPERLINK("http://141.218.60.56/~jnz1568/getInfo.php?workbook=20_10.xlsx&amp;sheet=A0&amp;row=242&amp;col=6&amp;number=130900000&amp;sourceID=14","130900000")</f>
        <v>130900000</v>
      </c>
      <c r="G242" s="4" t="str">
        <f>HYPERLINK("http://141.218.60.56/~jnz1568/getInfo.php?workbook=20_10.xlsx&amp;sheet=A0&amp;row=242&amp;col=7&amp;number=0&amp;sourceID=14","0")</f>
        <v>0</v>
      </c>
    </row>
    <row r="243" spans="1:7">
      <c r="A243" s="3">
        <v>20</v>
      </c>
      <c r="B243" s="3">
        <v>10</v>
      </c>
      <c r="C243" s="3">
        <v>40</v>
      </c>
      <c r="D243" s="3">
        <v>32</v>
      </c>
      <c r="E243" s="3">
        <v>-974.12</v>
      </c>
      <c r="F243" s="4" t="str">
        <f>HYPERLINK("http://141.218.60.56/~jnz1568/getInfo.php?workbook=20_10.xlsx&amp;sheet=A0&amp;row=243&amp;col=6&amp;number=333100000&amp;sourceID=14","333100000")</f>
        <v>333100000</v>
      </c>
      <c r="G243" s="4" t="str">
        <f>HYPERLINK("http://141.218.60.56/~jnz1568/getInfo.php?workbook=20_10.xlsx&amp;sheet=A0&amp;row=243&amp;col=7&amp;number=0&amp;sourceID=14","0")</f>
        <v>0</v>
      </c>
    </row>
    <row r="244" spans="1:7">
      <c r="A244" s="3">
        <v>20</v>
      </c>
      <c r="B244" s="3">
        <v>10</v>
      </c>
      <c r="C244" s="3">
        <v>40</v>
      </c>
      <c r="D244" s="3">
        <v>34</v>
      </c>
      <c r="E244" s="3">
        <v>-1452.182</v>
      </c>
      <c r="F244" s="4" t="str">
        <f>HYPERLINK("http://141.218.60.56/~jnz1568/getInfo.php?workbook=20_10.xlsx&amp;sheet=A0&amp;row=244&amp;col=6&amp;number=489200000&amp;sourceID=14","489200000")</f>
        <v>489200000</v>
      </c>
      <c r="G244" s="4" t="str">
        <f>HYPERLINK("http://141.218.60.56/~jnz1568/getInfo.php?workbook=20_10.xlsx&amp;sheet=A0&amp;row=244&amp;col=7&amp;number=0&amp;sourceID=14","0")</f>
        <v>0</v>
      </c>
    </row>
    <row r="245" spans="1:7">
      <c r="A245" s="3">
        <v>20</v>
      </c>
      <c r="B245" s="3">
        <v>10</v>
      </c>
      <c r="C245" s="3">
        <v>41</v>
      </c>
      <c r="D245" s="3">
        <v>2</v>
      </c>
      <c r="E245" s="3">
        <v>-97.899</v>
      </c>
      <c r="F245" s="4" t="str">
        <f>HYPERLINK("http://141.218.60.56/~jnz1568/getInfo.php?workbook=20_10.xlsx&amp;sheet=A0&amp;row=245&amp;col=6&amp;number=3357000000&amp;sourceID=14","3357000000")</f>
        <v>3357000000</v>
      </c>
      <c r="G245" s="4" t="str">
        <f>HYPERLINK("http://141.218.60.56/~jnz1568/getInfo.php?workbook=20_10.xlsx&amp;sheet=A0&amp;row=245&amp;col=7&amp;number=0&amp;sourceID=14","0")</f>
        <v>0</v>
      </c>
    </row>
    <row r="246" spans="1:7">
      <c r="A246" s="3">
        <v>20</v>
      </c>
      <c r="B246" s="3">
        <v>10</v>
      </c>
      <c r="C246" s="3">
        <v>41</v>
      </c>
      <c r="D246" s="3">
        <v>3</v>
      </c>
      <c r="E246" s="3">
        <v>-98.681</v>
      </c>
      <c r="F246" s="4" t="str">
        <f>HYPERLINK("http://141.218.60.56/~jnz1568/getInfo.php?workbook=20_10.xlsx&amp;sheet=A0&amp;row=246&amp;col=6&amp;number=33150000000&amp;sourceID=14","33150000000")</f>
        <v>33150000000</v>
      </c>
      <c r="G246" s="4" t="str">
        <f>HYPERLINK("http://141.218.60.56/~jnz1568/getInfo.php?workbook=20_10.xlsx&amp;sheet=A0&amp;row=246&amp;col=7&amp;number=0&amp;sourceID=14","0")</f>
        <v>0</v>
      </c>
    </row>
    <row r="247" spans="1:7">
      <c r="A247" s="3">
        <v>20</v>
      </c>
      <c r="B247" s="3">
        <v>10</v>
      </c>
      <c r="C247" s="3">
        <v>41</v>
      </c>
      <c r="D247" s="3">
        <v>4</v>
      </c>
      <c r="E247" s="3">
        <v>-100.84</v>
      </c>
      <c r="F247" s="4" t="str">
        <f>HYPERLINK("http://141.218.60.56/~jnz1568/getInfo.php?workbook=20_10.xlsx&amp;sheet=A0&amp;row=247&amp;col=6&amp;number=237900000&amp;sourceID=14","237900000")</f>
        <v>237900000</v>
      </c>
      <c r="G247" s="4" t="str">
        <f>HYPERLINK("http://141.218.60.56/~jnz1568/getInfo.php?workbook=20_10.xlsx&amp;sheet=A0&amp;row=247&amp;col=7&amp;number=0&amp;sourceID=14","0")</f>
        <v>0</v>
      </c>
    </row>
    <row r="248" spans="1:7">
      <c r="A248" s="3">
        <v>20</v>
      </c>
      <c r="B248" s="3">
        <v>10</v>
      </c>
      <c r="C248" s="3">
        <v>41</v>
      </c>
      <c r="D248" s="3">
        <v>5</v>
      </c>
      <c r="E248" s="3">
        <v>-101.547</v>
      </c>
      <c r="F248" s="4" t="str">
        <f>HYPERLINK("http://141.218.60.56/~jnz1568/getInfo.php?workbook=20_10.xlsx&amp;sheet=A0&amp;row=248&amp;col=6&amp;number=2189000000&amp;sourceID=14","2189000000")</f>
        <v>2189000000</v>
      </c>
      <c r="G248" s="4" t="str">
        <f>HYPERLINK("http://141.218.60.56/~jnz1568/getInfo.php?workbook=20_10.xlsx&amp;sheet=A0&amp;row=248&amp;col=7&amp;number=0&amp;sourceID=14","0")</f>
        <v>0</v>
      </c>
    </row>
    <row r="249" spans="1:7">
      <c r="A249" s="3">
        <v>20</v>
      </c>
      <c r="B249" s="3">
        <v>10</v>
      </c>
      <c r="C249" s="3">
        <v>41</v>
      </c>
      <c r="D249" s="3">
        <v>16</v>
      </c>
      <c r="E249" s="3">
        <v>-159.983</v>
      </c>
      <c r="F249" s="4" t="str">
        <f>HYPERLINK("http://141.218.60.56/~jnz1568/getInfo.php?workbook=20_10.xlsx&amp;sheet=A0&amp;row=249&amp;col=6&amp;number=288600000&amp;sourceID=14","288600000")</f>
        <v>288600000</v>
      </c>
      <c r="G249" s="4" t="str">
        <f>HYPERLINK("http://141.218.60.56/~jnz1568/getInfo.php?workbook=20_10.xlsx&amp;sheet=A0&amp;row=249&amp;col=7&amp;number=0&amp;sourceID=14","0")</f>
        <v>0</v>
      </c>
    </row>
    <row r="250" spans="1:7">
      <c r="A250" s="3">
        <v>20</v>
      </c>
      <c r="B250" s="3">
        <v>10</v>
      </c>
      <c r="C250" s="3">
        <v>41</v>
      </c>
      <c r="D250" s="3">
        <v>17</v>
      </c>
      <c r="E250" s="3">
        <v>-160.755</v>
      </c>
      <c r="F250" s="4" t="str">
        <f>HYPERLINK("http://141.218.60.56/~jnz1568/getInfo.php?workbook=20_10.xlsx&amp;sheet=A0&amp;row=250&amp;col=6&amp;number=131300000&amp;sourceID=14","131300000")</f>
        <v>131300000</v>
      </c>
      <c r="G250" s="4" t="str">
        <f>HYPERLINK("http://141.218.60.56/~jnz1568/getInfo.php?workbook=20_10.xlsx&amp;sheet=A0&amp;row=250&amp;col=7&amp;number=0&amp;sourceID=14","0")</f>
        <v>0</v>
      </c>
    </row>
    <row r="251" spans="1:7">
      <c r="A251" s="3">
        <v>20</v>
      </c>
      <c r="B251" s="3">
        <v>10</v>
      </c>
      <c r="C251" s="3">
        <v>41</v>
      </c>
      <c r="D251" s="3">
        <v>18</v>
      </c>
      <c r="E251" s="3">
        <v>-162.32</v>
      </c>
      <c r="F251" s="4" t="str">
        <f>HYPERLINK("http://141.218.60.56/~jnz1568/getInfo.php?workbook=20_10.xlsx&amp;sheet=A0&amp;row=251&amp;col=6&amp;number=1490000000&amp;sourceID=14","1490000000")</f>
        <v>1490000000</v>
      </c>
      <c r="G251" s="4" t="str">
        <f>HYPERLINK("http://141.218.60.56/~jnz1568/getInfo.php?workbook=20_10.xlsx&amp;sheet=A0&amp;row=251&amp;col=7&amp;number=0&amp;sourceID=14","0")</f>
        <v>0</v>
      </c>
    </row>
    <row r="252" spans="1:7">
      <c r="A252" s="3">
        <v>20</v>
      </c>
      <c r="B252" s="3">
        <v>10</v>
      </c>
      <c r="C252" s="3">
        <v>41</v>
      </c>
      <c r="D252" s="3">
        <v>21</v>
      </c>
      <c r="E252" s="3">
        <v>-165.708</v>
      </c>
      <c r="F252" s="4" t="str">
        <f>HYPERLINK("http://141.218.60.56/~jnz1568/getInfo.php?workbook=20_10.xlsx&amp;sheet=A0&amp;row=252&amp;col=6&amp;number=12500000000&amp;sourceID=14","12500000000")</f>
        <v>12500000000</v>
      </c>
      <c r="G252" s="4" t="str">
        <f>HYPERLINK("http://141.218.60.56/~jnz1568/getInfo.php?workbook=20_10.xlsx&amp;sheet=A0&amp;row=252&amp;col=7&amp;number=0&amp;sourceID=14","0")</f>
        <v>0</v>
      </c>
    </row>
    <row r="253" spans="1:7">
      <c r="A253" s="3">
        <v>20</v>
      </c>
      <c r="B253" s="3">
        <v>10</v>
      </c>
      <c r="C253" s="3">
        <v>41</v>
      </c>
      <c r="D253" s="3">
        <v>23</v>
      </c>
      <c r="E253" s="3">
        <v>-170.979</v>
      </c>
      <c r="F253" s="4" t="str">
        <f>HYPERLINK("http://141.218.60.56/~jnz1568/getInfo.php?workbook=20_10.xlsx&amp;sheet=A0&amp;row=253&amp;col=6&amp;number=4254000000&amp;sourceID=14","4254000000")</f>
        <v>4254000000</v>
      </c>
      <c r="G253" s="4" t="str">
        <f>HYPERLINK("http://141.218.60.56/~jnz1568/getInfo.php?workbook=20_10.xlsx&amp;sheet=A0&amp;row=253&amp;col=7&amp;number=0&amp;sourceID=14","0")</f>
        <v>0</v>
      </c>
    </row>
    <row r="254" spans="1:7">
      <c r="A254" s="3">
        <v>20</v>
      </c>
      <c r="B254" s="3">
        <v>10</v>
      </c>
      <c r="C254" s="3">
        <v>41</v>
      </c>
      <c r="D254" s="3">
        <v>24</v>
      </c>
      <c r="E254" s="3">
        <v>-172.81</v>
      </c>
      <c r="F254" s="4" t="str">
        <f>HYPERLINK("http://141.218.60.56/~jnz1568/getInfo.php?workbook=20_10.xlsx&amp;sheet=A0&amp;row=254&amp;col=6&amp;number=664600000&amp;sourceID=14","664600000")</f>
        <v>664600000</v>
      </c>
      <c r="G254" s="4" t="str">
        <f>HYPERLINK("http://141.218.60.56/~jnz1568/getInfo.php?workbook=20_10.xlsx&amp;sheet=A0&amp;row=254&amp;col=7&amp;number=0&amp;sourceID=14","0")</f>
        <v>0</v>
      </c>
    </row>
    <row r="255" spans="1:7">
      <c r="A255" s="3">
        <v>20</v>
      </c>
      <c r="B255" s="3">
        <v>10</v>
      </c>
      <c r="C255" s="3">
        <v>41</v>
      </c>
      <c r="D255" s="3">
        <v>25</v>
      </c>
      <c r="E255" s="3">
        <v>-173.741</v>
      </c>
      <c r="F255" s="4" t="str">
        <f>HYPERLINK("http://141.218.60.56/~jnz1568/getInfo.php?workbook=20_10.xlsx&amp;sheet=A0&amp;row=255&amp;col=6&amp;number=207200000&amp;sourceID=14","207200000")</f>
        <v>207200000</v>
      </c>
      <c r="G255" s="4" t="str">
        <f>HYPERLINK("http://141.218.60.56/~jnz1568/getInfo.php?workbook=20_10.xlsx&amp;sheet=A0&amp;row=255&amp;col=7&amp;number=0&amp;sourceID=14","0")</f>
        <v>0</v>
      </c>
    </row>
    <row r="256" spans="1:7">
      <c r="A256" s="3">
        <v>20</v>
      </c>
      <c r="B256" s="3">
        <v>10</v>
      </c>
      <c r="C256" s="3">
        <v>41</v>
      </c>
      <c r="D256" s="3">
        <v>27</v>
      </c>
      <c r="E256" s="3">
        <v>-185.92</v>
      </c>
      <c r="F256" s="4" t="str">
        <f>HYPERLINK("http://141.218.60.56/~jnz1568/getInfo.php?workbook=20_10.xlsx&amp;sheet=A0&amp;row=256&amp;col=6&amp;number=3336000000&amp;sourceID=14","3336000000")</f>
        <v>3336000000</v>
      </c>
      <c r="G256" s="4" t="str">
        <f>HYPERLINK("http://141.218.60.56/~jnz1568/getInfo.php?workbook=20_10.xlsx&amp;sheet=A0&amp;row=256&amp;col=7&amp;number=0&amp;sourceID=14","0")</f>
        <v>0</v>
      </c>
    </row>
    <row r="257" spans="1:7">
      <c r="A257" s="3">
        <v>20</v>
      </c>
      <c r="B257" s="3">
        <v>10</v>
      </c>
      <c r="C257" s="3">
        <v>41</v>
      </c>
      <c r="D257" s="3">
        <v>31</v>
      </c>
      <c r="E257" s="3">
        <v>-912.694</v>
      </c>
      <c r="F257" s="4" t="str">
        <f>HYPERLINK("http://141.218.60.56/~jnz1568/getInfo.php?workbook=20_10.xlsx&amp;sheet=A0&amp;row=257&amp;col=6&amp;number=105700000&amp;sourceID=14","105700000")</f>
        <v>105700000</v>
      </c>
      <c r="G257" s="4" t="str">
        <f>HYPERLINK("http://141.218.60.56/~jnz1568/getInfo.php?workbook=20_10.xlsx&amp;sheet=A0&amp;row=257&amp;col=7&amp;number=0&amp;sourceID=14","0")</f>
        <v>0</v>
      </c>
    </row>
    <row r="258" spans="1:7">
      <c r="A258" s="3">
        <v>20</v>
      </c>
      <c r="B258" s="3">
        <v>10</v>
      </c>
      <c r="C258" s="3">
        <v>41</v>
      </c>
      <c r="D258" s="3">
        <v>32</v>
      </c>
      <c r="E258" s="3">
        <v>-948.175</v>
      </c>
      <c r="F258" s="4" t="str">
        <f>HYPERLINK("http://141.218.60.56/~jnz1568/getInfo.php?workbook=20_10.xlsx&amp;sheet=A0&amp;row=258&amp;col=6&amp;number=25560000&amp;sourceID=14","25560000")</f>
        <v>25560000</v>
      </c>
      <c r="G258" s="4" t="str">
        <f>HYPERLINK("http://141.218.60.56/~jnz1568/getInfo.php?workbook=20_10.xlsx&amp;sheet=A0&amp;row=258&amp;col=7&amp;number=0&amp;sourceID=14","0")</f>
        <v>0</v>
      </c>
    </row>
    <row r="259" spans="1:7">
      <c r="A259" s="3">
        <v>20</v>
      </c>
      <c r="B259" s="3">
        <v>10</v>
      </c>
      <c r="C259" s="3">
        <v>41</v>
      </c>
      <c r="D259" s="3">
        <v>34</v>
      </c>
      <c r="E259" s="3">
        <v>-1395.267</v>
      </c>
      <c r="F259" s="4" t="str">
        <f>HYPERLINK("http://141.218.60.56/~jnz1568/getInfo.php?workbook=20_10.xlsx&amp;sheet=A0&amp;row=259&amp;col=6&amp;number=51980000&amp;sourceID=14","51980000")</f>
        <v>51980000</v>
      </c>
      <c r="G259" s="4" t="str">
        <f>HYPERLINK("http://141.218.60.56/~jnz1568/getInfo.php?workbook=20_10.xlsx&amp;sheet=A0&amp;row=259&amp;col=7&amp;number=0&amp;sourceID=14","0")</f>
        <v>0</v>
      </c>
    </row>
    <row r="260" spans="1:7">
      <c r="A260" s="3">
        <v>20</v>
      </c>
      <c r="B260" s="3">
        <v>10</v>
      </c>
      <c r="C260" s="3">
        <v>41</v>
      </c>
      <c r="D260" s="3">
        <v>35</v>
      </c>
      <c r="E260" s="3">
        <v>-1456.264</v>
      </c>
      <c r="F260" s="4" t="str">
        <f>HYPERLINK("http://141.218.60.56/~jnz1568/getInfo.php?workbook=20_10.xlsx&amp;sheet=A0&amp;row=260&amp;col=6&amp;number=542900000&amp;sourceID=14","542900000")</f>
        <v>542900000</v>
      </c>
      <c r="G260" s="4" t="str">
        <f>HYPERLINK("http://141.218.60.56/~jnz1568/getInfo.php?workbook=20_10.xlsx&amp;sheet=A0&amp;row=260&amp;col=7&amp;number=0&amp;sourceID=14","0")</f>
        <v>0</v>
      </c>
    </row>
    <row r="261" spans="1:7">
      <c r="A261" s="3">
        <v>20</v>
      </c>
      <c r="B261" s="3">
        <v>10</v>
      </c>
      <c r="C261" s="3">
        <v>42</v>
      </c>
      <c r="D261" s="3">
        <v>1</v>
      </c>
      <c r="E261" s="3">
        <v>-26.169</v>
      </c>
      <c r="F261" s="4" t="str">
        <f>HYPERLINK("http://141.218.60.56/~jnz1568/getInfo.php?workbook=20_10.xlsx&amp;sheet=A0&amp;row=261&amp;col=6&amp;number=58650000&amp;sourceID=14","58650000")</f>
        <v>58650000</v>
      </c>
      <c r="G261" s="4" t="str">
        <f>HYPERLINK("http://141.218.60.56/~jnz1568/getInfo.php?workbook=20_10.xlsx&amp;sheet=A0&amp;row=261&amp;col=7&amp;number=0&amp;sourceID=14","0")</f>
        <v>0</v>
      </c>
    </row>
    <row r="262" spans="1:7">
      <c r="A262" s="3">
        <v>20</v>
      </c>
      <c r="B262" s="3">
        <v>10</v>
      </c>
      <c r="C262" s="3">
        <v>42</v>
      </c>
      <c r="D262" s="3">
        <v>2</v>
      </c>
      <c r="E262" s="3">
        <v>-97.736</v>
      </c>
      <c r="F262" s="4" t="str">
        <f>HYPERLINK("http://141.218.60.56/~jnz1568/getInfo.php?workbook=20_10.xlsx&amp;sheet=A0&amp;row=262&amp;col=6&amp;number=19970000000&amp;sourceID=14","19970000000")</f>
        <v>19970000000</v>
      </c>
      <c r="G262" s="4" t="str">
        <f>HYPERLINK("http://141.218.60.56/~jnz1568/getInfo.php?workbook=20_10.xlsx&amp;sheet=A0&amp;row=262&amp;col=7&amp;number=0&amp;sourceID=14","0")</f>
        <v>0</v>
      </c>
    </row>
    <row r="263" spans="1:7">
      <c r="A263" s="3">
        <v>20</v>
      </c>
      <c r="B263" s="3">
        <v>10</v>
      </c>
      <c r="C263" s="3">
        <v>42</v>
      </c>
      <c r="D263" s="3">
        <v>3</v>
      </c>
      <c r="E263" s="3">
        <v>-98.515</v>
      </c>
      <c r="F263" s="4" t="str">
        <f>HYPERLINK("http://141.218.60.56/~jnz1568/getInfo.php?workbook=20_10.xlsx&amp;sheet=A0&amp;row=263&amp;col=6&amp;number=13760000000&amp;sourceID=14","13760000000")</f>
        <v>13760000000</v>
      </c>
      <c r="G263" s="4" t="str">
        <f>HYPERLINK("http://141.218.60.56/~jnz1568/getInfo.php?workbook=20_10.xlsx&amp;sheet=A0&amp;row=263&amp;col=7&amp;number=0&amp;sourceID=14","0")</f>
        <v>0</v>
      </c>
    </row>
    <row r="264" spans="1:7">
      <c r="A264" s="3">
        <v>20</v>
      </c>
      <c r="B264" s="3">
        <v>10</v>
      </c>
      <c r="C264" s="3">
        <v>42</v>
      </c>
      <c r="D264" s="3">
        <v>5</v>
      </c>
      <c r="E264" s="3">
        <v>-101.371</v>
      </c>
      <c r="F264" s="4" t="str">
        <f>HYPERLINK("http://141.218.60.56/~jnz1568/getInfo.php?workbook=20_10.xlsx&amp;sheet=A0&amp;row=264&amp;col=6&amp;number=2285000000&amp;sourceID=14","2285000000")</f>
        <v>2285000000</v>
      </c>
      <c r="G264" s="4" t="str">
        <f>HYPERLINK("http://141.218.60.56/~jnz1568/getInfo.php?workbook=20_10.xlsx&amp;sheet=A0&amp;row=264&amp;col=7&amp;number=0&amp;sourceID=14","0")</f>
        <v>0</v>
      </c>
    </row>
    <row r="265" spans="1:7">
      <c r="A265" s="3">
        <v>20</v>
      </c>
      <c r="B265" s="3">
        <v>10</v>
      </c>
      <c r="C265" s="3">
        <v>42</v>
      </c>
      <c r="D265" s="3">
        <v>17</v>
      </c>
      <c r="E265" s="3">
        <v>-160.316</v>
      </c>
      <c r="F265" s="4" t="str">
        <f>HYPERLINK("http://141.218.60.56/~jnz1568/getInfo.php?workbook=20_10.xlsx&amp;sheet=A0&amp;row=265&amp;col=6&amp;number=1044000000&amp;sourceID=14","1044000000")</f>
        <v>1044000000</v>
      </c>
      <c r="G265" s="4" t="str">
        <f>HYPERLINK("http://141.218.60.56/~jnz1568/getInfo.php?workbook=20_10.xlsx&amp;sheet=A0&amp;row=265&amp;col=7&amp;number=0&amp;sourceID=14","0")</f>
        <v>0</v>
      </c>
    </row>
    <row r="266" spans="1:7">
      <c r="A266" s="3">
        <v>20</v>
      </c>
      <c r="B266" s="3">
        <v>10</v>
      </c>
      <c r="C266" s="3">
        <v>42</v>
      </c>
      <c r="D266" s="3">
        <v>18</v>
      </c>
      <c r="E266" s="3">
        <v>-161.872</v>
      </c>
      <c r="F266" s="4" t="str">
        <f>HYPERLINK("http://141.218.60.56/~jnz1568/getInfo.php?workbook=20_10.xlsx&amp;sheet=A0&amp;row=266&amp;col=6&amp;number=4468000000&amp;sourceID=14","4468000000")</f>
        <v>4468000000</v>
      </c>
      <c r="G266" s="4" t="str">
        <f>HYPERLINK("http://141.218.60.56/~jnz1568/getInfo.php?workbook=20_10.xlsx&amp;sheet=A0&amp;row=266&amp;col=7&amp;number=0&amp;sourceID=14","0")</f>
        <v>0</v>
      </c>
    </row>
    <row r="267" spans="1:7">
      <c r="A267" s="3">
        <v>20</v>
      </c>
      <c r="B267" s="3">
        <v>10</v>
      </c>
      <c r="C267" s="3">
        <v>42</v>
      </c>
      <c r="D267" s="3">
        <v>20</v>
      </c>
      <c r="E267" s="3">
        <v>-163.513</v>
      </c>
      <c r="F267" s="4" t="str">
        <f>HYPERLINK("http://141.218.60.56/~jnz1568/getInfo.php?workbook=20_10.xlsx&amp;sheet=A0&amp;row=267&amp;col=6&amp;number=45380000&amp;sourceID=14","45380000")</f>
        <v>45380000</v>
      </c>
      <c r="G267" s="4" t="str">
        <f>HYPERLINK("http://141.218.60.56/~jnz1568/getInfo.php?workbook=20_10.xlsx&amp;sheet=A0&amp;row=267&amp;col=7&amp;number=0&amp;sourceID=14","0")</f>
        <v>0</v>
      </c>
    </row>
    <row r="268" spans="1:7">
      <c r="A268" s="3">
        <v>20</v>
      </c>
      <c r="B268" s="3">
        <v>10</v>
      </c>
      <c r="C268" s="3">
        <v>42</v>
      </c>
      <c r="D268" s="3">
        <v>21</v>
      </c>
      <c r="E268" s="3">
        <v>-165.242</v>
      </c>
      <c r="F268" s="4" t="str">
        <f>HYPERLINK("http://141.218.60.56/~jnz1568/getInfo.php?workbook=20_10.xlsx&amp;sheet=A0&amp;row=268&amp;col=6&amp;number=35180000&amp;sourceID=14","35180000")</f>
        <v>35180000</v>
      </c>
      <c r="G268" s="4" t="str">
        <f>HYPERLINK("http://141.218.60.56/~jnz1568/getInfo.php?workbook=20_10.xlsx&amp;sheet=A0&amp;row=268&amp;col=7&amp;number=0&amp;sourceID=14","0")</f>
        <v>0</v>
      </c>
    </row>
    <row r="269" spans="1:7">
      <c r="A269" s="3">
        <v>20</v>
      </c>
      <c r="B269" s="3">
        <v>10</v>
      </c>
      <c r="C269" s="3">
        <v>42</v>
      </c>
      <c r="D269" s="3">
        <v>22</v>
      </c>
      <c r="E269" s="3">
        <v>-166.425</v>
      </c>
      <c r="F269" s="4" t="str">
        <f>HYPERLINK("http://141.218.60.56/~jnz1568/getInfo.php?workbook=20_10.xlsx&amp;sheet=A0&amp;row=269&amp;col=6&amp;number=14100000000&amp;sourceID=14","14100000000")</f>
        <v>14100000000</v>
      </c>
      <c r="G269" s="4" t="str">
        <f>HYPERLINK("http://141.218.60.56/~jnz1568/getInfo.php?workbook=20_10.xlsx&amp;sheet=A0&amp;row=269&amp;col=7&amp;number=0&amp;sourceID=14","0")</f>
        <v>0</v>
      </c>
    </row>
    <row r="270" spans="1:7">
      <c r="A270" s="3">
        <v>20</v>
      </c>
      <c r="B270" s="3">
        <v>10</v>
      </c>
      <c r="C270" s="3">
        <v>42</v>
      </c>
      <c r="D270" s="3">
        <v>23</v>
      </c>
      <c r="E270" s="3">
        <v>-170.482</v>
      </c>
      <c r="F270" s="4" t="str">
        <f>HYPERLINK("http://141.218.60.56/~jnz1568/getInfo.php?workbook=20_10.xlsx&amp;sheet=A0&amp;row=270&amp;col=6&amp;number=28970000&amp;sourceID=14","28970000")</f>
        <v>28970000</v>
      </c>
      <c r="G270" s="4" t="str">
        <f>HYPERLINK("http://141.218.60.56/~jnz1568/getInfo.php?workbook=20_10.xlsx&amp;sheet=A0&amp;row=270&amp;col=7&amp;number=0&amp;sourceID=14","0")</f>
        <v>0</v>
      </c>
    </row>
    <row r="271" spans="1:7">
      <c r="A271" s="3">
        <v>20</v>
      </c>
      <c r="B271" s="3">
        <v>10</v>
      </c>
      <c r="C271" s="3">
        <v>42</v>
      </c>
      <c r="D271" s="3">
        <v>25</v>
      </c>
      <c r="E271" s="3">
        <v>-173.228</v>
      </c>
      <c r="F271" s="4" t="str">
        <f>HYPERLINK("http://141.218.60.56/~jnz1568/getInfo.php?workbook=20_10.xlsx&amp;sheet=A0&amp;row=271&amp;col=6&amp;number=755900000&amp;sourceID=14","755900000")</f>
        <v>755900000</v>
      </c>
      <c r="G271" s="4" t="str">
        <f>HYPERLINK("http://141.218.60.56/~jnz1568/getInfo.php?workbook=20_10.xlsx&amp;sheet=A0&amp;row=271&amp;col=7&amp;number=0&amp;sourceID=14","0")</f>
        <v>0</v>
      </c>
    </row>
    <row r="272" spans="1:7">
      <c r="A272" s="3">
        <v>20</v>
      </c>
      <c r="B272" s="3">
        <v>10</v>
      </c>
      <c r="C272" s="3">
        <v>42</v>
      </c>
      <c r="D272" s="3">
        <v>26</v>
      </c>
      <c r="E272" s="3">
        <v>-173.5</v>
      </c>
      <c r="F272" s="4" t="str">
        <f>HYPERLINK("http://141.218.60.56/~jnz1568/getInfo.php?workbook=20_10.xlsx&amp;sheet=A0&amp;row=272&amp;col=6&amp;number=77090000&amp;sourceID=14","77090000")</f>
        <v>77090000</v>
      </c>
      <c r="G272" s="4" t="str">
        <f>HYPERLINK("http://141.218.60.56/~jnz1568/getInfo.php?workbook=20_10.xlsx&amp;sheet=A0&amp;row=272&amp;col=7&amp;number=0&amp;sourceID=14","0")</f>
        <v>0</v>
      </c>
    </row>
    <row r="273" spans="1:7">
      <c r="A273" s="3">
        <v>20</v>
      </c>
      <c r="B273" s="3">
        <v>10</v>
      </c>
      <c r="C273" s="3">
        <v>42</v>
      </c>
      <c r="D273" s="3">
        <v>31</v>
      </c>
      <c r="E273" s="3">
        <v>-898.725</v>
      </c>
      <c r="F273" s="4" t="str">
        <f>HYPERLINK("http://141.218.60.56/~jnz1568/getInfo.php?workbook=20_10.xlsx&amp;sheet=A0&amp;row=273&amp;col=6&amp;number=36650000&amp;sourceID=14","36650000")</f>
        <v>36650000</v>
      </c>
      <c r="G273" s="4" t="str">
        <f>HYPERLINK("http://141.218.60.56/~jnz1568/getInfo.php?workbook=20_10.xlsx&amp;sheet=A0&amp;row=273&amp;col=7&amp;number=0&amp;sourceID=14","0")</f>
        <v>0</v>
      </c>
    </row>
    <row r="274" spans="1:7">
      <c r="A274" s="3">
        <v>20</v>
      </c>
      <c r="B274" s="3">
        <v>10</v>
      </c>
      <c r="C274" s="3">
        <v>42</v>
      </c>
      <c r="D274" s="3">
        <v>32</v>
      </c>
      <c r="E274" s="3">
        <v>-933.107</v>
      </c>
      <c r="F274" s="4" t="str">
        <f>HYPERLINK("http://141.218.60.56/~jnz1568/getInfo.php?workbook=20_10.xlsx&amp;sheet=A0&amp;row=274&amp;col=6&amp;number=159800000&amp;sourceID=14","159800000")</f>
        <v>159800000</v>
      </c>
      <c r="G274" s="4" t="str">
        <f>HYPERLINK("http://141.218.60.56/~jnz1568/getInfo.php?workbook=20_10.xlsx&amp;sheet=A0&amp;row=274&amp;col=7&amp;number=0&amp;sourceID=14","0")</f>
        <v>0</v>
      </c>
    </row>
    <row r="275" spans="1:7">
      <c r="A275" s="3">
        <v>20</v>
      </c>
      <c r="B275" s="3">
        <v>10</v>
      </c>
      <c r="C275" s="3">
        <v>42</v>
      </c>
      <c r="D275" s="3">
        <v>33</v>
      </c>
      <c r="E275" s="3">
        <v>-1024.865</v>
      </c>
      <c r="F275" s="4" t="str">
        <f>HYPERLINK("http://141.218.60.56/~jnz1568/getInfo.php?workbook=20_10.xlsx&amp;sheet=A0&amp;row=275&amp;col=6&amp;number=11920000&amp;sourceID=14","11920000")</f>
        <v>11920000</v>
      </c>
      <c r="G275" s="4" t="str">
        <f>HYPERLINK("http://141.218.60.56/~jnz1568/getInfo.php?workbook=20_10.xlsx&amp;sheet=A0&amp;row=275&amp;col=7&amp;number=0&amp;sourceID=14","0")</f>
        <v>0</v>
      </c>
    </row>
    <row r="276" spans="1:7">
      <c r="A276" s="3">
        <v>20</v>
      </c>
      <c r="B276" s="3">
        <v>10</v>
      </c>
      <c r="C276" s="3">
        <v>42</v>
      </c>
      <c r="D276" s="3">
        <v>34</v>
      </c>
      <c r="E276" s="3">
        <v>-1362.883</v>
      </c>
      <c r="F276" s="4" t="str">
        <f>HYPERLINK("http://141.218.60.56/~jnz1568/getInfo.php?workbook=20_10.xlsx&amp;sheet=A0&amp;row=276&amp;col=6&amp;number=379900000&amp;sourceID=14","379900000")</f>
        <v>379900000</v>
      </c>
      <c r="G276" s="4" t="str">
        <f>HYPERLINK("http://141.218.60.56/~jnz1568/getInfo.php?workbook=20_10.xlsx&amp;sheet=A0&amp;row=276&amp;col=7&amp;number=0&amp;sourceID=14","0")</f>
        <v>0</v>
      </c>
    </row>
    <row r="277" spans="1:7">
      <c r="A277" s="3">
        <v>20</v>
      </c>
      <c r="B277" s="3">
        <v>10</v>
      </c>
      <c r="C277" s="3">
        <v>42</v>
      </c>
      <c r="D277" s="3">
        <v>35</v>
      </c>
      <c r="E277" s="3">
        <v>-1421.022</v>
      </c>
      <c r="F277" s="4" t="str">
        <f>HYPERLINK("http://141.218.60.56/~jnz1568/getInfo.php?workbook=20_10.xlsx&amp;sheet=A0&amp;row=277&amp;col=6&amp;number=279200000&amp;sourceID=14","279200000")</f>
        <v>279200000</v>
      </c>
      <c r="G277" s="4" t="str">
        <f>HYPERLINK("http://141.218.60.56/~jnz1568/getInfo.php?workbook=20_10.xlsx&amp;sheet=A0&amp;row=277&amp;col=7&amp;number=0&amp;sourceID=14","0")</f>
        <v>0</v>
      </c>
    </row>
    <row r="278" spans="1:7">
      <c r="A278" s="3">
        <v>20</v>
      </c>
      <c r="B278" s="3">
        <v>10</v>
      </c>
      <c r="C278" s="3">
        <v>43</v>
      </c>
      <c r="D278" s="3">
        <v>3</v>
      </c>
      <c r="E278" s="3">
        <v>-97.298</v>
      </c>
      <c r="F278" s="4" t="str">
        <f>HYPERLINK("http://141.218.60.56/~jnz1568/getInfo.php?workbook=20_10.xlsx&amp;sheet=A0&amp;row=278&amp;col=6&amp;number=29530000000&amp;sourceID=14","29530000000")</f>
        <v>29530000000</v>
      </c>
      <c r="G278" s="4" t="str">
        <f>HYPERLINK("http://141.218.60.56/~jnz1568/getInfo.php?workbook=20_10.xlsx&amp;sheet=A0&amp;row=278&amp;col=7&amp;number=0&amp;sourceID=14","0")</f>
        <v>0</v>
      </c>
    </row>
    <row r="279" spans="1:7">
      <c r="A279" s="3">
        <v>20</v>
      </c>
      <c r="B279" s="3">
        <v>10</v>
      </c>
      <c r="C279" s="3">
        <v>43</v>
      </c>
      <c r="D279" s="3">
        <v>5</v>
      </c>
      <c r="E279" s="3">
        <v>-100.083</v>
      </c>
      <c r="F279" s="4" t="str">
        <f>HYPERLINK("http://141.218.60.56/~jnz1568/getInfo.php?workbook=20_10.xlsx&amp;sheet=A0&amp;row=279&amp;col=6&amp;number=4605000000&amp;sourceID=14","4605000000")</f>
        <v>4605000000</v>
      </c>
      <c r="G279" s="4" t="str">
        <f>HYPERLINK("http://141.218.60.56/~jnz1568/getInfo.php?workbook=20_10.xlsx&amp;sheet=A0&amp;row=279&amp;col=7&amp;number=0&amp;sourceID=14","0")</f>
        <v>0</v>
      </c>
    </row>
    <row r="280" spans="1:7">
      <c r="A280" s="3">
        <v>20</v>
      </c>
      <c r="B280" s="3">
        <v>10</v>
      </c>
      <c r="C280" s="3">
        <v>43</v>
      </c>
      <c r="D280" s="3">
        <v>17</v>
      </c>
      <c r="E280" s="3">
        <v>-157.118</v>
      </c>
      <c r="F280" s="4" t="str">
        <f>HYPERLINK("http://141.218.60.56/~jnz1568/getInfo.php?workbook=20_10.xlsx&amp;sheet=A0&amp;row=280&amp;col=6&amp;number=2451000000&amp;sourceID=14","2451000000")</f>
        <v>2451000000</v>
      </c>
      <c r="G280" s="4" t="str">
        <f>HYPERLINK("http://141.218.60.56/~jnz1568/getInfo.php?workbook=20_10.xlsx&amp;sheet=A0&amp;row=280&amp;col=7&amp;number=0&amp;sourceID=14","0")</f>
        <v>0</v>
      </c>
    </row>
    <row r="281" spans="1:7">
      <c r="A281" s="3">
        <v>20</v>
      </c>
      <c r="B281" s="3">
        <v>10</v>
      </c>
      <c r="C281" s="3">
        <v>43</v>
      </c>
      <c r="D281" s="3">
        <v>23</v>
      </c>
      <c r="E281" s="3">
        <v>-166.871</v>
      </c>
      <c r="F281" s="4" t="str">
        <f>HYPERLINK("http://141.218.60.56/~jnz1568/getInfo.php?workbook=20_10.xlsx&amp;sheet=A0&amp;row=281&amp;col=6&amp;number=17740000000&amp;sourceID=14","17740000000")</f>
        <v>17740000000</v>
      </c>
      <c r="G281" s="4" t="str">
        <f>HYPERLINK("http://141.218.60.56/~jnz1568/getInfo.php?workbook=20_10.xlsx&amp;sheet=A0&amp;row=281&amp;col=7&amp;number=0&amp;sourceID=14","0")</f>
        <v>0</v>
      </c>
    </row>
    <row r="282" spans="1:7">
      <c r="A282" s="3">
        <v>20</v>
      </c>
      <c r="B282" s="3">
        <v>10</v>
      </c>
      <c r="C282" s="3">
        <v>43</v>
      </c>
      <c r="D282" s="3">
        <v>27</v>
      </c>
      <c r="E282" s="3">
        <v>-181.073</v>
      </c>
      <c r="F282" s="4" t="str">
        <f>HYPERLINK("http://141.218.60.56/~jnz1568/getInfo.php?workbook=20_10.xlsx&amp;sheet=A0&amp;row=282&amp;col=6&amp;number=17620000&amp;sourceID=14","17620000")</f>
        <v>17620000</v>
      </c>
      <c r="G282" s="4" t="str">
        <f>HYPERLINK("http://141.218.60.56/~jnz1568/getInfo.php?workbook=20_10.xlsx&amp;sheet=A0&amp;row=282&amp;col=7&amp;number=0&amp;sourceID=14","0")</f>
        <v>0</v>
      </c>
    </row>
    <row r="283" spans="1:7">
      <c r="A283" s="3">
        <v>20</v>
      </c>
      <c r="B283" s="3">
        <v>10</v>
      </c>
      <c r="C283" s="3">
        <v>43</v>
      </c>
      <c r="D283" s="3">
        <v>31</v>
      </c>
      <c r="E283" s="3">
        <v>-806.687</v>
      </c>
      <c r="F283" s="4" t="str">
        <f>HYPERLINK("http://141.218.60.56/~jnz1568/getInfo.php?workbook=20_10.xlsx&amp;sheet=A0&amp;row=283&amp;col=6&amp;number=223900000&amp;sourceID=14","223900000")</f>
        <v>223900000</v>
      </c>
      <c r="G283" s="4" t="str">
        <f>HYPERLINK("http://141.218.60.56/~jnz1568/getInfo.php?workbook=20_10.xlsx&amp;sheet=A0&amp;row=283&amp;col=7&amp;number=0&amp;sourceID=14","0")</f>
        <v>0</v>
      </c>
    </row>
    <row r="284" spans="1:7">
      <c r="A284" s="3">
        <v>20</v>
      </c>
      <c r="B284" s="3">
        <v>10</v>
      </c>
      <c r="C284" s="3">
        <v>43</v>
      </c>
      <c r="D284" s="3">
        <v>33</v>
      </c>
      <c r="E284" s="3">
        <v>-906.875</v>
      </c>
      <c r="F284" s="4" t="str">
        <f>HYPERLINK("http://141.218.60.56/~jnz1568/getInfo.php?workbook=20_10.xlsx&amp;sheet=A0&amp;row=284&amp;col=6&amp;number=12040000&amp;sourceID=14","12040000")</f>
        <v>12040000</v>
      </c>
      <c r="G284" s="4" t="str">
        <f>HYPERLINK("http://141.218.60.56/~jnz1568/getInfo.php?workbook=20_10.xlsx&amp;sheet=A0&amp;row=284&amp;col=7&amp;number=0&amp;sourceID=14","0")</f>
        <v>0</v>
      </c>
    </row>
    <row r="285" spans="1:7">
      <c r="A285" s="3">
        <v>20</v>
      </c>
      <c r="B285" s="3">
        <v>10</v>
      </c>
      <c r="C285" s="3">
        <v>43</v>
      </c>
      <c r="D285" s="3">
        <v>35</v>
      </c>
      <c r="E285" s="3">
        <v>-1203.85</v>
      </c>
      <c r="F285" s="4" t="str">
        <f>HYPERLINK("http://141.218.60.56/~jnz1568/getInfo.php?workbook=20_10.xlsx&amp;sheet=A0&amp;row=285&amp;col=6&amp;number=820400000&amp;sourceID=14","820400000")</f>
        <v>820400000</v>
      </c>
      <c r="G285" s="4" t="str">
        <f>HYPERLINK("http://141.218.60.56/~jnz1568/getInfo.php?workbook=20_10.xlsx&amp;sheet=A0&amp;row=285&amp;col=7&amp;number=0&amp;sourceID=14","0")</f>
        <v>0</v>
      </c>
    </row>
    <row r="286" spans="1:7">
      <c r="A286" s="3">
        <v>20</v>
      </c>
      <c r="B286" s="3">
        <v>10</v>
      </c>
      <c r="C286" s="3">
        <v>43</v>
      </c>
      <c r="D286" s="3">
        <v>37</v>
      </c>
      <c r="E286" s="3">
        <v>-1839.321</v>
      </c>
      <c r="F286" s="4" t="str">
        <f>HYPERLINK("http://141.218.60.56/~jnz1568/getInfo.php?workbook=20_10.xlsx&amp;sheet=A0&amp;row=286&amp;col=6&amp;number=110500000&amp;sourceID=14","110500000")</f>
        <v>110500000</v>
      </c>
      <c r="G286" s="4" t="str">
        <f>HYPERLINK("http://141.218.60.56/~jnz1568/getInfo.php?workbook=20_10.xlsx&amp;sheet=A0&amp;row=286&amp;col=7&amp;number=0&amp;sourceID=14","0")</f>
        <v>0</v>
      </c>
    </row>
    <row r="287" spans="1:7">
      <c r="A287" s="3">
        <v>20</v>
      </c>
      <c r="B287" s="3">
        <v>10</v>
      </c>
      <c r="C287" s="3">
        <v>44</v>
      </c>
      <c r="D287" s="3">
        <v>3</v>
      </c>
      <c r="E287" s="3">
        <v>96.451</v>
      </c>
      <c r="F287" s="4" t="str">
        <f>HYPERLINK("http://141.218.60.56/~jnz1568/getInfo.php?workbook=20_10.xlsx&amp;sheet=A0&amp;row=287&amp;col=6&amp;number=486100000&amp;sourceID=14","486100000")</f>
        <v>486100000</v>
      </c>
      <c r="G287" s="4" t="str">
        <f>HYPERLINK("http://141.218.60.56/~jnz1568/getInfo.php?workbook=20_10.xlsx&amp;sheet=A0&amp;row=287&amp;col=7&amp;number=0&amp;sourceID=14","0")</f>
        <v>0</v>
      </c>
    </row>
    <row r="288" spans="1:7">
      <c r="A288" s="3">
        <v>20</v>
      </c>
      <c r="B288" s="3">
        <v>10</v>
      </c>
      <c r="C288" s="3">
        <v>44</v>
      </c>
      <c r="D288" s="3">
        <v>4</v>
      </c>
      <c r="E288" s="3">
        <v>98.435</v>
      </c>
      <c r="F288" s="4" t="str">
        <f>HYPERLINK("http://141.218.60.56/~jnz1568/getInfo.php?workbook=20_10.xlsx&amp;sheet=A0&amp;row=288&amp;col=6&amp;number=19360000000&amp;sourceID=14","19360000000")</f>
        <v>19360000000</v>
      </c>
      <c r="G288" s="4" t="str">
        <f>HYPERLINK("http://141.218.60.56/~jnz1568/getInfo.php?workbook=20_10.xlsx&amp;sheet=A0&amp;row=288&amp;col=7&amp;number=0&amp;sourceID=14","0")</f>
        <v>0</v>
      </c>
    </row>
    <row r="289" spans="1:7">
      <c r="A289" s="3">
        <v>20</v>
      </c>
      <c r="B289" s="3">
        <v>10</v>
      </c>
      <c r="C289" s="3">
        <v>44</v>
      </c>
      <c r="D289" s="3">
        <v>5</v>
      </c>
      <c r="E289" s="3">
        <v>99.226</v>
      </c>
      <c r="F289" s="4" t="str">
        <f>HYPERLINK("http://141.218.60.56/~jnz1568/getInfo.php?workbook=20_10.xlsx&amp;sheet=A0&amp;row=289&amp;col=6&amp;number=19950000000&amp;sourceID=14","19950000000")</f>
        <v>19950000000</v>
      </c>
      <c r="G289" s="4" t="str">
        <f>HYPERLINK("http://141.218.60.56/~jnz1568/getInfo.php?workbook=20_10.xlsx&amp;sheet=A0&amp;row=289&amp;col=7&amp;number=0&amp;sourceID=14","0")</f>
        <v>0</v>
      </c>
    </row>
    <row r="290" spans="1:7">
      <c r="A290" s="3">
        <v>20</v>
      </c>
      <c r="B290" s="3">
        <v>10</v>
      </c>
      <c r="C290" s="3">
        <v>44</v>
      </c>
      <c r="D290" s="3">
        <v>16</v>
      </c>
      <c r="E290" s="3">
        <v>-153.589</v>
      </c>
      <c r="F290" s="4" t="str">
        <f>HYPERLINK("http://141.218.60.56/~jnz1568/getInfo.php?workbook=20_10.xlsx&amp;sheet=A0&amp;row=290&amp;col=6&amp;number=51210000&amp;sourceID=14","51210000")</f>
        <v>51210000</v>
      </c>
      <c r="G290" s="4" t="str">
        <f>HYPERLINK("http://141.218.60.56/~jnz1568/getInfo.php?workbook=20_10.xlsx&amp;sheet=A0&amp;row=290&amp;col=7&amp;number=0&amp;sourceID=14","0")</f>
        <v>0</v>
      </c>
    </row>
    <row r="291" spans="1:7">
      <c r="A291" s="3">
        <v>20</v>
      </c>
      <c r="B291" s="3">
        <v>10</v>
      </c>
      <c r="C291" s="3">
        <v>44</v>
      </c>
      <c r="D291" s="3">
        <v>17</v>
      </c>
      <c r="E291" s="3">
        <v>154.226</v>
      </c>
      <c r="F291" s="4" t="str">
        <f>HYPERLINK("http://141.218.60.56/~jnz1568/getInfo.php?workbook=20_10.xlsx&amp;sheet=A0&amp;row=291&amp;col=6&amp;number=32730000&amp;sourceID=14","32730000")</f>
        <v>32730000</v>
      </c>
      <c r="G291" s="4" t="str">
        <f>HYPERLINK("http://141.218.60.56/~jnz1568/getInfo.php?workbook=20_10.xlsx&amp;sheet=A0&amp;row=291&amp;col=7&amp;number=0&amp;sourceID=14","0")</f>
        <v>0</v>
      </c>
    </row>
    <row r="292" spans="1:7">
      <c r="A292" s="3">
        <v>20</v>
      </c>
      <c r="B292" s="3">
        <v>10</v>
      </c>
      <c r="C292" s="3">
        <v>44</v>
      </c>
      <c r="D292" s="3">
        <v>18</v>
      </c>
      <c r="E292" s="3">
        <v>-155.741</v>
      </c>
      <c r="F292" s="4" t="str">
        <f>HYPERLINK("http://141.218.60.56/~jnz1568/getInfo.php?workbook=20_10.xlsx&amp;sheet=A0&amp;row=292&amp;col=6&amp;number=20030000&amp;sourceID=14","20030000")</f>
        <v>20030000</v>
      </c>
      <c r="G292" s="4" t="str">
        <f>HYPERLINK("http://141.218.60.56/~jnz1568/getInfo.php?workbook=20_10.xlsx&amp;sheet=A0&amp;row=292&amp;col=7&amp;number=0&amp;sourceID=14","0")</f>
        <v>0</v>
      </c>
    </row>
    <row r="293" spans="1:7">
      <c r="A293" s="3">
        <v>20</v>
      </c>
      <c r="B293" s="3">
        <v>10</v>
      </c>
      <c r="C293" s="3">
        <v>44</v>
      </c>
      <c r="D293" s="3">
        <v>21</v>
      </c>
      <c r="E293" s="3">
        <v>161.005</v>
      </c>
      <c r="F293" s="4" t="str">
        <f>HYPERLINK("http://141.218.60.56/~jnz1568/getInfo.php?workbook=20_10.xlsx&amp;sheet=A0&amp;row=293&amp;col=6&amp;number=1937000000&amp;sourceID=14","1937000000")</f>
        <v>1937000000</v>
      </c>
      <c r="G293" s="4" t="str">
        <f>HYPERLINK("http://141.218.60.56/~jnz1568/getInfo.php?workbook=20_10.xlsx&amp;sheet=A0&amp;row=293&amp;col=7&amp;number=0&amp;sourceID=14","0")</f>
        <v>0</v>
      </c>
    </row>
    <row r="294" spans="1:7">
      <c r="A294" s="3">
        <v>20</v>
      </c>
      <c r="B294" s="3">
        <v>10</v>
      </c>
      <c r="C294" s="3">
        <v>44</v>
      </c>
      <c r="D294" s="3">
        <v>23</v>
      </c>
      <c r="E294" s="3">
        <v>164.474</v>
      </c>
      <c r="F294" s="4" t="str">
        <f>HYPERLINK("http://141.218.60.56/~jnz1568/getInfo.php?workbook=20_10.xlsx&amp;sheet=A0&amp;row=294&amp;col=6&amp;number=203100000&amp;sourceID=14","203100000")</f>
        <v>203100000</v>
      </c>
      <c r="G294" s="4" t="str">
        <f>HYPERLINK("http://141.218.60.56/~jnz1568/getInfo.php?workbook=20_10.xlsx&amp;sheet=A0&amp;row=294&amp;col=7&amp;number=0&amp;sourceID=14","0")</f>
        <v>0</v>
      </c>
    </row>
    <row r="295" spans="1:7">
      <c r="A295" s="3">
        <v>20</v>
      </c>
      <c r="B295" s="3">
        <v>10</v>
      </c>
      <c r="C295" s="3">
        <v>44</v>
      </c>
      <c r="D295" s="3">
        <v>24</v>
      </c>
      <c r="E295" s="3">
        <v>167.645</v>
      </c>
      <c r="F295" s="4" t="str">
        <f>HYPERLINK("http://141.218.60.56/~jnz1568/getInfo.php?workbook=20_10.xlsx&amp;sheet=A0&amp;row=295&amp;col=6&amp;number=17040000000&amp;sourceID=14","17040000000")</f>
        <v>17040000000</v>
      </c>
      <c r="G295" s="4" t="str">
        <f>HYPERLINK("http://141.218.60.56/~jnz1568/getInfo.php?workbook=20_10.xlsx&amp;sheet=A0&amp;row=295&amp;col=7&amp;number=0&amp;sourceID=14","0")</f>
        <v>0</v>
      </c>
    </row>
    <row r="296" spans="1:7">
      <c r="A296" s="3">
        <v>20</v>
      </c>
      <c r="B296" s="3">
        <v>10</v>
      </c>
      <c r="C296" s="3">
        <v>44</v>
      </c>
      <c r="D296" s="3">
        <v>25</v>
      </c>
      <c r="E296" s="3">
        <v>165.317</v>
      </c>
      <c r="F296" s="4" t="str">
        <f>HYPERLINK("http://141.218.60.56/~jnz1568/getInfo.php?workbook=20_10.xlsx&amp;sheet=A0&amp;row=296&amp;col=6&amp;number=20830000&amp;sourceID=14","20830000")</f>
        <v>20830000</v>
      </c>
      <c r="G296" s="4" t="str">
        <f>HYPERLINK("http://141.218.60.56/~jnz1568/getInfo.php?workbook=20_10.xlsx&amp;sheet=A0&amp;row=296&amp;col=7&amp;number=0&amp;sourceID=14","0")</f>
        <v>0</v>
      </c>
    </row>
    <row r="297" spans="1:7">
      <c r="A297" s="3">
        <v>20</v>
      </c>
      <c r="B297" s="3">
        <v>10</v>
      </c>
      <c r="C297" s="3">
        <v>44</v>
      </c>
      <c r="D297" s="3">
        <v>27</v>
      </c>
      <c r="E297" s="3">
        <v>177.494</v>
      </c>
      <c r="F297" s="4" t="str">
        <f>HYPERLINK("http://141.218.60.56/~jnz1568/getInfo.php?workbook=20_10.xlsx&amp;sheet=A0&amp;row=297&amp;col=6&amp;number=3145000000&amp;sourceID=14","3145000000")</f>
        <v>3145000000</v>
      </c>
      <c r="G297" s="4" t="str">
        <f>HYPERLINK("http://141.218.60.56/~jnz1568/getInfo.php?workbook=20_10.xlsx&amp;sheet=A0&amp;row=297&amp;col=7&amp;number=0&amp;sourceID=14","0")</f>
        <v>0</v>
      </c>
    </row>
    <row r="298" spans="1:7">
      <c r="A298" s="3">
        <v>20</v>
      </c>
      <c r="B298" s="3">
        <v>10</v>
      </c>
      <c r="C298" s="3">
        <v>44</v>
      </c>
      <c r="D298" s="3">
        <v>30</v>
      </c>
      <c r="E298" s="3">
        <v>-730.488</v>
      </c>
      <c r="F298" s="4" t="str">
        <f>HYPERLINK("http://141.218.60.56/~jnz1568/getInfo.php?workbook=20_10.xlsx&amp;sheet=A0&amp;row=298&amp;col=6&amp;number=145900000&amp;sourceID=14","145900000")</f>
        <v>145900000</v>
      </c>
      <c r="G298" s="4" t="str">
        <f>HYPERLINK("http://141.218.60.56/~jnz1568/getInfo.php?workbook=20_10.xlsx&amp;sheet=A0&amp;row=298&amp;col=7&amp;number=0&amp;sourceID=14","0")</f>
        <v>0</v>
      </c>
    </row>
    <row r="299" spans="1:7">
      <c r="A299" s="3">
        <v>20</v>
      </c>
      <c r="B299" s="3">
        <v>10</v>
      </c>
      <c r="C299" s="3">
        <v>44</v>
      </c>
      <c r="D299" s="3">
        <v>31</v>
      </c>
      <c r="E299" s="3">
        <v>645.996</v>
      </c>
      <c r="F299" s="4" t="str">
        <f>HYPERLINK("http://141.218.60.56/~jnz1568/getInfo.php?workbook=20_10.xlsx&amp;sheet=A0&amp;row=299&amp;col=6&amp;number=108100000&amp;sourceID=14","108100000")</f>
        <v>108100000</v>
      </c>
      <c r="G299" s="4" t="str">
        <f>HYPERLINK("http://141.218.60.56/~jnz1568/getInfo.php?workbook=20_10.xlsx&amp;sheet=A0&amp;row=299&amp;col=7&amp;number=0&amp;sourceID=14","0")</f>
        <v>0</v>
      </c>
    </row>
    <row r="300" spans="1:7">
      <c r="A300" s="3">
        <v>20</v>
      </c>
      <c r="B300" s="3">
        <v>10</v>
      </c>
      <c r="C300" s="3">
        <v>44</v>
      </c>
      <c r="D300" s="3">
        <v>33</v>
      </c>
      <c r="E300" s="3">
        <v>720.462</v>
      </c>
      <c r="F300" s="4" t="str">
        <f>HYPERLINK("http://141.218.60.56/~jnz1568/getInfo.php?workbook=20_10.xlsx&amp;sheet=A0&amp;row=300&amp;col=6&amp;number=14290000&amp;sourceID=14","14290000")</f>
        <v>14290000</v>
      </c>
      <c r="G300" s="4" t="str">
        <f>HYPERLINK("http://141.218.60.56/~jnz1568/getInfo.php?workbook=20_10.xlsx&amp;sheet=A0&amp;row=300&amp;col=7&amp;number=0&amp;sourceID=14","0")</f>
        <v>0</v>
      </c>
    </row>
    <row r="301" spans="1:7">
      <c r="A301" s="3">
        <v>20</v>
      </c>
      <c r="B301" s="3">
        <v>10</v>
      </c>
      <c r="C301" s="3">
        <v>44</v>
      </c>
      <c r="D301" s="3">
        <v>36</v>
      </c>
      <c r="E301" s="3">
        <v>-1477.217</v>
      </c>
      <c r="F301" s="4" t="str">
        <f>HYPERLINK("http://141.218.60.56/~jnz1568/getInfo.php?workbook=20_10.xlsx&amp;sheet=A0&amp;row=301&amp;col=6&amp;number=278000000&amp;sourceID=14","278000000")</f>
        <v>278000000</v>
      </c>
      <c r="G301" s="4" t="str">
        <f>HYPERLINK("http://141.218.60.56/~jnz1568/getInfo.php?workbook=20_10.xlsx&amp;sheet=A0&amp;row=301&amp;col=7&amp;number=0&amp;sourceID=14","0")</f>
        <v>0</v>
      </c>
    </row>
    <row r="302" spans="1:7">
      <c r="A302" s="3">
        <v>20</v>
      </c>
      <c r="B302" s="3">
        <v>10</v>
      </c>
      <c r="C302" s="3">
        <v>44</v>
      </c>
      <c r="D302" s="3">
        <v>37</v>
      </c>
      <c r="E302" s="3">
        <v>1066.1</v>
      </c>
      <c r="F302" s="4" t="str">
        <f>HYPERLINK("http://141.218.60.56/~jnz1568/getInfo.php?workbook=20_10.xlsx&amp;sheet=A0&amp;row=302&amp;col=6&amp;number=859600000&amp;sourceID=14","859600000")</f>
        <v>859600000</v>
      </c>
      <c r="G302" s="4" t="str">
        <f>HYPERLINK("http://141.218.60.56/~jnz1568/getInfo.php?workbook=20_10.xlsx&amp;sheet=A0&amp;row=302&amp;col=7&amp;number=0&amp;sourceID=14","0")</f>
        <v>0</v>
      </c>
    </row>
    <row r="303" spans="1:7">
      <c r="A303" s="3">
        <v>20</v>
      </c>
      <c r="B303" s="3">
        <v>10</v>
      </c>
      <c r="C303" s="3">
        <v>45</v>
      </c>
      <c r="D303" s="3">
        <v>2</v>
      </c>
      <c r="E303" s="3">
        <v>-95.222</v>
      </c>
      <c r="F303" s="4" t="str">
        <f>HYPERLINK("http://141.218.60.56/~jnz1568/getInfo.php?workbook=20_10.xlsx&amp;sheet=A0&amp;row=303&amp;col=6&amp;number=924900000&amp;sourceID=14","924900000")</f>
        <v>924900000</v>
      </c>
      <c r="G303" s="4" t="str">
        <f>HYPERLINK("http://141.218.60.56/~jnz1568/getInfo.php?workbook=20_10.xlsx&amp;sheet=A0&amp;row=303&amp;col=7&amp;number=0&amp;sourceID=14","0")</f>
        <v>0</v>
      </c>
    </row>
    <row r="304" spans="1:7">
      <c r="A304" s="3">
        <v>20</v>
      </c>
      <c r="B304" s="3">
        <v>10</v>
      </c>
      <c r="C304" s="3">
        <v>45</v>
      </c>
      <c r="D304" s="3">
        <v>3</v>
      </c>
      <c r="E304" s="3">
        <v>-95.961</v>
      </c>
      <c r="F304" s="4" t="str">
        <f>HYPERLINK("http://141.218.60.56/~jnz1568/getInfo.php?workbook=20_10.xlsx&amp;sheet=A0&amp;row=304&amp;col=6&amp;number=469200000&amp;sourceID=14","469200000")</f>
        <v>469200000</v>
      </c>
      <c r="G304" s="4" t="str">
        <f>HYPERLINK("http://141.218.60.56/~jnz1568/getInfo.php?workbook=20_10.xlsx&amp;sheet=A0&amp;row=304&amp;col=7&amp;number=0&amp;sourceID=14","0")</f>
        <v>0</v>
      </c>
    </row>
    <row r="305" spans="1:7">
      <c r="A305" s="3">
        <v>20</v>
      </c>
      <c r="B305" s="3">
        <v>10</v>
      </c>
      <c r="C305" s="3">
        <v>45</v>
      </c>
      <c r="D305" s="3">
        <v>4</v>
      </c>
      <c r="E305" s="3">
        <v>-98.002</v>
      </c>
      <c r="F305" s="4" t="str">
        <f>HYPERLINK("http://141.218.60.56/~jnz1568/getInfo.php?workbook=20_10.xlsx&amp;sheet=A0&amp;row=305&amp;col=6&amp;number=16720000000&amp;sourceID=14","16720000000")</f>
        <v>16720000000</v>
      </c>
      <c r="G305" s="4" t="str">
        <f>HYPERLINK("http://141.218.60.56/~jnz1568/getInfo.php?workbook=20_10.xlsx&amp;sheet=A0&amp;row=305&amp;col=7&amp;number=0&amp;sourceID=14","0")</f>
        <v>0</v>
      </c>
    </row>
    <row r="306" spans="1:7">
      <c r="A306" s="3">
        <v>20</v>
      </c>
      <c r="B306" s="3">
        <v>10</v>
      </c>
      <c r="C306" s="3">
        <v>45</v>
      </c>
      <c r="D306" s="3">
        <v>5</v>
      </c>
      <c r="E306" s="3">
        <v>-98.67</v>
      </c>
      <c r="F306" s="4" t="str">
        <f>HYPERLINK("http://141.218.60.56/~jnz1568/getInfo.php?workbook=20_10.xlsx&amp;sheet=A0&amp;row=306&amp;col=6&amp;number=17030000000&amp;sourceID=14","17030000000")</f>
        <v>17030000000</v>
      </c>
      <c r="G306" s="4" t="str">
        <f>HYPERLINK("http://141.218.60.56/~jnz1568/getInfo.php?workbook=20_10.xlsx&amp;sheet=A0&amp;row=306&amp;col=7&amp;number=0&amp;sourceID=14","0")</f>
        <v>0</v>
      </c>
    </row>
    <row r="307" spans="1:7">
      <c r="A307" s="3">
        <v>20</v>
      </c>
      <c r="B307" s="3">
        <v>10</v>
      </c>
      <c r="C307" s="3">
        <v>45</v>
      </c>
      <c r="D307" s="3">
        <v>16</v>
      </c>
      <c r="E307" s="3">
        <v>-152.956</v>
      </c>
      <c r="F307" s="4" t="str">
        <f>HYPERLINK("http://141.218.60.56/~jnz1568/getInfo.php?workbook=20_10.xlsx&amp;sheet=A0&amp;row=307&amp;col=6&amp;number=174500000&amp;sourceID=14","174500000")</f>
        <v>174500000</v>
      </c>
      <c r="G307" s="4" t="str">
        <f>HYPERLINK("http://141.218.60.56/~jnz1568/getInfo.php?workbook=20_10.xlsx&amp;sheet=A0&amp;row=307&amp;col=7&amp;number=0&amp;sourceID=14","0")</f>
        <v>0</v>
      </c>
    </row>
    <row r="308" spans="1:7">
      <c r="A308" s="3">
        <v>20</v>
      </c>
      <c r="B308" s="3">
        <v>10</v>
      </c>
      <c r="C308" s="3">
        <v>45</v>
      </c>
      <c r="D308" s="3">
        <v>17</v>
      </c>
      <c r="E308" s="3">
        <v>-153.662</v>
      </c>
      <c r="F308" s="4" t="str">
        <f>HYPERLINK("http://141.218.60.56/~jnz1568/getInfo.php?workbook=20_10.xlsx&amp;sheet=A0&amp;row=308&amp;col=6&amp;number=29180000&amp;sourceID=14","29180000")</f>
        <v>29180000</v>
      </c>
      <c r="G308" s="4" t="str">
        <f>HYPERLINK("http://141.218.60.56/~jnz1568/getInfo.php?workbook=20_10.xlsx&amp;sheet=A0&amp;row=308&amp;col=7&amp;number=0&amp;sourceID=14","0")</f>
        <v>0</v>
      </c>
    </row>
    <row r="309" spans="1:7">
      <c r="A309" s="3">
        <v>20</v>
      </c>
      <c r="B309" s="3">
        <v>10</v>
      </c>
      <c r="C309" s="3">
        <v>45</v>
      </c>
      <c r="D309" s="3">
        <v>18</v>
      </c>
      <c r="E309" s="3">
        <v>-155.09</v>
      </c>
      <c r="F309" s="4" t="str">
        <f>HYPERLINK("http://141.218.60.56/~jnz1568/getInfo.php?workbook=20_10.xlsx&amp;sheet=A0&amp;row=309&amp;col=6&amp;number=1345000000&amp;sourceID=14","1345000000")</f>
        <v>1345000000</v>
      </c>
      <c r="G309" s="4" t="str">
        <f>HYPERLINK("http://141.218.60.56/~jnz1568/getInfo.php?workbook=20_10.xlsx&amp;sheet=A0&amp;row=309&amp;col=7&amp;number=0&amp;sourceID=14","0")</f>
        <v>0</v>
      </c>
    </row>
    <row r="310" spans="1:7">
      <c r="A310" s="3">
        <v>20</v>
      </c>
      <c r="B310" s="3">
        <v>10</v>
      </c>
      <c r="C310" s="3">
        <v>45</v>
      </c>
      <c r="D310" s="3">
        <v>21</v>
      </c>
      <c r="E310" s="3">
        <v>-158.181</v>
      </c>
      <c r="F310" s="4" t="str">
        <f>HYPERLINK("http://141.218.60.56/~jnz1568/getInfo.php?workbook=20_10.xlsx&amp;sheet=A0&amp;row=310&amp;col=6&amp;number=55170000&amp;sourceID=14","55170000")</f>
        <v>55170000</v>
      </c>
      <c r="G310" s="4" t="str">
        <f>HYPERLINK("http://141.218.60.56/~jnz1568/getInfo.php?workbook=20_10.xlsx&amp;sheet=A0&amp;row=310&amp;col=7&amp;number=0&amp;sourceID=14","0")</f>
        <v>0</v>
      </c>
    </row>
    <row r="311" spans="1:7">
      <c r="A311" s="3">
        <v>20</v>
      </c>
      <c r="B311" s="3">
        <v>10</v>
      </c>
      <c r="C311" s="3">
        <v>45</v>
      </c>
      <c r="D311" s="3">
        <v>23</v>
      </c>
      <c r="E311" s="3">
        <v>-162.977</v>
      </c>
      <c r="F311" s="4" t="str">
        <f>HYPERLINK("http://141.218.60.56/~jnz1568/getInfo.php?workbook=20_10.xlsx&amp;sheet=A0&amp;row=311&amp;col=6&amp;number=741800000&amp;sourceID=14","741800000")</f>
        <v>741800000</v>
      </c>
      <c r="G311" s="4" t="str">
        <f>HYPERLINK("http://141.218.60.56/~jnz1568/getInfo.php?workbook=20_10.xlsx&amp;sheet=A0&amp;row=311&amp;col=7&amp;number=0&amp;sourceID=14","0")</f>
        <v>0</v>
      </c>
    </row>
    <row r="312" spans="1:7">
      <c r="A312" s="3">
        <v>20</v>
      </c>
      <c r="B312" s="3">
        <v>10</v>
      </c>
      <c r="C312" s="3">
        <v>45</v>
      </c>
      <c r="D312" s="3">
        <v>24</v>
      </c>
      <c r="E312" s="3">
        <v>-164.64</v>
      </c>
      <c r="F312" s="4" t="str">
        <f>HYPERLINK("http://141.218.60.56/~jnz1568/getInfo.php?workbook=20_10.xlsx&amp;sheet=A0&amp;row=312&amp;col=6&amp;number=373500000&amp;sourceID=14","373500000")</f>
        <v>373500000</v>
      </c>
      <c r="G312" s="4" t="str">
        <f>HYPERLINK("http://141.218.60.56/~jnz1568/getInfo.php?workbook=20_10.xlsx&amp;sheet=A0&amp;row=312&amp;col=7&amp;number=0&amp;sourceID=14","0")</f>
        <v>0</v>
      </c>
    </row>
    <row r="313" spans="1:7">
      <c r="A313" s="3">
        <v>20</v>
      </c>
      <c r="B313" s="3">
        <v>10</v>
      </c>
      <c r="C313" s="3">
        <v>45</v>
      </c>
      <c r="D313" s="3">
        <v>25</v>
      </c>
      <c r="E313" s="3">
        <v>-165.484</v>
      </c>
      <c r="F313" s="4" t="str">
        <f>HYPERLINK("http://141.218.60.56/~jnz1568/getInfo.php?workbook=20_10.xlsx&amp;sheet=A0&amp;row=313&amp;col=6&amp;number=15070000000&amp;sourceID=14","15070000000")</f>
        <v>15070000000</v>
      </c>
      <c r="G313" s="4" t="str">
        <f>HYPERLINK("http://141.218.60.56/~jnz1568/getInfo.php?workbook=20_10.xlsx&amp;sheet=A0&amp;row=313&amp;col=7&amp;number=0&amp;sourceID=14","0")</f>
        <v>0</v>
      </c>
    </row>
    <row r="314" spans="1:7">
      <c r="A314" s="3">
        <v>20</v>
      </c>
      <c r="B314" s="3">
        <v>10</v>
      </c>
      <c r="C314" s="3">
        <v>45</v>
      </c>
      <c r="D314" s="3">
        <v>27</v>
      </c>
      <c r="E314" s="3">
        <v>-176.497</v>
      </c>
      <c r="F314" s="4" t="str">
        <f>HYPERLINK("http://141.218.60.56/~jnz1568/getInfo.php?workbook=20_10.xlsx&amp;sheet=A0&amp;row=314&amp;col=6&amp;number=2890000000&amp;sourceID=14","2890000000")</f>
        <v>2890000000</v>
      </c>
      <c r="G314" s="4" t="str">
        <f>HYPERLINK("http://141.218.60.56/~jnz1568/getInfo.php?workbook=20_10.xlsx&amp;sheet=A0&amp;row=314&amp;col=7&amp;number=0&amp;sourceID=14","0")</f>
        <v>0</v>
      </c>
    </row>
    <row r="315" spans="1:7">
      <c r="A315" s="3">
        <v>20</v>
      </c>
      <c r="B315" s="3">
        <v>10</v>
      </c>
      <c r="C315" s="3">
        <v>45</v>
      </c>
      <c r="D315" s="3">
        <v>30</v>
      </c>
      <c r="E315" s="3">
        <v>-716.385</v>
      </c>
      <c r="F315" s="4" t="str">
        <f>HYPERLINK("http://141.218.60.56/~jnz1568/getInfo.php?workbook=20_10.xlsx&amp;sheet=A0&amp;row=315&amp;col=6&amp;number=88130000&amp;sourceID=14","88130000")</f>
        <v>88130000</v>
      </c>
      <c r="G315" s="4" t="str">
        <f>HYPERLINK("http://141.218.60.56/~jnz1568/getInfo.php?workbook=20_10.xlsx&amp;sheet=A0&amp;row=315&amp;col=7&amp;number=0&amp;sourceID=14","0")</f>
        <v>0</v>
      </c>
    </row>
    <row r="316" spans="1:7">
      <c r="A316" s="3">
        <v>20</v>
      </c>
      <c r="B316" s="3">
        <v>10</v>
      </c>
      <c r="C316" s="3">
        <v>45</v>
      </c>
      <c r="D316" s="3">
        <v>31</v>
      </c>
      <c r="E316" s="3">
        <v>-723.161</v>
      </c>
      <c r="F316" s="4" t="str">
        <f>HYPERLINK("http://141.218.60.56/~jnz1568/getInfo.php?workbook=20_10.xlsx&amp;sheet=A0&amp;row=316&amp;col=6&amp;number=30710000&amp;sourceID=14","30710000")</f>
        <v>30710000</v>
      </c>
      <c r="G316" s="4" t="str">
        <f>HYPERLINK("http://141.218.60.56/~jnz1568/getInfo.php?workbook=20_10.xlsx&amp;sheet=A0&amp;row=316&amp;col=7&amp;number=0&amp;sourceID=14","0")</f>
        <v>0</v>
      </c>
    </row>
    <row r="317" spans="1:7">
      <c r="A317" s="3">
        <v>20</v>
      </c>
      <c r="B317" s="3">
        <v>10</v>
      </c>
      <c r="C317" s="3">
        <v>45</v>
      </c>
      <c r="D317" s="3">
        <v>32</v>
      </c>
      <c r="E317" s="3">
        <v>-745.258</v>
      </c>
      <c r="F317" s="4" t="str">
        <f>HYPERLINK("http://141.218.60.56/~jnz1568/getInfo.php?workbook=20_10.xlsx&amp;sheet=A0&amp;row=317&amp;col=6&amp;number=12230000&amp;sourceID=14","12230000")</f>
        <v>12230000</v>
      </c>
      <c r="G317" s="4" t="str">
        <f>HYPERLINK("http://141.218.60.56/~jnz1568/getInfo.php?workbook=20_10.xlsx&amp;sheet=A0&amp;row=317&amp;col=7&amp;number=0&amp;sourceID=14","0")</f>
        <v>0</v>
      </c>
    </row>
    <row r="318" spans="1:7">
      <c r="A318" s="3">
        <v>20</v>
      </c>
      <c r="B318" s="3">
        <v>10</v>
      </c>
      <c r="C318" s="3">
        <v>45</v>
      </c>
      <c r="D318" s="3">
        <v>34</v>
      </c>
      <c r="E318" s="3">
        <v>-996.147</v>
      </c>
      <c r="F318" s="4" t="str">
        <f>HYPERLINK("http://141.218.60.56/~jnz1568/getInfo.php?workbook=20_10.xlsx&amp;sheet=A0&amp;row=318&amp;col=6&amp;number=38320000&amp;sourceID=14","38320000")</f>
        <v>38320000</v>
      </c>
      <c r="G318" s="4" t="str">
        <f>HYPERLINK("http://141.218.60.56/~jnz1568/getInfo.php?workbook=20_10.xlsx&amp;sheet=A0&amp;row=318&amp;col=7&amp;number=0&amp;sourceID=14","0")</f>
        <v>0</v>
      </c>
    </row>
    <row r="319" spans="1:7">
      <c r="A319" s="3">
        <v>20</v>
      </c>
      <c r="B319" s="3">
        <v>10</v>
      </c>
      <c r="C319" s="3">
        <v>45</v>
      </c>
      <c r="D319" s="3">
        <v>36</v>
      </c>
      <c r="E319" s="3">
        <v>-1420.659</v>
      </c>
      <c r="F319" s="4" t="str">
        <f>HYPERLINK("http://141.218.60.56/~jnz1568/getInfo.php?workbook=20_10.xlsx&amp;sheet=A0&amp;row=319&amp;col=6&amp;number=331100000&amp;sourceID=14","331100000")</f>
        <v>331100000</v>
      </c>
      <c r="G319" s="4" t="str">
        <f>HYPERLINK("http://141.218.60.56/~jnz1568/getInfo.php?workbook=20_10.xlsx&amp;sheet=A0&amp;row=319&amp;col=7&amp;number=0&amp;sourceID=14","0")</f>
        <v>0</v>
      </c>
    </row>
    <row r="320" spans="1:7">
      <c r="A320" s="3">
        <v>20</v>
      </c>
      <c r="B320" s="3">
        <v>10</v>
      </c>
      <c r="C320" s="3">
        <v>45</v>
      </c>
      <c r="D320" s="3">
        <v>37</v>
      </c>
      <c r="E320" s="3">
        <v>-1455.903</v>
      </c>
      <c r="F320" s="4" t="str">
        <f>HYPERLINK("http://141.218.60.56/~jnz1568/getInfo.php?workbook=20_10.xlsx&amp;sheet=A0&amp;row=320&amp;col=6&amp;number=311900000&amp;sourceID=14","311900000")</f>
        <v>311900000</v>
      </c>
      <c r="G320" s="4" t="str">
        <f>HYPERLINK("http://141.218.60.56/~jnz1568/getInfo.php?workbook=20_10.xlsx&amp;sheet=A0&amp;row=320&amp;col=7&amp;number=0&amp;sourceID=14","0")</f>
        <v>0</v>
      </c>
    </row>
    <row r="321" spans="1:7">
      <c r="A321" s="3">
        <v>20</v>
      </c>
      <c r="B321" s="3">
        <v>10</v>
      </c>
      <c r="C321" s="3">
        <v>46</v>
      </c>
      <c r="D321" s="3">
        <v>1</v>
      </c>
      <c r="E321" s="3">
        <v>-25.98</v>
      </c>
      <c r="F321" s="4" t="str">
        <f>HYPERLINK("http://141.218.60.56/~jnz1568/getInfo.php?workbook=20_10.xlsx&amp;sheet=A0&amp;row=321&amp;col=6&amp;number=71870000&amp;sourceID=14","71870000")</f>
        <v>71870000</v>
      </c>
      <c r="G321" s="4" t="str">
        <f>HYPERLINK("http://141.218.60.56/~jnz1568/getInfo.php?workbook=20_10.xlsx&amp;sheet=A0&amp;row=321&amp;col=7&amp;number=0&amp;sourceID=14","0")</f>
        <v>0</v>
      </c>
    </row>
    <row r="322" spans="1:7">
      <c r="A322" s="3">
        <v>20</v>
      </c>
      <c r="B322" s="3">
        <v>10</v>
      </c>
      <c r="C322" s="3">
        <v>46</v>
      </c>
      <c r="D322" s="3">
        <v>2</v>
      </c>
      <c r="E322" s="3">
        <v>-95.159</v>
      </c>
      <c r="F322" s="4" t="str">
        <f>HYPERLINK("http://141.218.60.56/~jnz1568/getInfo.php?workbook=20_10.xlsx&amp;sheet=A0&amp;row=322&amp;col=6&amp;number=102000000&amp;sourceID=14","102000000")</f>
        <v>102000000</v>
      </c>
      <c r="G322" s="4" t="str">
        <f>HYPERLINK("http://141.218.60.56/~jnz1568/getInfo.php?workbook=20_10.xlsx&amp;sheet=A0&amp;row=322&amp;col=7&amp;number=0&amp;sourceID=14","0")</f>
        <v>0</v>
      </c>
    </row>
    <row r="323" spans="1:7">
      <c r="A323" s="3">
        <v>20</v>
      </c>
      <c r="B323" s="3">
        <v>10</v>
      </c>
      <c r="C323" s="3">
        <v>46</v>
      </c>
      <c r="D323" s="3">
        <v>3</v>
      </c>
      <c r="E323" s="3">
        <v>-95.897</v>
      </c>
      <c r="F323" s="4" t="str">
        <f>HYPERLINK("http://141.218.60.56/~jnz1568/getInfo.php?workbook=20_10.xlsx&amp;sheet=A0&amp;row=323&amp;col=6&amp;number=2165000000&amp;sourceID=14","2165000000")</f>
        <v>2165000000</v>
      </c>
      <c r="G323" s="4" t="str">
        <f>HYPERLINK("http://141.218.60.56/~jnz1568/getInfo.php?workbook=20_10.xlsx&amp;sheet=A0&amp;row=323&amp;col=7&amp;number=0&amp;sourceID=14","0")</f>
        <v>0</v>
      </c>
    </row>
    <row r="324" spans="1:7">
      <c r="A324" s="3">
        <v>20</v>
      </c>
      <c r="B324" s="3">
        <v>10</v>
      </c>
      <c r="C324" s="3">
        <v>46</v>
      </c>
      <c r="D324" s="3">
        <v>5</v>
      </c>
      <c r="E324" s="3">
        <v>-98.602</v>
      </c>
      <c r="F324" s="4" t="str">
        <f>HYPERLINK("http://141.218.60.56/~jnz1568/getInfo.php?workbook=20_10.xlsx&amp;sheet=A0&amp;row=324&amp;col=6&amp;number=35780000000&amp;sourceID=14","35780000000")</f>
        <v>35780000000</v>
      </c>
      <c r="G324" s="4" t="str">
        <f>HYPERLINK("http://141.218.60.56/~jnz1568/getInfo.php?workbook=20_10.xlsx&amp;sheet=A0&amp;row=324&amp;col=7&amp;number=0&amp;sourceID=14","0")</f>
        <v>0</v>
      </c>
    </row>
    <row r="325" spans="1:7">
      <c r="A325" s="3">
        <v>20</v>
      </c>
      <c r="B325" s="3">
        <v>10</v>
      </c>
      <c r="C325" s="3">
        <v>46</v>
      </c>
      <c r="D325" s="3">
        <v>17</v>
      </c>
      <c r="E325" s="3">
        <v>-153.498</v>
      </c>
      <c r="F325" s="4" t="str">
        <f>HYPERLINK("http://141.218.60.56/~jnz1568/getInfo.php?workbook=20_10.xlsx&amp;sheet=A0&amp;row=325&amp;col=6&amp;number=177800000&amp;sourceID=14","177800000")</f>
        <v>177800000</v>
      </c>
      <c r="G325" s="4" t="str">
        <f>HYPERLINK("http://141.218.60.56/~jnz1568/getInfo.php?workbook=20_10.xlsx&amp;sheet=A0&amp;row=325&amp;col=7&amp;number=0&amp;sourceID=14","0")</f>
        <v>0</v>
      </c>
    </row>
    <row r="326" spans="1:7">
      <c r="A326" s="3">
        <v>20</v>
      </c>
      <c r="B326" s="3">
        <v>10</v>
      </c>
      <c r="C326" s="3">
        <v>46</v>
      </c>
      <c r="D326" s="3">
        <v>18</v>
      </c>
      <c r="E326" s="3">
        <v>-154.924</v>
      </c>
      <c r="F326" s="4" t="str">
        <f>HYPERLINK("http://141.218.60.56/~jnz1568/getInfo.php?workbook=20_10.xlsx&amp;sheet=A0&amp;row=326&amp;col=6&amp;number=410800000&amp;sourceID=14","410800000")</f>
        <v>410800000</v>
      </c>
      <c r="G326" s="4" t="str">
        <f>HYPERLINK("http://141.218.60.56/~jnz1568/getInfo.php?workbook=20_10.xlsx&amp;sheet=A0&amp;row=326&amp;col=7&amp;number=0&amp;sourceID=14","0")</f>
        <v>0</v>
      </c>
    </row>
    <row r="327" spans="1:7">
      <c r="A327" s="3">
        <v>20</v>
      </c>
      <c r="B327" s="3">
        <v>10</v>
      </c>
      <c r="C327" s="3">
        <v>46</v>
      </c>
      <c r="D327" s="3">
        <v>20</v>
      </c>
      <c r="E327" s="3">
        <v>-156.426</v>
      </c>
      <c r="F327" s="4" t="str">
        <f>HYPERLINK("http://141.218.60.56/~jnz1568/getInfo.php?workbook=20_10.xlsx&amp;sheet=A0&amp;row=327&amp;col=6&amp;number=475800000&amp;sourceID=14","475800000")</f>
        <v>475800000</v>
      </c>
      <c r="G327" s="4" t="str">
        <f>HYPERLINK("http://141.218.60.56/~jnz1568/getInfo.php?workbook=20_10.xlsx&amp;sheet=A0&amp;row=327&amp;col=7&amp;number=0&amp;sourceID=14","0")</f>
        <v>0</v>
      </c>
    </row>
    <row r="328" spans="1:7">
      <c r="A328" s="3">
        <v>20</v>
      </c>
      <c r="B328" s="3">
        <v>10</v>
      </c>
      <c r="C328" s="3">
        <v>46</v>
      </c>
      <c r="D328" s="3">
        <v>21</v>
      </c>
      <c r="E328" s="3">
        <v>-158.008</v>
      </c>
      <c r="F328" s="4" t="str">
        <f>HYPERLINK("http://141.218.60.56/~jnz1568/getInfo.php?workbook=20_10.xlsx&amp;sheet=A0&amp;row=328&amp;col=6&amp;number=99780000&amp;sourceID=14","99780000")</f>
        <v>99780000</v>
      </c>
      <c r="G328" s="4" t="str">
        <f>HYPERLINK("http://141.218.60.56/~jnz1568/getInfo.php?workbook=20_10.xlsx&amp;sheet=A0&amp;row=328&amp;col=7&amp;number=0&amp;sourceID=14","0")</f>
        <v>0</v>
      </c>
    </row>
    <row r="329" spans="1:7">
      <c r="A329" s="3">
        <v>20</v>
      </c>
      <c r="B329" s="3">
        <v>10</v>
      </c>
      <c r="C329" s="3">
        <v>46</v>
      </c>
      <c r="D329" s="3">
        <v>22</v>
      </c>
      <c r="E329" s="3">
        <v>-159.089</v>
      </c>
      <c r="F329" s="4" t="str">
        <f>HYPERLINK("http://141.218.60.56/~jnz1568/getInfo.php?workbook=20_10.xlsx&amp;sheet=A0&amp;row=329&amp;col=6&amp;number=534100000&amp;sourceID=14","534100000")</f>
        <v>534100000</v>
      </c>
      <c r="G329" s="4" t="str">
        <f>HYPERLINK("http://141.218.60.56/~jnz1568/getInfo.php?workbook=20_10.xlsx&amp;sheet=A0&amp;row=329&amp;col=7&amp;number=0&amp;sourceID=14","0")</f>
        <v>0</v>
      </c>
    </row>
    <row r="330" spans="1:7">
      <c r="A330" s="3">
        <v>20</v>
      </c>
      <c r="B330" s="3">
        <v>10</v>
      </c>
      <c r="C330" s="3">
        <v>46</v>
      </c>
      <c r="D330" s="3">
        <v>23</v>
      </c>
      <c r="E330" s="3">
        <v>-162.793</v>
      </c>
      <c r="F330" s="4" t="str">
        <f>HYPERLINK("http://141.218.60.56/~jnz1568/getInfo.php?workbook=20_10.xlsx&amp;sheet=A0&amp;row=330&amp;col=6&amp;number=55870000&amp;sourceID=14","55870000")</f>
        <v>55870000</v>
      </c>
      <c r="G330" s="4" t="str">
        <f>HYPERLINK("http://141.218.60.56/~jnz1568/getInfo.php?workbook=20_10.xlsx&amp;sheet=A0&amp;row=330&amp;col=7&amp;number=0&amp;sourceID=14","0")</f>
        <v>0</v>
      </c>
    </row>
    <row r="331" spans="1:7">
      <c r="A331" s="3">
        <v>20</v>
      </c>
      <c r="B331" s="3">
        <v>10</v>
      </c>
      <c r="C331" s="3">
        <v>46</v>
      </c>
      <c r="D331" s="3">
        <v>24</v>
      </c>
      <c r="E331" s="3">
        <v>-164.452</v>
      </c>
      <c r="F331" s="4" t="str">
        <f>HYPERLINK("http://141.218.60.56/~jnz1568/getInfo.php?workbook=20_10.xlsx&amp;sheet=A0&amp;row=331&amp;col=6&amp;number=1269000000&amp;sourceID=14","1269000000")</f>
        <v>1269000000</v>
      </c>
      <c r="G331" s="4" t="str">
        <f>HYPERLINK("http://141.218.60.56/~jnz1568/getInfo.php?workbook=20_10.xlsx&amp;sheet=A0&amp;row=331&amp;col=7&amp;number=0&amp;sourceID=14","0")</f>
        <v>0</v>
      </c>
    </row>
    <row r="332" spans="1:7">
      <c r="A332" s="3">
        <v>20</v>
      </c>
      <c r="B332" s="3">
        <v>10</v>
      </c>
      <c r="C332" s="3">
        <v>46</v>
      </c>
      <c r="D332" s="3">
        <v>25</v>
      </c>
      <c r="E332" s="3">
        <v>-165.294</v>
      </c>
      <c r="F332" s="4" t="str">
        <f>HYPERLINK("http://141.218.60.56/~jnz1568/getInfo.php?workbook=20_10.xlsx&amp;sheet=A0&amp;row=332&amp;col=6&amp;number=912100000&amp;sourceID=14","912100000")</f>
        <v>912100000</v>
      </c>
      <c r="G332" s="4" t="str">
        <f>HYPERLINK("http://141.218.60.56/~jnz1568/getInfo.php?workbook=20_10.xlsx&amp;sheet=A0&amp;row=332&amp;col=7&amp;number=0&amp;sourceID=14","0")</f>
        <v>0</v>
      </c>
    </row>
    <row r="333" spans="1:7">
      <c r="A333" s="3">
        <v>20</v>
      </c>
      <c r="B333" s="3">
        <v>10</v>
      </c>
      <c r="C333" s="3">
        <v>46</v>
      </c>
      <c r="D333" s="3">
        <v>26</v>
      </c>
      <c r="E333" s="3">
        <v>-165.542</v>
      </c>
      <c r="F333" s="4" t="str">
        <f>HYPERLINK("http://141.218.60.56/~jnz1568/getInfo.php?workbook=20_10.xlsx&amp;sheet=A0&amp;row=333&amp;col=6&amp;number=17630000000&amp;sourceID=14","17630000000")</f>
        <v>17630000000</v>
      </c>
      <c r="G333" s="4" t="str">
        <f>HYPERLINK("http://141.218.60.56/~jnz1568/getInfo.php?workbook=20_10.xlsx&amp;sheet=A0&amp;row=333&amp;col=7&amp;number=0&amp;sourceID=14","0")</f>
        <v>0</v>
      </c>
    </row>
    <row r="334" spans="1:7">
      <c r="A334" s="3">
        <v>20</v>
      </c>
      <c r="B334" s="3">
        <v>10</v>
      </c>
      <c r="C334" s="3">
        <v>46</v>
      </c>
      <c r="D334" s="3">
        <v>27</v>
      </c>
      <c r="E334" s="3">
        <v>-176.281</v>
      </c>
      <c r="F334" s="4" t="str">
        <f>HYPERLINK("http://141.218.60.56/~jnz1568/getInfo.php?workbook=20_10.xlsx&amp;sheet=A0&amp;row=334&amp;col=6&amp;number=25070000&amp;sourceID=14","25070000")</f>
        <v>25070000</v>
      </c>
      <c r="G334" s="4" t="str">
        <f>HYPERLINK("http://141.218.60.56/~jnz1568/getInfo.php?workbook=20_10.xlsx&amp;sheet=A0&amp;row=334&amp;col=7&amp;number=0&amp;sourceID=14","0")</f>
        <v>0</v>
      </c>
    </row>
    <row r="335" spans="1:7">
      <c r="A335" s="3">
        <v>20</v>
      </c>
      <c r="B335" s="3">
        <v>10</v>
      </c>
      <c r="C335" s="3">
        <v>46</v>
      </c>
      <c r="D335" s="3">
        <v>31</v>
      </c>
      <c r="E335" s="3">
        <v>-719.55</v>
      </c>
      <c r="F335" s="4" t="str">
        <f>HYPERLINK("http://141.218.60.56/~jnz1568/getInfo.php?workbook=20_10.xlsx&amp;sheet=A0&amp;row=335&amp;col=6&amp;number=145700000&amp;sourceID=14","145700000")</f>
        <v>145700000</v>
      </c>
      <c r="G335" s="4" t="str">
        <f>HYPERLINK("http://141.218.60.56/~jnz1568/getInfo.php?workbook=20_10.xlsx&amp;sheet=A0&amp;row=335&amp;col=7&amp;number=0&amp;sourceID=14","0")</f>
        <v>0</v>
      </c>
    </row>
    <row r="336" spans="1:7">
      <c r="A336" s="3">
        <v>20</v>
      </c>
      <c r="B336" s="3">
        <v>10</v>
      </c>
      <c r="C336" s="3">
        <v>46</v>
      </c>
      <c r="D336" s="3">
        <v>33</v>
      </c>
      <c r="E336" s="3">
        <v>-798.207</v>
      </c>
      <c r="F336" s="4" t="str">
        <f>HYPERLINK("http://141.218.60.56/~jnz1568/getInfo.php?workbook=20_10.xlsx&amp;sheet=A0&amp;row=336&amp;col=6&amp;number=48060000&amp;sourceID=14","48060000")</f>
        <v>48060000</v>
      </c>
      <c r="G336" s="4" t="str">
        <f>HYPERLINK("http://141.218.60.56/~jnz1568/getInfo.php?workbook=20_10.xlsx&amp;sheet=A0&amp;row=336&amp;col=7&amp;number=0&amp;sourceID=14","0")</f>
        <v>0</v>
      </c>
    </row>
    <row r="337" spans="1:7">
      <c r="A337" s="3">
        <v>20</v>
      </c>
      <c r="B337" s="3">
        <v>10</v>
      </c>
      <c r="C337" s="3">
        <v>46</v>
      </c>
      <c r="D337" s="3">
        <v>34</v>
      </c>
      <c r="E337" s="3">
        <v>-989.307</v>
      </c>
      <c r="F337" s="4" t="str">
        <f>HYPERLINK("http://141.218.60.56/~jnz1568/getInfo.php?workbook=20_10.xlsx&amp;sheet=A0&amp;row=337&amp;col=6&amp;number=11410000&amp;sourceID=14","11410000")</f>
        <v>11410000</v>
      </c>
      <c r="G337" s="4" t="str">
        <f>HYPERLINK("http://141.218.60.56/~jnz1568/getInfo.php?workbook=20_10.xlsx&amp;sheet=A0&amp;row=337&amp;col=7&amp;number=0&amp;sourceID=14","0")</f>
        <v>0</v>
      </c>
    </row>
    <row r="338" spans="1:7">
      <c r="A338" s="3">
        <v>20</v>
      </c>
      <c r="B338" s="3">
        <v>10</v>
      </c>
      <c r="C338" s="3">
        <v>46</v>
      </c>
      <c r="D338" s="3">
        <v>37</v>
      </c>
      <c r="E338" s="3">
        <v>-1441.34</v>
      </c>
      <c r="F338" s="4" t="str">
        <f>HYPERLINK("http://141.218.60.56/~jnz1568/getInfo.php?workbook=20_10.xlsx&amp;sheet=A0&amp;row=338&amp;col=6&amp;number=625900000&amp;sourceID=14","625900000")</f>
        <v>625900000</v>
      </c>
      <c r="G338" s="4" t="str">
        <f>HYPERLINK("http://141.218.60.56/~jnz1568/getInfo.php?workbook=20_10.xlsx&amp;sheet=A0&amp;row=338&amp;col=7&amp;number=0&amp;sourceID=14","0")</f>
        <v>0</v>
      </c>
    </row>
    <row r="339" spans="1:7">
      <c r="A339" s="3">
        <v>20</v>
      </c>
      <c r="B339" s="3">
        <v>10</v>
      </c>
      <c r="C339" s="3">
        <v>47</v>
      </c>
      <c r="D339" s="3">
        <v>3</v>
      </c>
      <c r="E339" s="3">
        <v>-94.161</v>
      </c>
      <c r="F339" s="4" t="str">
        <f>HYPERLINK("http://141.218.60.56/~jnz1568/getInfo.php?workbook=20_10.xlsx&amp;sheet=A0&amp;row=339&amp;col=6&amp;number=2713000000&amp;sourceID=14","2713000000")</f>
        <v>2713000000</v>
      </c>
      <c r="G339" s="4" t="str">
        <f>HYPERLINK("http://141.218.60.56/~jnz1568/getInfo.php?workbook=20_10.xlsx&amp;sheet=A0&amp;row=339&amp;col=7&amp;number=0&amp;sourceID=14","0")</f>
        <v>0</v>
      </c>
    </row>
    <row r="340" spans="1:7">
      <c r="A340" s="3">
        <v>20</v>
      </c>
      <c r="B340" s="3">
        <v>10</v>
      </c>
      <c r="C340" s="3">
        <v>47</v>
      </c>
      <c r="D340" s="3">
        <v>5</v>
      </c>
      <c r="E340" s="3">
        <v>-96.768</v>
      </c>
      <c r="F340" s="4" t="str">
        <f>HYPERLINK("http://141.218.60.56/~jnz1568/getInfo.php?workbook=20_10.xlsx&amp;sheet=A0&amp;row=340&amp;col=6&amp;number=26250000000&amp;sourceID=14","26250000000")</f>
        <v>26250000000</v>
      </c>
      <c r="G340" s="4" t="str">
        <f>HYPERLINK("http://141.218.60.56/~jnz1568/getInfo.php?workbook=20_10.xlsx&amp;sheet=A0&amp;row=340&amp;col=7&amp;number=0&amp;sourceID=14","0")</f>
        <v>0</v>
      </c>
    </row>
    <row r="341" spans="1:7">
      <c r="A341" s="3">
        <v>20</v>
      </c>
      <c r="B341" s="3">
        <v>10</v>
      </c>
      <c r="C341" s="3">
        <v>47</v>
      </c>
      <c r="D341" s="3">
        <v>17</v>
      </c>
      <c r="E341" s="3">
        <v>-149.098</v>
      </c>
      <c r="F341" s="4" t="str">
        <f>HYPERLINK("http://141.218.60.56/~jnz1568/getInfo.php?workbook=20_10.xlsx&amp;sheet=A0&amp;row=341&amp;col=6&amp;number=74410000&amp;sourceID=14","74410000")</f>
        <v>74410000</v>
      </c>
      <c r="G341" s="4" t="str">
        <f>HYPERLINK("http://141.218.60.56/~jnz1568/getInfo.php?workbook=20_10.xlsx&amp;sheet=A0&amp;row=341&amp;col=7&amp;number=0&amp;sourceID=14","0")</f>
        <v>0</v>
      </c>
    </row>
    <row r="342" spans="1:7">
      <c r="A342" s="3">
        <v>20</v>
      </c>
      <c r="B342" s="3">
        <v>10</v>
      </c>
      <c r="C342" s="3">
        <v>47</v>
      </c>
      <c r="D342" s="3">
        <v>23</v>
      </c>
      <c r="E342" s="3">
        <v>-157.852</v>
      </c>
      <c r="F342" s="4" t="str">
        <f>HYPERLINK("http://141.218.60.56/~jnz1568/getInfo.php?workbook=20_10.xlsx&amp;sheet=A0&amp;row=342&amp;col=6&amp;number=14540000&amp;sourceID=14","14540000")</f>
        <v>14540000</v>
      </c>
      <c r="G342" s="4" t="str">
        <f>HYPERLINK("http://141.218.60.56/~jnz1568/getInfo.php?workbook=20_10.xlsx&amp;sheet=A0&amp;row=342&amp;col=7&amp;number=0&amp;sourceID=14","0")</f>
        <v>0</v>
      </c>
    </row>
    <row r="343" spans="1:7">
      <c r="A343" s="3">
        <v>20</v>
      </c>
      <c r="B343" s="3">
        <v>10</v>
      </c>
      <c r="C343" s="3">
        <v>47</v>
      </c>
      <c r="D343" s="3">
        <v>27</v>
      </c>
      <c r="E343" s="3">
        <v>-170.502</v>
      </c>
      <c r="F343" s="4" t="str">
        <f>HYPERLINK("http://141.218.60.56/~jnz1568/getInfo.php?workbook=20_10.xlsx&amp;sheet=A0&amp;row=343&amp;col=6&amp;number=19200000000&amp;sourceID=14","19200000000")</f>
        <v>19200000000</v>
      </c>
      <c r="G343" s="4" t="str">
        <f>HYPERLINK("http://141.218.60.56/~jnz1568/getInfo.php?workbook=20_10.xlsx&amp;sheet=A0&amp;row=343&amp;col=7&amp;number=0&amp;sourceID=14","0")</f>
        <v>0</v>
      </c>
    </row>
    <row r="344" spans="1:7">
      <c r="A344" s="3">
        <v>20</v>
      </c>
      <c r="B344" s="3">
        <v>10</v>
      </c>
      <c r="C344" s="3">
        <v>47</v>
      </c>
      <c r="D344" s="3">
        <v>33</v>
      </c>
      <c r="E344" s="3">
        <v>-692.009</v>
      </c>
      <c r="F344" s="4" t="str">
        <f>HYPERLINK("http://141.218.60.56/~jnz1568/getInfo.php?workbook=20_10.xlsx&amp;sheet=A0&amp;row=344&amp;col=6&amp;number=379500000&amp;sourceID=14","379500000")</f>
        <v>379500000</v>
      </c>
      <c r="G344" s="4" t="str">
        <f>HYPERLINK("http://141.218.60.56/~jnz1568/getInfo.php?workbook=20_10.xlsx&amp;sheet=A0&amp;row=344&amp;col=7&amp;number=0&amp;sourceID=14","0")</f>
        <v>0</v>
      </c>
    </row>
    <row r="345" spans="1:7">
      <c r="A345" s="3">
        <v>20</v>
      </c>
      <c r="B345" s="3">
        <v>10</v>
      </c>
      <c r="C345" s="3">
        <v>47</v>
      </c>
      <c r="D345" s="3">
        <v>35</v>
      </c>
      <c r="E345" s="3">
        <v>-852.48</v>
      </c>
      <c r="F345" s="4" t="str">
        <f>HYPERLINK("http://141.218.60.56/~jnz1568/getInfo.php?workbook=20_10.xlsx&amp;sheet=A0&amp;row=345&amp;col=6&amp;number=1499000000&amp;sourceID=14","1499000000")</f>
        <v>1499000000</v>
      </c>
      <c r="G345" s="4" t="str">
        <f>HYPERLINK("http://141.218.60.56/~jnz1568/getInfo.php?workbook=20_10.xlsx&amp;sheet=A0&amp;row=345&amp;col=7&amp;number=0&amp;sourceID=14","0")</f>
        <v>0</v>
      </c>
    </row>
    <row r="346" spans="1:7">
      <c r="A346" s="3">
        <v>20</v>
      </c>
      <c r="B346" s="3">
        <v>10</v>
      </c>
      <c r="C346" s="3">
        <v>47</v>
      </c>
      <c r="D346" s="3">
        <v>37</v>
      </c>
      <c r="E346" s="3">
        <v>-1128.594</v>
      </c>
      <c r="F346" s="4" t="str">
        <f>HYPERLINK("http://141.218.60.56/~jnz1568/getInfo.php?workbook=20_10.xlsx&amp;sheet=A0&amp;row=346&amp;col=6&amp;number=1505000000&amp;sourceID=14","1505000000")</f>
        <v>1505000000</v>
      </c>
      <c r="G346" s="4" t="str">
        <f>HYPERLINK("http://141.218.60.56/~jnz1568/getInfo.php?workbook=20_10.xlsx&amp;sheet=A0&amp;row=346&amp;col=7&amp;number=0&amp;sourceID=14","0")</f>
        <v>0</v>
      </c>
    </row>
    <row r="347" spans="1:7">
      <c r="A347" s="3">
        <v>20</v>
      </c>
      <c r="B347" s="3">
        <v>10</v>
      </c>
      <c r="C347" s="3">
        <v>48</v>
      </c>
      <c r="D347" s="3">
        <v>6</v>
      </c>
      <c r="E347" s="3">
        <v>-106.213</v>
      </c>
      <c r="F347" s="4" t="str">
        <f>HYPERLINK("http://141.218.60.56/~jnz1568/getInfo.php?workbook=20_10.xlsx&amp;sheet=A0&amp;row=347&amp;col=6&amp;number=58440000000&amp;sourceID=14","58440000000")</f>
        <v>58440000000</v>
      </c>
      <c r="G347" s="4" t="str">
        <f>HYPERLINK("http://141.218.60.56/~jnz1568/getInfo.php?workbook=20_10.xlsx&amp;sheet=A0&amp;row=347&amp;col=7&amp;number=0&amp;sourceID=14","0")</f>
        <v>0</v>
      </c>
    </row>
    <row r="348" spans="1:7">
      <c r="A348" s="3">
        <v>20</v>
      </c>
      <c r="B348" s="3">
        <v>10</v>
      </c>
      <c r="C348" s="3">
        <v>48</v>
      </c>
      <c r="D348" s="3">
        <v>10</v>
      </c>
      <c r="E348" s="3">
        <v>-109.441</v>
      </c>
      <c r="F348" s="4" t="str">
        <f>HYPERLINK("http://141.218.60.56/~jnz1568/getInfo.php?workbook=20_10.xlsx&amp;sheet=A0&amp;row=348&amp;col=6&amp;number=10150000000&amp;sourceID=14","10150000000")</f>
        <v>10150000000</v>
      </c>
      <c r="G348" s="4" t="str">
        <f>HYPERLINK("http://141.218.60.56/~jnz1568/getInfo.php?workbook=20_10.xlsx&amp;sheet=A0&amp;row=348&amp;col=7&amp;number=0&amp;sourceID=14","0")</f>
        <v>0</v>
      </c>
    </row>
    <row r="349" spans="1:7">
      <c r="A349" s="3">
        <v>20</v>
      </c>
      <c r="B349" s="3">
        <v>10</v>
      </c>
      <c r="C349" s="3">
        <v>48</v>
      </c>
      <c r="D349" s="3">
        <v>11</v>
      </c>
      <c r="E349" s="3">
        <v>-112.029</v>
      </c>
      <c r="F349" s="4" t="str">
        <f>HYPERLINK("http://141.218.60.56/~jnz1568/getInfo.php?workbook=20_10.xlsx&amp;sheet=A0&amp;row=349&amp;col=6&amp;number=344400000&amp;sourceID=14","344400000")</f>
        <v>344400000</v>
      </c>
      <c r="G349" s="4" t="str">
        <f>HYPERLINK("http://141.218.60.56/~jnz1568/getInfo.php?workbook=20_10.xlsx&amp;sheet=A0&amp;row=349&amp;col=7&amp;number=0&amp;sourceID=14","0")</f>
        <v>0</v>
      </c>
    </row>
    <row r="350" spans="1:7">
      <c r="A350" s="3">
        <v>20</v>
      </c>
      <c r="B350" s="3">
        <v>10</v>
      </c>
      <c r="C350" s="3">
        <v>48</v>
      </c>
      <c r="D350" s="3">
        <v>14</v>
      </c>
      <c r="E350" s="3">
        <v>-113.118</v>
      </c>
      <c r="F350" s="4" t="str">
        <f>HYPERLINK("http://141.218.60.56/~jnz1568/getInfo.php?workbook=20_10.xlsx&amp;sheet=A0&amp;row=350&amp;col=6&amp;number=9862000000&amp;sourceID=14","9862000000")</f>
        <v>9862000000</v>
      </c>
      <c r="G350" s="4" t="str">
        <f>HYPERLINK("http://141.218.60.56/~jnz1568/getInfo.php?workbook=20_10.xlsx&amp;sheet=A0&amp;row=350&amp;col=7&amp;number=0&amp;sourceID=14","0")</f>
        <v>0</v>
      </c>
    </row>
    <row r="351" spans="1:7">
      <c r="A351" s="3">
        <v>20</v>
      </c>
      <c r="B351" s="3">
        <v>10</v>
      </c>
      <c r="C351" s="3">
        <v>48</v>
      </c>
      <c r="D351" s="3">
        <v>28</v>
      </c>
      <c r="E351" s="3">
        <v>-277.626</v>
      </c>
      <c r="F351" s="4" t="str">
        <f>HYPERLINK("http://141.218.60.56/~jnz1568/getInfo.php?workbook=20_10.xlsx&amp;sheet=A0&amp;row=351&amp;col=6&amp;number=418100000&amp;sourceID=14","418100000")</f>
        <v>418100000</v>
      </c>
      <c r="G351" s="4" t="str">
        <f>HYPERLINK("http://141.218.60.56/~jnz1568/getInfo.php?workbook=20_10.xlsx&amp;sheet=A0&amp;row=351&amp;col=7&amp;number=0&amp;sourceID=14","0")</f>
        <v>0</v>
      </c>
    </row>
    <row r="352" spans="1:7">
      <c r="A352" s="3">
        <v>20</v>
      </c>
      <c r="B352" s="3">
        <v>10</v>
      </c>
      <c r="C352" s="3">
        <v>48</v>
      </c>
      <c r="D352" s="3">
        <v>38</v>
      </c>
      <c r="E352" s="3">
        <v>-1173.587</v>
      </c>
      <c r="F352" s="4" t="str">
        <f>HYPERLINK("http://141.218.60.56/~jnz1568/getInfo.php?workbook=20_10.xlsx&amp;sheet=A0&amp;row=352&amp;col=6&amp;number=1391000000&amp;sourceID=14","1391000000")</f>
        <v>1391000000</v>
      </c>
      <c r="G352" s="4" t="str">
        <f>HYPERLINK("http://141.218.60.56/~jnz1568/getInfo.php?workbook=20_10.xlsx&amp;sheet=A0&amp;row=352&amp;col=7&amp;number=0&amp;sourceID=14","0")</f>
        <v>0</v>
      </c>
    </row>
    <row r="353" spans="1:7">
      <c r="A353" s="3">
        <v>20</v>
      </c>
      <c r="B353" s="3">
        <v>10</v>
      </c>
      <c r="C353" s="3">
        <v>49</v>
      </c>
      <c r="D353" s="3">
        <v>1</v>
      </c>
      <c r="E353" s="3">
        <v>-25.653</v>
      </c>
      <c r="F353" s="4" t="str">
        <f>HYPERLINK("http://141.218.60.56/~jnz1568/getInfo.php?workbook=20_10.xlsx&amp;sheet=A0&amp;row=353&amp;col=6&amp;number=12490000000&amp;sourceID=14","12490000000")</f>
        <v>12490000000</v>
      </c>
      <c r="G353" s="4" t="str">
        <f>HYPERLINK("http://141.218.60.56/~jnz1568/getInfo.php?workbook=20_10.xlsx&amp;sheet=A0&amp;row=353&amp;col=7&amp;number=0&amp;sourceID=14","0")</f>
        <v>0</v>
      </c>
    </row>
    <row r="354" spans="1:7">
      <c r="A354" s="3">
        <v>20</v>
      </c>
      <c r="B354" s="3">
        <v>10</v>
      </c>
      <c r="C354" s="3">
        <v>49</v>
      </c>
      <c r="D354" s="3">
        <v>2</v>
      </c>
      <c r="E354" s="3">
        <v>-90.91</v>
      </c>
      <c r="F354" s="4" t="str">
        <f>HYPERLINK("http://141.218.60.56/~jnz1568/getInfo.php?workbook=20_10.xlsx&amp;sheet=A0&amp;row=354&amp;col=6&amp;number=14200000&amp;sourceID=14","14200000")</f>
        <v>14200000</v>
      </c>
      <c r="G354" s="4" t="str">
        <f>HYPERLINK("http://141.218.60.56/~jnz1568/getInfo.php?workbook=20_10.xlsx&amp;sheet=A0&amp;row=354&amp;col=7&amp;number=0&amp;sourceID=14","0")</f>
        <v>0</v>
      </c>
    </row>
    <row r="355" spans="1:7">
      <c r="A355" s="3">
        <v>20</v>
      </c>
      <c r="B355" s="3">
        <v>10</v>
      </c>
      <c r="C355" s="3">
        <v>49</v>
      </c>
      <c r="D355" s="3">
        <v>6</v>
      </c>
      <c r="E355" s="3">
        <v>-106.033</v>
      </c>
      <c r="F355" s="4" t="str">
        <f>HYPERLINK("http://141.218.60.56/~jnz1568/getInfo.php?workbook=20_10.xlsx&amp;sheet=A0&amp;row=355&amp;col=6&amp;number=48480000000&amp;sourceID=14","48480000000")</f>
        <v>48480000000</v>
      </c>
      <c r="G355" s="4" t="str">
        <f>HYPERLINK("http://141.218.60.56/~jnz1568/getInfo.php?workbook=20_10.xlsx&amp;sheet=A0&amp;row=355&amp;col=7&amp;number=0&amp;sourceID=14","0")</f>
        <v>0</v>
      </c>
    </row>
    <row r="356" spans="1:7">
      <c r="A356" s="3">
        <v>20</v>
      </c>
      <c r="B356" s="3">
        <v>10</v>
      </c>
      <c r="C356" s="3">
        <v>49</v>
      </c>
      <c r="D356" s="3">
        <v>7</v>
      </c>
      <c r="E356" s="3">
        <v>-108.331</v>
      </c>
      <c r="F356" s="4" t="str">
        <f>HYPERLINK("http://141.218.60.56/~jnz1568/getInfo.php?workbook=20_10.xlsx&amp;sheet=A0&amp;row=356&amp;col=6&amp;number=7209000000&amp;sourceID=14","7209000000")</f>
        <v>7209000000</v>
      </c>
      <c r="G356" s="4" t="str">
        <f>HYPERLINK("http://141.218.60.56/~jnz1568/getInfo.php?workbook=20_10.xlsx&amp;sheet=A0&amp;row=356&amp;col=7&amp;number=0&amp;sourceID=14","0")</f>
        <v>0</v>
      </c>
    </row>
    <row r="357" spans="1:7">
      <c r="A357" s="3">
        <v>20</v>
      </c>
      <c r="B357" s="3">
        <v>10</v>
      </c>
      <c r="C357" s="3">
        <v>49</v>
      </c>
      <c r="D357" s="3">
        <v>9</v>
      </c>
      <c r="E357" s="3">
        <v>-109.937</v>
      </c>
      <c r="F357" s="4" t="str">
        <f>HYPERLINK("http://141.218.60.56/~jnz1568/getInfo.php?workbook=20_10.xlsx&amp;sheet=A0&amp;row=357&amp;col=6&amp;number=11890000000&amp;sourceID=14","11890000000")</f>
        <v>11890000000</v>
      </c>
      <c r="G357" s="4" t="str">
        <f>HYPERLINK("http://141.218.60.56/~jnz1568/getInfo.php?workbook=20_10.xlsx&amp;sheet=A0&amp;row=357&amp;col=7&amp;number=0&amp;sourceID=14","0")</f>
        <v>0</v>
      </c>
    </row>
    <row r="358" spans="1:7">
      <c r="A358" s="3">
        <v>20</v>
      </c>
      <c r="B358" s="3">
        <v>10</v>
      </c>
      <c r="C358" s="3">
        <v>49</v>
      </c>
      <c r="D358" s="3">
        <v>10</v>
      </c>
      <c r="E358" s="3">
        <v>-109.25</v>
      </c>
      <c r="F358" s="4" t="str">
        <f>HYPERLINK("http://141.218.60.56/~jnz1568/getInfo.php?workbook=20_10.xlsx&amp;sheet=A0&amp;row=358&amp;col=6&amp;number=2711000000&amp;sourceID=14","2711000000")</f>
        <v>2711000000</v>
      </c>
      <c r="G358" s="4" t="str">
        <f>HYPERLINK("http://141.218.60.56/~jnz1568/getInfo.php?workbook=20_10.xlsx&amp;sheet=A0&amp;row=358&amp;col=7&amp;number=0&amp;sourceID=14","0")</f>
        <v>0</v>
      </c>
    </row>
    <row r="359" spans="1:7">
      <c r="A359" s="3">
        <v>20</v>
      </c>
      <c r="B359" s="3">
        <v>10</v>
      </c>
      <c r="C359" s="3">
        <v>49</v>
      </c>
      <c r="D359" s="3">
        <v>11</v>
      </c>
      <c r="E359" s="3">
        <v>-111.829</v>
      </c>
      <c r="F359" s="4" t="str">
        <f>HYPERLINK("http://141.218.60.56/~jnz1568/getInfo.php?workbook=20_10.xlsx&amp;sheet=A0&amp;row=359&amp;col=6&amp;number=518900000&amp;sourceID=14","518900000")</f>
        <v>518900000</v>
      </c>
      <c r="G359" s="4" t="str">
        <f>HYPERLINK("http://141.218.60.56/~jnz1568/getInfo.php?workbook=20_10.xlsx&amp;sheet=A0&amp;row=359&amp;col=7&amp;number=0&amp;sourceID=14","0")</f>
        <v>0</v>
      </c>
    </row>
    <row r="360" spans="1:7">
      <c r="A360" s="3">
        <v>20</v>
      </c>
      <c r="B360" s="3">
        <v>10</v>
      </c>
      <c r="C360" s="3">
        <v>49</v>
      </c>
      <c r="D360" s="3">
        <v>12</v>
      </c>
      <c r="E360" s="3">
        <v>-111.864</v>
      </c>
      <c r="F360" s="4" t="str">
        <f>HYPERLINK("http://141.218.60.56/~jnz1568/getInfo.php?workbook=20_10.xlsx&amp;sheet=A0&amp;row=360&amp;col=6&amp;number=2126000000&amp;sourceID=14","2126000000")</f>
        <v>2126000000</v>
      </c>
      <c r="G360" s="4" t="str">
        <f>HYPERLINK("http://141.218.60.56/~jnz1568/getInfo.php?workbook=20_10.xlsx&amp;sheet=A0&amp;row=360&amp;col=7&amp;number=0&amp;sourceID=14","0")</f>
        <v>0</v>
      </c>
    </row>
    <row r="361" spans="1:7">
      <c r="A361" s="3">
        <v>20</v>
      </c>
      <c r="B361" s="3">
        <v>10</v>
      </c>
      <c r="C361" s="3">
        <v>49</v>
      </c>
      <c r="D361" s="3">
        <v>13</v>
      </c>
      <c r="E361" s="3">
        <v>-112.914</v>
      </c>
      <c r="F361" s="4" t="str">
        <f>HYPERLINK("http://141.218.60.56/~jnz1568/getInfo.php?workbook=20_10.xlsx&amp;sheet=A0&amp;row=361&amp;col=6&amp;number=1006000000&amp;sourceID=14","1006000000")</f>
        <v>1006000000</v>
      </c>
      <c r="G361" s="4" t="str">
        <f>HYPERLINK("http://141.218.60.56/~jnz1568/getInfo.php?workbook=20_10.xlsx&amp;sheet=A0&amp;row=361&amp;col=7&amp;number=0&amp;sourceID=14","0")</f>
        <v>0</v>
      </c>
    </row>
    <row r="362" spans="1:7">
      <c r="A362" s="3">
        <v>20</v>
      </c>
      <c r="B362" s="3">
        <v>10</v>
      </c>
      <c r="C362" s="3">
        <v>49</v>
      </c>
      <c r="D362" s="3">
        <v>14</v>
      </c>
      <c r="E362" s="3">
        <v>-112.914</v>
      </c>
      <c r="F362" s="4" t="str">
        <f>HYPERLINK("http://141.218.60.56/~jnz1568/getInfo.php?workbook=20_10.xlsx&amp;sheet=A0&amp;row=362&amp;col=6&amp;number=5056000000&amp;sourceID=14","5056000000")</f>
        <v>5056000000</v>
      </c>
      <c r="G362" s="4" t="str">
        <f>HYPERLINK("http://141.218.60.56/~jnz1568/getInfo.php?workbook=20_10.xlsx&amp;sheet=A0&amp;row=362&amp;col=7&amp;number=0&amp;sourceID=14","0")</f>
        <v>0</v>
      </c>
    </row>
    <row r="363" spans="1:7">
      <c r="A363" s="3">
        <v>20</v>
      </c>
      <c r="B363" s="3">
        <v>10</v>
      </c>
      <c r="C363" s="3">
        <v>49</v>
      </c>
      <c r="D363" s="3">
        <v>15</v>
      </c>
      <c r="E363" s="3">
        <v>-125.069</v>
      </c>
      <c r="F363" s="4" t="str">
        <f>HYPERLINK("http://141.218.60.56/~jnz1568/getInfo.php?workbook=20_10.xlsx&amp;sheet=A0&amp;row=363&amp;col=6&amp;number=90360000&amp;sourceID=14","90360000")</f>
        <v>90360000</v>
      </c>
      <c r="G363" s="4" t="str">
        <f>HYPERLINK("http://141.218.60.56/~jnz1568/getInfo.php?workbook=20_10.xlsx&amp;sheet=A0&amp;row=363&amp;col=7&amp;number=0&amp;sourceID=14","0")</f>
        <v>0</v>
      </c>
    </row>
    <row r="364" spans="1:7">
      <c r="A364" s="3">
        <v>20</v>
      </c>
      <c r="B364" s="3">
        <v>10</v>
      </c>
      <c r="C364" s="3">
        <v>49</v>
      </c>
      <c r="D364" s="3">
        <v>28</v>
      </c>
      <c r="E364" s="3">
        <v>-276.4</v>
      </c>
      <c r="F364" s="4" t="str">
        <f>HYPERLINK("http://141.218.60.56/~jnz1568/getInfo.php?workbook=20_10.xlsx&amp;sheet=A0&amp;row=364&amp;col=6&amp;number=378700000&amp;sourceID=14","378700000")</f>
        <v>378700000</v>
      </c>
      <c r="G364" s="4" t="str">
        <f>HYPERLINK("http://141.218.60.56/~jnz1568/getInfo.php?workbook=20_10.xlsx&amp;sheet=A0&amp;row=364&amp;col=7&amp;number=0&amp;sourceID=14","0")</f>
        <v>0</v>
      </c>
    </row>
    <row r="365" spans="1:7">
      <c r="A365" s="3">
        <v>20</v>
      </c>
      <c r="B365" s="3">
        <v>10</v>
      </c>
      <c r="C365" s="3">
        <v>49</v>
      </c>
      <c r="D365" s="3">
        <v>38</v>
      </c>
      <c r="E365" s="3">
        <v>-1151.996</v>
      </c>
      <c r="F365" s="4" t="str">
        <f>HYPERLINK("http://141.218.60.56/~jnz1568/getInfo.php?workbook=20_10.xlsx&amp;sheet=A0&amp;row=365&amp;col=6&amp;number=1181000000&amp;sourceID=14","1181000000")</f>
        <v>1181000000</v>
      </c>
      <c r="G365" s="4" t="str">
        <f>HYPERLINK("http://141.218.60.56/~jnz1568/getInfo.php?workbook=20_10.xlsx&amp;sheet=A0&amp;row=365&amp;col=7&amp;number=0&amp;sourceID=14","0")</f>
        <v>0</v>
      </c>
    </row>
    <row r="366" spans="1:7">
      <c r="A366" s="3">
        <v>20</v>
      </c>
      <c r="B366" s="3">
        <v>10</v>
      </c>
      <c r="C366" s="3">
        <v>49</v>
      </c>
      <c r="D366" s="3">
        <v>39</v>
      </c>
      <c r="E366" s="3">
        <v>-1226.8</v>
      </c>
      <c r="F366" s="4" t="str">
        <f>HYPERLINK("http://141.218.60.56/~jnz1568/getInfo.php?workbook=20_10.xlsx&amp;sheet=A0&amp;row=366&amp;col=6&amp;number=105900000&amp;sourceID=14","105900000")</f>
        <v>105900000</v>
      </c>
      <c r="G366" s="4" t="str">
        <f>HYPERLINK("http://141.218.60.56/~jnz1568/getInfo.php?workbook=20_10.xlsx&amp;sheet=A0&amp;row=366&amp;col=7&amp;number=0&amp;sourceID=14","0")</f>
        <v>0</v>
      </c>
    </row>
    <row r="367" spans="1:7">
      <c r="A367" s="3">
        <v>20</v>
      </c>
      <c r="B367" s="3">
        <v>10</v>
      </c>
      <c r="C367" s="3">
        <v>49</v>
      </c>
      <c r="D367" s="3">
        <v>41</v>
      </c>
      <c r="E367" s="3">
        <v>-1273.433</v>
      </c>
      <c r="F367" s="4" t="str">
        <f>HYPERLINK("http://141.218.60.56/~jnz1568/getInfo.php?workbook=20_10.xlsx&amp;sheet=A0&amp;row=367&amp;col=6&amp;number=30170000&amp;sourceID=14","30170000")</f>
        <v>30170000</v>
      </c>
      <c r="G367" s="4" t="str">
        <f>HYPERLINK("http://141.218.60.56/~jnz1568/getInfo.php?workbook=20_10.xlsx&amp;sheet=A0&amp;row=367&amp;col=7&amp;number=0&amp;sourceID=14","0")</f>
        <v>0</v>
      </c>
    </row>
    <row r="368" spans="1:7">
      <c r="A368" s="3">
        <v>20</v>
      </c>
      <c r="B368" s="3">
        <v>10</v>
      </c>
      <c r="C368" s="3">
        <v>49</v>
      </c>
      <c r="D368" s="3">
        <v>42</v>
      </c>
      <c r="E368" s="3">
        <v>-1301.662</v>
      </c>
      <c r="F368" s="4" t="str">
        <f>HYPERLINK("http://141.218.60.56/~jnz1568/getInfo.php?workbook=20_10.xlsx&amp;sheet=A0&amp;row=368&amp;col=6&amp;number=176200000&amp;sourceID=14","176200000")</f>
        <v>176200000</v>
      </c>
      <c r="G368" s="4" t="str">
        <f>HYPERLINK("http://141.218.60.56/~jnz1568/getInfo.php?workbook=20_10.xlsx&amp;sheet=A0&amp;row=368&amp;col=7&amp;number=0&amp;sourceID=14","0")</f>
        <v>0</v>
      </c>
    </row>
    <row r="369" spans="1:7">
      <c r="A369" s="3">
        <v>20</v>
      </c>
      <c r="B369" s="3">
        <v>10</v>
      </c>
      <c r="C369" s="3">
        <v>49</v>
      </c>
      <c r="D369" s="3">
        <v>43</v>
      </c>
      <c r="E369" s="3">
        <v>-1559.335</v>
      </c>
      <c r="F369" s="4" t="str">
        <f>HYPERLINK("http://141.218.60.56/~jnz1568/getInfo.php?workbook=20_10.xlsx&amp;sheet=A0&amp;row=369&amp;col=6&amp;number=15540000&amp;sourceID=14","15540000")</f>
        <v>15540000</v>
      </c>
      <c r="G369" s="4" t="str">
        <f>HYPERLINK("http://141.218.60.56/~jnz1568/getInfo.php?workbook=20_10.xlsx&amp;sheet=A0&amp;row=369&amp;col=7&amp;number=0&amp;sourceID=14","0")</f>
        <v>0</v>
      </c>
    </row>
    <row r="370" spans="1:7">
      <c r="A370" s="3">
        <v>20</v>
      </c>
      <c r="B370" s="3">
        <v>10</v>
      </c>
      <c r="C370" s="3">
        <v>50</v>
      </c>
      <c r="D370" s="3">
        <v>2</v>
      </c>
      <c r="E370" s="3">
        <v>-90.728</v>
      </c>
      <c r="F370" s="4" t="str">
        <f>HYPERLINK("http://141.218.60.56/~jnz1568/getInfo.php?workbook=20_10.xlsx&amp;sheet=A0&amp;row=370&amp;col=6&amp;number=14680000&amp;sourceID=14","14680000")</f>
        <v>14680000</v>
      </c>
      <c r="G370" s="4" t="str">
        <f>HYPERLINK("http://141.218.60.56/~jnz1568/getInfo.php?workbook=20_10.xlsx&amp;sheet=A0&amp;row=370&amp;col=7&amp;number=0&amp;sourceID=14","0")</f>
        <v>0</v>
      </c>
    </row>
    <row r="371" spans="1:7">
      <c r="A371" s="3">
        <v>20</v>
      </c>
      <c r="B371" s="3">
        <v>10</v>
      </c>
      <c r="C371" s="3">
        <v>50</v>
      </c>
      <c r="D371" s="3">
        <v>8</v>
      </c>
      <c r="E371" s="3">
        <v>108.265</v>
      </c>
      <c r="F371" s="4" t="str">
        <f>HYPERLINK("http://141.218.60.56/~jnz1568/getInfo.php?workbook=20_10.xlsx&amp;sheet=A0&amp;row=371&amp;col=6&amp;number=83210000000&amp;sourceID=14","83210000000")</f>
        <v>83210000000</v>
      </c>
      <c r="G371" s="4" t="str">
        <f>HYPERLINK("http://141.218.60.56/~jnz1568/getInfo.php?workbook=20_10.xlsx&amp;sheet=A0&amp;row=371&amp;col=7&amp;number=0&amp;sourceID=14","0")</f>
        <v>0</v>
      </c>
    </row>
    <row r="372" spans="1:7">
      <c r="A372" s="3">
        <v>20</v>
      </c>
      <c r="B372" s="3">
        <v>10</v>
      </c>
      <c r="C372" s="3">
        <v>50</v>
      </c>
      <c r="D372" s="3">
        <v>40</v>
      </c>
      <c r="E372" s="3">
        <v>-1197.019</v>
      </c>
      <c r="F372" s="4" t="str">
        <f>HYPERLINK("http://141.218.60.56/~jnz1568/getInfo.php?workbook=20_10.xlsx&amp;sheet=A0&amp;row=372&amp;col=6&amp;number=1582000000&amp;sourceID=14","1582000000")</f>
        <v>1582000000</v>
      </c>
      <c r="G372" s="4" t="str">
        <f>HYPERLINK("http://141.218.60.56/~jnz1568/getInfo.php?workbook=20_10.xlsx&amp;sheet=A0&amp;row=372&amp;col=7&amp;number=0&amp;sourceID=14","0")</f>
        <v>0</v>
      </c>
    </row>
    <row r="373" spans="1:7">
      <c r="A373" s="3">
        <v>20</v>
      </c>
      <c r="B373" s="3">
        <v>10</v>
      </c>
      <c r="C373" s="3">
        <v>51</v>
      </c>
      <c r="D373" s="3">
        <v>2</v>
      </c>
      <c r="E373" s="3">
        <v>-90.687</v>
      </c>
      <c r="F373" s="4" t="str">
        <f>HYPERLINK("http://141.218.60.56/~jnz1568/getInfo.php?workbook=20_10.xlsx&amp;sheet=A0&amp;row=373&amp;col=6&amp;number=10490000&amp;sourceID=14","10490000")</f>
        <v>10490000</v>
      </c>
      <c r="G373" s="4" t="str">
        <f>HYPERLINK("http://141.218.60.56/~jnz1568/getInfo.php?workbook=20_10.xlsx&amp;sheet=A0&amp;row=373&amp;col=7&amp;number=0&amp;sourceID=14","0")</f>
        <v>0</v>
      </c>
    </row>
    <row r="374" spans="1:7">
      <c r="A374" s="3">
        <v>20</v>
      </c>
      <c r="B374" s="3">
        <v>10</v>
      </c>
      <c r="C374" s="3">
        <v>51</v>
      </c>
      <c r="D374" s="3">
        <v>6</v>
      </c>
      <c r="E374" s="3">
        <v>-105.73</v>
      </c>
      <c r="F374" s="4" t="str">
        <f>HYPERLINK("http://141.218.60.56/~jnz1568/getInfo.php?workbook=20_10.xlsx&amp;sheet=A0&amp;row=374&amp;col=6&amp;number=30240000000&amp;sourceID=14","30240000000")</f>
        <v>30240000000</v>
      </c>
      <c r="G374" s="4" t="str">
        <f>HYPERLINK("http://141.218.60.56/~jnz1568/getInfo.php?workbook=20_10.xlsx&amp;sheet=A0&amp;row=374&amp;col=7&amp;number=0&amp;sourceID=14","0")</f>
        <v>0</v>
      </c>
    </row>
    <row r="375" spans="1:7">
      <c r="A375" s="3">
        <v>20</v>
      </c>
      <c r="B375" s="3">
        <v>10</v>
      </c>
      <c r="C375" s="3">
        <v>51</v>
      </c>
      <c r="D375" s="3">
        <v>7</v>
      </c>
      <c r="E375" s="3">
        <v>-108.015</v>
      </c>
      <c r="F375" s="4" t="str">
        <f>HYPERLINK("http://141.218.60.56/~jnz1568/getInfo.php?workbook=20_10.xlsx&amp;sheet=A0&amp;row=375&amp;col=6&amp;number=4128000000&amp;sourceID=14","4128000000")</f>
        <v>4128000000</v>
      </c>
      <c r="G375" s="4" t="str">
        <f>HYPERLINK("http://141.218.60.56/~jnz1568/getInfo.php?workbook=20_10.xlsx&amp;sheet=A0&amp;row=375&amp;col=7&amp;number=0&amp;sourceID=14","0")</f>
        <v>0</v>
      </c>
    </row>
    <row r="376" spans="1:7">
      <c r="A376" s="3">
        <v>20</v>
      </c>
      <c r="B376" s="3">
        <v>10</v>
      </c>
      <c r="C376" s="3">
        <v>51</v>
      </c>
      <c r="D376" s="3">
        <v>8</v>
      </c>
      <c r="E376" s="3">
        <v>-108.066</v>
      </c>
      <c r="F376" s="4" t="str">
        <f>HYPERLINK("http://141.218.60.56/~jnz1568/getInfo.php?workbook=20_10.xlsx&amp;sheet=A0&amp;row=376&amp;col=6&amp;number=3834000000&amp;sourceID=14","3834000000")</f>
        <v>3834000000</v>
      </c>
      <c r="G376" s="4" t="str">
        <f>HYPERLINK("http://141.218.60.56/~jnz1568/getInfo.php?workbook=20_10.xlsx&amp;sheet=A0&amp;row=376&amp;col=7&amp;number=0&amp;sourceID=14","0")</f>
        <v>0</v>
      </c>
    </row>
    <row r="377" spans="1:7">
      <c r="A377" s="3">
        <v>20</v>
      </c>
      <c r="B377" s="3">
        <v>10</v>
      </c>
      <c r="C377" s="3">
        <v>51</v>
      </c>
      <c r="D377" s="3">
        <v>9</v>
      </c>
      <c r="E377" s="3">
        <v>-109.611</v>
      </c>
      <c r="F377" s="4" t="str">
        <f>HYPERLINK("http://141.218.60.56/~jnz1568/getInfo.php?workbook=20_10.xlsx&amp;sheet=A0&amp;row=377&amp;col=6&amp;number=34320000000&amp;sourceID=14","34320000000")</f>
        <v>34320000000</v>
      </c>
      <c r="G377" s="4" t="str">
        <f>HYPERLINK("http://141.218.60.56/~jnz1568/getInfo.php?workbook=20_10.xlsx&amp;sheet=A0&amp;row=377&amp;col=7&amp;number=0&amp;sourceID=14","0")</f>
        <v>0</v>
      </c>
    </row>
    <row r="378" spans="1:7">
      <c r="A378" s="3">
        <v>20</v>
      </c>
      <c r="B378" s="3">
        <v>10</v>
      </c>
      <c r="C378" s="3">
        <v>51</v>
      </c>
      <c r="D378" s="3">
        <v>10</v>
      </c>
      <c r="E378" s="3">
        <v>-108.928</v>
      </c>
      <c r="F378" s="4" t="str">
        <f>HYPERLINK("http://141.218.60.56/~jnz1568/getInfo.php?workbook=20_10.xlsx&amp;sheet=A0&amp;row=378&amp;col=6&amp;number=3645000000&amp;sourceID=14","3645000000")</f>
        <v>3645000000</v>
      </c>
      <c r="G378" s="4" t="str">
        <f>HYPERLINK("http://141.218.60.56/~jnz1568/getInfo.php?workbook=20_10.xlsx&amp;sheet=A0&amp;row=378&amp;col=7&amp;number=0&amp;sourceID=14","0")</f>
        <v>0</v>
      </c>
    </row>
    <row r="379" spans="1:7">
      <c r="A379" s="3">
        <v>20</v>
      </c>
      <c r="B379" s="3">
        <v>10</v>
      </c>
      <c r="C379" s="3">
        <v>51</v>
      </c>
      <c r="D379" s="3">
        <v>11</v>
      </c>
      <c r="E379" s="3">
        <v>-111.492</v>
      </c>
      <c r="F379" s="4" t="str">
        <f>HYPERLINK("http://141.218.60.56/~jnz1568/getInfo.php?workbook=20_10.xlsx&amp;sheet=A0&amp;row=379&amp;col=6&amp;number=1133000000&amp;sourceID=14","1133000000")</f>
        <v>1133000000</v>
      </c>
      <c r="G379" s="4" t="str">
        <f>HYPERLINK("http://141.218.60.56/~jnz1568/getInfo.php?workbook=20_10.xlsx&amp;sheet=A0&amp;row=379&amp;col=7&amp;number=0&amp;sourceID=14","0")</f>
        <v>0</v>
      </c>
    </row>
    <row r="380" spans="1:7">
      <c r="A380" s="3">
        <v>20</v>
      </c>
      <c r="B380" s="3">
        <v>10</v>
      </c>
      <c r="C380" s="3">
        <v>51</v>
      </c>
      <c r="D380" s="3">
        <v>13</v>
      </c>
      <c r="E380" s="3">
        <v>-112.571</v>
      </c>
      <c r="F380" s="4" t="str">
        <f>HYPERLINK("http://141.218.60.56/~jnz1568/getInfo.php?workbook=20_10.xlsx&amp;sheet=A0&amp;row=380&amp;col=6&amp;number=2098000000&amp;sourceID=14","2098000000")</f>
        <v>2098000000</v>
      </c>
      <c r="G380" s="4" t="str">
        <f>HYPERLINK("http://141.218.60.56/~jnz1568/getInfo.php?workbook=20_10.xlsx&amp;sheet=A0&amp;row=380&amp;col=7&amp;number=0&amp;sourceID=14","0")</f>
        <v>0</v>
      </c>
    </row>
    <row r="381" spans="1:7">
      <c r="A381" s="3">
        <v>20</v>
      </c>
      <c r="B381" s="3">
        <v>10</v>
      </c>
      <c r="C381" s="3">
        <v>51</v>
      </c>
      <c r="D381" s="3">
        <v>14</v>
      </c>
      <c r="E381" s="3">
        <v>-112.571</v>
      </c>
      <c r="F381" s="4" t="str">
        <f>HYPERLINK("http://141.218.60.56/~jnz1568/getInfo.php?workbook=20_10.xlsx&amp;sheet=A0&amp;row=381&amp;col=6&amp;number=584300000&amp;sourceID=14","584300000")</f>
        <v>584300000</v>
      </c>
      <c r="G381" s="4" t="str">
        <f>HYPERLINK("http://141.218.60.56/~jnz1568/getInfo.php?workbook=20_10.xlsx&amp;sheet=A0&amp;row=381&amp;col=7&amp;number=0&amp;sourceID=14","0")</f>
        <v>0</v>
      </c>
    </row>
    <row r="382" spans="1:7">
      <c r="A382" s="3">
        <v>20</v>
      </c>
      <c r="B382" s="3">
        <v>10</v>
      </c>
      <c r="C382" s="3">
        <v>51</v>
      </c>
      <c r="D382" s="3">
        <v>28</v>
      </c>
      <c r="E382" s="3">
        <v>-274.35</v>
      </c>
      <c r="F382" s="4" t="str">
        <f>HYPERLINK("http://141.218.60.56/~jnz1568/getInfo.php?workbook=20_10.xlsx&amp;sheet=A0&amp;row=382&amp;col=6&amp;number=287300000&amp;sourceID=14","287300000")</f>
        <v>287300000</v>
      </c>
      <c r="G382" s="4" t="str">
        <f>HYPERLINK("http://141.218.60.56/~jnz1568/getInfo.php?workbook=20_10.xlsx&amp;sheet=A0&amp;row=382&amp;col=7&amp;number=0&amp;sourceID=14","0")</f>
        <v>0</v>
      </c>
    </row>
    <row r="383" spans="1:7">
      <c r="A383" s="3">
        <v>20</v>
      </c>
      <c r="B383" s="3">
        <v>10</v>
      </c>
      <c r="C383" s="3">
        <v>51</v>
      </c>
      <c r="D383" s="3">
        <v>38</v>
      </c>
      <c r="E383" s="3">
        <v>-1117.196</v>
      </c>
      <c r="F383" s="4" t="str">
        <f>HYPERLINK("http://141.218.60.56/~jnz1568/getInfo.php?workbook=20_10.xlsx&amp;sheet=A0&amp;row=383&amp;col=6&amp;number=711500000&amp;sourceID=14","711500000")</f>
        <v>711500000</v>
      </c>
      <c r="G383" s="4" t="str">
        <f>HYPERLINK("http://141.218.60.56/~jnz1568/getInfo.php?workbook=20_10.xlsx&amp;sheet=A0&amp;row=383&amp;col=7&amp;number=0&amp;sourceID=14","0")</f>
        <v>0</v>
      </c>
    </row>
    <row r="384" spans="1:7">
      <c r="A384" s="3">
        <v>20</v>
      </c>
      <c r="B384" s="3">
        <v>10</v>
      </c>
      <c r="C384" s="3">
        <v>51</v>
      </c>
      <c r="D384" s="3">
        <v>39</v>
      </c>
      <c r="E384" s="3">
        <v>-1187.411</v>
      </c>
      <c r="F384" s="4" t="str">
        <f>HYPERLINK("http://141.218.60.56/~jnz1568/getInfo.php?workbook=20_10.xlsx&amp;sheet=A0&amp;row=384&amp;col=6&amp;number=88780000&amp;sourceID=14","88780000")</f>
        <v>88780000</v>
      </c>
      <c r="G384" s="4" t="str">
        <f>HYPERLINK("http://141.218.60.56/~jnz1568/getInfo.php?workbook=20_10.xlsx&amp;sheet=A0&amp;row=384&amp;col=7&amp;number=0&amp;sourceID=14","0")</f>
        <v>0</v>
      </c>
    </row>
    <row r="385" spans="1:7">
      <c r="A385" s="3">
        <v>20</v>
      </c>
      <c r="B385" s="3">
        <v>10</v>
      </c>
      <c r="C385" s="3">
        <v>51</v>
      </c>
      <c r="D385" s="3">
        <v>40</v>
      </c>
      <c r="E385" s="3">
        <v>-1189.898</v>
      </c>
      <c r="F385" s="4" t="str">
        <f>HYPERLINK("http://141.218.60.56/~jnz1568/getInfo.php?workbook=20_10.xlsx&amp;sheet=A0&amp;row=385&amp;col=6&amp;number=57850000&amp;sourceID=14","57850000")</f>
        <v>57850000</v>
      </c>
      <c r="G385" s="4" t="str">
        <f>HYPERLINK("http://141.218.60.56/~jnz1568/getInfo.php?workbook=20_10.xlsx&amp;sheet=A0&amp;row=385&amp;col=7&amp;number=0&amp;sourceID=14","0")</f>
        <v>0</v>
      </c>
    </row>
    <row r="386" spans="1:7">
      <c r="A386" s="3">
        <v>20</v>
      </c>
      <c r="B386" s="3">
        <v>10</v>
      </c>
      <c r="C386" s="3">
        <v>51</v>
      </c>
      <c r="D386" s="3">
        <v>41</v>
      </c>
      <c r="E386" s="3">
        <v>-1231.044</v>
      </c>
      <c r="F386" s="4" t="str">
        <f>HYPERLINK("http://141.218.60.56/~jnz1568/getInfo.php?workbook=20_10.xlsx&amp;sheet=A0&amp;row=386&amp;col=6&amp;number=103300000&amp;sourceID=14","103300000")</f>
        <v>103300000</v>
      </c>
      <c r="G386" s="4" t="str">
        <f>HYPERLINK("http://141.218.60.56/~jnz1568/getInfo.php?workbook=20_10.xlsx&amp;sheet=A0&amp;row=386&amp;col=7&amp;number=0&amp;sourceID=14","0")</f>
        <v>0</v>
      </c>
    </row>
    <row r="387" spans="1:7">
      <c r="A387" s="3">
        <v>20</v>
      </c>
      <c r="B387" s="3">
        <v>10</v>
      </c>
      <c r="C387" s="3">
        <v>51</v>
      </c>
      <c r="D387" s="3">
        <v>42</v>
      </c>
      <c r="E387" s="3">
        <v>-1257.405</v>
      </c>
      <c r="F387" s="4" t="str">
        <f>HYPERLINK("http://141.218.60.56/~jnz1568/getInfo.php?workbook=20_10.xlsx&amp;sheet=A0&amp;row=387&amp;col=6&amp;number=573100000&amp;sourceID=14","573100000")</f>
        <v>573100000</v>
      </c>
      <c r="G387" s="4" t="str">
        <f>HYPERLINK("http://141.218.60.56/~jnz1568/getInfo.php?workbook=20_10.xlsx&amp;sheet=A0&amp;row=387&amp;col=7&amp;number=0&amp;sourceID=14","0")</f>
        <v>0</v>
      </c>
    </row>
    <row r="388" spans="1:7">
      <c r="A388" s="3">
        <v>20</v>
      </c>
      <c r="B388" s="3">
        <v>10</v>
      </c>
      <c r="C388" s="3">
        <v>52</v>
      </c>
      <c r="D388" s="3">
        <v>7</v>
      </c>
      <c r="E388" s="3">
        <v>107.488</v>
      </c>
      <c r="F388" s="4" t="str">
        <f>HYPERLINK("http://141.218.60.56/~jnz1568/getInfo.php?workbook=20_10.xlsx&amp;sheet=A0&amp;row=388&amp;col=6&amp;number=69570000000&amp;sourceID=14","69570000000")</f>
        <v>69570000000</v>
      </c>
      <c r="G388" s="4" t="str">
        <f>HYPERLINK("http://141.218.60.56/~jnz1568/getInfo.php?workbook=20_10.xlsx&amp;sheet=A0&amp;row=388&amp;col=7&amp;number=0&amp;sourceID=14","0")</f>
        <v>0</v>
      </c>
    </row>
    <row r="389" spans="1:7">
      <c r="A389" s="3">
        <v>20</v>
      </c>
      <c r="B389" s="3">
        <v>10</v>
      </c>
      <c r="C389" s="3">
        <v>52</v>
      </c>
      <c r="D389" s="3">
        <v>8</v>
      </c>
      <c r="E389" s="3">
        <v>107.557</v>
      </c>
      <c r="F389" s="4" t="str">
        <f>HYPERLINK("http://141.218.60.56/~jnz1568/getInfo.php?workbook=20_10.xlsx&amp;sheet=A0&amp;row=389&amp;col=6&amp;number=12580000000&amp;sourceID=14","12580000000")</f>
        <v>12580000000</v>
      </c>
      <c r="G389" s="4" t="str">
        <f>HYPERLINK("http://141.218.60.56/~jnz1568/getInfo.php?workbook=20_10.xlsx&amp;sheet=A0&amp;row=389&amp;col=7&amp;number=0&amp;sourceID=14","0")</f>
        <v>0</v>
      </c>
    </row>
    <row r="390" spans="1:7">
      <c r="A390" s="3">
        <v>20</v>
      </c>
      <c r="B390" s="3">
        <v>10</v>
      </c>
      <c r="C390" s="3">
        <v>52</v>
      </c>
      <c r="D390" s="3">
        <v>9</v>
      </c>
      <c r="E390" s="3">
        <v>109.333</v>
      </c>
      <c r="F390" s="4" t="str">
        <f>HYPERLINK("http://141.218.60.56/~jnz1568/getInfo.php?workbook=20_10.xlsx&amp;sheet=A0&amp;row=390&amp;col=6&amp;number=616400000&amp;sourceID=14","616400000")</f>
        <v>616400000</v>
      </c>
      <c r="G390" s="4" t="str">
        <f>HYPERLINK("http://141.218.60.56/~jnz1568/getInfo.php?workbook=20_10.xlsx&amp;sheet=A0&amp;row=390&amp;col=7&amp;number=0&amp;sourceID=14","0")</f>
        <v>0</v>
      </c>
    </row>
    <row r="391" spans="1:7">
      <c r="A391" s="3">
        <v>20</v>
      </c>
      <c r="B391" s="3">
        <v>10</v>
      </c>
      <c r="C391" s="3">
        <v>52</v>
      </c>
      <c r="D391" s="3">
        <v>13</v>
      </c>
      <c r="E391" s="3">
        <v>112.633</v>
      </c>
      <c r="F391" s="4" t="str">
        <f>HYPERLINK("http://141.218.60.56/~jnz1568/getInfo.php?workbook=20_10.xlsx&amp;sheet=A0&amp;row=391&amp;col=6&amp;number=549500000&amp;sourceID=14","549500000")</f>
        <v>549500000</v>
      </c>
      <c r="G391" s="4" t="str">
        <f>HYPERLINK("http://141.218.60.56/~jnz1568/getInfo.php?workbook=20_10.xlsx&amp;sheet=A0&amp;row=391&amp;col=7&amp;number=0&amp;sourceID=14","0")</f>
        <v>0</v>
      </c>
    </row>
    <row r="392" spans="1:7">
      <c r="A392" s="3">
        <v>20</v>
      </c>
      <c r="B392" s="3">
        <v>10</v>
      </c>
      <c r="C392" s="3">
        <v>52</v>
      </c>
      <c r="D392" s="3">
        <v>39</v>
      </c>
      <c r="E392" s="3">
        <v>-1170.812</v>
      </c>
      <c r="F392" s="4" t="str">
        <f>HYPERLINK("http://141.218.60.56/~jnz1568/getInfo.php?workbook=20_10.xlsx&amp;sheet=A0&amp;row=392&amp;col=6&amp;number=1405000000&amp;sourceID=14","1405000000")</f>
        <v>1405000000</v>
      </c>
      <c r="G392" s="4" t="str">
        <f>HYPERLINK("http://141.218.60.56/~jnz1568/getInfo.php?workbook=20_10.xlsx&amp;sheet=A0&amp;row=392&amp;col=7&amp;number=0&amp;sourceID=14","0")</f>
        <v>0</v>
      </c>
    </row>
    <row r="393" spans="1:7">
      <c r="A393" s="3">
        <v>20</v>
      </c>
      <c r="B393" s="3">
        <v>10</v>
      </c>
      <c r="C393" s="3">
        <v>52</v>
      </c>
      <c r="D393" s="3">
        <v>40</v>
      </c>
      <c r="E393" s="3">
        <v>-1173.229</v>
      </c>
      <c r="F393" s="4" t="str">
        <f>HYPERLINK("http://141.218.60.56/~jnz1568/getInfo.php?workbook=20_10.xlsx&amp;sheet=A0&amp;row=393&amp;col=6&amp;number=261900000&amp;sourceID=14","261900000")</f>
        <v>261900000</v>
      </c>
      <c r="G393" s="4" t="str">
        <f>HYPERLINK("http://141.218.60.56/~jnz1568/getInfo.php?workbook=20_10.xlsx&amp;sheet=A0&amp;row=393&amp;col=7&amp;number=0&amp;sourceID=14","0")</f>
        <v>0</v>
      </c>
    </row>
    <row r="394" spans="1:7">
      <c r="A394" s="3">
        <v>20</v>
      </c>
      <c r="B394" s="3">
        <v>10</v>
      </c>
      <c r="C394" s="3">
        <v>53</v>
      </c>
      <c r="D394" s="3">
        <v>3</v>
      </c>
      <c r="E394" s="3">
        <v>91.049</v>
      </c>
      <c r="F394" s="4" t="str">
        <f>HYPERLINK("http://141.218.60.56/~jnz1568/getInfo.php?workbook=20_10.xlsx&amp;sheet=A0&amp;row=394&amp;col=6&amp;number=10530000&amp;sourceID=14","10530000")</f>
        <v>10530000</v>
      </c>
      <c r="G394" s="4" t="str">
        <f>HYPERLINK("http://141.218.60.56/~jnz1568/getInfo.php?workbook=20_10.xlsx&amp;sheet=A0&amp;row=394&amp;col=7&amp;number=0&amp;sourceID=14","0")</f>
        <v>0</v>
      </c>
    </row>
    <row r="395" spans="1:7">
      <c r="A395" s="3">
        <v>20</v>
      </c>
      <c r="B395" s="3">
        <v>10</v>
      </c>
      <c r="C395" s="3">
        <v>53</v>
      </c>
      <c r="D395" s="3">
        <v>6</v>
      </c>
      <c r="E395" s="3">
        <v>-105.318</v>
      </c>
      <c r="F395" s="4" t="str">
        <f>HYPERLINK("http://141.218.60.56/~jnz1568/getInfo.php?workbook=20_10.xlsx&amp;sheet=A0&amp;row=395&amp;col=6&amp;number=42670000&amp;sourceID=14","42670000")</f>
        <v>42670000</v>
      </c>
      <c r="G395" s="4" t="str">
        <f>HYPERLINK("http://141.218.60.56/~jnz1568/getInfo.php?workbook=20_10.xlsx&amp;sheet=A0&amp;row=395&amp;col=7&amp;number=0&amp;sourceID=14","0")</f>
        <v>0</v>
      </c>
    </row>
    <row r="396" spans="1:7">
      <c r="A396" s="3">
        <v>20</v>
      </c>
      <c r="B396" s="3">
        <v>10</v>
      </c>
      <c r="C396" s="3">
        <v>53</v>
      </c>
      <c r="D396" s="3">
        <v>7</v>
      </c>
      <c r="E396" s="3">
        <v>106.939</v>
      </c>
      <c r="F396" s="4" t="str">
        <f>HYPERLINK("http://141.218.60.56/~jnz1568/getInfo.php?workbook=20_10.xlsx&amp;sheet=A0&amp;row=396&amp;col=6&amp;number=26300000000&amp;sourceID=14","26300000000")</f>
        <v>26300000000</v>
      </c>
      <c r="G396" s="4" t="str">
        <f>HYPERLINK("http://141.218.60.56/~jnz1568/getInfo.php?workbook=20_10.xlsx&amp;sheet=A0&amp;row=396&amp;col=7&amp;number=0&amp;sourceID=14","0")</f>
        <v>0</v>
      </c>
    </row>
    <row r="397" spans="1:7">
      <c r="A397" s="3">
        <v>20</v>
      </c>
      <c r="B397" s="3">
        <v>10</v>
      </c>
      <c r="C397" s="3">
        <v>53</v>
      </c>
      <c r="D397" s="3">
        <v>8</v>
      </c>
      <c r="E397" s="3">
        <v>107.008</v>
      </c>
      <c r="F397" s="4" t="str">
        <f>HYPERLINK("http://141.218.60.56/~jnz1568/getInfo.php?workbook=20_10.xlsx&amp;sheet=A0&amp;row=397&amp;col=6&amp;number=1360000000&amp;sourceID=14","1360000000")</f>
        <v>1360000000</v>
      </c>
      <c r="G397" s="4" t="str">
        <f>HYPERLINK("http://141.218.60.56/~jnz1568/getInfo.php?workbook=20_10.xlsx&amp;sheet=A0&amp;row=397&amp;col=7&amp;number=0&amp;sourceID=14","0")</f>
        <v>0</v>
      </c>
    </row>
    <row r="398" spans="1:7">
      <c r="A398" s="3">
        <v>20</v>
      </c>
      <c r="B398" s="3">
        <v>10</v>
      </c>
      <c r="C398" s="3">
        <v>53</v>
      </c>
      <c r="D398" s="3">
        <v>10</v>
      </c>
      <c r="E398" s="3">
        <v>107.944</v>
      </c>
      <c r="F398" s="4" t="str">
        <f>HYPERLINK("http://141.218.60.56/~jnz1568/getInfo.php?workbook=20_10.xlsx&amp;sheet=A0&amp;row=398&amp;col=6&amp;number=52530000000&amp;sourceID=14","52530000000")</f>
        <v>52530000000</v>
      </c>
      <c r="G398" s="4" t="str">
        <f>HYPERLINK("http://141.218.60.56/~jnz1568/getInfo.php?workbook=20_10.xlsx&amp;sheet=A0&amp;row=398&amp;col=7&amp;number=0&amp;sourceID=14","0")</f>
        <v>0</v>
      </c>
    </row>
    <row r="399" spans="1:7">
      <c r="A399" s="3">
        <v>20</v>
      </c>
      <c r="B399" s="3">
        <v>10</v>
      </c>
      <c r="C399" s="3">
        <v>53</v>
      </c>
      <c r="D399" s="3">
        <v>11</v>
      </c>
      <c r="E399" s="3">
        <v>108.259</v>
      </c>
      <c r="F399" s="4" t="str">
        <f>HYPERLINK("http://141.218.60.56/~jnz1568/getInfo.php?workbook=20_10.xlsx&amp;sheet=A0&amp;row=399&amp;col=6&amp;number=2088000000&amp;sourceID=14","2088000000")</f>
        <v>2088000000</v>
      </c>
      <c r="G399" s="4" t="str">
        <f>HYPERLINK("http://141.218.60.56/~jnz1568/getInfo.php?workbook=20_10.xlsx&amp;sheet=A0&amp;row=399&amp;col=7&amp;number=0&amp;sourceID=14","0")</f>
        <v>0</v>
      </c>
    </row>
    <row r="400" spans="1:7">
      <c r="A400" s="3">
        <v>20</v>
      </c>
      <c r="B400" s="3">
        <v>10</v>
      </c>
      <c r="C400" s="3">
        <v>53</v>
      </c>
      <c r="D400" s="3">
        <v>13</v>
      </c>
      <c r="E400" s="3">
        <v>112.031</v>
      </c>
      <c r="F400" s="4" t="str">
        <f>HYPERLINK("http://141.218.60.56/~jnz1568/getInfo.php?workbook=20_10.xlsx&amp;sheet=A0&amp;row=400&amp;col=6&amp;number=447200000&amp;sourceID=14","447200000")</f>
        <v>447200000</v>
      </c>
      <c r="G400" s="4" t="str">
        <f>HYPERLINK("http://141.218.60.56/~jnz1568/getInfo.php?workbook=20_10.xlsx&amp;sheet=A0&amp;row=400&amp;col=7&amp;number=0&amp;sourceID=14","0")</f>
        <v>0</v>
      </c>
    </row>
    <row r="401" spans="1:7">
      <c r="A401" s="3">
        <v>20</v>
      </c>
      <c r="B401" s="3">
        <v>10</v>
      </c>
      <c r="C401" s="3">
        <v>53</v>
      </c>
      <c r="D401" s="3">
        <v>14</v>
      </c>
      <c r="E401" s="3">
        <v>112.019</v>
      </c>
      <c r="F401" s="4" t="str">
        <f>HYPERLINK("http://141.218.60.56/~jnz1568/getInfo.php?workbook=20_10.xlsx&amp;sheet=A0&amp;row=401&amp;col=6&amp;number=43790000&amp;sourceID=14","43790000")</f>
        <v>43790000</v>
      </c>
      <c r="G401" s="4" t="str">
        <f>HYPERLINK("http://141.218.60.56/~jnz1568/getInfo.php?workbook=20_10.xlsx&amp;sheet=A0&amp;row=401&amp;col=7&amp;number=0&amp;sourceID=14","0")</f>
        <v>0</v>
      </c>
    </row>
    <row r="402" spans="1:7">
      <c r="A402" s="3">
        <v>20</v>
      </c>
      <c r="B402" s="3">
        <v>10</v>
      </c>
      <c r="C402" s="3">
        <v>53</v>
      </c>
      <c r="D402" s="3">
        <v>38</v>
      </c>
      <c r="E402" s="3">
        <v>-1072.894</v>
      </c>
      <c r="F402" s="4" t="str">
        <f>HYPERLINK("http://141.218.60.56/~jnz1568/getInfo.php?workbook=20_10.xlsx&amp;sheet=A0&amp;row=402&amp;col=6&amp;number=10410000&amp;sourceID=14","10410000")</f>
        <v>10410000</v>
      </c>
      <c r="G402" s="4" t="str">
        <f>HYPERLINK("http://141.218.60.56/~jnz1568/getInfo.php?workbook=20_10.xlsx&amp;sheet=A0&amp;row=402&amp;col=7&amp;number=0&amp;sourceID=14","0")</f>
        <v>0</v>
      </c>
    </row>
    <row r="403" spans="1:7">
      <c r="A403" s="3">
        <v>20</v>
      </c>
      <c r="B403" s="3">
        <v>10</v>
      </c>
      <c r="C403" s="3">
        <v>53</v>
      </c>
      <c r="D403" s="3">
        <v>39</v>
      </c>
      <c r="E403" s="3">
        <v>-1137.49</v>
      </c>
      <c r="F403" s="4" t="str">
        <f>HYPERLINK("http://141.218.60.56/~jnz1568/getInfo.php?workbook=20_10.xlsx&amp;sheet=A0&amp;row=403&amp;col=6&amp;number=624500000&amp;sourceID=14","624500000")</f>
        <v>624500000</v>
      </c>
      <c r="G403" s="4" t="str">
        <f>HYPERLINK("http://141.218.60.56/~jnz1568/getInfo.php?workbook=20_10.xlsx&amp;sheet=A0&amp;row=403&amp;col=7&amp;number=0&amp;sourceID=14","0")</f>
        <v>0</v>
      </c>
    </row>
    <row r="404" spans="1:7">
      <c r="A404" s="3">
        <v>20</v>
      </c>
      <c r="B404" s="3">
        <v>10</v>
      </c>
      <c r="C404" s="3">
        <v>53</v>
      </c>
      <c r="D404" s="3">
        <v>40</v>
      </c>
      <c r="E404" s="3">
        <v>-1139.772</v>
      </c>
      <c r="F404" s="4" t="str">
        <f>HYPERLINK("http://141.218.60.56/~jnz1568/getInfo.php?workbook=20_10.xlsx&amp;sheet=A0&amp;row=404&amp;col=6&amp;number=33590000&amp;sourceID=14","33590000")</f>
        <v>33590000</v>
      </c>
      <c r="G404" s="4" t="str">
        <f>HYPERLINK("http://141.218.60.56/~jnz1568/getInfo.php?workbook=20_10.xlsx&amp;sheet=A0&amp;row=404&amp;col=7&amp;number=0&amp;sourceID=14","0")</f>
        <v>0</v>
      </c>
    </row>
    <row r="405" spans="1:7">
      <c r="A405" s="3">
        <v>20</v>
      </c>
      <c r="B405" s="3">
        <v>10</v>
      </c>
      <c r="C405" s="3">
        <v>53</v>
      </c>
      <c r="D405" s="3">
        <v>41</v>
      </c>
      <c r="E405" s="3">
        <v>-1177.47</v>
      </c>
      <c r="F405" s="4" t="str">
        <f>HYPERLINK("http://141.218.60.56/~jnz1568/getInfo.php?workbook=20_10.xlsx&amp;sheet=A0&amp;row=405&amp;col=6&amp;number=1043000000&amp;sourceID=14","1043000000")</f>
        <v>1043000000</v>
      </c>
      <c r="G405" s="4" t="str">
        <f>HYPERLINK("http://141.218.60.56/~jnz1568/getInfo.php?workbook=20_10.xlsx&amp;sheet=A0&amp;row=405&amp;col=7&amp;number=0&amp;sourceID=14","0")</f>
        <v>0</v>
      </c>
    </row>
    <row r="406" spans="1:7">
      <c r="A406" s="3">
        <v>20</v>
      </c>
      <c r="B406" s="3">
        <v>10</v>
      </c>
      <c r="C406" s="3">
        <v>54</v>
      </c>
      <c r="D406" s="3">
        <v>7</v>
      </c>
      <c r="E406" s="3">
        <v>108.025</v>
      </c>
      <c r="F406" s="4" t="str">
        <f>HYPERLINK("http://141.218.60.56/~jnz1568/getInfo.php?workbook=20_10.xlsx&amp;sheet=A0&amp;row=406&amp;col=6&amp;number=741400000&amp;sourceID=14","741400000")</f>
        <v>741400000</v>
      </c>
      <c r="G406" s="4" t="str">
        <f>HYPERLINK("http://141.218.60.56/~jnz1568/getInfo.php?workbook=20_10.xlsx&amp;sheet=A0&amp;row=406&amp;col=7&amp;number=0&amp;sourceID=14","0")</f>
        <v>0</v>
      </c>
    </row>
    <row r="407" spans="1:7">
      <c r="A407" s="3">
        <v>20</v>
      </c>
      <c r="B407" s="3">
        <v>10</v>
      </c>
      <c r="C407" s="3">
        <v>54</v>
      </c>
      <c r="D407" s="3">
        <v>8</v>
      </c>
      <c r="E407" s="3">
        <v>108.095</v>
      </c>
      <c r="F407" s="4" t="str">
        <f>HYPERLINK("http://141.218.60.56/~jnz1568/getInfo.php?workbook=20_10.xlsx&amp;sheet=A0&amp;row=407&amp;col=6&amp;number=13240000000&amp;sourceID=14","13240000000")</f>
        <v>13240000000</v>
      </c>
      <c r="G407" s="4" t="str">
        <f>HYPERLINK("http://141.218.60.56/~jnz1568/getInfo.php?workbook=20_10.xlsx&amp;sheet=A0&amp;row=407&amp;col=7&amp;number=0&amp;sourceID=14","0")</f>
        <v>0</v>
      </c>
    </row>
    <row r="408" spans="1:7">
      <c r="A408" s="3">
        <v>20</v>
      </c>
      <c r="B408" s="3">
        <v>10</v>
      </c>
      <c r="C408" s="3">
        <v>54</v>
      </c>
      <c r="D408" s="3">
        <v>9</v>
      </c>
      <c r="E408" s="3">
        <v>109.889</v>
      </c>
      <c r="F408" s="4" t="str">
        <f>HYPERLINK("http://141.218.60.56/~jnz1568/getInfo.php?workbook=20_10.xlsx&amp;sheet=A0&amp;row=408&amp;col=6&amp;number=66470000000&amp;sourceID=14","66470000000")</f>
        <v>66470000000</v>
      </c>
      <c r="G408" s="4" t="str">
        <f>HYPERLINK("http://141.218.60.56/~jnz1568/getInfo.php?workbook=20_10.xlsx&amp;sheet=A0&amp;row=408&amp;col=7&amp;number=0&amp;sourceID=14","0")</f>
        <v>0</v>
      </c>
    </row>
    <row r="409" spans="1:7">
      <c r="A409" s="3">
        <v>20</v>
      </c>
      <c r="B409" s="3">
        <v>10</v>
      </c>
      <c r="C409" s="3">
        <v>54</v>
      </c>
      <c r="D409" s="3">
        <v>39</v>
      </c>
      <c r="E409" s="3">
        <v>-1120.915</v>
      </c>
      <c r="F409" s="4" t="str">
        <f>HYPERLINK("http://141.218.60.56/~jnz1568/getInfo.php?workbook=20_10.xlsx&amp;sheet=A0&amp;row=409&amp;col=6&amp;number=34470000&amp;sourceID=14","34470000")</f>
        <v>34470000</v>
      </c>
      <c r="G409" s="4" t="str">
        <f>HYPERLINK("http://141.218.60.56/~jnz1568/getInfo.php?workbook=20_10.xlsx&amp;sheet=A0&amp;row=409&amp;col=7&amp;number=0&amp;sourceID=14","0")</f>
        <v>0</v>
      </c>
    </row>
    <row r="410" spans="1:7">
      <c r="A410" s="3">
        <v>20</v>
      </c>
      <c r="B410" s="3">
        <v>10</v>
      </c>
      <c r="C410" s="3">
        <v>54</v>
      </c>
      <c r="D410" s="3">
        <v>40</v>
      </c>
      <c r="E410" s="3">
        <v>-1123.131</v>
      </c>
      <c r="F410" s="4" t="str">
        <f>HYPERLINK("http://141.218.60.56/~jnz1568/getInfo.php?workbook=20_10.xlsx&amp;sheet=A0&amp;row=410&amp;col=6&amp;number=359400000&amp;sourceID=14","359400000")</f>
        <v>359400000</v>
      </c>
      <c r="G410" s="4" t="str">
        <f>HYPERLINK("http://141.218.60.56/~jnz1568/getInfo.php?workbook=20_10.xlsx&amp;sheet=A0&amp;row=410&amp;col=7&amp;number=0&amp;sourceID=14","0")</f>
        <v>0</v>
      </c>
    </row>
    <row r="411" spans="1:7">
      <c r="A411" s="3">
        <v>20</v>
      </c>
      <c r="B411" s="3">
        <v>10</v>
      </c>
      <c r="C411" s="3">
        <v>54</v>
      </c>
      <c r="D411" s="3">
        <v>42</v>
      </c>
      <c r="E411" s="3">
        <v>-1183.084</v>
      </c>
      <c r="F411" s="4" t="str">
        <f>HYPERLINK("http://141.218.60.56/~jnz1568/getInfo.php?workbook=20_10.xlsx&amp;sheet=A0&amp;row=411&amp;col=6&amp;number=1297000000&amp;sourceID=14","1297000000")</f>
        <v>1297000000</v>
      </c>
      <c r="G411" s="4" t="str">
        <f>HYPERLINK("http://141.218.60.56/~jnz1568/getInfo.php?workbook=20_10.xlsx&amp;sheet=A0&amp;row=411&amp;col=7&amp;number=0&amp;sourceID=14","0")</f>
        <v>0</v>
      </c>
    </row>
    <row r="412" spans="1:7">
      <c r="A412" s="3">
        <v>20</v>
      </c>
      <c r="B412" s="3">
        <v>10</v>
      </c>
      <c r="C412" s="3">
        <v>55</v>
      </c>
      <c r="D412" s="3">
        <v>1</v>
      </c>
      <c r="E412" s="3">
        <v>25.517</v>
      </c>
      <c r="F412" s="4" t="str">
        <f>HYPERLINK("http://141.218.60.56/~jnz1568/getInfo.php?workbook=20_10.xlsx&amp;sheet=A0&amp;row=412&amp;col=6&amp;number=789100000000&amp;sourceID=14","789100000000")</f>
        <v>789100000000</v>
      </c>
      <c r="G412" s="4" t="str">
        <f>HYPERLINK("http://141.218.60.56/~jnz1568/getInfo.php?workbook=20_10.xlsx&amp;sheet=A0&amp;row=412&amp;col=7&amp;number=0&amp;sourceID=14","0")</f>
        <v>0</v>
      </c>
    </row>
    <row r="413" spans="1:7">
      <c r="A413" s="3">
        <v>20</v>
      </c>
      <c r="B413" s="3">
        <v>10</v>
      </c>
      <c r="C413" s="3">
        <v>55</v>
      </c>
      <c r="D413" s="3">
        <v>3</v>
      </c>
      <c r="E413" s="3">
        <v>90.245</v>
      </c>
      <c r="F413" s="4" t="str">
        <f>HYPERLINK("http://141.218.60.56/~jnz1568/getInfo.php?workbook=20_10.xlsx&amp;sheet=A0&amp;row=413&amp;col=6&amp;number=13400000&amp;sourceID=14","13400000")</f>
        <v>13400000</v>
      </c>
      <c r="G413" s="4" t="str">
        <f>HYPERLINK("http://141.218.60.56/~jnz1568/getInfo.php?workbook=20_10.xlsx&amp;sheet=A0&amp;row=413&amp;col=7&amp;number=0&amp;sourceID=14","0")</f>
        <v>0</v>
      </c>
    </row>
    <row r="414" spans="1:7">
      <c r="A414" s="3">
        <v>20</v>
      </c>
      <c r="B414" s="3">
        <v>10</v>
      </c>
      <c r="C414" s="3">
        <v>55</v>
      </c>
      <c r="D414" s="3">
        <v>6</v>
      </c>
      <c r="E414" s="3">
        <v>-104.188</v>
      </c>
      <c r="F414" s="4" t="str">
        <f>HYPERLINK("http://141.218.60.56/~jnz1568/getInfo.php?workbook=20_10.xlsx&amp;sheet=A0&amp;row=414&amp;col=6&amp;number=791500000&amp;sourceID=14","791500000")</f>
        <v>791500000</v>
      </c>
      <c r="G414" s="4" t="str">
        <f>HYPERLINK("http://141.218.60.56/~jnz1568/getInfo.php?workbook=20_10.xlsx&amp;sheet=A0&amp;row=414&amp;col=7&amp;number=0&amp;sourceID=14","0")</f>
        <v>0</v>
      </c>
    </row>
    <row r="415" spans="1:7">
      <c r="A415" s="3">
        <v>20</v>
      </c>
      <c r="B415" s="3">
        <v>10</v>
      </c>
      <c r="C415" s="3">
        <v>55</v>
      </c>
      <c r="D415" s="3">
        <v>7</v>
      </c>
      <c r="E415" s="3">
        <v>105.831</v>
      </c>
      <c r="F415" s="4" t="str">
        <f>HYPERLINK("http://141.218.60.56/~jnz1568/getInfo.php?workbook=20_10.xlsx&amp;sheet=A0&amp;row=415&amp;col=6&amp;number=2352000000&amp;sourceID=14","2352000000")</f>
        <v>2352000000</v>
      </c>
      <c r="G415" s="4" t="str">
        <f>HYPERLINK("http://141.218.60.56/~jnz1568/getInfo.php?workbook=20_10.xlsx&amp;sheet=A0&amp;row=415&amp;col=7&amp;number=0&amp;sourceID=14","0")</f>
        <v>0</v>
      </c>
    </row>
    <row r="416" spans="1:7">
      <c r="A416" s="3">
        <v>20</v>
      </c>
      <c r="B416" s="3">
        <v>10</v>
      </c>
      <c r="C416" s="3">
        <v>55</v>
      </c>
      <c r="D416" s="3">
        <v>9</v>
      </c>
      <c r="E416" s="3">
        <v>107.62</v>
      </c>
      <c r="F416" s="4" t="str">
        <f>HYPERLINK("http://141.218.60.56/~jnz1568/getInfo.php?workbook=20_10.xlsx&amp;sheet=A0&amp;row=416&amp;col=6&amp;number=12610000&amp;sourceID=14","12610000")</f>
        <v>12610000</v>
      </c>
      <c r="G416" s="4" t="str">
        <f>HYPERLINK("http://141.218.60.56/~jnz1568/getInfo.php?workbook=20_10.xlsx&amp;sheet=A0&amp;row=416&amp;col=7&amp;number=0&amp;sourceID=14","0")</f>
        <v>0</v>
      </c>
    </row>
    <row r="417" spans="1:7">
      <c r="A417" s="3">
        <v>20</v>
      </c>
      <c r="B417" s="3">
        <v>10</v>
      </c>
      <c r="C417" s="3">
        <v>55</v>
      </c>
      <c r="D417" s="3">
        <v>10</v>
      </c>
      <c r="E417" s="3">
        <v>106.815</v>
      </c>
      <c r="F417" s="4" t="str">
        <f>HYPERLINK("http://141.218.60.56/~jnz1568/getInfo.php?workbook=20_10.xlsx&amp;sheet=A0&amp;row=417&amp;col=6&amp;number=28840000000&amp;sourceID=14","28840000000")</f>
        <v>28840000000</v>
      </c>
      <c r="G417" s="4" t="str">
        <f>HYPERLINK("http://141.218.60.56/~jnz1568/getInfo.php?workbook=20_10.xlsx&amp;sheet=A0&amp;row=417&amp;col=7&amp;number=0&amp;sourceID=14","0")</f>
        <v>0</v>
      </c>
    </row>
    <row r="418" spans="1:7">
      <c r="A418" s="3">
        <v>20</v>
      </c>
      <c r="B418" s="3">
        <v>10</v>
      </c>
      <c r="C418" s="3">
        <v>55</v>
      </c>
      <c r="D418" s="3">
        <v>12</v>
      </c>
      <c r="E418" s="3">
        <v>-109.813</v>
      </c>
      <c r="F418" s="4" t="str">
        <f>HYPERLINK("http://141.218.60.56/~jnz1568/getInfo.php?workbook=20_10.xlsx&amp;sheet=A0&amp;row=418&amp;col=6&amp;number=37010000000&amp;sourceID=14","37010000000")</f>
        <v>37010000000</v>
      </c>
      <c r="G418" s="4" t="str">
        <f>HYPERLINK("http://141.218.60.56/~jnz1568/getInfo.php?workbook=20_10.xlsx&amp;sheet=A0&amp;row=418&amp;col=7&amp;number=0&amp;sourceID=14","0")</f>
        <v>0</v>
      </c>
    </row>
    <row r="419" spans="1:7">
      <c r="A419" s="3">
        <v>20</v>
      </c>
      <c r="B419" s="3">
        <v>10</v>
      </c>
      <c r="C419" s="3">
        <v>55</v>
      </c>
      <c r="D419" s="3">
        <v>13</v>
      </c>
      <c r="E419" s="3">
        <v>110.816</v>
      </c>
      <c r="F419" s="4" t="str">
        <f>HYPERLINK("http://141.218.60.56/~jnz1568/getInfo.php?workbook=20_10.xlsx&amp;sheet=A0&amp;row=419&amp;col=6&amp;number=165300000&amp;sourceID=14","165300000")</f>
        <v>165300000</v>
      </c>
      <c r="G419" s="4" t="str">
        <f>HYPERLINK("http://141.218.60.56/~jnz1568/getInfo.php?workbook=20_10.xlsx&amp;sheet=A0&amp;row=419&amp;col=7&amp;number=0&amp;sourceID=14","0")</f>
        <v>0</v>
      </c>
    </row>
    <row r="420" spans="1:7">
      <c r="A420" s="3">
        <v>20</v>
      </c>
      <c r="B420" s="3">
        <v>10</v>
      </c>
      <c r="C420" s="3">
        <v>55</v>
      </c>
      <c r="D420" s="3">
        <v>14</v>
      </c>
      <c r="E420" s="3">
        <v>110.804</v>
      </c>
      <c r="F420" s="4" t="str">
        <f>HYPERLINK("http://141.218.60.56/~jnz1568/getInfo.php?workbook=20_10.xlsx&amp;sheet=A0&amp;row=420&amp;col=6&amp;number=2263000000&amp;sourceID=14","2263000000")</f>
        <v>2263000000</v>
      </c>
      <c r="G420" s="4" t="str">
        <f>HYPERLINK("http://141.218.60.56/~jnz1568/getInfo.php?workbook=20_10.xlsx&amp;sheet=A0&amp;row=420&amp;col=7&amp;number=0&amp;sourceID=14","0")</f>
        <v>0</v>
      </c>
    </row>
    <row r="421" spans="1:7">
      <c r="A421" s="3">
        <v>20</v>
      </c>
      <c r="B421" s="3">
        <v>10</v>
      </c>
      <c r="C421" s="3">
        <v>55</v>
      </c>
      <c r="D421" s="3">
        <v>15</v>
      </c>
      <c r="E421" s="3">
        <v>-122.511</v>
      </c>
      <c r="F421" s="4" t="str">
        <f>HYPERLINK("http://141.218.60.56/~jnz1568/getInfo.php?workbook=20_10.xlsx&amp;sheet=A0&amp;row=421&amp;col=6&amp;number=9704000000&amp;sourceID=14","9704000000")</f>
        <v>9704000000</v>
      </c>
      <c r="G421" s="4" t="str">
        <f>HYPERLINK("http://141.218.60.56/~jnz1568/getInfo.php?workbook=20_10.xlsx&amp;sheet=A0&amp;row=421&amp;col=7&amp;number=0&amp;sourceID=14","0")</f>
        <v>0</v>
      </c>
    </row>
    <row r="422" spans="1:7">
      <c r="A422" s="3">
        <v>20</v>
      </c>
      <c r="B422" s="3">
        <v>10</v>
      </c>
      <c r="C422" s="3">
        <v>55</v>
      </c>
      <c r="D422" s="3">
        <v>28</v>
      </c>
      <c r="E422" s="3">
        <v>-264.206</v>
      </c>
      <c r="F422" s="4" t="str">
        <f>HYPERLINK("http://141.218.60.56/~jnz1568/getInfo.php?workbook=20_10.xlsx&amp;sheet=A0&amp;row=422&amp;col=6&amp;number=28960000&amp;sourceID=14","28960000")</f>
        <v>28960000</v>
      </c>
      <c r="G422" s="4" t="str">
        <f>HYPERLINK("http://141.218.60.56/~jnz1568/getInfo.php?workbook=20_10.xlsx&amp;sheet=A0&amp;row=422&amp;col=7&amp;number=0&amp;sourceID=14","0")</f>
        <v>0</v>
      </c>
    </row>
    <row r="423" spans="1:7">
      <c r="A423" s="3">
        <v>20</v>
      </c>
      <c r="B423" s="3">
        <v>10</v>
      </c>
      <c r="C423" s="3">
        <v>55</v>
      </c>
      <c r="D423" s="3">
        <v>29</v>
      </c>
      <c r="E423" s="3">
        <v>-288.723</v>
      </c>
      <c r="F423" s="4" t="str">
        <f>HYPERLINK("http://141.218.60.56/~jnz1568/getInfo.php?workbook=20_10.xlsx&amp;sheet=A0&amp;row=423&amp;col=6&amp;number=189800000&amp;sourceID=14","189800000")</f>
        <v>189800000</v>
      </c>
      <c r="G423" s="4" t="str">
        <f>HYPERLINK("http://141.218.60.56/~jnz1568/getInfo.php?workbook=20_10.xlsx&amp;sheet=A0&amp;row=423&amp;col=7&amp;number=0&amp;sourceID=14","0")</f>
        <v>0</v>
      </c>
    </row>
    <row r="424" spans="1:7">
      <c r="A424" s="3">
        <v>20</v>
      </c>
      <c r="B424" s="3">
        <v>10</v>
      </c>
      <c r="C424" s="3">
        <v>55</v>
      </c>
      <c r="D424" s="3">
        <v>39</v>
      </c>
      <c r="E424" s="3">
        <v>-1018.218</v>
      </c>
      <c r="F424" s="4" t="str">
        <f>HYPERLINK("http://141.218.60.56/~jnz1568/getInfo.php?workbook=20_10.xlsx&amp;sheet=A0&amp;row=424&amp;col=6&amp;number=82250000&amp;sourceID=14","82250000")</f>
        <v>82250000</v>
      </c>
      <c r="G424" s="4" t="str">
        <f>HYPERLINK("http://141.218.60.56/~jnz1568/getInfo.php?workbook=20_10.xlsx&amp;sheet=A0&amp;row=424&amp;col=7&amp;number=0&amp;sourceID=14","0")</f>
        <v>0</v>
      </c>
    </row>
    <row r="425" spans="1:7">
      <c r="A425" s="3">
        <v>20</v>
      </c>
      <c r="B425" s="3">
        <v>10</v>
      </c>
      <c r="C425" s="3">
        <v>55</v>
      </c>
      <c r="D425" s="3">
        <v>41</v>
      </c>
      <c r="E425" s="3">
        <v>-1050.135</v>
      </c>
      <c r="F425" s="4" t="str">
        <f>HYPERLINK("http://141.218.60.56/~jnz1568/getInfo.php?workbook=20_10.xlsx&amp;sheet=A0&amp;row=425&amp;col=6&amp;number=963400000&amp;sourceID=14","963400000")</f>
        <v>963400000</v>
      </c>
      <c r="G425" s="4" t="str">
        <f>HYPERLINK("http://141.218.60.56/~jnz1568/getInfo.php?workbook=20_10.xlsx&amp;sheet=A0&amp;row=425&amp;col=7&amp;number=0&amp;sourceID=14","0")</f>
        <v>0</v>
      </c>
    </row>
    <row r="426" spans="1:7">
      <c r="A426" s="3">
        <v>20</v>
      </c>
      <c r="B426" s="3">
        <v>10</v>
      </c>
      <c r="C426" s="3">
        <v>55</v>
      </c>
      <c r="D426" s="3">
        <v>43</v>
      </c>
      <c r="E426" s="3">
        <v>-1237.197</v>
      </c>
      <c r="F426" s="4" t="str">
        <f>HYPERLINK("http://141.218.60.56/~jnz1568/getInfo.php?workbook=20_10.xlsx&amp;sheet=A0&amp;row=426&amp;col=6&amp;number=686900000&amp;sourceID=14","686900000")</f>
        <v>686900000</v>
      </c>
      <c r="G426" s="4" t="str">
        <f>HYPERLINK("http://141.218.60.56/~jnz1568/getInfo.php?workbook=20_10.xlsx&amp;sheet=A0&amp;row=426&amp;col=7&amp;number=0&amp;sourceID=14","0")</f>
        <v>0</v>
      </c>
    </row>
    <row r="427" spans="1:7">
      <c r="A427" s="3">
        <v>20</v>
      </c>
      <c r="B427" s="3">
        <v>10</v>
      </c>
      <c r="C427" s="3">
        <v>55</v>
      </c>
      <c r="D427" s="3">
        <v>44</v>
      </c>
      <c r="E427" s="3">
        <v>1402.527</v>
      </c>
      <c r="F427" s="4" t="str">
        <f>HYPERLINK("http://141.218.60.56/~jnz1568/getInfo.php?workbook=20_10.xlsx&amp;sheet=A0&amp;row=427&amp;col=6&amp;number=13780000&amp;sourceID=14","13780000")</f>
        <v>13780000</v>
      </c>
      <c r="G427" s="4" t="str">
        <f>HYPERLINK("http://141.218.60.56/~jnz1568/getInfo.php?workbook=20_10.xlsx&amp;sheet=A0&amp;row=427&amp;col=7&amp;number=0&amp;sourceID=14","0")</f>
        <v>0</v>
      </c>
    </row>
    <row r="428" spans="1:7">
      <c r="A428" s="3">
        <v>20</v>
      </c>
      <c r="B428" s="3">
        <v>10</v>
      </c>
      <c r="C428" s="3">
        <v>55</v>
      </c>
      <c r="D428" s="3">
        <v>45</v>
      </c>
      <c r="E428" s="3">
        <v>-1503.536</v>
      </c>
      <c r="F428" s="4" t="str">
        <f>HYPERLINK("http://141.218.60.56/~jnz1568/getInfo.php?workbook=20_10.xlsx&amp;sheet=A0&amp;row=428&amp;col=6&amp;number=23510000&amp;sourceID=14","23510000")</f>
        <v>23510000</v>
      </c>
      <c r="G428" s="4" t="str">
        <f>HYPERLINK("http://141.218.60.56/~jnz1568/getInfo.php?workbook=20_10.xlsx&amp;sheet=A0&amp;row=428&amp;col=7&amp;number=0&amp;sourceID=14","0")</f>
        <v>0</v>
      </c>
    </row>
    <row r="429" spans="1:7">
      <c r="A429" s="3">
        <v>20</v>
      </c>
      <c r="B429" s="3">
        <v>10</v>
      </c>
      <c r="C429" s="3">
        <v>56</v>
      </c>
      <c r="D429" s="3">
        <v>2</v>
      </c>
      <c r="E429" s="3">
        <v>-88.211</v>
      </c>
      <c r="F429" s="4" t="str">
        <f>HYPERLINK("http://141.218.60.56/~jnz1568/getInfo.php?workbook=20_10.xlsx&amp;sheet=A0&amp;row=429&amp;col=6&amp;number=18220000&amp;sourceID=14","18220000")</f>
        <v>18220000</v>
      </c>
      <c r="G429" s="4" t="str">
        <f>HYPERLINK("http://141.218.60.56/~jnz1568/getInfo.php?workbook=20_10.xlsx&amp;sheet=A0&amp;row=429&amp;col=7&amp;number=0&amp;sourceID=14","0")</f>
        <v>0</v>
      </c>
    </row>
    <row r="430" spans="1:7">
      <c r="A430" s="3">
        <v>20</v>
      </c>
      <c r="B430" s="3">
        <v>10</v>
      </c>
      <c r="C430" s="3">
        <v>56</v>
      </c>
      <c r="D430" s="3">
        <v>3</v>
      </c>
      <c r="E430" s="3">
        <v>-88.846</v>
      </c>
      <c r="F430" s="4" t="str">
        <f>HYPERLINK("http://141.218.60.56/~jnz1568/getInfo.php?workbook=20_10.xlsx&amp;sheet=A0&amp;row=430&amp;col=6&amp;number=200100000&amp;sourceID=14","200100000")</f>
        <v>200100000</v>
      </c>
      <c r="G430" s="4" t="str">
        <f>HYPERLINK("http://141.218.60.56/~jnz1568/getInfo.php?workbook=20_10.xlsx&amp;sheet=A0&amp;row=430&amp;col=7&amp;number=0&amp;sourceID=14","0")</f>
        <v>0</v>
      </c>
    </row>
    <row r="431" spans="1:7">
      <c r="A431" s="3">
        <v>20</v>
      </c>
      <c r="B431" s="3">
        <v>10</v>
      </c>
      <c r="C431" s="3">
        <v>56</v>
      </c>
      <c r="D431" s="3">
        <v>4</v>
      </c>
      <c r="E431" s="3">
        <v>-90.592</v>
      </c>
      <c r="F431" s="4" t="str">
        <f>HYPERLINK("http://141.218.60.56/~jnz1568/getInfo.php?workbook=20_10.xlsx&amp;sheet=A0&amp;row=431&amp;col=6&amp;number=568200000&amp;sourceID=14","568200000")</f>
        <v>568200000</v>
      </c>
      <c r="G431" s="4" t="str">
        <f>HYPERLINK("http://141.218.60.56/~jnz1568/getInfo.php?workbook=20_10.xlsx&amp;sheet=A0&amp;row=431&amp;col=7&amp;number=0&amp;sourceID=14","0")</f>
        <v>0</v>
      </c>
    </row>
    <row r="432" spans="1:7">
      <c r="A432" s="3">
        <v>20</v>
      </c>
      <c r="B432" s="3">
        <v>10</v>
      </c>
      <c r="C432" s="3">
        <v>56</v>
      </c>
      <c r="D432" s="3">
        <v>5</v>
      </c>
      <c r="E432" s="3">
        <v>-91.162</v>
      </c>
      <c r="F432" s="4" t="str">
        <f>HYPERLINK("http://141.218.60.56/~jnz1568/getInfo.php?workbook=20_10.xlsx&amp;sheet=A0&amp;row=432&amp;col=6&amp;number=172000000&amp;sourceID=14","172000000")</f>
        <v>172000000</v>
      </c>
      <c r="G432" s="4" t="str">
        <f>HYPERLINK("http://141.218.60.56/~jnz1568/getInfo.php?workbook=20_10.xlsx&amp;sheet=A0&amp;row=432&amp;col=7&amp;number=0&amp;sourceID=14","0")</f>
        <v>0</v>
      </c>
    </row>
    <row r="433" spans="1:7">
      <c r="A433" s="3">
        <v>20</v>
      </c>
      <c r="B433" s="3">
        <v>10</v>
      </c>
      <c r="C433" s="3">
        <v>56</v>
      </c>
      <c r="D433" s="3">
        <v>6</v>
      </c>
      <c r="E433" s="3">
        <v>-102.38</v>
      </c>
      <c r="F433" s="4" t="str">
        <f>HYPERLINK("http://141.218.60.56/~jnz1568/getInfo.php?workbook=20_10.xlsx&amp;sheet=A0&amp;row=433&amp;col=6&amp;number=13490000&amp;sourceID=14","13490000")</f>
        <v>13490000</v>
      </c>
      <c r="G433" s="4" t="str">
        <f>HYPERLINK("http://141.218.60.56/~jnz1568/getInfo.php?workbook=20_10.xlsx&amp;sheet=A0&amp;row=433&amp;col=7&amp;number=0&amp;sourceID=14","0")</f>
        <v>0</v>
      </c>
    </row>
    <row r="434" spans="1:7">
      <c r="A434" s="3">
        <v>20</v>
      </c>
      <c r="B434" s="3">
        <v>10</v>
      </c>
      <c r="C434" s="3">
        <v>56</v>
      </c>
      <c r="D434" s="3">
        <v>16</v>
      </c>
      <c r="E434" s="3">
        <v>-135.64</v>
      </c>
      <c r="F434" s="4" t="str">
        <f>HYPERLINK("http://141.218.60.56/~jnz1568/getInfo.php?workbook=20_10.xlsx&amp;sheet=A0&amp;row=434&amp;col=6&amp;number=37450000000&amp;sourceID=14","37450000000")</f>
        <v>37450000000</v>
      </c>
      <c r="G434" s="4" t="str">
        <f>HYPERLINK("http://141.218.60.56/~jnz1568/getInfo.php?workbook=20_10.xlsx&amp;sheet=A0&amp;row=434&amp;col=7&amp;number=0&amp;sourceID=14","0")</f>
        <v>0</v>
      </c>
    </row>
    <row r="435" spans="1:7">
      <c r="A435" s="3">
        <v>20</v>
      </c>
      <c r="B435" s="3">
        <v>10</v>
      </c>
      <c r="C435" s="3">
        <v>56</v>
      </c>
      <c r="D435" s="3">
        <v>17</v>
      </c>
      <c r="E435" s="3">
        <v>-136.195</v>
      </c>
      <c r="F435" s="4" t="str">
        <f>HYPERLINK("http://141.218.60.56/~jnz1568/getInfo.php?workbook=20_10.xlsx&amp;sheet=A0&amp;row=435&amp;col=6&amp;number=28990000000&amp;sourceID=14","28990000000")</f>
        <v>28990000000</v>
      </c>
      <c r="G435" s="4" t="str">
        <f>HYPERLINK("http://141.218.60.56/~jnz1568/getInfo.php?workbook=20_10.xlsx&amp;sheet=A0&amp;row=435&amp;col=7&amp;number=0&amp;sourceID=14","0")</f>
        <v>0</v>
      </c>
    </row>
    <row r="436" spans="1:7">
      <c r="A436" s="3">
        <v>20</v>
      </c>
      <c r="B436" s="3">
        <v>10</v>
      </c>
      <c r="C436" s="3">
        <v>56</v>
      </c>
      <c r="D436" s="3">
        <v>18</v>
      </c>
      <c r="E436" s="3">
        <v>-137.316</v>
      </c>
      <c r="F436" s="4" t="str">
        <f>HYPERLINK("http://141.218.60.56/~jnz1568/getInfo.php?workbook=20_10.xlsx&amp;sheet=A0&amp;row=436&amp;col=6&amp;number=2001000000&amp;sourceID=14","2001000000")</f>
        <v>2001000000</v>
      </c>
      <c r="G436" s="4" t="str">
        <f>HYPERLINK("http://141.218.60.56/~jnz1568/getInfo.php?workbook=20_10.xlsx&amp;sheet=A0&amp;row=436&amp;col=7&amp;number=0&amp;sourceID=14","0")</f>
        <v>0</v>
      </c>
    </row>
    <row r="437" spans="1:7">
      <c r="A437" s="3">
        <v>20</v>
      </c>
      <c r="B437" s="3">
        <v>10</v>
      </c>
      <c r="C437" s="3">
        <v>56</v>
      </c>
      <c r="D437" s="3">
        <v>21</v>
      </c>
      <c r="E437" s="3">
        <v>-139.733</v>
      </c>
      <c r="F437" s="4" t="str">
        <f>HYPERLINK("http://141.218.60.56/~jnz1568/getInfo.php?workbook=20_10.xlsx&amp;sheet=A0&amp;row=437&amp;col=6&amp;number=3838000000&amp;sourceID=14","3838000000")</f>
        <v>3838000000</v>
      </c>
      <c r="G437" s="4" t="str">
        <f>HYPERLINK("http://141.218.60.56/~jnz1568/getInfo.php?workbook=20_10.xlsx&amp;sheet=A0&amp;row=437&amp;col=7&amp;number=0&amp;sourceID=14","0")</f>
        <v>0</v>
      </c>
    </row>
    <row r="438" spans="1:7">
      <c r="A438" s="3">
        <v>20</v>
      </c>
      <c r="B438" s="3">
        <v>10</v>
      </c>
      <c r="C438" s="3">
        <v>56</v>
      </c>
      <c r="D438" s="3">
        <v>23</v>
      </c>
      <c r="E438" s="3">
        <v>-143.463</v>
      </c>
      <c r="F438" s="4" t="str">
        <f>HYPERLINK("http://141.218.60.56/~jnz1568/getInfo.php?workbook=20_10.xlsx&amp;sheet=A0&amp;row=438&amp;col=6&amp;number=22870000&amp;sourceID=14","22870000")</f>
        <v>22870000</v>
      </c>
      <c r="G438" s="4" t="str">
        <f>HYPERLINK("http://141.218.60.56/~jnz1568/getInfo.php?workbook=20_10.xlsx&amp;sheet=A0&amp;row=438&amp;col=7&amp;number=0&amp;sourceID=14","0")</f>
        <v>0</v>
      </c>
    </row>
    <row r="439" spans="1:7">
      <c r="A439" s="3">
        <v>20</v>
      </c>
      <c r="B439" s="3">
        <v>10</v>
      </c>
      <c r="C439" s="3">
        <v>56</v>
      </c>
      <c r="D439" s="3">
        <v>24</v>
      </c>
      <c r="E439" s="3">
        <v>-144.75</v>
      </c>
      <c r="F439" s="4" t="str">
        <f>HYPERLINK("http://141.218.60.56/~jnz1568/getInfo.php?workbook=20_10.xlsx&amp;sheet=A0&amp;row=439&amp;col=6&amp;number=4134000000&amp;sourceID=14","4134000000")</f>
        <v>4134000000</v>
      </c>
      <c r="G439" s="4" t="str">
        <f>HYPERLINK("http://141.218.60.56/~jnz1568/getInfo.php?workbook=20_10.xlsx&amp;sheet=A0&amp;row=439&amp;col=7&amp;number=0&amp;sourceID=14","0")</f>
        <v>0</v>
      </c>
    </row>
    <row r="440" spans="1:7">
      <c r="A440" s="3">
        <v>20</v>
      </c>
      <c r="B440" s="3">
        <v>10</v>
      </c>
      <c r="C440" s="3">
        <v>56</v>
      </c>
      <c r="D440" s="3">
        <v>27</v>
      </c>
      <c r="E440" s="3">
        <v>-153.836</v>
      </c>
      <c r="F440" s="4" t="str">
        <f>HYPERLINK("http://141.218.60.56/~jnz1568/getInfo.php?workbook=20_10.xlsx&amp;sheet=A0&amp;row=440&amp;col=6&amp;number=43390000&amp;sourceID=14","43390000")</f>
        <v>43390000</v>
      </c>
      <c r="G440" s="4" t="str">
        <f>HYPERLINK("http://141.218.60.56/~jnz1568/getInfo.php?workbook=20_10.xlsx&amp;sheet=A0&amp;row=440&amp;col=7&amp;number=0&amp;sourceID=14","0")</f>
        <v>0</v>
      </c>
    </row>
    <row r="441" spans="1:7">
      <c r="A441" s="3">
        <v>20</v>
      </c>
      <c r="B441" s="3">
        <v>10</v>
      </c>
      <c r="C441" s="3">
        <v>56</v>
      </c>
      <c r="D441" s="3">
        <v>30</v>
      </c>
      <c r="E441" s="3">
        <v>-448.327</v>
      </c>
      <c r="F441" s="4" t="str">
        <f>HYPERLINK("http://141.218.60.56/~jnz1568/getInfo.php?workbook=20_10.xlsx&amp;sheet=A0&amp;row=441&amp;col=6&amp;number=887200000&amp;sourceID=14","887200000")</f>
        <v>887200000</v>
      </c>
      <c r="G441" s="4" t="str">
        <f>HYPERLINK("http://141.218.60.56/~jnz1568/getInfo.php?workbook=20_10.xlsx&amp;sheet=A0&amp;row=441&amp;col=7&amp;number=0&amp;sourceID=14","0")</f>
        <v>0</v>
      </c>
    </row>
    <row r="442" spans="1:7">
      <c r="A442" s="3">
        <v>20</v>
      </c>
      <c r="B442" s="3">
        <v>10</v>
      </c>
      <c r="C442" s="3">
        <v>56</v>
      </c>
      <c r="D442" s="3">
        <v>31</v>
      </c>
      <c r="E442" s="3">
        <v>-450.971</v>
      </c>
      <c r="F442" s="4" t="str">
        <f>HYPERLINK("http://141.218.60.56/~jnz1568/getInfo.php?workbook=20_10.xlsx&amp;sheet=A0&amp;row=442&amp;col=6&amp;number=620900000&amp;sourceID=14","620900000")</f>
        <v>620900000</v>
      </c>
      <c r="G442" s="4" t="str">
        <f>HYPERLINK("http://141.218.60.56/~jnz1568/getInfo.php?workbook=20_10.xlsx&amp;sheet=A0&amp;row=442&amp;col=7&amp;number=0&amp;sourceID=14","0")</f>
        <v>0</v>
      </c>
    </row>
    <row r="443" spans="1:7">
      <c r="A443" s="3">
        <v>20</v>
      </c>
      <c r="B443" s="3">
        <v>10</v>
      </c>
      <c r="C443" s="3">
        <v>56</v>
      </c>
      <c r="D443" s="3">
        <v>32</v>
      </c>
      <c r="E443" s="3">
        <v>-459.467</v>
      </c>
      <c r="F443" s="4" t="str">
        <f>HYPERLINK("http://141.218.60.56/~jnz1568/getInfo.php?workbook=20_10.xlsx&amp;sheet=A0&amp;row=443&amp;col=6&amp;number=37820000&amp;sourceID=14","37820000")</f>
        <v>37820000</v>
      </c>
      <c r="G443" s="4" t="str">
        <f>HYPERLINK("http://141.218.60.56/~jnz1568/getInfo.php?workbook=20_10.xlsx&amp;sheet=A0&amp;row=443&amp;col=7&amp;number=0&amp;sourceID=14","0")</f>
        <v>0</v>
      </c>
    </row>
    <row r="444" spans="1:7">
      <c r="A444" s="3">
        <v>20</v>
      </c>
      <c r="B444" s="3">
        <v>10</v>
      </c>
      <c r="C444" s="3">
        <v>56</v>
      </c>
      <c r="D444" s="3">
        <v>33</v>
      </c>
      <c r="E444" s="3">
        <v>-480.657</v>
      </c>
      <c r="F444" s="4" t="str">
        <f>HYPERLINK("http://141.218.60.56/~jnz1568/getInfo.php?workbook=20_10.xlsx&amp;sheet=A0&amp;row=444&amp;col=6&amp;number=14730000&amp;sourceID=14","14730000")</f>
        <v>14730000</v>
      </c>
      <c r="G444" s="4" t="str">
        <f>HYPERLINK("http://141.218.60.56/~jnz1568/getInfo.php?workbook=20_10.xlsx&amp;sheet=A0&amp;row=444&amp;col=7&amp;number=0&amp;sourceID=14","0")</f>
        <v>0</v>
      </c>
    </row>
    <row r="445" spans="1:7">
      <c r="A445" s="3">
        <v>20</v>
      </c>
      <c r="B445" s="3">
        <v>10</v>
      </c>
      <c r="C445" s="3">
        <v>56</v>
      </c>
      <c r="D445" s="3">
        <v>35</v>
      </c>
      <c r="E445" s="3">
        <v>-552.955</v>
      </c>
      <c r="F445" s="4" t="str">
        <f>HYPERLINK("http://141.218.60.56/~jnz1568/getInfo.php?workbook=20_10.xlsx&amp;sheet=A0&amp;row=445&amp;col=6&amp;number=35420000&amp;sourceID=14","35420000")</f>
        <v>35420000</v>
      </c>
      <c r="G445" s="4" t="str">
        <f>HYPERLINK("http://141.218.60.56/~jnz1568/getInfo.php?workbook=20_10.xlsx&amp;sheet=A0&amp;row=445&amp;col=7&amp;number=0&amp;sourceID=14","0")</f>
        <v>0</v>
      </c>
    </row>
    <row r="446" spans="1:7">
      <c r="A446" s="3">
        <v>20</v>
      </c>
      <c r="B446" s="3">
        <v>10</v>
      </c>
      <c r="C446" s="3">
        <v>56</v>
      </c>
      <c r="D446" s="3">
        <v>36</v>
      </c>
      <c r="E446" s="3">
        <v>-649.977</v>
      </c>
      <c r="F446" s="4" t="str">
        <f>HYPERLINK("http://141.218.60.56/~jnz1568/getInfo.php?workbook=20_10.xlsx&amp;sheet=A0&amp;row=446&amp;col=6&amp;number=69530000&amp;sourceID=14","69530000")</f>
        <v>69530000</v>
      </c>
      <c r="G446" s="4" t="str">
        <f>HYPERLINK("http://141.218.60.56/~jnz1568/getInfo.php?workbook=20_10.xlsx&amp;sheet=A0&amp;row=446&amp;col=7&amp;number=0&amp;sourceID=14","0")</f>
        <v>0</v>
      </c>
    </row>
    <row r="447" spans="1:7">
      <c r="A447" s="3">
        <v>20</v>
      </c>
      <c r="B447" s="3">
        <v>10</v>
      </c>
      <c r="C447" s="3">
        <v>56</v>
      </c>
      <c r="D447" s="3">
        <v>37</v>
      </c>
      <c r="E447" s="3">
        <v>-657.256</v>
      </c>
      <c r="F447" s="4" t="str">
        <f>HYPERLINK("http://141.218.60.56/~jnz1568/getInfo.php?workbook=20_10.xlsx&amp;sheet=A0&amp;row=447&amp;col=6&amp;number=30930000&amp;sourceID=14","30930000")</f>
        <v>30930000</v>
      </c>
      <c r="G447" s="4" t="str">
        <f>HYPERLINK("http://141.218.60.56/~jnz1568/getInfo.php?workbook=20_10.xlsx&amp;sheet=A0&amp;row=447&amp;col=7&amp;number=0&amp;sourceID=14","0")</f>
        <v>0</v>
      </c>
    </row>
    <row r="448" spans="1:7">
      <c r="A448" s="3">
        <v>20</v>
      </c>
      <c r="B448" s="3">
        <v>10</v>
      </c>
      <c r="C448" s="3">
        <v>57</v>
      </c>
      <c r="D448" s="3">
        <v>1</v>
      </c>
      <c r="E448" s="3">
        <v>-25.43</v>
      </c>
      <c r="F448" s="4" t="str">
        <f>HYPERLINK("http://141.218.60.56/~jnz1568/getInfo.php?workbook=20_10.xlsx&amp;sheet=A0&amp;row=448&amp;col=6&amp;number=23420000&amp;sourceID=14","23420000")</f>
        <v>23420000</v>
      </c>
      <c r="G448" s="4" t="str">
        <f>HYPERLINK("http://141.218.60.56/~jnz1568/getInfo.php?workbook=20_10.xlsx&amp;sheet=A0&amp;row=448&amp;col=7&amp;number=0&amp;sourceID=14","0")</f>
        <v>0</v>
      </c>
    </row>
    <row r="449" spans="1:7">
      <c r="A449" s="3">
        <v>20</v>
      </c>
      <c r="B449" s="3">
        <v>10</v>
      </c>
      <c r="C449" s="3">
        <v>57</v>
      </c>
      <c r="D449" s="3">
        <v>2</v>
      </c>
      <c r="E449" s="3">
        <v>-88.174</v>
      </c>
      <c r="F449" s="4" t="str">
        <f>HYPERLINK("http://141.218.60.56/~jnz1568/getInfo.php?workbook=20_10.xlsx&amp;sheet=A0&amp;row=449&amp;col=6&amp;number=158900000&amp;sourceID=14","158900000")</f>
        <v>158900000</v>
      </c>
      <c r="G449" s="4" t="str">
        <f>HYPERLINK("http://141.218.60.56/~jnz1568/getInfo.php?workbook=20_10.xlsx&amp;sheet=A0&amp;row=449&amp;col=7&amp;number=0&amp;sourceID=14","0")</f>
        <v>0</v>
      </c>
    </row>
    <row r="450" spans="1:7">
      <c r="A450" s="3">
        <v>20</v>
      </c>
      <c r="B450" s="3">
        <v>10</v>
      </c>
      <c r="C450" s="3">
        <v>57</v>
      </c>
      <c r="D450" s="3">
        <v>3</v>
      </c>
      <c r="E450" s="3">
        <v>-88.808</v>
      </c>
      <c r="F450" s="4" t="str">
        <f>HYPERLINK("http://141.218.60.56/~jnz1568/getInfo.php?workbook=20_10.xlsx&amp;sheet=A0&amp;row=450&amp;col=6&amp;number=269900000&amp;sourceID=14","269900000")</f>
        <v>269900000</v>
      </c>
      <c r="G450" s="4" t="str">
        <f>HYPERLINK("http://141.218.60.56/~jnz1568/getInfo.php?workbook=20_10.xlsx&amp;sheet=A0&amp;row=450&amp;col=7&amp;number=0&amp;sourceID=14","0")</f>
        <v>0</v>
      </c>
    </row>
    <row r="451" spans="1:7">
      <c r="A451" s="3">
        <v>20</v>
      </c>
      <c r="B451" s="3">
        <v>10</v>
      </c>
      <c r="C451" s="3">
        <v>57</v>
      </c>
      <c r="D451" s="3">
        <v>5</v>
      </c>
      <c r="E451" s="3">
        <v>-91.123</v>
      </c>
      <c r="F451" s="4" t="str">
        <f>HYPERLINK("http://141.218.60.56/~jnz1568/getInfo.php?workbook=20_10.xlsx&amp;sheet=A0&amp;row=451&amp;col=6&amp;number=437700000&amp;sourceID=14","437700000")</f>
        <v>437700000</v>
      </c>
      <c r="G451" s="4" t="str">
        <f>HYPERLINK("http://141.218.60.56/~jnz1568/getInfo.php?workbook=20_10.xlsx&amp;sheet=A0&amp;row=451&amp;col=7&amp;number=0&amp;sourceID=14","0")</f>
        <v>0</v>
      </c>
    </row>
    <row r="452" spans="1:7">
      <c r="A452" s="3">
        <v>20</v>
      </c>
      <c r="B452" s="3">
        <v>10</v>
      </c>
      <c r="C452" s="3">
        <v>57</v>
      </c>
      <c r="D452" s="3">
        <v>6</v>
      </c>
      <c r="E452" s="3">
        <v>-102.33</v>
      </c>
      <c r="F452" s="4" t="str">
        <f>HYPERLINK("http://141.218.60.56/~jnz1568/getInfo.php?workbook=20_10.xlsx&amp;sheet=A0&amp;row=452&amp;col=6&amp;number=10670000&amp;sourceID=14","10670000")</f>
        <v>10670000</v>
      </c>
      <c r="G452" s="4" t="str">
        <f>HYPERLINK("http://141.218.60.56/~jnz1568/getInfo.php?workbook=20_10.xlsx&amp;sheet=A0&amp;row=452&amp;col=7&amp;number=0&amp;sourceID=14","0")</f>
        <v>0</v>
      </c>
    </row>
    <row r="453" spans="1:7">
      <c r="A453" s="3">
        <v>20</v>
      </c>
      <c r="B453" s="3">
        <v>10</v>
      </c>
      <c r="C453" s="3">
        <v>57</v>
      </c>
      <c r="D453" s="3">
        <v>17</v>
      </c>
      <c r="E453" s="3">
        <v>-136.107</v>
      </c>
      <c r="F453" s="4" t="str">
        <f>HYPERLINK("http://141.218.60.56/~jnz1568/getInfo.php?workbook=20_10.xlsx&amp;sheet=A0&amp;row=453&amp;col=6&amp;number=47210000000&amp;sourceID=14","47210000000")</f>
        <v>47210000000</v>
      </c>
      <c r="G453" s="4" t="str">
        <f>HYPERLINK("http://141.218.60.56/~jnz1568/getInfo.php?workbook=20_10.xlsx&amp;sheet=A0&amp;row=453&amp;col=7&amp;number=0&amp;sourceID=14","0")</f>
        <v>0</v>
      </c>
    </row>
    <row r="454" spans="1:7">
      <c r="A454" s="3">
        <v>20</v>
      </c>
      <c r="B454" s="3">
        <v>10</v>
      </c>
      <c r="C454" s="3">
        <v>57</v>
      </c>
      <c r="D454" s="3">
        <v>18</v>
      </c>
      <c r="E454" s="3">
        <v>-137.227</v>
      </c>
      <c r="F454" s="4" t="str">
        <f>HYPERLINK("http://141.218.60.56/~jnz1568/getInfo.php?workbook=20_10.xlsx&amp;sheet=A0&amp;row=454&amp;col=6&amp;number=17450000000&amp;sourceID=14","17450000000")</f>
        <v>17450000000</v>
      </c>
      <c r="G454" s="4" t="str">
        <f>HYPERLINK("http://141.218.60.56/~jnz1568/getInfo.php?workbook=20_10.xlsx&amp;sheet=A0&amp;row=454&amp;col=7&amp;number=0&amp;sourceID=14","0")</f>
        <v>0</v>
      </c>
    </row>
    <row r="455" spans="1:7">
      <c r="A455" s="3">
        <v>20</v>
      </c>
      <c r="B455" s="3">
        <v>10</v>
      </c>
      <c r="C455" s="3">
        <v>57</v>
      </c>
      <c r="D455" s="3">
        <v>20</v>
      </c>
      <c r="E455" s="3">
        <v>-138.404</v>
      </c>
      <c r="F455" s="4" t="str">
        <f>HYPERLINK("http://141.218.60.56/~jnz1568/getInfo.php?workbook=20_10.xlsx&amp;sheet=A0&amp;row=455&amp;col=6&amp;number=4507000000&amp;sourceID=14","4507000000")</f>
        <v>4507000000</v>
      </c>
      <c r="G455" s="4" t="str">
        <f>HYPERLINK("http://141.218.60.56/~jnz1568/getInfo.php?workbook=20_10.xlsx&amp;sheet=A0&amp;row=455&amp;col=7&amp;number=0&amp;sourceID=14","0")</f>
        <v>0</v>
      </c>
    </row>
    <row r="456" spans="1:7">
      <c r="A456" s="3">
        <v>20</v>
      </c>
      <c r="B456" s="3">
        <v>10</v>
      </c>
      <c r="C456" s="3">
        <v>57</v>
      </c>
      <c r="D456" s="3">
        <v>21</v>
      </c>
      <c r="E456" s="3">
        <v>-139.641</v>
      </c>
      <c r="F456" s="4" t="str">
        <f>HYPERLINK("http://141.218.60.56/~jnz1568/getInfo.php?workbook=20_10.xlsx&amp;sheet=A0&amp;row=456&amp;col=6&amp;number=1900000000&amp;sourceID=14","1900000000")</f>
        <v>1900000000</v>
      </c>
      <c r="G456" s="4" t="str">
        <f>HYPERLINK("http://141.218.60.56/~jnz1568/getInfo.php?workbook=20_10.xlsx&amp;sheet=A0&amp;row=456&amp;col=7&amp;number=0&amp;sourceID=14","0")</f>
        <v>0</v>
      </c>
    </row>
    <row r="457" spans="1:7">
      <c r="A457" s="3">
        <v>20</v>
      </c>
      <c r="B457" s="3">
        <v>10</v>
      </c>
      <c r="C457" s="3">
        <v>57</v>
      </c>
      <c r="D457" s="3">
        <v>22</v>
      </c>
      <c r="E457" s="3">
        <v>-140.485</v>
      </c>
      <c r="F457" s="4" t="str">
        <f>HYPERLINK("http://141.218.60.56/~jnz1568/getInfo.php?workbook=20_10.xlsx&amp;sheet=A0&amp;row=457&amp;col=6&amp;number=30650000&amp;sourceID=14","30650000")</f>
        <v>30650000</v>
      </c>
      <c r="G457" s="4" t="str">
        <f>HYPERLINK("http://141.218.60.56/~jnz1568/getInfo.php?workbook=20_10.xlsx&amp;sheet=A0&amp;row=457&amp;col=7&amp;number=0&amp;sourceID=14","0")</f>
        <v>0</v>
      </c>
    </row>
    <row r="458" spans="1:7">
      <c r="A458" s="3">
        <v>20</v>
      </c>
      <c r="B458" s="3">
        <v>10</v>
      </c>
      <c r="C458" s="3">
        <v>57</v>
      </c>
      <c r="D458" s="3">
        <v>23</v>
      </c>
      <c r="E458" s="3">
        <v>-143.365</v>
      </c>
      <c r="F458" s="4" t="str">
        <f>HYPERLINK("http://141.218.60.56/~jnz1568/getInfo.php?workbook=20_10.xlsx&amp;sheet=A0&amp;row=458&amp;col=6&amp;number=201900000&amp;sourceID=14","201900000")</f>
        <v>201900000</v>
      </c>
      <c r="G458" s="4" t="str">
        <f>HYPERLINK("http://141.218.60.56/~jnz1568/getInfo.php?workbook=20_10.xlsx&amp;sheet=A0&amp;row=458&amp;col=7&amp;number=0&amp;sourceID=14","0")</f>
        <v>0</v>
      </c>
    </row>
    <row r="459" spans="1:7">
      <c r="A459" s="3">
        <v>20</v>
      </c>
      <c r="B459" s="3">
        <v>10</v>
      </c>
      <c r="C459" s="3">
        <v>57</v>
      </c>
      <c r="D459" s="3">
        <v>24</v>
      </c>
      <c r="E459" s="3">
        <v>-144.65</v>
      </c>
      <c r="F459" s="4" t="str">
        <f>HYPERLINK("http://141.218.60.56/~jnz1568/getInfo.php?workbook=20_10.xlsx&amp;sheet=A0&amp;row=459&amp;col=6&amp;number=566300000&amp;sourceID=14","566300000")</f>
        <v>566300000</v>
      </c>
      <c r="G459" s="4" t="str">
        <f>HYPERLINK("http://141.218.60.56/~jnz1568/getInfo.php?workbook=20_10.xlsx&amp;sheet=A0&amp;row=459&amp;col=7&amp;number=0&amp;sourceID=14","0")</f>
        <v>0</v>
      </c>
    </row>
    <row r="460" spans="1:7">
      <c r="A460" s="3">
        <v>20</v>
      </c>
      <c r="B460" s="3">
        <v>10</v>
      </c>
      <c r="C460" s="3">
        <v>57</v>
      </c>
      <c r="D460" s="3">
        <v>25</v>
      </c>
      <c r="E460" s="3">
        <v>-145.302</v>
      </c>
      <c r="F460" s="4" t="str">
        <f>HYPERLINK("http://141.218.60.56/~jnz1568/getInfo.php?workbook=20_10.xlsx&amp;sheet=A0&amp;row=460&amp;col=6&amp;number=25640000&amp;sourceID=14","25640000")</f>
        <v>25640000</v>
      </c>
      <c r="G460" s="4" t="str">
        <f>HYPERLINK("http://141.218.60.56/~jnz1568/getInfo.php?workbook=20_10.xlsx&amp;sheet=A0&amp;row=460&amp;col=7&amp;number=0&amp;sourceID=14","0")</f>
        <v>0</v>
      </c>
    </row>
    <row r="461" spans="1:7">
      <c r="A461" s="3">
        <v>20</v>
      </c>
      <c r="B461" s="3">
        <v>10</v>
      </c>
      <c r="C461" s="3">
        <v>57</v>
      </c>
      <c r="D461" s="3">
        <v>26</v>
      </c>
      <c r="E461" s="3">
        <v>-145.493</v>
      </c>
      <c r="F461" s="4" t="str">
        <f>HYPERLINK("http://141.218.60.56/~jnz1568/getInfo.php?workbook=20_10.xlsx&amp;sheet=A0&amp;row=461&amp;col=6&amp;number=2263000000&amp;sourceID=14","2263000000")</f>
        <v>2263000000</v>
      </c>
      <c r="G461" s="4" t="str">
        <f>HYPERLINK("http://141.218.60.56/~jnz1568/getInfo.php?workbook=20_10.xlsx&amp;sheet=A0&amp;row=461&amp;col=7&amp;number=0&amp;sourceID=14","0")</f>
        <v>0</v>
      </c>
    </row>
    <row r="462" spans="1:7">
      <c r="A462" s="3">
        <v>20</v>
      </c>
      <c r="B462" s="3">
        <v>10</v>
      </c>
      <c r="C462" s="3">
        <v>57</v>
      </c>
      <c r="D462" s="3">
        <v>27</v>
      </c>
      <c r="E462" s="3">
        <v>-153.724</v>
      </c>
      <c r="F462" s="4" t="str">
        <f>HYPERLINK("http://141.218.60.56/~jnz1568/getInfo.php?workbook=20_10.xlsx&amp;sheet=A0&amp;row=462&amp;col=6&amp;number=3508000000&amp;sourceID=14","3508000000")</f>
        <v>3508000000</v>
      </c>
      <c r="G462" s="4" t="str">
        <f>HYPERLINK("http://141.218.60.56/~jnz1568/getInfo.php?workbook=20_10.xlsx&amp;sheet=A0&amp;row=462&amp;col=7&amp;number=0&amp;sourceID=14","0")</f>
        <v>0</v>
      </c>
    </row>
    <row r="463" spans="1:7">
      <c r="A463" s="3">
        <v>20</v>
      </c>
      <c r="B463" s="3">
        <v>10</v>
      </c>
      <c r="C463" s="3">
        <v>57</v>
      </c>
      <c r="D463" s="3">
        <v>31</v>
      </c>
      <c r="E463" s="3">
        <v>-450.009</v>
      </c>
      <c r="F463" s="4" t="str">
        <f>HYPERLINK("http://141.218.60.56/~jnz1568/getInfo.php?workbook=20_10.xlsx&amp;sheet=A0&amp;row=463&amp;col=6&amp;number=1156000000&amp;sourceID=14","1156000000")</f>
        <v>1156000000</v>
      </c>
      <c r="G463" s="4" t="str">
        <f>HYPERLINK("http://141.218.60.56/~jnz1568/getInfo.php?workbook=20_10.xlsx&amp;sheet=A0&amp;row=463&amp;col=7&amp;number=0&amp;sourceID=14","0")</f>
        <v>0</v>
      </c>
    </row>
    <row r="464" spans="1:7">
      <c r="A464" s="3">
        <v>20</v>
      </c>
      <c r="B464" s="3">
        <v>10</v>
      </c>
      <c r="C464" s="3">
        <v>57</v>
      </c>
      <c r="D464" s="3">
        <v>32</v>
      </c>
      <c r="E464" s="3">
        <v>-458.468</v>
      </c>
      <c r="F464" s="4" t="str">
        <f>HYPERLINK("http://141.218.60.56/~jnz1568/getInfo.php?workbook=20_10.xlsx&amp;sheet=A0&amp;row=464&amp;col=6&amp;number=358800000&amp;sourceID=14","358800000")</f>
        <v>358800000</v>
      </c>
      <c r="G464" s="4" t="str">
        <f>HYPERLINK("http://141.218.60.56/~jnz1568/getInfo.php?workbook=20_10.xlsx&amp;sheet=A0&amp;row=464&amp;col=7&amp;number=0&amp;sourceID=14","0")</f>
        <v>0</v>
      </c>
    </row>
    <row r="465" spans="1:7">
      <c r="A465" s="3">
        <v>20</v>
      </c>
      <c r="B465" s="3">
        <v>10</v>
      </c>
      <c r="C465" s="3">
        <v>57</v>
      </c>
      <c r="D465" s="3">
        <v>33</v>
      </c>
      <c r="E465" s="3">
        <v>-479.564</v>
      </c>
      <c r="F465" s="4" t="str">
        <f>HYPERLINK("http://141.218.60.56/~jnz1568/getInfo.php?workbook=20_10.xlsx&amp;sheet=A0&amp;row=465&amp;col=6&amp;number=56710000&amp;sourceID=14","56710000")</f>
        <v>56710000</v>
      </c>
      <c r="G465" s="4" t="str">
        <f>HYPERLINK("http://141.218.60.56/~jnz1568/getInfo.php?workbook=20_10.xlsx&amp;sheet=A0&amp;row=465&amp;col=7&amp;number=0&amp;sourceID=14","0")</f>
        <v>0</v>
      </c>
    </row>
    <row r="466" spans="1:7">
      <c r="A466" s="3">
        <v>20</v>
      </c>
      <c r="B466" s="3">
        <v>10</v>
      </c>
      <c r="C466" s="3">
        <v>57</v>
      </c>
      <c r="D466" s="3">
        <v>34</v>
      </c>
      <c r="E466" s="3">
        <v>-542.527</v>
      </c>
      <c r="F466" s="4" t="str">
        <f>HYPERLINK("http://141.218.60.56/~jnz1568/getInfo.php?workbook=20_10.xlsx&amp;sheet=A0&amp;row=466&amp;col=6&amp;number=65000000&amp;sourceID=14","65000000")</f>
        <v>65000000</v>
      </c>
      <c r="G466" s="4" t="str">
        <f>HYPERLINK("http://141.218.60.56/~jnz1568/getInfo.php?workbook=20_10.xlsx&amp;sheet=A0&amp;row=466&amp;col=7&amp;number=0&amp;sourceID=14","0")</f>
        <v>0</v>
      </c>
    </row>
    <row r="467" spans="1:7">
      <c r="A467" s="3">
        <v>20</v>
      </c>
      <c r="B467" s="3">
        <v>10</v>
      </c>
      <c r="C467" s="3">
        <v>57</v>
      </c>
      <c r="D467" s="3">
        <v>35</v>
      </c>
      <c r="E467" s="3">
        <v>-551.509</v>
      </c>
      <c r="F467" s="4" t="str">
        <f>HYPERLINK("http://141.218.60.56/~jnz1568/getInfo.php?workbook=20_10.xlsx&amp;sheet=A0&amp;row=467&amp;col=6&amp;number=47390000&amp;sourceID=14","47390000")</f>
        <v>47390000</v>
      </c>
      <c r="G467" s="4" t="str">
        <f>HYPERLINK("http://141.218.60.56/~jnz1568/getInfo.php?workbook=20_10.xlsx&amp;sheet=A0&amp;row=467&amp;col=7&amp;number=0&amp;sourceID=14","0")</f>
        <v>0</v>
      </c>
    </row>
    <row r="468" spans="1:7">
      <c r="A468" s="3">
        <v>20</v>
      </c>
      <c r="B468" s="3">
        <v>10</v>
      </c>
      <c r="C468" s="3">
        <v>57</v>
      </c>
      <c r="D468" s="3">
        <v>37</v>
      </c>
      <c r="E468" s="3">
        <v>-655.215</v>
      </c>
      <c r="F468" s="4" t="str">
        <f>HYPERLINK("http://141.218.60.56/~jnz1568/getInfo.php?workbook=20_10.xlsx&amp;sheet=A0&amp;row=468&amp;col=6&amp;number=73950000&amp;sourceID=14","73950000")</f>
        <v>73950000</v>
      </c>
      <c r="G468" s="4" t="str">
        <f>HYPERLINK("http://141.218.60.56/~jnz1568/getInfo.php?workbook=20_10.xlsx&amp;sheet=A0&amp;row=468&amp;col=7&amp;number=0&amp;sourceID=14","0")</f>
        <v>0</v>
      </c>
    </row>
    <row r="469" spans="1:7">
      <c r="A469" s="3">
        <v>20</v>
      </c>
      <c r="B469" s="3">
        <v>10</v>
      </c>
      <c r="C469" s="3">
        <v>58</v>
      </c>
      <c r="D469" s="3">
        <v>6</v>
      </c>
      <c r="E469" s="3">
        <v>-102.396</v>
      </c>
      <c r="F469" s="4" t="str">
        <f>HYPERLINK("http://141.218.60.56/~jnz1568/getInfo.php?workbook=20_10.xlsx&amp;sheet=A0&amp;row=469&amp;col=6&amp;number=54660000&amp;sourceID=14","54660000")</f>
        <v>54660000</v>
      </c>
      <c r="G469" s="4" t="str">
        <f>HYPERLINK("http://141.218.60.56/~jnz1568/getInfo.php?workbook=20_10.xlsx&amp;sheet=A0&amp;row=469&amp;col=7&amp;number=0&amp;sourceID=14","0")</f>
        <v>0</v>
      </c>
    </row>
    <row r="470" spans="1:7">
      <c r="A470" s="3">
        <v>20</v>
      </c>
      <c r="B470" s="3">
        <v>10</v>
      </c>
      <c r="C470" s="3">
        <v>58</v>
      </c>
      <c r="D470" s="3">
        <v>7</v>
      </c>
      <c r="E470" s="3">
        <v>103.895</v>
      </c>
      <c r="F470" s="4" t="str">
        <f>HYPERLINK("http://141.218.60.56/~jnz1568/getInfo.php?workbook=20_10.xlsx&amp;sheet=A0&amp;row=470&amp;col=6&amp;number=25400000&amp;sourceID=14","25400000")</f>
        <v>25400000</v>
      </c>
      <c r="G470" s="4" t="str">
        <f>HYPERLINK("http://141.218.60.56/~jnz1568/getInfo.php?workbook=20_10.xlsx&amp;sheet=A0&amp;row=470&amp;col=7&amp;number=0&amp;sourceID=14","0")</f>
        <v>0</v>
      </c>
    </row>
    <row r="471" spans="1:7">
      <c r="A471" s="3">
        <v>20</v>
      </c>
      <c r="B471" s="3">
        <v>10</v>
      </c>
      <c r="C471" s="3">
        <v>58</v>
      </c>
      <c r="D471" s="3">
        <v>9</v>
      </c>
      <c r="E471" s="3">
        <v>105.618</v>
      </c>
      <c r="F471" s="4" t="str">
        <f>HYPERLINK("http://141.218.60.56/~jnz1568/getInfo.php?workbook=20_10.xlsx&amp;sheet=A0&amp;row=471&amp;col=6&amp;number=57240000&amp;sourceID=14","57240000")</f>
        <v>57240000</v>
      </c>
      <c r="G471" s="4" t="str">
        <f>HYPERLINK("http://141.218.60.56/~jnz1568/getInfo.php?workbook=20_10.xlsx&amp;sheet=A0&amp;row=471&amp;col=7&amp;number=0&amp;sourceID=14","0")</f>
        <v>0</v>
      </c>
    </row>
    <row r="472" spans="1:7">
      <c r="A472" s="3">
        <v>20</v>
      </c>
      <c r="B472" s="3">
        <v>10</v>
      </c>
      <c r="C472" s="3">
        <v>58</v>
      </c>
      <c r="D472" s="3">
        <v>10</v>
      </c>
      <c r="E472" s="3">
        <v>104.843</v>
      </c>
      <c r="F472" s="4" t="str">
        <f>HYPERLINK("http://141.218.60.56/~jnz1568/getInfo.php?workbook=20_10.xlsx&amp;sheet=A0&amp;row=472&amp;col=6&amp;number=3712000000&amp;sourceID=14","3712000000")</f>
        <v>3712000000</v>
      </c>
      <c r="G472" s="4" t="str">
        <f>HYPERLINK("http://141.218.60.56/~jnz1568/getInfo.php?workbook=20_10.xlsx&amp;sheet=A0&amp;row=472&amp;col=7&amp;number=0&amp;sourceID=14","0")</f>
        <v>0</v>
      </c>
    </row>
    <row r="473" spans="1:7">
      <c r="A473" s="3">
        <v>20</v>
      </c>
      <c r="B473" s="3">
        <v>10</v>
      </c>
      <c r="C473" s="3">
        <v>58</v>
      </c>
      <c r="D473" s="3">
        <v>11</v>
      </c>
      <c r="E473" s="3">
        <v>105.141</v>
      </c>
      <c r="F473" s="4" t="str">
        <f>HYPERLINK("http://141.218.60.56/~jnz1568/getInfo.php?workbook=20_10.xlsx&amp;sheet=A0&amp;row=473&amp;col=6&amp;number=72820000000&amp;sourceID=14","72820000000")</f>
        <v>72820000000</v>
      </c>
      <c r="G473" s="4" t="str">
        <f>HYPERLINK("http://141.218.60.56/~jnz1568/getInfo.php?workbook=20_10.xlsx&amp;sheet=A0&amp;row=473&amp;col=7&amp;number=0&amp;sourceID=14","0")</f>
        <v>0</v>
      </c>
    </row>
    <row r="474" spans="1:7">
      <c r="A474" s="3">
        <v>20</v>
      </c>
      <c r="B474" s="3">
        <v>10</v>
      </c>
      <c r="C474" s="3">
        <v>58</v>
      </c>
      <c r="D474" s="3">
        <v>13</v>
      </c>
      <c r="E474" s="3">
        <v>108.695</v>
      </c>
      <c r="F474" s="4" t="str">
        <f>HYPERLINK("http://141.218.60.56/~jnz1568/getInfo.php?workbook=20_10.xlsx&amp;sheet=A0&amp;row=474&amp;col=6&amp;number=10410000000&amp;sourceID=14","10410000000")</f>
        <v>10410000000</v>
      </c>
      <c r="G474" s="4" t="str">
        <f>HYPERLINK("http://141.218.60.56/~jnz1568/getInfo.php?workbook=20_10.xlsx&amp;sheet=A0&amp;row=474&amp;col=7&amp;number=0&amp;sourceID=14","0")</f>
        <v>0</v>
      </c>
    </row>
    <row r="475" spans="1:7">
      <c r="A475" s="3">
        <v>20</v>
      </c>
      <c r="B475" s="3">
        <v>10</v>
      </c>
      <c r="C475" s="3">
        <v>58</v>
      </c>
      <c r="D475" s="3">
        <v>14</v>
      </c>
      <c r="E475" s="3">
        <v>108.683</v>
      </c>
      <c r="F475" s="4" t="str">
        <f>HYPERLINK("http://141.218.60.56/~jnz1568/getInfo.php?workbook=20_10.xlsx&amp;sheet=A0&amp;row=475&amp;col=6&amp;number=260600000&amp;sourceID=14","260600000")</f>
        <v>260600000</v>
      </c>
      <c r="G475" s="4" t="str">
        <f>HYPERLINK("http://141.218.60.56/~jnz1568/getInfo.php?workbook=20_10.xlsx&amp;sheet=A0&amp;row=475&amp;col=7&amp;number=0&amp;sourceID=14","0")</f>
        <v>0</v>
      </c>
    </row>
    <row r="476" spans="1:7">
      <c r="A476" s="3">
        <v>20</v>
      </c>
      <c r="B476" s="3">
        <v>10</v>
      </c>
      <c r="C476" s="3">
        <v>58</v>
      </c>
      <c r="D476" s="3">
        <v>44</v>
      </c>
      <c r="E476" s="3">
        <v>1124.735</v>
      </c>
      <c r="F476" s="4" t="str">
        <f>HYPERLINK("http://141.218.60.56/~jnz1568/getInfo.php?workbook=20_10.xlsx&amp;sheet=A0&amp;row=476&amp;col=6&amp;number=1617000000&amp;sourceID=14","1617000000")</f>
        <v>1617000000</v>
      </c>
      <c r="G476" s="4" t="str">
        <f>HYPERLINK("http://141.218.60.56/~jnz1568/getInfo.php?workbook=20_10.xlsx&amp;sheet=A0&amp;row=476&amp;col=7&amp;number=0&amp;sourceID=14","0")</f>
        <v>0</v>
      </c>
    </row>
    <row r="477" spans="1:7">
      <c r="A477" s="3">
        <v>20</v>
      </c>
      <c r="B477" s="3">
        <v>10</v>
      </c>
      <c r="C477" s="3">
        <v>58</v>
      </c>
      <c r="D477" s="3">
        <v>46</v>
      </c>
      <c r="E477" s="3">
        <v>-1210.378</v>
      </c>
      <c r="F477" s="4" t="str">
        <f>HYPERLINK("http://141.218.60.56/~jnz1568/getInfo.php?workbook=20_10.xlsx&amp;sheet=A0&amp;row=477&amp;col=6&amp;number=188500000&amp;sourceID=14","188500000")</f>
        <v>188500000</v>
      </c>
      <c r="G477" s="4" t="str">
        <f>HYPERLINK("http://141.218.60.56/~jnz1568/getInfo.php?workbook=20_10.xlsx&amp;sheet=A0&amp;row=477&amp;col=7&amp;number=0&amp;sourceID=14","0")</f>
        <v>0</v>
      </c>
    </row>
    <row r="478" spans="1:7">
      <c r="A478" s="3">
        <v>20</v>
      </c>
      <c r="B478" s="3">
        <v>10</v>
      </c>
      <c r="C478" s="3">
        <v>59</v>
      </c>
      <c r="D478" s="3">
        <v>6</v>
      </c>
      <c r="E478" s="3">
        <v>-102.322</v>
      </c>
      <c r="F478" s="4" t="str">
        <f>HYPERLINK("http://141.218.60.56/~jnz1568/getInfo.php?workbook=20_10.xlsx&amp;sheet=A0&amp;row=478&amp;col=6&amp;number=3643000000&amp;sourceID=14","3643000000")</f>
        <v>3643000000</v>
      </c>
      <c r="G478" s="4" t="str">
        <f>HYPERLINK("http://141.218.60.56/~jnz1568/getInfo.php?workbook=20_10.xlsx&amp;sheet=A0&amp;row=478&amp;col=7&amp;number=0&amp;sourceID=14","0")</f>
        <v>0</v>
      </c>
    </row>
    <row r="479" spans="1:7">
      <c r="A479" s="3">
        <v>20</v>
      </c>
      <c r="B479" s="3">
        <v>10</v>
      </c>
      <c r="C479" s="3">
        <v>59</v>
      </c>
      <c r="D479" s="3">
        <v>7</v>
      </c>
      <c r="E479" s="3">
        <v>107.671</v>
      </c>
      <c r="F479" s="4" t="str">
        <f>HYPERLINK("http://141.218.60.56/~jnz1568/getInfo.php?workbook=20_10.xlsx&amp;sheet=A0&amp;row=479&amp;col=6&amp;number=741200000&amp;sourceID=14","741200000")</f>
        <v>741200000</v>
      </c>
      <c r="G479" s="4" t="str">
        <f>HYPERLINK("http://141.218.60.56/~jnz1568/getInfo.php?workbook=20_10.xlsx&amp;sheet=A0&amp;row=479&amp;col=7&amp;number=0&amp;sourceID=14","0")</f>
        <v>0</v>
      </c>
    </row>
    <row r="480" spans="1:7">
      <c r="A480" s="3">
        <v>20</v>
      </c>
      <c r="B480" s="3">
        <v>10</v>
      </c>
      <c r="C480" s="3">
        <v>59</v>
      </c>
      <c r="D480" s="3">
        <v>8</v>
      </c>
      <c r="E480" s="3">
        <v>107.74</v>
      </c>
      <c r="F480" s="4" t="str">
        <f>HYPERLINK("http://141.218.60.56/~jnz1568/getInfo.php?workbook=20_10.xlsx&amp;sheet=A0&amp;row=480&amp;col=6&amp;number=61760000&amp;sourceID=14","61760000")</f>
        <v>61760000</v>
      </c>
      <c r="G480" s="4" t="str">
        <f>HYPERLINK("http://141.218.60.56/~jnz1568/getInfo.php?workbook=20_10.xlsx&amp;sheet=A0&amp;row=480&amp;col=7&amp;number=0&amp;sourceID=14","0")</f>
        <v>0</v>
      </c>
    </row>
    <row r="481" spans="1:7">
      <c r="A481" s="3">
        <v>20</v>
      </c>
      <c r="B481" s="3">
        <v>10</v>
      </c>
      <c r="C481" s="3">
        <v>59</v>
      </c>
      <c r="D481" s="3">
        <v>9</v>
      </c>
      <c r="E481" s="3">
        <v>109.522</v>
      </c>
      <c r="F481" s="4" t="str">
        <f>HYPERLINK("http://141.218.60.56/~jnz1568/getInfo.php?workbook=20_10.xlsx&amp;sheet=A0&amp;row=481&amp;col=6&amp;number=1129000000&amp;sourceID=14","1129000000")</f>
        <v>1129000000</v>
      </c>
      <c r="G481" s="4" t="str">
        <f>HYPERLINK("http://141.218.60.56/~jnz1568/getInfo.php?workbook=20_10.xlsx&amp;sheet=A0&amp;row=481&amp;col=7&amp;number=0&amp;sourceID=14","0")</f>
        <v>0</v>
      </c>
    </row>
    <row r="482" spans="1:7">
      <c r="A482" s="3">
        <v>20</v>
      </c>
      <c r="B482" s="3">
        <v>10</v>
      </c>
      <c r="C482" s="3">
        <v>59</v>
      </c>
      <c r="D482" s="3">
        <v>10</v>
      </c>
      <c r="E482" s="3">
        <v>108.689</v>
      </c>
      <c r="F482" s="4" t="str">
        <f>HYPERLINK("http://141.218.60.56/~jnz1568/getInfo.php?workbook=20_10.xlsx&amp;sheet=A0&amp;row=482&amp;col=6&amp;number=97490000&amp;sourceID=14","97490000")</f>
        <v>97490000</v>
      </c>
      <c r="G482" s="4" t="str">
        <f>HYPERLINK("http://141.218.60.56/~jnz1568/getInfo.php?workbook=20_10.xlsx&amp;sheet=A0&amp;row=482&amp;col=7&amp;number=0&amp;sourceID=14","0")</f>
        <v>0</v>
      </c>
    </row>
    <row r="483" spans="1:7">
      <c r="A483" s="3">
        <v>20</v>
      </c>
      <c r="B483" s="3">
        <v>10</v>
      </c>
      <c r="C483" s="3">
        <v>59</v>
      </c>
      <c r="D483" s="3">
        <v>11</v>
      </c>
      <c r="E483" s="3">
        <v>109.009</v>
      </c>
      <c r="F483" s="4" t="str">
        <f>HYPERLINK("http://141.218.60.56/~jnz1568/getInfo.php?workbook=20_10.xlsx&amp;sheet=A0&amp;row=483&amp;col=6&amp;number=453600000&amp;sourceID=14","453600000")</f>
        <v>453600000</v>
      </c>
      <c r="G483" s="4" t="str">
        <f>HYPERLINK("http://141.218.60.56/~jnz1568/getInfo.php?workbook=20_10.xlsx&amp;sheet=A0&amp;row=483&amp;col=7&amp;number=0&amp;sourceID=14","0")</f>
        <v>0</v>
      </c>
    </row>
    <row r="484" spans="1:7">
      <c r="A484" s="3">
        <v>20</v>
      </c>
      <c r="B484" s="3">
        <v>10</v>
      </c>
      <c r="C484" s="3">
        <v>59</v>
      </c>
      <c r="D484" s="3">
        <v>13</v>
      </c>
      <c r="E484" s="3">
        <v>112.834</v>
      </c>
      <c r="F484" s="4" t="str">
        <f>HYPERLINK("http://141.218.60.56/~jnz1568/getInfo.php?workbook=20_10.xlsx&amp;sheet=A0&amp;row=484&amp;col=6&amp;number=7851000000&amp;sourceID=14","7851000000")</f>
        <v>7851000000</v>
      </c>
      <c r="G484" s="4" t="str">
        <f>HYPERLINK("http://141.218.60.56/~jnz1568/getInfo.php?workbook=20_10.xlsx&amp;sheet=A0&amp;row=484&amp;col=7&amp;number=0&amp;sourceID=14","0")</f>
        <v>0</v>
      </c>
    </row>
    <row r="485" spans="1:7">
      <c r="A485" s="3">
        <v>20</v>
      </c>
      <c r="B485" s="3">
        <v>10</v>
      </c>
      <c r="C485" s="3">
        <v>59</v>
      </c>
      <c r="D485" s="3">
        <v>14</v>
      </c>
      <c r="E485" s="3">
        <v>112.821</v>
      </c>
      <c r="F485" s="4" t="str">
        <f>HYPERLINK("http://141.218.60.56/~jnz1568/getInfo.php?workbook=20_10.xlsx&amp;sheet=A0&amp;row=485&amp;col=6&amp;number=59380000000&amp;sourceID=14","59380000000")</f>
        <v>59380000000</v>
      </c>
      <c r="G485" s="4" t="str">
        <f>HYPERLINK("http://141.218.60.56/~jnz1568/getInfo.php?workbook=20_10.xlsx&amp;sheet=A0&amp;row=485&amp;col=7&amp;number=0&amp;sourceID=14","0")</f>
        <v>0</v>
      </c>
    </row>
    <row r="486" spans="1:7">
      <c r="A486" s="3">
        <v>20</v>
      </c>
      <c r="B486" s="3">
        <v>10</v>
      </c>
      <c r="C486" s="3">
        <v>59</v>
      </c>
      <c r="D486" s="3">
        <v>28</v>
      </c>
      <c r="E486" s="3">
        <v>-252.527</v>
      </c>
      <c r="F486" s="4" t="str">
        <f>HYPERLINK("http://141.218.60.56/~jnz1568/getInfo.php?workbook=20_10.xlsx&amp;sheet=A0&amp;row=486&amp;col=6&amp;number=164900000&amp;sourceID=14","164900000")</f>
        <v>164900000</v>
      </c>
      <c r="G486" s="4" t="str">
        <f>HYPERLINK("http://141.218.60.56/~jnz1568/getInfo.php?workbook=20_10.xlsx&amp;sheet=A0&amp;row=486&amp;col=7&amp;number=0&amp;sourceID=14","0")</f>
        <v>0</v>
      </c>
    </row>
    <row r="487" spans="1:7">
      <c r="A487" s="3">
        <v>20</v>
      </c>
      <c r="B487" s="3">
        <v>10</v>
      </c>
      <c r="C487" s="3">
        <v>59</v>
      </c>
      <c r="D487" s="3">
        <v>39</v>
      </c>
      <c r="E487" s="3">
        <v>-864.186</v>
      </c>
      <c r="F487" s="4" t="str">
        <f>HYPERLINK("http://141.218.60.56/~jnz1568/getInfo.php?workbook=20_10.xlsx&amp;sheet=A0&amp;row=487&amp;col=6&amp;number=16390000&amp;sourceID=14","16390000")</f>
        <v>16390000</v>
      </c>
      <c r="G487" s="4" t="str">
        <f>HYPERLINK("http://141.218.60.56/~jnz1568/getInfo.php?workbook=20_10.xlsx&amp;sheet=A0&amp;row=487&amp;col=7&amp;number=0&amp;sourceID=14","0")</f>
        <v>0</v>
      </c>
    </row>
    <row r="488" spans="1:7">
      <c r="A488" s="3">
        <v>20</v>
      </c>
      <c r="B488" s="3">
        <v>10</v>
      </c>
      <c r="C488" s="3">
        <v>59</v>
      </c>
      <c r="D488" s="3">
        <v>40</v>
      </c>
      <c r="E488" s="3">
        <v>-865.503</v>
      </c>
      <c r="F488" s="4" t="str">
        <f>HYPERLINK("http://141.218.60.56/~jnz1568/getInfo.php?workbook=20_10.xlsx&amp;sheet=A0&amp;row=488&amp;col=6&amp;number=14390000&amp;sourceID=14","14390000")</f>
        <v>14390000</v>
      </c>
      <c r="G488" s="4" t="str">
        <f>HYPERLINK("http://141.218.60.56/~jnz1568/getInfo.php?workbook=20_10.xlsx&amp;sheet=A0&amp;row=488&amp;col=7&amp;number=0&amp;sourceID=14","0")</f>
        <v>0</v>
      </c>
    </row>
    <row r="489" spans="1:7">
      <c r="A489" s="3">
        <v>20</v>
      </c>
      <c r="B489" s="3">
        <v>10</v>
      </c>
      <c r="C489" s="3">
        <v>59</v>
      </c>
      <c r="D489" s="3">
        <v>42</v>
      </c>
      <c r="E489" s="3">
        <v>-900.675</v>
      </c>
      <c r="F489" s="4" t="str">
        <f>HYPERLINK("http://141.218.60.56/~jnz1568/getInfo.php?workbook=20_10.xlsx&amp;sheet=A0&amp;row=489&amp;col=6&amp;number=52050000&amp;sourceID=14","52050000")</f>
        <v>52050000</v>
      </c>
      <c r="G489" s="4" t="str">
        <f>HYPERLINK("http://141.218.60.56/~jnz1568/getInfo.php?workbook=20_10.xlsx&amp;sheet=A0&amp;row=489&amp;col=7&amp;number=0&amp;sourceID=14","0")</f>
        <v>0</v>
      </c>
    </row>
    <row r="490" spans="1:7">
      <c r="A490" s="3">
        <v>20</v>
      </c>
      <c r="B490" s="3">
        <v>10</v>
      </c>
      <c r="C490" s="3">
        <v>59</v>
      </c>
      <c r="D490" s="3">
        <v>45</v>
      </c>
      <c r="E490" s="3">
        <v>-1190.266</v>
      </c>
      <c r="F490" s="4" t="str">
        <f>HYPERLINK("http://141.218.60.56/~jnz1568/getInfo.php?workbook=20_10.xlsx&amp;sheet=A0&amp;row=490&amp;col=6&amp;number=1365000000&amp;sourceID=14","1365000000")</f>
        <v>1365000000</v>
      </c>
      <c r="G490" s="4" t="str">
        <f>HYPERLINK("http://141.218.60.56/~jnz1568/getInfo.php?workbook=20_10.xlsx&amp;sheet=A0&amp;row=490&amp;col=7&amp;number=0&amp;sourceID=14","0")</f>
        <v>0</v>
      </c>
    </row>
    <row r="491" spans="1:7">
      <c r="A491" s="3">
        <v>20</v>
      </c>
      <c r="B491" s="3">
        <v>10</v>
      </c>
      <c r="C491" s="3">
        <v>59</v>
      </c>
      <c r="D491" s="3">
        <v>46</v>
      </c>
      <c r="E491" s="3">
        <v>-1200.18</v>
      </c>
      <c r="F491" s="4" t="str">
        <f>HYPERLINK("http://141.218.60.56/~jnz1568/getInfo.php?workbook=20_10.xlsx&amp;sheet=A0&amp;row=491&amp;col=6&amp;number=190800000&amp;sourceID=14","190800000")</f>
        <v>190800000</v>
      </c>
      <c r="G491" s="4" t="str">
        <f>HYPERLINK("http://141.218.60.56/~jnz1568/getInfo.php?workbook=20_10.xlsx&amp;sheet=A0&amp;row=491&amp;col=7&amp;number=0&amp;sourceID=14","0")</f>
        <v>0</v>
      </c>
    </row>
    <row r="492" spans="1:7">
      <c r="A492" s="3">
        <v>20</v>
      </c>
      <c r="B492" s="3">
        <v>10</v>
      </c>
      <c r="C492" s="3">
        <v>60</v>
      </c>
      <c r="D492" s="3">
        <v>8</v>
      </c>
      <c r="E492" s="3">
        <v>103.994</v>
      </c>
      <c r="F492" s="4" t="str">
        <f>HYPERLINK("http://141.218.60.56/~jnz1568/getInfo.php?workbook=20_10.xlsx&amp;sheet=A0&amp;row=492&amp;col=6&amp;number=33060000&amp;sourceID=14","33060000")</f>
        <v>33060000</v>
      </c>
      <c r="G492" s="4" t="str">
        <f>HYPERLINK("http://141.218.60.56/~jnz1568/getInfo.php?workbook=20_10.xlsx&amp;sheet=A0&amp;row=492&amp;col=7&amp;number=0&amp;sourceID=14","0")</f>
        <v>0</v>
      </c>
    </row>
    <row r="493" spans="1:7">
      <c r="A493" s="3">
        <v>20</v>
      </c>
      <c r="B493" s="3">
        <v>10</v>
      </c>
      <c r="C493" s="3">
        <v>60</v>
      </c>
      <c r="D493" s="3">
        <v>19</v>
      </c>
      <c r="E493" s="3">
        <v>137.325</v>
      </c>
      <c r="F493" s="4" t="str">
        <f>HYPERLINK("http://141.218.60.56/~jnz1568/getInfo.php?workbook=20_10.xlsx&amp;sheet=A0&amp;row=493&amp;col=6&amp;number=225800000000&amp;sourceID=14","225800000000")</f>
        <v>225800000000</v>
      </c>
      <c r="G493" s="4" t="str">
        <f>HYPERLINK("http://141.218.60.56/~jnz1568/getInfo.php?workbook=20_10.xlsx&amp;sheet=A0&amp;row=493&amp;col=7&amp;number=0&amp;sourceID=14","0")</f>
        <v>0</v>
      </c>
    </row>
    <row r="494" spans="1:7">
      <c r="A494" s="3">
        <v>20</v>
      </c>
      <c r="B494" s="3">
        <v>10</v>
      </c>
      <c r="C494" s="3">
        <v>60</v>
      </c>
      <c r="D494" s="3">
        <v>50</v>
      </c>
      <c r="E494" s="3">
        <v>2635.746</v>
      </c>
      <c r="F494" s="4" t="str">
        <f>HYPERLINK("http://141.218.60.56/~jnz1568/getInfo.php?workbook=20_10.xlsx&amp;sheet=A0&amp;row=494&amp;col=6&amp;number=104700000&amp;sourceID=14","104700000")</f>
        <v>104700000</v>
      </c>
      <c r="G494" s="4" t="str">
        <f>HYPERLINK("http://141.218.60.56/~jnz1568/getInfo.php?workbook=20_10.xlsx&amp;sheet=A0&amp;row=494&amp;col=7&amp;number=0&amp;sourceID=14","0")</f>
        <v>0</v>
      </c>
    </row>
    <row r="495" spans="1:7">
      <c r="A495" s="3">
        <v>20</v>
      </c>
      <c r="B495" s="3">
        <v>10</v>
      </c>
      <c r="C495" s="3">
        <v>61</v>
      </c>
      <c r="D495" s="3">
        <v>7</v>
      </c>
      <c r="E495" s="3">
        <v>-104.389</v>
      </c>
      <c r="F495" s="4" t="str">
        <f>HYPERLINK("http://141.218.60.56/~jnz1568/getInfo.php?workbook=20_10.xlsx&amp;sheet=A0&amp;row=495&amp;col=6&amp;number=24580000&amp;sourceID=14","24580000")</f>
        <v>24580000</v>
      </c>
      <c r="G495" s="4" t="str">
        <f>HYPERLINK("http://141.218.60.56/~jnz1568/getInfo.php?workbook=20_10.xlsx&amp;sheet=A0&amp;row=495&amp;col=7&amp;number=0&amp;sourceID=14","0")</f>
        <v>0</v>
      </c>
    </row>
    <row r="496" spans="1:7">
      <c r="A496" s="3">
        <v>20</v>
      </c>
      <c r="B496" s="3">
        <v>10</v>
      </c>
      <c r="C496" s="3">
        <v>61</v>
      </c>
      <c r="D496" s="3">
        <v>19</v>
      </c>
      <c r="E496" s="3">
        <v>-137.54</v>
      </c>
      <c r="F496" s="4" t="str">
        <f>HYPERLINK("http://141.218.60.56/~jnz1568/getInfo.php?workbook=20_10.xlsx&amp;sheet=A0&amp;row=496&amp;col=6&amp;number=7856000000&amp;sourceID=14","7856000000")</f>
        <v>7856000000</v>
      </c>
      <c r="G496" s="4" t="str">
        <f>HYPERLINK("http://141.218.60.56/~jnz1568/getInfo.php?workbook=20_10.xlsx&amp;sheet=A0&amp;row=496&amp;col=7&amp;number=0&amp;sourceID=14","0")</f>
        <v>0</v>
      </c>
    </row>
    <row r="497" spans="1:7">
      <c r="A497" s="3">
        <v>20</v>
      </c>
      <c r="B497" s="3">
        <v>10</v>
      </c>
      <c r="C497" s="3">
        <v>61</v>
      </c>
      <c r="D497" s="3">
        <v>20</v>
      </c>
      <c r="E497" s="3">
        <v>-138.263</v>
      </c>
      <c r="F497" s="4" t="str">
        <f>HYPERLINK("http://141.218.60.56/~jnz1568/getInfo.php?workbook=20_10.xlsx&amp;sheet=A0&amp;row=497&amp;col=6&amp;number=185900000000&amp;sourceID=14","185900000000")</f>
        <v>185900000000</v>
      </c>
      <c r="G497" s="4" t="str">
        <f>HYPERLINK("http://141.218.60.56/~jnz1568/getInfo.php?workbook=20_10.xlsx&amp;sheet=A0&amp;row=497&amp;col=7&amp;number=0&amp;sourceID=14","0")</f>
        <v>0</v>
      </c>
    </row>
    <row r="498" spans="1:7">
      <c r="A498" s="3">
        <v>20</v>
      </c>
      <c r="B498" s="3">
        <v>10</v>
      </c>
      <c r="C498" s="3">
        <v>61</v>
      </c>
      <c r="D498" s="3">
        <v>22</v>
      </c>
      <c r="E498" s="3">
        <v>-140.339</v>
      </c>
      <c r="F498" s="4" t="str">
        <f>HYPERLINK("http://141.218.60.56/~jnz1568/getInfo.php?workbook=20_10.xlsx&amp;sheet=A0&amp;row=498&amp;col=6&amp;number=23690000000&amp;sourceID=14","23690000000")</f>
        <v>23690000000</v>
      </c>
      <c r="G498" s="4" t="str">
        <f>HYPERLINK("http://141.218.60.56/~jnz1568/getInfo.php?workbook=20_10.xlsx&amp;sheet=A0&amp;row=498&amp;col=7&amp;number=0&amp;sourceID=14","0")</f>
        <v>0</v>
      </c>
    </row>
    <row r="499" spans="1:7">
      <c r="A499" s="3">
        <v>20</v>
      </c>
      <c r="B499" s="3">
        <v>10</v>
      </c>
      <c r="C499" s="3">
        <v>61</v>
      </c>
      <c r="D499" s="3">
        <v>26</v>
      </c>
      <c r="E499" s="3">
        <v>-145.337</v>
      </c>
      <c r="F499" s="4" t="str">
        <f>HYPERLINK("http://141.218.60.56/~jnz1568/getInfo.php?workbook=20_10.xlsx&amp;sheet=A0&amp;row=499&amp;col=6&amp;number=4679000000&amp;sourceID=14","4679000000")</f>
        <v>4679000000</v>
      </c>
      <c r="G499" s="4" t="str">
        <f>HYPERLINK("http://141.218.60.56/~jnz1568/getInfo.php?workbook=20_10.xlsx&amp;sheet=A0&amp;row=499&amp;col=7&amp;number=0&amp;sourceID=14","0")</f>
        <v>0</v>
      </c>
    </row>
    <row r="500" spans="1:7">
      <c r="A500" s="3">
        <v>20</v>
      </c>
      <c r="B500" s="3">
        <v>10</v>
      </c>
      <c r="C500" s="3">
        <v>61</v>
      </c>
      <c r="D500" s="3">
        <v>52</v>
      </c>
      <c r="E500" s="3">
        <v>-3229.563</v>
      </c>
      <c r="F500" s="4" t="str">
        <f>HYPERLINK("http://141.218.60.56/~jnz1568/getInfo.php?workbook=20_10.xlsx&amp;sheet=A0&amp;row=500&amp;col=6&amp;number=55820000&amp;sourceID=14","55820000")</f>
        <v>55820000</v>
      </c>
      <c r="G500" s="4" t="str">
        <f>HYPERLINK("http://141.218.60.56/~jnz1568/getInfo.php?workbook=20_10.xlsx&amp;sheet=A0&amp;row=500&amp;col=7&amp;number=0&amp;sourceID=14","0")</f>
        <v>0</v>
      </c>
    </row>
    <row r="501" spans="1:7">
      <c r="A501" s="3">
        <v>20</v>
      </c>
      <c r="B501" s="3">
        <v>10</v>
      </c>
      <c r="C501" s="3">
        <v>62</v>
      </c>
      <c r="D501" s="3">
        <v>5</v>
      </c>
      <c r="E501" s="3">
        <v>91.276</v>
      </c>
      <c r="F501" s="4" t="str">
        <f>HYPERLINK("http://141.218.60.56/~jnz1568/getInfo.php?workbook=20_10.xlsx&amp;sheet=A0&amp;row=501&amp;col=6&amp;number=13670000&amp;sourceID=14","13670000")</f>
        <v>13670000</v>
      </c>
      <c r="G501" s="4" t="str">
        <f>HYPERLINK("http://141.218.60.56/~jnz1568/getInfo.php?workbook=20_10.xlsx&amp;sheet=A0&amp;row=501&amp;col=7&amp;number=0&amp;sourceID=14","0")</f>
        <v>0</v>
      </c>
    </row>
    <row r="502" spans="1:7">
      <c r="A502" s="3">
        <v>20</v>
      </c>
      <c r="B502" s="3">
        <v>10</v>
      </c>
      <c r="C502" s="3">
        <v>62</v>
      </c>
      <c r="D502" s="3">
        <v>7</v>
      </c>
      <c r="E502" s="3">
        <v>104.017</v>
      </c>
      <c r="F502" s="4" t="str">
        <f>HYPERLINK("http://141.218.60.56/~jnz1568/getInfo.php?workbook=20_10.xlsx&amp;sheet=A0&amp;row=502&amp;col=6&amp;number=1052000000&amp;sourceID=14","1052000000")</f>
        <v>1052000000</v>
      </c>
      <c r="G502" s="4" t="str">
        <f>HYPERLINK("http://141.218.60.56/~jnz1568/getInfo.php?workbook=20_10.xlsx&amp;sheet=A0&amp;row=502&amp;col=7&amp;number=0&amp;sourceID=14","0")</f>
        <v>0</v>
      </c>
    </row>
    <row r="503" spans="1:7">
      <c r="A503" s="3">
        <v>20</v>
      </c>
      <c r="B503" s="3">
        <v>10</v>
      </c>
      <c r="C503" s="3">
        <v>62</v>
      </c>
      <c r="D503" s="3">
        <v>8</v>
      </c>
      <c r="E503" s="3">
        <v>104.082</v>
      </c>
      <c r="F503" s="4" t="str">
        <f>HYPERLINK("http://141.218.60.56/~jnz1568/getInfo.php?workbook=20_10.xlsx&amp;sheet=A0&amp;row=503&amp;col=6&amp;number=117200000&amp;sourceID=14","117200000")</f>
        <v>117200000</v>
      </c>
      <c r="G503" s="4" t="str">
        <f>HYPERLINK("http://141.218.60.56/~jnz1568/getInfo.php?workbook=20_10.xlsx&amp;sheet=A0&amp;row=503&amp;col=7&amp;number=0&amp;sourceID=14","0")</f>
        <v>0</v>
      </c>
    </row>
    <row r="504" spans="1:7">
      <c r="A504" s="3">
        <v>20</v>
      </c>
      <c r="B504" s="3">
        <v>10</v>
      </c>
      <c r="C504" s="3">
        <v>62</v>
      </c>
      <c r="D504" s="3">
        <v>9</v>
      </c>
      <c r="E504" s="3">
        <v>105.744</v>
      </c>
      <c r="F504" s="4" t="str">
        <f>HYPERLINK("http://141.218.60.56/~jnz1568/getInfo.php?workbook=20_10.xlsx&amp;sheet=A0&amp;row=504&amp;col=6&amp;number=105000000&amp;sourceID=14","105000000")</f>
        <v>105000000</v>
      </c>
      <c r="G504" s="4" t="str">
        <f>HYPERLINK("http://141.218.60.56/~jnz1568/getInfo.php?workbook=20_10.xlsx&amp;sheet=A0&amp;row=504&amp;col=7&amp;number=0&amp;sourceID=14","0")</f>
        <v>0</v>
      </c>
    </row>
    <row r="505" spans="1:7">
      <c r="A505" s="3">
        <v>20</v>
      </c>
      <c r="B505" s="3">
        <v>10</v>
      </c>
      <c r="C505" s="3">
        <v>62</v>
      </c>
      <c r="D505" s="3">
        <v>13</v>
      </c>
      <c r="E505" s="3">
        <v>108.828</v>
      </c>
      <c r="F505" s="4" t="str">
        <f>HYPERLINK("http://141.218.60.56/~jnz1568/getInfo.php?workbook=20_10.xlsx&amp;sheet=A0&amp;row=505&amp;col=6&amp;number=81490000000&amp;sourceID=14","81490000000")</f>
        <v>81490000000</v>
      </c>
      <c r="G505" s="4" t="str">
        <f>HYPERLINK("http://141.218.60.56/~jnz1568/getInfo.php?workbook=20_10.xlsx&amp;sheet=A0&amp;row=505&amp;col=7&amp;number=0&amp;sourceID=14","0")</f>
        <v>0</v>
      </c>
    </row>
    <row r="506" spans="1:7">
      <c r="A506" s="3">
        <v>20</v>
      </c>
      <c r="B506" s="3">
        <v>10</v>
      </c>
      <c r="C506" s="3">
        <v>62</v>
      </c>
      <c r="D506" s="3">
        <v>40</v>
      </c>
      <c r="E506" s="3">
        <v>-857.355</v>
      </c>
      <c r="F506" s="4" t="str">
        <f>HYPERLINK("http://141.218.60.56/~jnz1568/getInfo.php?workbook=20_10.xlsx&amp;sheet=A0&amp;row=506&amp;col=6&amp;number=12710000&amp;sourceID=14","12710000")</f>
        <v>12710000</v>
      </c>
      <c r="G506" s="4" t="str">
        <f>HYPERLINK("http://141.218.60.56/~jnz1568/getInfo.php?workbook=20_10.xlsx&amp;sheet=A0&amp;row=506&amp;col=7&amp;number=0&amp;sourceID=14","0")</f>
        <v>0</v>
      </c>
    </row>
    <row r="507" spans="1:7">
      <c r="A507" s="3">
        <v>20</v>
      </c>
      <c r="B507" s="3">
        <v>10</v>
      </c>
      <c r="C507" s="3">
        <v>62</v>
      </c>
      <c r="D507" s="3">
        <v>46</v>
      </c>
      <c r="E507" s="3">
        <v>-1184.57</v>
      </c>
      <c r="F507" s="4" t="str">
        <f>HYPERLINK("http://141.218.60.56/~jnz1568/getInfo.php?workbook=20_10.xlsx&amp;sheet=A0&amp;row=507&amp;col=6&amp;number=1661000000&amp;sourceID=14","1661000000")</f>
        <v>1661000000</v>
      </c>
      <c r="G507" s="4" t="str">
        <f>HYPERLINK("http://141.218.60.56/~jnz1568/getInfo.php?workbook=20_10.xlsx&amp;sheet=A0&amp;row=507&amp;col=7&amp;number=0&amp;sourceID=14","0")</f>
        <v>0</v>
      </c>
    </row>
    <row r="508" spans="1:7">
      <c r="A508" s="3">
        <v>20</v>
      </c>
      <c r="B508" s="3">
        <v>10</v>
      </c>
      <c r="C508" s="3">
        <v>63</v>
      </c>
      <c r="D508" s="3">
        <v>2</v>
      </c>
      <c r="E508" s="3">
        <v>-88.041</v>
      </c>
      <c r="F508" s="4" t="str">
        <f>HYPERLINK("http://141.218.60.56/~jnz1568/getInfo.php?workbook=20_10.xlsx&amp;sheet=A0&amp;row=508&amp;col=6&amp;number=92070000&amp;sourceID=14","92070000")</f>
        <v>92070000</v>
      </c>
      <c r="G508" s="4" t="str">
        <f>HYPERLINK("http://141.218.60.56/~jnz1568/getInfo.php?workbook=20_10.xlsx&amp;sheet=A0&amp;row=508&amp;col=7&amp;number=0&amp;sourceID=14","0")</f>
        <v>0</v>
      </c>
    </row>
    <row r="509" spans="1:7">
      <c r="A509" s="3">
        <v>20</v>
      </c>
      <c r="B509" s="3">
        <v>10</v>
      </c>
      <c r="C509" s="3">
        <v>63</v>
      </c>
      <c r="D509" s="3">
        <v>18</v>
      </c>
      <c r="E509" s="3">
        <v>-136.903</v>
      </c>
      <c r="F509" s="4" t="str">
        <f>HYPERLINK("http://141.218.60.56/~jnz1568/getInfo.php?workbook=20_10.xlsx&amp;sheet=A0&amp;row=509&amp;col=6&amp;number=59940000000&amp;sourceID=14","59940000000")</f>
        <v>59940000000</v>
      </c>
      <c r="G509" s="4" t="str">
        <f>HYPERLINK("http://141.218.60.56/~jnz1568/getInfo.php?workbook=20_10.xlsx&amp;sheet=A0&amp;row=509&amp;col=7&amp;number=0&amp;sourceID=14","0")</f>
        <v>0</v>
      </c>
    </row>
    <row r="510" spans="1:7">
      <c r="A510" s="3">
        <v>20</v>
      </c>
      <c r="B510" s="3">
        <v>10</v>
      </c>
      <c r="C510" s="3">
        <v>63</v>
      </c>
      <c r="D510" s="3">
        <v>19</v>
      </c>
      <c r="E510" s="3">
        <v>-137.354</v>
      </c>
      <c r="F510" s="4" t="str">
        <f>HYPERLINK("http://141.218.60.56/~jnz1568/getInfo.php?workbook=20_10.xlsx&amp;sheet=A0&amp;row=510&amp;col=6&amp;number=18360000000&amp;sourceID=14","18360000000")</f>
        <v>18360000000</v>
      </c>
      <c r="G510" s="4" t="str">
        <f>HYPERLINK("http://141.218.60.56/~jnz1568/getInfo.php?workbook=20_10.xlsx&amp;sheet=A0&amp;row=510&amp;col=7&amp;number=0&amp;sourceID=14","0")</f>
        <v>0</v>
      </c>
    </row>
    <row r="511" spans="1:7">
      <c r="A511" s="3">
        <v>20</v>
      </c>
      <c r="B511" s="3">
        <v>10</v>
      </c>
      <c r="C511" s="3">
        <v>63</v>
      </c>
      <c r="D511" s="3">
        <v>20</v>
      </c>
      <c r="E511" s="3">
        <v>-138.075</v>
      </c>
      <c r="F511" s="4" t="str">
        <f>HYPERLINK("http://141.218.60.56/~jnz1568/getInfo.php?workbook=20_10.xlsx&amp;sheet=A0&amp;row=511&amp;col=6&amp;number=3213000000&amp;sourceID=14","3213000000")</f>
        <v>3213000000</v>
      </c>
      <c r="G511" s="4" t="str">
        <f>HYPERLINK("http://141.218.60.56/~jnz1568/getInfo.php?workbook=20_10.xlsx&amp;sheet=A0&amp;row=511&amp;col=7&amp;number=0&amp;sourceID=14","0")</f>
        <v>0</v>
      </c>
    </row>
    <row r="512" spans="1:7">
      <c r="A512" s="3">
        <v>20</v>
      </c>
      <c r="B512" s="3">
        <v>10</v>
      </c>
      <c r="C512" s="3">
        <v>63</v>
      </c>
      <c r="D512" s="3">
        <v>21</v>
      </c>
      <c r="E512" s="3">
        <v>-139.306</v>
      </c>
      <c r="F512" s="4" t="str">
        <f>HYPERLINK("http://141.218.60.56/~jnz1568/getInfo.php?workbook=20_10.xlsx&amp;sheet=A0&amp;row=512&amp;col=6&amp;number=2682000000&amp;sourceID=14","2682000000")</f>
        <v>2682000000</v>
      </c>
      <c r="G512" s="4" t="str">
        <f>HYPERLINK("http://141.218.60.56/~jnz1568/getInfo.php?workbook=20_10.xlsx&amp;sheet=A0&amp;row=512&amp;col=7&amp;number=0&amp;sourceID=14","0")</f>
        <v>0</v>
      </c>
    </row>
    <row r="513" spans="1:7">
      <c r="A513" s="3">
        <v>20</v>
      </c>
      <c r="B513" s="3">
        <v>10</v>
      </c>
      <c r="C513" s="3">
        <v>63</v>
      </c>
      <c r="D513" s="3">
        <v>22</v>
      </c>
      <c r="E513" s="3">
        <v>-140.146</v>
      </c>
      <c r="F513" s="4" t="str">
        <f>HYPERLINK("http://141.218.60.56/~jnz1568/getInfo.php?workbook=20_10.xlsx&amp;sheet=A0&amp;row=513&amp;col=6&amp;number=48930000000&amp;sourceID=14","48930000000")</f>
        <v>48930000000</v>
      </c>
      <c r="G513" s="4" t="str">
        <f>HYPERLINK("http://141.218.60.56/~jnz1568/getInfo.php?workbook=20_10.xlsx&amp;sheet=A0&amp;row=513&amp;col=7&amp;number=0&amp;sourceID=14","0")</f>
        <v>0</v>
      </c>
    </row>
    <row r="514" spans="1:7">
      <c r="A514" s="3">
        <v>20</v>
      </c>
      <c r="B514" s="3">
        <v>10</v>
      </c>
      <c r="C514" s="3">
        <v>63</v>
      </c>
      <c r="D514" s="3">
        <v>24</v>
      </c>
      <c r="E514" s="3">
        <v>-144.291</v>
      </c>
      <c r="F514" s="4" t="str">
        <f>HYPERLINK("http://141.218.60.56/~jnz1568/getInfo.php?workbook=20_10.xlsx&amp;sheet=A0&amp;row=514&amp;col=6&amp;number=708100000&amp;sourceID=14","708100000")</f>
        <v>708100000</v>
      </c>
      <c r="G514" s="4" t="str">
        <f>HYPERLINK("http://141.218.60.56/~jnz1568/getInfo.php?workbook=20_10.xlsx&amp;sheet=A0&amp;row=514&amp;col=7&amp;number=0&amp;sourceID=14","0")</f>
        <v>0</v>
      </c>
    </row>
    <row r="515" spans="1:7">
      <c r="A515" s="3">
        <v>20</v>
      </c>
      <c r="B515" s="3">
        <v>10</v>
      </c>
      <c r="C515" s="3">
        <v>63</v>
      </c>
      <c r="D515" s="3">
        <v>25</v>
      </c>
      <c r="E515" s="3">
        <v>-144.939</v>
      </c>
      <c r="F515" s="4" t="str">
        <f>HYPERLINK("http://141.218.60.56/~jnz1568/getInfo.php?workbook=20_10.xlsx&amp;sheet=A0&amp;row=515&amp;col=6&amp;number=64220000000&amp;sourceID=14","64220000000")</f>
        <v>64220000000</v>
      </c>
      <c r="G515" s="4" t="str">
        <f>HYPERLINK("http://141.218.60.56/~jnz1568/getInfo.php?workbook=20_10.xlsx&amp;sheet=A0&amp;row=515&amp;col=7&amp;number=0&amp;sourceID=14","0")</f>
        <v>0</v>
      </c>
    </row>
    <row r="516" spans="1:7">
      <c r="A516" s="3">
        <v>20</v>
      </c>
      <c r="B516" s="3">
        <v>10</v>
      </c>
      <c r="C516" s="3">
        <v>63</v>
      </c>
      <c r="D516" s="3">
        <v>26</v>
      </c>
      <c r="E516" s="3">
        <v>-145.13</v>
      </c>
      <c r="F516" s="4" t="str">
        <f>HYPERLINK("http://141.218.60.56/~jnz1568/getInfo.php?workbook=20_10.xlsx&amp;sheet=A0&amp;row=516&amp;col=6&amp;number=2247000000&amp;sourceID=14","2247000000")</f>
        <v>2247000000</v>
      </c>
      <c r="G516" s="4" t="str">
        <f>HYPERLINK("http://141.218.60.56/~jnz1568/getInfo.php?workbook=20_10.xlsx&amp;sheet=A0&amp;row=516&amp;col=7&amp;number=0&amp;sourceID=14","0")</f>
        <v>0</v>
      </c>
    </row>
    <row r="517" spans="1:7">
      <c r="A517" s="3">
        <v>20</v>
      </c>
      <c r="B517" s="3">
        <v>10</v>
      </c>
      <c r="C517" s="3">
        <v>63</v>
      </c>
      <c r="D517" s="3">
        <v>32</v>
      </c>
      <c r="E517" s="3">
        <v>-454.879</v>
      </c>
      <c r="F517" s="4" t="str">
        <f>HYPERLINK("http://141.218.60.56/~jnz1568/getInfo.php?workbook=20_10.xlsx&amp;sheet=A0&amp;row=517&amp;col=6&amp;number=2173000000&amp;sourceID=14","2173000000")</f>
        <v>2173000000</v>
      </c>
      <c r="G517" s="4" t="str">
        <f>HYPERLINK("http://141.218.60.56/~jnz1568/getInfo.php?workbook=20_10.xlsx&amp;sheet=A0&amp;row=517&amp;col=7&amp;number=0&amp;sourceID=14","0")</f>
        <v>0</v>
      </c>
    </row>
    <row r="518" spans="1:7">
      <c r="A518" s="3">
        <v>20</v>
      </c>
      <c r="B518" s="3">
        <v>10</v>
      </c>
      <c r="C518" s="3">
        <v>63</v>
      </c>
      <c r="D518" s="3">
        <v>34</v>
      </c>
      <c r="E518" s="3">
        <v>-537.508</v>
      </c>
      <c r="F518" s="4" t="str">
        <f>HYPERLINK("http://141.218.60.56/~jnz1568/getInfo.php?workbook=20_10.xlsx&amp;sheet=A0&amp;row=518&amp;col=6&amp;number=258600000&amp;sourceID=14","258600000")</f>
        <v>258600000</v>
      </c>
      <c r="G518" s="4" t="str">
        <f>HYPERLINK("http://141.218.60.56/~jnz1568/getInfo.php?workbook=20_10.xlsx&amp;sheet=A0&amp;row=518&amp;col=7&amp;number=0&amp;sourceID=14","0")</f>
        <v>0</v>
      </c>
    </row>
    <row r="519" spans="1:7">
      <c r="A519" s="3">
        <v>20</v>
      </c>
      <c r="B519" s="3">
        <v>10</v>
      </c>
      <c r="C519" s="3">
        <v>63</v>
      </c>
      <c r="D519" s="3">
        <v>51</v>
      </c>
      <c r="E519" s="3">
        <v>-3017.416</v>
      </c>
      <c r="F519" s="4" t="str">
        <f>HYPERLINK("http://141.218.60.56/~jnz1568/getInfo.php?workbook=20_10.xlsx&amp;sheet=A0&amp;row=519&amp;col=6&amp;number=57400000&amp;sourceID=14","57400000")</f>
        <v>57400000</v>
      </c>
      <c r="G519" s="4" t="str">
        <f>HYPERLINK("http://141.218.60.56/~jnz1568/getInfo.php?workbook=20_10.xlsx&amp;sheet=A0&amp;row=519&amp;col=7&amp;number=0&amp;sourceID=14","0")</f>
        <v>0</v>
      </c>
    </row>
    <row r="520" spans="1:7">
      <c r="A520" s="3">
        <v>20</v>
      </c>
      <c r="B520" s="3">
        <v>10</v>
      </c>
      <c r="C520" s="3">
        <v>63</v>
      </c>
      <c r="D520" s="3">
        <v>54</v>
      </c>
      <c r="E520" s="3">
        <v>-3553.035</v>
      </c>
      <c r="F520" s="4" t="str">
        <f>HYPERLINK("http://141.218.60.56/~jnz1568/getInfo.php?workbook=20_10.xlsx&amp;sheet=A0&amp;row=520&amp;col=6&amp;number=16910000&amp;sourceID=14","16910000")</f>
        <v>16910000</v>
      </c>
      <c r="G520" s="4" t="str">
        <f>HYPERLINK("http://141.218.60.56/~jnz1568/getInfo.php?workbook=20_10.xlsx&amp;sheet=A0&amp;row=520&amp;col=7&amp;number=0&amp;sourceID=14","0")</f>
        <v>0</v>
      </c>
    </row>
    <row r="521" spans="1:7">
      <c r="A521" s="3">
        <v>20</v>
      </c>
      <c r="B521" s="3">
        <v>10</v>
      </c>
      <c r="C521" s="3">
        <v>64</v>
      </c>
      <c r="D521" s="3">
        <v>1</v>
      </c>
      <c r="E521" s="3">
        <v>-25.417</v>
      </c>
      <c r="F521" s="4" t="str">
        <f>HYPERLINK("http://141.218.60.56/~jnz1568/getInfo.php?workbook=20_10.xlsx&amp;sheet=A0&amp;row=521&amp;col=6&amp;number=689800000&amp;sourceID=14","689800000")</f>
        <v>689800000</v>
      </c>
      <c r="G521" s="4" t="str">
        <f>HYPERLINK("http://141.218.60.56/~jnz1568/getInfo.php?workbook=20_10.xlsx&amp;sheet=A0&amp;row=521&amp;col=7&amp;number=0&amp;sourceID=14","0")</f>
        <v>0</v>
      </c>
    </row>
    <row r="522" spans="1:7">
      <c r="A522" s="3">
        <v>20</v>
      </c>
      <c r="B522" s="3">
        <v>10</v>
      </c>
      <c r="C522" s="3">
        <v>64</v>
      </c>
      <c r="D522" s="3">
        <v>3</v>
      </c>
      <c r="E522" s="3">
        <v>-88.645</v>
      </c>
      <c r="F522" s="4" t="str">
        <f>HYPERLINK("http://141.218.60.56/~jnz1568/getInfo.php?workbook=20_10.xlsx&amp;sheet=A0&amp;row=522&amp;col=6&amp;number=152100000&amp;sourceID=14","152100000")</f>
        <v>152100000</v>
      </c>
      <c r="G522" s="4" t="str">
        <f>HYPERLINK("http://141.218.60.56/~jnz1568/getInfo.php?workbook=20_10.xlsx&amp;sheet=A0&amp;row=522&amp;col=7&amp;number=0&amp;sourceID=14","0")</f>
        <v>0</v>
      </c>
    </row>
    <row r="523" spans="1:7">
      <c r="A523" s="3">
        <v>20</v>
      </c>
      <c r="B523" s="3">
        <v>10</v>
      </c>
      <c r="C523" s="3">
        <v>64</v>
      </c>
      <c r="D523" s="3">
        <v>5</v>
      </c>
      <c r="E523" s="3">
        <v>-90.951</v>
      </c>
      <c r="F523" s="4" t="str">
        <f>HYPERLINK("http://141.218.60.56/~jnz1568/getInfo.php?workbook=20_10.xlsx&amp;sheet=A0&amp;row=523&amp;col=6&amp;number=163900000&amp;sourceID=14","163900000")</f>
        <v>163900000</v>
      </c>
      <c r="G523" s="4" t="str">
        <f>HYPERLINK("http://141.218.60.56/~jnz1568/getInfo.php?workbook=20_10.xlsx&amp;sheet=A0&amp;row=523&amp;col=7&amp;number=0&amp;sourceID=14","0")</f>
        <v>0</v>
      </c>
    </row>
    <row r="524" spans="1:7">
      <c r="A524" s="3">
        <v>20</v>
      </c>
      <c r="B524" s="3">
        <v>10</v>
      </c>
      <c r="C524" s="3">
        <v>64</v>
      </c>
      <c r="D524" s="3">
        <v>17</v>
      </c>
      <c r="E524" s="3">
        <v>-135.724</v>
      </c>
      <c r="F524" s="4" t="str">
        <f>HYPERLINK("http://141.218.60.56/~jnz1568/getInfo.php?workbook=20_10.xlsx&amp;sheet=A0&amp;row=524&amp;col=6&amp;number=730700000&amp;sourceID=14","730700000")</f>
        <v>730700000</v>
      </c>
      <c r="G524" s="4" t="str">
        <f>HYPERLINK("http://141.218.60.56/~jnz1568/getInfo.php?workbook=20_10.xlsx&amp;sheet=A0&amp;row=524&amp;col=7&amp;number=0&amp;sourceID=14","0")</f>
        <v>0</v>
      </c>
    </row>
    <row r="525" spans="1:7">
      <c r="A525" s="3">
        <v>20</v>
      </c>
      <c r="B525" s="3">
        <v>10</v>
      </c>
      <c r="C525" s="3">
        <v>64</v>
      </c>
      <c r="D525" s="3">
        <v>18</v>
      </c>
      <c r="E525" s="3">
        <v>-136.838</v>
      </c>
      <c r="F525" s="4" t="str">
        <f>HYPERLINK("http://141.218.60.56/~jnz1568/getInfo.php?workbook=20_10.xlsx&amp;sheet=A0&amp;row=525&amp;col=6&amp;number=52990000&amp;sourceID=14","52990000")</f>
        <v>52990000</v>
      </c>
      <c r="G525" s="4" t="str">
        <f>HYPERLINK("http://141.218.60.56/~jnz1568/getInfo.php?workbook=20_10.xlsx&amp;sheet=A0&amp;row=525&amp;col=7&amp;number=0&amp;sourceID=14","0")</f>
        <v>0</v>
      </c>
    </row>
    <row r="526" spans="1:7">
      <c r="A526" s="3">
        <v>20</v>
      </c>
      <c r="B526" s="3">
        <v>10</v>
      </c>
      <c r="C526" s="3">
        <v>64</v>
      </c>
      <c r="D526" s="3">
        <v>20</v>
      </c>
      <c r="E526" s="3">
        <v>-138.008</v>
      </c>
      <c r="F526" s="4" t="str">
        <f>HYPERLINK("http://141.218.60.56/~jnz1568/getInfo.php?workbook=20_10.xlsx&amp;sheet=A0&amp;row=526&amp;col=6&amp;number=429100000&amp;sourceID=14","429100000")</f>
        <v>429100000</v>
      </c>
      <c r="G526" s="4" t="str">
        <f>HYPERLINK("http://141.218.60.56/~jnz1568/getInfo.php?workbook=20_10.xlsx&amp;sheet=A0&amp;row=526&amp;col=7&amp;number=0&amp;sourceID=14","0")</f>
        <v>0</v>
      </c>
    </row>
    <row r="527" spans="1:7">
      <c r="A527" s="3">
        <v>20</v>
      </c>
      <c r="B527" s="3">
        <v>10</v>
      </c>
      <c r="C527" s="3">
        <v>64</v>
      </c>
      <c r="D527" s="3">
        <v>21</v>
      </c>
      <c r="E527" s="3">
        <v>-139.238</v>
      </c>
      <c r="F527" s="4" t="str">
        <f>HYPERLINK("http://141.218.60.56/~jnz1568/getInfo.php?workbook=20_10.xlsx&amp;sheet=A0&amp;row=527&amp;col=6&amp;number=15590000000&amp;sourceID=14","15590000000")</f>
        <v>15590000000</v>
      </c>
      <c r="G527" s="4" t="str">
        <f>HYPERLINK("http://141.218.60.56/~jnz1568/getInfo.php?workbook=20_10.xlsx&amp;sheet=A0&amp;row=527&amp;col=7&amp;number=0&amp;sourceID=14","0")</f>
        <v>0</v>
      </c>
    </row>
    <row r="528" spans="1:7">
      <c r="A528" s="3">
        <v>20</v>
      </c>
      <c r="B528" s="3">
        <v>10</v>
      </c>
      <c r="C528" s="3">
        <v>64</v>
      </c>
      <c r="D528" s="3">
        <v>22</v>
      </c>
      <c r="E528" s="3">
        <v>-140.077</v>
      </c>
      <c r="F528" s="4" t="str">
        <f>HYPERLINK("http://141.218.60.56/~jnz1568/getInfo.php?workbook=20_10.xlsx&amp;sheet=A0&amp;row=528&amp;col=6&amp;number=1819000000&amp;sourceID=14","1819000000")</f>
        <v>1819000000</v>
      </c>
      <c r="G528" s="4" t="str">
        <f>HYPERLINK("http://141.218.60.56/~jnz1568/getInfo.php?workbook=20_10.xlsx&amp;sheet=A0&amp;row=528&amp;col=7&amp;number=0&amp;sourceID=14","0")</f>
        <v>0</v>
      </c>
    </row>
    <row r="529" spans="1:7">
      <c r="A529" s="3">
        <v>20</v>
      </c>
      <c r="B529" s="3">
        <v>10</v>
      </c>
      <c r="C529" s="3">
        <v>64</v>
      </c>
      <c r="D529" s="3">
        <v>23</v>
      </c>
      <c r="E529" s="3">
        <v>-142.941</v>
      </c>
      <c r="F529" s="4" t="str">
        <f>HYPERLINK("http://141.218.60.56/~jnz1568/getInfo.php?workbook=20_10.xlsx&amp;sheet=A0&amp;row=529&amp;col=6&amp;number=62080000000&amp;sourceID=14","62080000000")</f>
        <v>62080000000</v>
      </c>
      <c r="G529" s="4" t="str">
        <f>HYPERLINK("http://141.218.60.56/~jnz1568/getInfo.php?workbook=20_10.xlsx&amp;sheet=A0&amp;row=529&amp;col=7&amp;number=0&amp;sourceID=14","0")</f>
        <v>0</v>
      </c>
    </row>
    <row r="530" spans="1:7">
      <c r="A530" s="3">
        <v>20</v>
      </c>
      <c r="B530" s="3">
        <v>10</v>
      </c>
      <c r="C530" s="3">
        <v>64</v>
      </c>
      <c r="D530" s="3">
        <v>24</v>
      </c>
      <c r="E530" s="3">
        <v>-144.218</v>
      </c>
      <c r="F530" s="4" t="str">
        <f>HYPERLINK("http://141.218.60.56/~jnz1568/getInfo.php?workbook=20_10.xlsx&amp;sheet=A0&amp;row=530&amp;col=6&amp;number=961800000&amp;sourceID=14","961800000")</f>
        <v>961800000</v>
      </c>
      <c r="G530" s="4" t="str">
        <f>HYPERLINK("http://141.218.60.56/~jnz1568/getInfo.php?workbook=20_10.xlsx&amp;sheet=A0&amp;row=530&amp;col=7&amp;number=0&amp;sourceID=14","0")</f>
        <v>0</v>
      </c>
    </row>
    <row r="531" spans="1:7">
      <c r="A531" s="3">
        <v>20</v>
      </c>
      <c r="B531" s="3">
        <v>10</v>
      </c>
      <c r="C531" s="3">
        <v>64</v>
      </c>
      <c r="D531" s="3">
        <v>26</v>
      </c>
      <c r="E531" s="3">
        <v>-145.056</v>
      </c>
      <c r="F531" s="4" t="str">
        <f>HYPERLINK("http://141.218.60.56/~jnz1568/getInfo.php?workbook=20_10.xlsx&amp;sheet=A0&amp;row=531&amp;col=6&amp;number=714000000&amp;sourceID=14","714000000")</f>
        <v>714000000</v>
      </c>
      <c r="G531" s="4" t="str">
        <f>HYPERLINK("http://141.218.60.56/~jnz1568/getInfo.php?workbook=20_10.xlsx&amp;sheet=A0&amp;row=531&amp;col=7&amp;number=0&amp;sourceID=14","0")</f>
        <v>0</v>
      </c>
    </row>
    <row r="532" spans="1:7">
      <c r="A532" s="3">
        <v>20</v>
      </c>
      <c r="B532" s="3">
        <v>10</v>
      </c>
      <c r="C532" s="3">
        <v>64</v>
      </c>
      <c r="D532" s="3">
        <v>27</v>
      </c>
      <c r="E532" s="3">
        <v>-153.236</v>
      </c>
      <c r="F532" s="4" t="str">
        <f>HYPERLINK("http://141.218.60.56/~jnz1568/getInfo.php?workbook=20_10.xlsx&amp;sheet=A0&amp;row=532&amp;col=6&amp;number=55820000000&amp;sourceID=14","55820000000")</f>
        <v>55820000000</v>
      </c>
      <c r="G532" s="4" t="str">
        <f>HYPERLINK("http://141.218.60.56/~jnz1568/getInfo.php?workbook=20_10.xlsx&amp;sheet=A0&amp;row=532&amp;col=7&amp;number=0&amp;sourceID=14","0")</f>
        <v>0</v>
      </c>
    </row>
    <row r="533" spans="1:7">
      <c r="A533" s="3">
        <v>20</v>
      </c>
      <c r="B533" s="3">
        <v>10</v>
      </c>
      <c r="C533" s="3">
        <v>64</v>
      </c>
      <c r="D533" s="3">
        <v>31</v>
      </c>
      <c r="E533" s="3">
        <v>-445.852</v>
      </c>
      <c r="F533" s="4" t="str">
        <f>HYPERLINK("http://141.218.60.56/~jnz1568/getInfo.php?workbook=20_10.xlsx&amp;sheet=A0&amp;row=533&amp;col=6&amp;number=127000000&amp;sourceID=14","127000000")</f>
        <v>127000000</v>
      </c>
      <c r="G533" s="4" t="str">
        <f>HYPERLINK("http://141.218.60.56/~jnz1568/getInfo.php?workbook=20_10.xlsx&amp;sheet=A0&amp;row=533&amp;col=7&amp;number=0&amp;sourceID=14","0")</f>
        <v>0</v>
      </c>
    </row>
    <row r="534" spans="1:7">
      <c r="A534" s="3">
        <v>20</v>
      </c>
      <c r="B534" s="3">
        <v>10</v>
      </c>
      <c r="C534" s="3">
        <v>64</v>
      </c>
      <c r="D534" s="3">
        <v>32</v>
      </c>
      <c r="E534" s="3">
        <v>-454.154</v>
      </c>
      <c r="F534" s="4" t="str">
        <f>HYPERLINK("http://141.218.60.56/~jnz1568/getInfo.php?workbook=20_10.xlsx&amp;sheet=A0&amp;row=534&amp;col=6&amp;number=17980000&amp;sourceID=14","17980000")</f>
        <v>17980000</v>
      </c>
      <c r="G534" s="4" t="str">
        <f>HYPERLINK("http://141.218.60.56/~jnz1568/getInfo.php?workbook=20_10.xlsx&amp;sheet=A0&amp;row=534&amp;col=7&amp;number=0&amp;sourceID=14","0")</f>
        <v>0</v>
      </c>
    </row>
    <row r="535" spans="1:7">
      <c r="A535" s="3">
        <v>20</v>
      </c>
      <c r="B535" s="3">
        <v>10</v>
      </c>
      <c r="C535" s="3">
        <v>64</v>
      </c>
      <c r="D535" s="3">
        <v>33</v>
      </c>
      <c r="E535" s="3">
        <v>-474.846</v>
      </c>
      <c r="F535" s="4" t="str">
        <f>HYPERLINK("http://141.218.60.56/~jnz1568/getInfo.php?workbook=20_10.xlsx&amp;sheet=A0&amp;row=535&amp;col=6&amp;number=434300000&amp;sourceID=14","434300000")</f>
        <v>434300000</v>
      </c>
      <c r="G535" s="4" t="str">
        <f>HYPERLINK("http://141.218.60.56/~jnz1568/getInfo.php?workbook=20_10.xlsx&amp;sheet=A0&amp;row=535&amp;col=7&amp;number=0&amp;sourceID=14","0")</f>
        <v>0</v>
      </c>
    </row>
    <row r="536" spans="1:7">
      <c r="A536" s="3">
        <v>20</v>
      </c>
      <c r="B536" s="3">
        <v>10</v>
      </c>
      <c r="C536" s="3">
        <v>64</v>
      </c>
      <c r="D536" s="3">
        <v>35</v>
      </c>
      <c r="E536" s="3">
        <v>-545.278</v>
      </c>
      <c r="F536" s="4" t="str">
        <f>HYPERLINK("http://141.218.60.56/~jnz1568/getInfo.php?workbook=20_10.xlsx&amp;sheet=A0&amp;row=536&amp;col=6&amp;number=74150000&amp;sourceID=14","74150000")</f>
        <v>74150000</v>
      </c>
      <c r="G536" s="4" t="str">
        <f>HYPERLINK("http://141.218.60.56/~jnz1568/getInfo.php?workbook=20_10.xlsx&amp;sheet=A0&amp;row=536&amp;col=7&amp;number=0&amp;sourceID=14","0")</f>
        <v>0</v>
      </c>
    </row>
    <row r="537" spans="1:7">
      <c r="A537" s="3">
        <v>20</v>
      </c>
      <c r="B537" s="3">
        <v>10</v>
      </c>
      <c r="C537" s="3">
        <v>64</v>
      </c>
      <c r="D537" s="3">
        <v>37</v>
      </c>
      <c r="E537" s="3">
        <v>-646.439</v>
      </c>
      <c r="F537" s="4" t="str">
        <f>HYPERLINK("http://141.218.60.56/~jnz1568/getInfo.php?workbook=20_10.xlsx&amp;sheet=A0&amp;row=537&amp;col=6&amp;number=10190000&amp;sourceID=14","10190000")</f>
        <v>10190000</v>
      </c>
      <c r="G537" s="4" t="str">
        <f>HYPERLINK("http://141.218.60.56/~jnz1568/getInfo.php?workbook=20_10.xlsx&amp;sheet=A0&amp;row=537&amp;col=7&amp;number=0&amp;sourceID=14","0")</f>
        <v>0</v>
      </c>
    </row>
    <row r="538" spans="1:7">
      <c r="A538" s="3">
        <v>20</v>
      </c>
      <c r="B538" s="3">
        <v>10</v>
      </c>
      <c r="C538" s="3">
        <v>65</v>
      </c>
      <c r="D538" s="3">
        <v>7</v>
      </c>
      <c r="E538" s="3">
        <v>-104.172</v>
      </c>
      <c r="F538" s="4" t="str">
        <f>HYPERLINK("http://141.218.60.56/~jnz1568/getInfo.php?workbook=20_10.xlsx&amp;sheet=A0&amp;row=538&amp;col=6&amp;number=13350000&amp;sourceID=14","13350000")</f>
        <v>13350000</v>
      </c>
      <c r="G538" s="4" t="str">
        <f>HYPERLINK("http://141.218.60.56/~jnz1568/getInfo.php?workbook=20_10.xlsx&amp;sheet=A0&amp;row=538&amp;col=7&amp;number=0&amp;sourceID=14","0")</f>
        <v>0</v>
      </c>
    </row>
    <row r="539" spans="1:7">
      <c r="A539" s="3">
        <v>20</v>
      </c>
      <c r="B539" s="3">
        <v>10</v>
      </c>
      <c r="C539" s="3">
        <v>65</v>
      </c>
      <c r="D539" s="3">
        <v>10</v>
      </c>
      <c r="E539" s="3">
        <v>-105.021</v>
      </c>
      <c r="F539" s="4" t="str">
        <f>HYPERLINK("http://141.218.60.56/~jnz1568/getInfo.php?workbook=20_10.xlsx&amp;sheet=A0&amp;row=539&amp;col=6&amp;number=15320000&amp;sourceID=14","15320000")</f>
        <v>15320000</v>
      </c>
      <c r="G539" s="4" t="str">
        <f>HYPERLINK("http://141.218.60.56/~jnz1568/getInfo.php?workbook=20_10.xlsx&amp;sheet=A0&amp;row=539&amp;col=7&amp;number=0&amp;sourceID=14","0")</f>
        <v>0</v>
      </c>
    </row>
    <row r="540" spans="1:7">
      <c r="A540" s="3">
        <v>20</v>
      </c>
      <c r="B540" s="3">
        <v>10</v>
      </c>
      <c r="C540" s="3">
        <v>65</v>
      </c>
      <c r="D540" s="3">
        <v>18</v>
      </c>
      <c r="E540" s="3">
        <v>-136.714</v>
      </c>
      <c r="F540" s="4" t="str">
        <f>HYPERLINK("http://141.218.60.56/~jnz1568/getInfo.php?workbook=20_10.xlsx&amp;sheet=A0&amp;row=540&amp;col=6&amp;number=40550000&amp;sourceID=14","40550000")</f>
        <v>40550000</v>
      </c>
      <c r="G540" s="4" t="str">
        <f>HYPERLINK("http://141.218.60.56/~jnz1568/getInfo.php?workbook=20_10.xlsx&amp;sheet=A0&amp;row=540&amp;col=7&amp;number=0&amp;sourceID=14","0")</f>
        <v>0</v>
      </c>
    </row>
    <row r="541" spans="1:7">
      <c r="A541" s="3">
        <v>20</v>
      </c>
      <c r="B541" s="3">
        <v>10</v>
      </c>
      <c r="C541" s="3">
        <v>65</v>
      </c>
      <c r="D541" s="3">
        <v>19</v>
      </c>
      <c r="E541" s="3">
        <v>-137.164</v>
      </c>
      <c r="F541" s="4" t="str">
        <f>HYPERLINK("http://141.218.60.56/~jnz1568/getInfo.php?workbook=20_10.xlsx&amp;sheet=A0&amp;row=541&amp;col=6&amp;number=1224000000&amp;sourceID=14","1224000000")</f>
        <v>1224000000</v>
      </c>
      <c r="G541" s="4" t="str">
        <f>HYPERLINK("http://141.218.60.56/~jnz1568/getInfo.php?workbook=20_10.xlsx&amp;sheet=A0&amp;row=541&amp;col=7&amp;number=0&amp;sourceID=14","0")</f>
        <v>0</v>
      </c>
    </row>
    <row r="542" spans="1:7">
      <c r="A542" s="3">
        <v>20</v>
      </c>
      <c r="B542" s="3">
        <v>10</v>
      </c>
      <c r="C542" s="3">
        <v>65</v>
      </c>
      <c r="D542" s="3">
        <v>20</v>
      </c>
      <c r="E542" s="3">
        <v>-137.883</v>
      </c>
      <c r="F542" s="4" t="str">
        <f>HYPERLINK("http://141.218.60.56/~jnz1568/getInfo.php?workbook=20_10.xlsx&amp;sheet=A0&amp;row=542&amp;col=6&amp;number=38760000000&amp;sourceID=14","38760000000")</f>
        <v>38760000000</v>
      </c>
      <c r="G542" s="4" t="str">
        <f>HYPERLINK("http://141.218.60.56/~jnz1568/getInfo.php?workbook=20_10.xlsx&amp;sheet=A0&amp;row=542&amp;col=7&amp;number=0&amp;sourceID=14","0")</f>
        <v>0</v>
      </c>
    </row>
    <row r="543" spans="1:7">
      <c r="A543" s="3">
        <v>20</v>
      </c>
      <c r="B543" s="3">
        <v>10</v>
      </c>
      <c r="C543" s="3">
        <v>65</v>
      </c>
      <c r="D543" s="3">
        <v>21</v>
      </c>
      <c r="E543" s="3">
        <v>-139.11</v>
      </c>
      <c r="F543" s="4" t="str">
        <f>HYPERLINK("http://141.218.60.56/~jnz1568/getInfo.php?workbook=20_10.xlsx&amp;sheet=A0&amp;row=543&amp;col=6&amp;number=165100000000&amp;sourceID=14","165100000000")</f>
        <v>165100000000</v>
      </c>
      <c r="G543" s="4" t="str">
        <f>HYPERLINK("http://141.218.60.56/~jnz1568/getInfo.php?workbook=20_10.xlsx&amp;sheet=A0&amp;row=543&amp;col=7&amp;number=0&amp;sourceID=14","0")</f>
        <v>0</v>
      </c>
    </row>
    <row r="544" spans="1:7">
      <c r="A544" s="3">
        <v>20</v>
      </c>
      <c r="B544" s="3">
        <v>10</v>
      </c>
      <c r="C544" s="3">
        <v>65</v>
      </c>
      <c r="D544" s="3">
        <v>22</v>
      </c>
      <c r="E544" s="3">
        <v>-139.948</v>
      </c>
      <c r="F544" s="4" t="str">
        <f>HYPERLINK("http://141.218.60.56/~jnz1568/getInfo.php?workbook=20_10.xlsx&amp;sheet=A0&amp;row=544&amp;col=6&amp;number=408000000&amp;sourceID=14","408000000")</f>
        <v>408000000</v>
      </c>
      <c r="G544" s="4" t="str">
        <f>HYPERLINK("http://141.218.60.56/~jnz1568/getInfo.php?workbook=20_10.xlsx&amp;sheet=A0&amp;row=544&amp;col=7&amp;number=0&amp;sourceID=14","0")</f>
        <v>0</v>
      </c>
    </row>
    <row r="545" spans="1:7">
      <c r="A545" s="3">
        <v>20</v>
      </c>
      <c r="B545" s="3">
        <v>10</v>
      </c>
      <c r="C545" s="3">
        <v>65</v>
      </c>
      <c r="D545" s="3">
        <v>24</v>
      </c>
      <c r="E545" s="3">
        <v>-144.081</v>
      </c>
      <c r="F545" s="4" t="str">
        <f>HYPERLINK("http://141.218.60.56/~jnz1568/getInfo.php?workbook=20_10.xlsx&amp;sheet=A0&amp;row=545&amp;col=6&amp;number=15510000000&amp;sourceID=14","15510000000")</f>
        <v>15510000000</v>
      </c>
      <c r="G545" s="4" t="str">
        <f>HYPERLINK("http://141.218.60.56/~jnz1568/getInfo.php?workbook=20_10.xlsx&amp;sheet=A0&amp;row=545&amp;col=7&amp;number=0&amp;sourceID=14","0")</f>
        <v>0</v>
      </c>
    </row>
    <row r="546" spans="1:7">
      <c r="A546" s="3">
        <v>20</v>
      </c>
      <c r="B546" s="3">
        <v>10</v>
      </c>
      <c r="C546" s="3">
        <v>65</v>
      </c>
      <c r="D546" s="3">
        <v>26</v>
      </c>
      <c r="E546" s="3">
        <v>-144.917</v>
      </c>
      <c r="F546" s="4" t="str">
        <f>HYPERLINK("http://141.218.60.56/~jnz1568/getInfo.php?workbook=20_10.xlsx&amp;sheet=A0&amp;row=546&amp;col=6&amp;number=1615000000&amp;sourceID=14","1615000000")</f>
        <v>1615000000</v>
      </c>
      <c r="G546" s="4" t="str">
        <f>HYPERLINK("http://141.218.60.56/~jnz1568/getInfo.php?workbook=20_10.xlsx&amp;sheet=A0&amp;row=546&amp;col=7&amp;number=0&amp;sourceID=14","0")</f>
        <v>0</v>
      </c>
    </row>
    <row r="547" spans="1:7">
      <c r="A547" s="3">
        <v>20</v>
      </c>
      <c r="B547" s="3">
        <v>10</v>
      </c>
      <c r="C547" s="3">
        <v>65</v>
      </c>
      <c r="D547" s="3">
        <v>52</v>
      </c>
      <c r="E547" s="3">
        <v>-3034.262</v>
      </c>
      <c r="F547" s="4" t="str">
        <f>HYPERLINK("http://141.218.60.56/~jnz1568/getInfo.php?workbook=20_10.xlsx&amp;sheet=A0&amp;row=547&amp;col=6&amp;number=13820000&amp;sourceID=14","13820000")</f>
        <v>13820000</v>
      </c>
      <c r="G547" s="4" t="str">
        <f>HYPERLINK("http://141.218.60.56/~jnz1568/getInfo.php?workbook=20_10.xlsx&amp;sheet=A0&amp;row=547&amp;col=7&amp;number=0&amp;sourceID=14","0")</f>
        <v>0</v>
      </c>
    </row>
    <row r="548" spans="1:7">
      <c r="A548" s="3">
        <v>20</v>
      </c>
      <c r="B548" s="3">
        <v>10</v>
      </c>
      <c r="C548" s="3">
        <v>65</v>
      </c>
      <c r="D548" s="3">
        <v>53</v>
      </c>
      <c r="E548" s="3">
        <v>-3283.539</v>
      </c>
      <c r="F548" s="4" t="str">
        <f>HYPERLINK("http://141.218.60.56/~jnz1568/getInfo.php?workbook=20_10.xlsx&amp;sheet=A0&amp;row=548&amp;col=6&amp;number=49380000&amp;sourceID=14","49380000")</f>
        <v>49380000</v>
      </c>
      <c r="G548" s="4" t="str">
        <f>HYPERLINK("http://141.218.60.56/~jnz1568/getInfo.php?workbook=20_10.xlsx&amp;sheet=A0&amp;row=548&amp;col=7&amp;number=0&amp;sourceID=14","0")</f>
        <v>0</v>
      </c>
    </row>
    <row r="549" spans="1:7">
      <c r="A549" s="3">
        <v>20</v>
      </c>
      <c r="B549" s="3">
        <v>10</v>
      </c>
      <c r="C549" s="3">
        <v>66</v>
      </c>
      <c r="D549" s="3">
        <v>8</v>
      </c>
      <c r="E549" s="3">
        <v>-104.204</v>
      </c>
      <c r="F549" s="4" t="str">
        <f>HYPERLINK("http://141.218.60.56/~jnz1568/getInfo.php?workbook=20_10.xlsx&amp;sheet=A0&amp;row=549&amp;col=6&amp;number=11210000&amp;sourceID=14","11210000")</f>
        <v>11210000</v>
      </c>
      <c r="G549" s="4" t="str">
        <f>HYPERLINK("http://141.218.60.56/~jnz1568/getInfo.php?workbook=20_10.xlsx&amp;sheet=A0&amp;row=549&amp;col=7&amp;number=0&amp;sourceID=14","0")</f>
        <v>0</v>
      </c>
    </row>
    <row r="550" spans="1:7">
      <c r="A550" s="3">
        <v>20</v>
      </c>
      <c r="B550" s="3">
        <v>10</v>
      </c>
      <c r="C550" s="3">
        <v>66</v>
      </c>
      <c r="D550" s="3">
        <v>9</v>
      </c>
      <c r="E550" s="3">
        <v>-105.64</v>
      </c>
      <c r="F550" s="4" t="str">
        <f>HYPERLINK("http://141.218.60.56/~jnz1568/getInfo.php?workbook=20_10.xlsx&amp;sheet=A0&amp;row=550&amp;col=6&amp;number=20110000&amp;sourceID=14","20110000")</f>
        <v>20110000</v>
      </c>
      <c r="G550" s="4" t="str">
        <f>HYPERLINK("http://141.218.60.56/~jnz1568/getInfo.php?workbook=20_10.xlsx&amp;sheet=A0&amp;row=550&amp;col=7&amp;number=0&amp;sourceID=14","0")</f>
        <v>0</v>
      </c>
    </row>
    <row r="551" spans="1:7">
      <c r="A551" s="3">
        <v>20</v>
      </c>
      <c r="B551" s="3">
        <v>10</v>
      </c>
      <c r="C551" s="3">
        <v>66</v>
      </c>
      <c r="D551" s="3">
        <v>19</v>
      </c>
      <c r="E551" s="3">
        <v>-137.136</v>
      </c>
      <c r="F551" s="4" t="str">
        <f>HYPERLINK("http://141.218.60.56/~jnz1568/getInfo.php?workbook=20_10.xlsx&amp;sheet=A0&amp;row=551&amp;col=6&amp;number=30480000000&amp;sourceID=14","30480000000")</f>
        <v>30480000000</v>
      </c>
      <c r="G551" s="4" t="str">
        <f>HYPERLINK("http://141.218.60.56/~jnz1568/getInfo.php?workbook=20_10.xlsx&amp;sheet=A0&amp;row=551&amp;col=7&amp;number=0&amp;sourceID=14","0")</f>
        <v>0</v>
      </c>
    </row>
    <row r="552" spans="1:7">
      <c r="A552" s="3">
        <v>20</v>
      </c>
      <c r="B552" s="3">
        <v>10</v>
      </c>
      <c r="C552" s="3">
        <v>66</v>
      </c>
      <c r="D552" s="3">
        <v>20</v>
      </c>
      <c r="E552" s="3">
        <v>-137.854</v>
      </c>
      <c r="F552" s="4" t="str">
        <f>HYPERLINK("http://141.218.60.56/~jnz1568/getInfo.php?workbook=20_10.xlsx&amp;sheet=A0&amp;row=552&amp;col=6&amp;number=11350000000&amp;sourceID=14","11350000000")</f>
        <v>11350000000</v>
      </c>
      <c r="G552" s="4" t="str">
        <f>HYPERLINK("http://141.218.60.56/~jnz1568/getInfo.php?workbook=20_10.xlsx&amp;sheet=A0&amp;row=552&amp;col=7&amp;number=0&amp;sourceID=14","0")</f>
        <v>0</v>
      </c>
    </row>
    <row r="553" spans="1:7">
      <c r="A553" s="3">
        <v>20</v>
      </c>
      <c r="B553" s="3">
        <v>10</v>
      </c>
      <c r="C553" s="3">
        <v>66</v>
      </c>
      <c r="D553" s="3">
        <v>22</v>
      </c>
      <c r="E553" s="3">
        <v>-139.919</v>
      </c>
      <c r="F553" s="4" t="str">
        <f>HYPERLINK("http://141.218.60.56/~jnz1568/getInfo.php?workbook=20_10.xlsx&amp;sheet=A0&amp;row=553&amp;col=6&amp;number=177400000000&amp;sourceID=14","177400000000")</f>
        <v>177400000000</v>
      </c>
      <c r="G553" s="4" t="str">
        <f>HYPERLINK("http://141.218.60.56/~jnz1568/getInfo.php?workbook=20_10.xlsx&amp;sheet=A0&amp;row=553&amp;col=7&amp;number=0&amp;sourceID=14","0")</f>
        <v>0</v>
      </c>
    </row>
    <row r="554" spans="1:7">
      <c r="A554" s="3">
        <v>20</v>
      </c>
      <c r="B554" s="3">
        <v>10</v>
      </c>
      <c r="C554" s="3">
        <v>66</v>
      </c>
      <c r="D554" s="3">
        <v>26</v>
      </c>
      <c r="E554" s="3">
        <v>-144.886</v>
      </c>
      <c r="F554" s="4" t="str">
        <f>HYPERLINK("http://141.218.60.56/~jnz1568/getInfo.php?workbook=20_10.xlsx&amp;sheet=A0&amp;row=554&amp;col=6&amp;number=3494000000&amp;sourceID=14","3494000000")</f>
        <v>3494000000</v>
      </c>
      <c r="G554" s="4" t="str">
        <f>HYPERLINK("http://141.218.60.56/~jnz1568/getInfo.php?workbook=20_10.xlsx&amp;sheet=A0&amp;row=554&amp;col=7&amp;number=0&amp;sourceID=14","0")</f>
        <v>0</v>
      </c>
    </row>
    <row r="555" spans="1:7">
      <c r="A555" s="3">
        <v>20</v>
      </c>
      <c r="B555" s="3">
        <v>10</v>
      </c>
      <c r="C555" s="3">
        <v>66</v>
      </c>
      <c r="D555" s="3">
        <v>50</v>
      </c>
      <c r="E555" s="3">
        <v>-2873.569</v>
      </c>
      <c r="F555" s="4" t="str">
        <f>HYPERLINK("http://141.218.60.56/~jnz1568/getInfo.php?workbook=20_10.xlsx&amp;sheet=A0&amp;row=555&amp;col=6&amp;number=12330000&amp;sourceID=14","12330000")</f>
        <v>12330000</v>
      </c>
      <c r="G555" s="4" t="str">
        <f>HYPERLINK("http://141.218.60.56/~jnz1568/getInfo.php?workbook=20_10.xlsx&amp;sheet=A0&amp;row=555&amp;col=7&amp;number=0&amp;sourceID=14","0")</f>
        <v>0</v>
      </c>
    </row>
    <row r="556" spans="1:7">
      <c r="A556" s="3">
        <v>20</v>
      </c>
      <c r="B556" s="3">
        <v>10</v>
      </c>
      <c r="C556" s="3">
        <v>66</v>
      </c>
      <c r="D556" s="3">
        <v>54</v>
      </c>
      <c r="E556" s="3">
        <v>-3412.51</v>
      </c>
      <c r="F556" s="4" t="str">
        <f>HYPERLINK("http://141.218.60.56/~jnz1568/getInfo.php?workbook=20_10.xlsx&amp;sheet=A0&amp;row=556&amp;col=6&amp;number=43390000&amp;sourceID=14","43390000")</f>
        <v>43390000</v>
      </c>
      <c r="G556" s="4" t="str">
        <f>HYPERLINK("http://141.218.60.56/~jnz1568/getInfo.php?workbook=20_10.xlsx&amp;sheet=A0&amp;row=556&amp;col=7&amp;number=0&amp;sourceID=14","0")</f>
        <v>0</v>
      </c>
    </row>
    <row r="557" spans="1:7">
      <c r="A557" s="3">
        <v>20</v>
      </c>
      <c r="B557" s="3">
        <v>10</v>
      </c>
      <c r="C557" s="3">
        <v>67</v>
      </c>
      <c r="D557" s="3">
        <v>3</v>
      </c>
      <c r="E557" s="3">
        <v>-88.292</v>
      </c>
      <c r="F557" s="4" t="str">
        <f>HYPERLINK("http://141.218.60.56/~jnz1568/getInfo.php?workbook=20_10.xlsx&amp;sheet=A0&amp;row=557&amp;col=6&amp;number=19060000&amp;sourceID=14","19060000")</f>
        <v>19060000</v>
      </c>
      <c r="G557" s="4" t="str">
        <f>HYPERLINK("http://141.218.60.56/~jnz1568/getInfo.php?workbook=20_10.xlsx&amp;sheet=A0&amp;row=557&amp;col=7&amp;number=0&amp;sourceID=14","0")</f>
        <v>0</v>
      </c>
    </row>
    <row r="558" spans="1:7">
      <c r="A558" s="3">
        <v>20</v>
      </c>
      <c r="B558" s="3">
        <v>10</v>
      </c>
      <c r="C558" s="3">
        <v>67</v>
      </c>
      <c r="D558" s="3">
        <v>4</v>
      </c>
      <c r="E558" s="3">
        <v>-90.017</v>
      </c>
      <c r="F558" s="4" t="str">
        <f>HYPERLINK("http://141.218.60.56/~jnz1568/getInfo.php?workbook=20_10.xlsx&amp;sheet=A0&amp;row=558&amp;col=6&amp;number=54680000&amp;sourceID=14","54680000")</f>
        <v>54680000</v>
      </c>
      <c r="G558" s="4" t="str">
        <f>HYPERLINK("http://141.218.60.56/~jnz1568/getInfo.php?workbook=20_10.xlsx&amp;sheet=A0&amp;row=558&amp;col=7&amp;number=0&amp;sourceID=14","0")</f>
        <v>0</v>
      </c>
    </row>
    <row r="559" spans="1:7">
      <c r="A559" s="3">
        <v>20</v>
      </c>
      <c r="B559" s="3">
        <v>10</v>
      </c>
      <c r="C559" s="3">
        <v>67</v>
      </c>
      <c r="D559" s="3">
        <v>5</v>
      </c>
      <c r="E559" s="3">
        <v>-90.58</v>
      </c>
      <c r="F559" s="4" t="str">
        <f>HYPERLINK("http://141.218.60.56/~jnz1568/getInfo.php?workbook=20_10.xlsx&amp;sheet=A0&amp;row=559&amp;col=6&amp;number=16950000&amp;sourceID=14","16950000")</f>
        <v>16950000</v>
      </c>
      <c r="G559" s="4" t="str">
        <f>HYPERLINK("http://141.218.60.56/~jnz1568/getInfo.php?workbook=20_10.xlsx&amp;sheet=A0&amp;row=559&amp;col=7&amp;number=0&amp;sourceID=14","0")</f>
        <v>0</v>
      </c>
    </row>
    <row r="560" spans="1:7">
      <c r="A560" s="3">
        <v>20</v>
      </c>
      <c r="B560" s="3">
        <v>10</v>
      </c>
      <c r="C560" s="3">
        <v>67</v>
      </c>
      <c r="D560" s="3">
        <v>16</v>
      </c>
      <c r="E560" s="3">
        <v>-134.355</v>
      </c>
      <c r="F560" s="4" t="str">
        <f>HYPERLINK("http://141.218.60.56/~jnz1568/getInfo.php?workbook=20_10.xlsx&amp;sheet=A0&amp;row=560&amp;col=6&amp;number=79510000000&amp;sourceID=14","79510000000")</f>
        <v>79510000000</v>
      </c>
      <c r="G560" s="4" t="str">
        <f>HYPERLINK("http://141.218.60.56/~jnz1568/getInfo.php?workbook=20_10.xlsx&amp;sheet=A0&amp;row=560&amp;col=7&amp;number=0&amp;sourceID=14","0")</f>
        <v>0</v>
      </c>
    </row>
    <row r="561" spans="1:7">
      <c r="A561" s="3">
        <v>20</v>
      </c>
      <c r="B561" s="3">
        <v>10</v>
      </c>
      <c r="C561" s="3">
        <v>67</v>
      </c>
      <c r="D561" s="3">
        <v>17</v>
      </c>
      <c r="E561" s="3">
        <v>-134.899</v>
      </c>
      <c r="F561" s="4" t="str">
        <f>HYPERLINK("http://141.218.60.56/~jnz1568/getInfo.php?workbook=20_10.xlsx&amp;sheet=A0&amp;row=561&amp;col=6&amp;number=78440000000&amp;sourceID=14","78440000000")</f>
        <v>78440000000</v>
      </c>
      <c r="G561" s="4" t="str">
        <f>HYPERLINK("http://141.218.60.56/~jnz1568/getInfo.php?workbook=20_10.xlsx&amp;sheet=A0&amp;row=561&amp;col=7&amp;number=0&amp;sourceID=14","0")</f>
        <v>0</v>
      </c>
    </row>
    <row r="562" spans="1:7">
      <c r="A562" s="3">
        <v>20</v>
      </c>
      <c r="B562" s="3">
        <v>10</v>
      </c>
      <c r="C562" s="3">
        <v>67</v>
      </c>
      <c r="D562" s="3">
        <v>18</v>
      </c>
      <c r="E562" s="3">
        <v>-135.999</v>
      </c>
      <c r="F562" s="4" t="str">
        <f>HYPERLINK("http://141.218.60.56/~jnz1568/getInfo.php?workbook=20_10.xlsx&amp;sheet=A0&amp;row=562&amp;col=6&amp;number=9415000000&amp;sourceID=14","9415000000")</f>
        <v>9415000000</v>
      </c>
      <c r="G562" s="4" t="str">
        <f>HYPERLINK("http://141.218.60.56/~jnz1568/getInfo.php?workbook=20_10.xlsx&amp;sheet=A0&amp;row=562&amp;col=7&amp;number=0&amp;sourceID=14","0")</f>
        <v>0</v>
      </c>
    </row>
    <row r="563" spans="1:7">
      <c r="A563" s="3">
        <v>20</v>
      </c>
      <c r="B563" s="3">
        <v>10</v>
      </c>
      <c r="C563" s="3">
        <v>67</v>
      </c>
      <c r="D563" s="3">
        <v>21</v>
      </c>
      <c r="E563" s="3">
        <v>-138.369</v>
      </c>
      <c r="F563" s="4" t="str">
        <f>HYPERLINK("http://141.218.60.56/~jnz1568/getInfo.php?workbook=20_10.xlsx&amp;sheet=A0&amp;row=563&amp;col=6&amp;number=32060000000&amp;sourceID=14","32060000000")</f>
        <v>32060000000</v>
      </c>
      <c r="G563" s="4" t="str">
        <f>HYPERLINK("http://141.218.60.56/~jnz1568/getInfo.php?workbook=20_10.xlsx&amp;sheet=A0&amp;row=563&amp;col=7&amp;number=0&amp;sourceID=14","0")</f>
        <v>0</v>
      </c>
    </row>
    <row r="564" spans="1:7">
      <c r="A564" s="3">
        <v>20</v>
      </c>
      <c r="B564" s="3">
        <v>10</v>
      </c>
      <c r="C564" s="3">
        <v>67</v>
      </c>
      <c r="D564" s="3">
        <v>23</v>
      </c>
      <c r="E564" s="3">
        <v>-142.025</v>
      </c>
      <c r="F564" s="4" t="str">
        <f>HYPERLINK("http://141.218.60.56/~jnz1568/getInfo.php?workbook=20_10.xlsx&amp;sheet=A0&amp;row=564&amp;col=6&amp;number=27700000000&amp;sourceID=14","27700000000")</f>
        <v>27700000000</v>
      </c>
      <c r="G564" s="4" t="str">
        <f>HYPERLINK("http://141.218.60.56/~jnz1568/getInfo.php?workbook=20_10.xlsx&amp;sheet=A0&amp;row=564&amp;col=7&amp;number=0&amp;sourceID=14","0")</f>
        <v>0</v>
      </c>
    </row>
    <row r="565" spans="1:7">
      <c r="A565" s="3">
        <v>20</v>
      </c>
      <c r="B565" s="3">
        <v>10</v>
      </c>
      <c r="C565" s="3">
        <v>67</v>
      </c>
      <c r="D565" s="3">
        <v>24</v>
      </c>
      <c r="E565" s="3">
        <v>-143.287</v>
      </c>
      <c r="F565" s="4" t="str">
        <f>HYPERLINK("http://141.218.60.56/~jnz1568/getInfo.php?workbook=20_10.xlsx&amp;sheet=A0&amp;row=565&amp;col=6&amp;number=2481000000&amp;sourceID=14","2481000000")</f>
        <v>2481000000</v>
      </c>
      <c r="G565" s="4" t="str">
        <f>HYPERLINK("http://141.218.60.56/~jnz1568/getInfo.php?workbook=20_10.xlsx&amp;sheet=A0&amp;row=565&amp;col=7&amp;number=0&amp;sourceID=14","0")</f>
        <v>0</v>
      </c>
    </row>
    <row r="566" spans="1:7">
      <c r="A566" s="3">
        <v>20</v>
      </c>
      <c r="B566" s="3">
        <v>10</v>
      </c>
      <c r="C566" s="3">
        <v>67</v>
      </c>
      <c r="D566" s="3">
        <v>25</v>
      </c>
      <c r="E566" s="3">
        <v>-143.926</v>
      </c>
      <c r="F566" s="4" t="str">
        <f>HYPERLINK("http://141.218.60.56/~jnz1568/getInfo.php?workbook=20_10.xlsx&amp;sheet=A0&amp;row=566&amp;col=6&amp;number=4211000000&amp;sourceID=14","4211000000")</f>
        <v>4211000000</v>
      </c>
      <c r="G566" s="4" t="str">
        <f>HYPERLINK("http://141.218.60.56/~jnz1568/getInfo.php?workbook=20_10.xlsx&amp;sheet=A0&amp;row=566&amp;col=7&amp;number=0&amp;sourceID=14","0")</f>
        <v>0</v>
      </c>
    </row>
    <row r="567" spans="1:7">
      <c r="A567" s="3">
        <v>20</v>
      </c>
      <c r="B567" s="3">
        <v>10</v>
      </c>
      <c r="C567" s="3">
        <v>67</v>
      </c>
      <c r="D567" s="3">
        <v>27</v>
      </c>
      <c r="E567" s="3">
        <v>-152.184</v>
      </c>
      <c r="F567" s="4" t="str">
        <f>HYPERLINK("http://141.218.60.56/~jnz1568/getInfo.php?workbook=20_10.xlsx&amp;sheet=A0&amp;row=567&amp;col=6&amp;number=917000000&amp;sourceID=14","917000000")</f>
        <v>917000000</v>
      </c>
      <c r="G567" s="4" t="str">
        <f>HYPERLINK("http://141.218.60.56/~jnz1568/getInfo.php?workbook=20_10.xlsx&amp;sheet=A0&amp;row=567&amp;col=7&amp;number=0&amp;sourceID=14","0")</f>
        <v>0</v>
      </c>
    </row>
    <row r="568" spans="1:7">
      <c r="A568" s="3">
        <v>20</v>
      </c>
      <c r="B568" s="3">
        <v>10</v>
      </c>
      <c r="C568" s="3">
        <v>67</v>
      </c>
      <c r="D568" s="3">
        <v>30</v>
      </c>
      <c r="E568" s="3">
        <v>-434.583</v>
      </c>
      <c r="F568" s="4" t="str">
        <f>HYPERLINK("http://141.218.60.56/~jnz1568/getInfo.php?workbook=20_10.xlsx&amp;sheet=A0&amp;row=568&amp;col=6&amp;number=3563000000&amp;sourceID=14","3563000000")</f>
        <v>3563000000</v>
      </c>
      <c r="G568" s="4" t="str">
        <f>HYPERLINK("http://141.218.60.56/~jnz1568/getInfo.php?workbook=20_10.xlsx&amp;sheet=A0&amp;row=568&amp;col=7&amp;number=0&amp;sourceID=14","0")</f>
        <v>0</v>
      </c>
    </row>
    <row r="569" spans="1:7">
      <c r="A569" s="3">
        <v>20</v>
      </c>
      <c r="B569" s="3">
        <v>10</v>
      </c>
      <c r="C569" s="3">
        <v>67</v>
      </c>
      <c r="D569" s="3">
        <v>31</v>
      </c>
      <c r="E569" s="3">
        <v>-437.068</v>
      </c>
      <c r="F569" s="4" t="str">
        <f>HYPERLINK("http://141.218.60.56/~jnz1568/getInfo.php?workbook=20_10.xlsx&amp;sheet=A0&amp;row=569&amp;col=6&amp;number=2511000000&amp;sourceID=14","2511000000")</f>
        <v>2511000000</v>
      </c>
      <c r="G569" s="4" t="str">
        <f>HYPERLINK("http://141.218.60.56/~jnz1568/getInfo.php?workbook=20_10.xlsx&amp;sheet=A0&amp;row=569&amp;col=7&amp;number=0&amp;sourceID=14","0")</f>
        <v>0</v>
      </c>
    </row>
    <row r="570" spans="1:7">
      <c r="A570" s="3">
        <v>20</v>
      </c>
      <c r="B570" s="3">
        <v>10</v>
      </c>
      <c r="C570" s="3">
        <v>67</v>
      </c>
      <c r="D570" s="3">
        <v>32</v>
      </c>
      <c r="E570" s="3">
        <v>-445.043</v>
      </c>
      <c r="F570" s="4" t="str">
        <f>HYPERLINK("http://141.218.60.56/~jnz1568/getInfo.php?workbook=20_10.xlsx&amp;sheet=A0&amp;row=570&amp;col=6&amp;number=156100000&amp;sourceID=14","156100000")</f>
        <v>156100000</v>
      </c>
      <c r="G570" s="4" t="str">
        <f>HYPERLINK("http://141.218.60.56/~jnz1568/getInfo.php?workbook=20_10.xlsx&amp;sheet=A0&amp;row=570&amp;col=7&amp;number=0&amp;sourceID=14","0")</f>
        <v>0</v>
      </c>
    </row>
    <row r="571" spans="1:7">
      <c r="A571" s="3">
        <v>20</v>
      </c>
      <c r="B571" s="3">
        <v>10</v>
      </c>
      <c r="C571" s="3">
        <v>67</v>
      </c>
      <c r="D571" s="3">
        <v>33</v>
      </c>
      <c r="E571" s="3">
        <v>-464.894</v>
      </c>
      <c r="F571" s="4" t="str">
        <f>HYPERLINK("http://141.218.60.56/~jnz1568/getInfo.php?workbook=20_10.xlsx&amp;sheet=A0&amp;row=571&amp;col=6&amp;number=61510000&amp;sourceID=14","61510000")</f>
        <v>61510000</v>
      </c>
      <c r="G571" s="4" t="str">
        <f>HYPERLINK("http://141.218.60.56/~jnz1568/getInfo.php?workbook=20_10.xlsx&amp;sheet=A0&amp;row=571&amp;col=7&amp;number=0&amp;sourceID=14","0")</f>
        <v>0</v>
      </c>
    </row>
    <row r="572" spans="1:7">
      <c r="A572" s="3">
        <v>20</v>
      </c>
      <c r="B572" s="3">
        <v>10</v>
      </c>
      <c r="C572" s="3">
        <v>67</v>
      </c>
      <c r="D572" s="3">
        <v>34</v>
      </c>
      <c r="E572" s="3">
        <v>-523.827</v>
      </c>
      <c r="F572" s="4" t="str">
        <f>HYPERLINK("http://141.218.60.56/~jnz1568/getInfo.php?workbook=20_10.xlsx&amp;sheet=A0&amp;row=572&amp;col=6&amp;number=16010000&amp;sourceID=14","16010000")</f>
        <v>16010000</v>
      </c>
      <c r="G572" s="4" t="str">
        <f>HYPERLINK("http://141.218.60.56/~jnz1568/getInfo.php?workbook=20_10.xlsx&amp;sheet=A0&amp;row=572&amp;col=7&amp;number=0&amp;sourceID=14","0")</f>
        <v>0</v>
      </c>
    </row>
    <row r="573" spans="1:7">
      <c r="A573" s="3">
        <v>20</v>
      </c>
      <c r="B573" s="3">
        <v>10</v>
      </c>
      <c r="C573" s="3">
        <v>67</v>
      </c>
      <c r="D573" s="3">
        <v>35</v>
      </c>
      <c r="E573" s="3">
        <v>-532.196</v>
      </c>
      <c r="F573" s="4" t="str">
        <f>HYPERLINK("http://141.218.60.56/~jnz1568/getInfo.php?workbook=20_10.xlsx&amp;sheet=A0&amp;row=573&amp;col=6&amp;number=75310000&amp;sourceID=14","75310000")</f>
        <v>75310000</v>
      </c>
      <c r="G573" s="4" t="str">
        <f>HYPERLINK("http://141.218.60.56/~jnz1568/getInfo.php?workbook=20_10.xlsx&amp;sheet=A0&amp;row=573&amp;col=7&amp;number=0&amp;sourceID=14","0")</f>
        <v>0</v>
      </c>
    </row>
    <row r="574" spans="1:7">
      <c r="A574" s="3">
        <v>20</v>
      </c>
      <c r="B574" s="3">
        <v>10</v>
      </c>
      <c r="C574" s="3">
        <v>67</v>
      </c>
      <c r="D574" s="3">
        <v>36</v>
      </c>
      <c r="E574" s="3">
        <v>-621.482</v>
      </c>
      <c r="F574" s="4" t="str">
        <f>HYPERLINK("http://141.218.60.56/~jnz1568/getInfo.php?workbook=20_10.xlsx&amp;sheet=A0&amp;row=574&amp;col=6&amp;number=103600000&amp;sourceID=14","103600000")</f>
        <v>103600000</v>
      </c>
      <c r="G574" s="4" t="str">
        <f>HYPERLINK("http://141.218.60.56/~jnz1568/getInfo.php?workbook=20_10.xlsx&amp;sheet=A0&amp;row=574&amp;col=7&amp;number=0&amp;sourceID=14","0")</f>
        <v>0</v>
      </c>
    </row>
    <row r="575" spans="1:7">
      <c r="A575" s="3">
        <v>20</v>
      </c>
      <c r="B575" s="3">
        <v>10</v>
      </c>
      <c r="C575" s="3">
        <v>67</v>
      </c>
      <c r="D575" s="3">
        <v>37</v>
      </c>
      <c r="E575" s="3">
        <v>-628.134</v>
      </c>
      <c r="F575" s="4" t="str">
        <f>HYPERLINK("http://141.218.60.56/~jnz1568/getInfo.php?workbook=20_10.xlsx&amp;sheet=A0&amp;row=575&amp;col=6&amp;number=47350000&amp;sourceID=14","47350000")</f>
        <v>47350000</v>
      </c>
      <c r="G575" s="4" t="str">
        <f>HYPERLINK("http://141.218.60.56/~jnz1568/getInfo.php?workbook=20_10.xlsx&amp;sheet=A0&amp;row=575&amp;col=7&amp;number=0&amp;sourceID=14","0")</f>
        <v>0</v>
      </c>
    </row>
    <row r="576" spans="1:7">
      <c r="A576" s="3">
        <v>20</v>
      </c>
      <c r="B576" s="3">
        <v>10</v>
      </c>
      <c r="C576" s="3">
        <v>67</v>
      </c>
      <c r="D576" s="3">
        <v>48</v>
      </c>
      <c r="E576" s="3">
        <v>-2364.015</v>
      </c>
      <c r="F576" s="4" t="str">
        <f>HYPERLINK("http://141.218.60.56/~jnz1568/getInfo.php?workbook=20_10.xlsx&amp;sheet=A0&amp;row=576&amp;col=6&amp;number=92010000&amp;sourceID=14","92010000")</f>
        <v>92010000</v>
      </c>
      <c r="G576" s="4" t="str">
        <f>HYPERLINK("http://141.218.60.56/~jnz1568/getInfo.php?workbook=20_10.xlsx&amp;sheet=A0&amp;row=576&amp;col=7&amp;number=0&amp;sourceID=14","0")</f>
        <v>0</v>
      </c>
    </row>
    <row r="577" spans="1:7">
      <c r="A577" s="3">
        <v>20</v>
      </c>
      <c r="B577" s="3">
        <v>10</v>
      </c>
      <c r="C577" s="3">
        <v>67</v>
      </c>
      <c r="D577" s="3">
        <v>49</v>
      </c>
      <c r="E577" s="3">
        <v>-2456.766</v>
      </c>
      <c r="F577" s="4" t="str">
        <f>HYPERLINK("http://141.218.60.56/~jnz1568/getInfo.php?workbook=20_10.xlsx&amp;sheet=A0&amp;row=577&amp;col=6&amp;number=83110000&amp;sourceID=14","83110000")</f>
        <v>83110000</v>
      </c>
      <c r="G577" s="4" t="str">
        <f>HYPERLINK("http://141.218.60.56/~jnz1568/getInfo.php?workbook=20_10.xlsx&amp;sheet=A0&amp;row=577&amp;col=7&amp;number=0&amp;sourceID=14","0")</f>
        <v>0</v>
      </c>
    </row>
    <row r="578" spans="1:7">
      <c r="A578" s="3">
        <v>20</v>
      </c>
      <c r="B578" s="3">
        <v>10</v>
      </c>
      <c r="C578" s="3">
        <v>68</v>
      </c>
      <c r="D578" s="3">
        <v>1</v>
      </c>
      <c r="E578" s="3">
        <v>-25.386</v>
      </c>
      <c r="F578" s="4" t="str">
        <f>HYPERLINK("http://141.218.60.56/~jnz1568/getInfo.php?workbook=20_10.xlsx&amp;sheet=A0&amp;row=578&amp;col=6&amp;number=320300000&amp;sourceID=14","320300000")</f>
        <v>320300000</v>
      </c>
      <c r="G578" s="4" t="str">
        <f>HYPERLINK("http://141.218.60.56/~jnz1568/getInfo.php?workbook=20_10.xlsx&amp;sheet=A0&amp;row=578&amp;col=7&amp;number=0&amp;sourceID=14","0")</f>
        <v>0</v>
      </c>
    </row>
    <row r="579" spans="1:7">
      <c r="A579" s="3">
        <v>20</v>
      </c>
      <c r="B579" s="3">
        <v>10</v>
      </c>
      <c r="C579" s="3">
        <v>68</v>
      </c>
      <c r="D579" s="3">
        <v>3</v>
      </c>
      <c r="E579" s="3">
        <v>-88.269</v>
      </c>
      <c r="F579" s="4" t="str">
        <f>HYPERLINK("http://141.218.60.56/~jnz1568/getInfo.php?workbook=20_10.xlsx&amp;sheet=A0&amp;row=579&amp;col=6&amp;number=15410000&amp;sourceID=14","15410000")</f>
        <v>15410000</v>
      </c>
      <c r="G579" s="4" t="str">
        <f>HYPERLINK("http://141.218.60.56/~jnz1568/getInfo.php?workbook=20_10.xlsx&amp;sheet=A0&amp;row=579&amp;col=7&amp;number=0&amp;sourceID=14","0")</f>
        <v>0</v>
      </c>
    </row>
    <row r="580" spans="1:7">
      <c r="A580" s="3">
        <v>20</v>
      </c>
      <c r="B580" s="3">
        <v>10</v>
      </c>
      <c r="C580" s="3">
        <v>68</v>
      </c>
      <c r="D580" s="3">
        <v>17</v>
      </c>
      <c r="E580" s="3">
        <v>-134.845</v>
      </c>
      <c r="F580" s="4" t="str">
        <f>HYPERLINK("http://141.218.60.56/~jnz1568/getInfo.php?workbook=20_10.xlsx&amp;sheet=A0&amp;row=580&amp;col=6&amp;number=53930000000&amp;sourceID=14","53930000000")</f>
        <v>53930000000</v>
      </c>
      <c r="G580" s="4" t="str">
        <f>HYPERLINK("http://141.218.60.56/~jnz1568/getInfo.php?workbook=20_10.xlsx&amp;sheet=A0&amp;row=580&amp;col=7&amp;number=0&amp;sourceID=14","0")</f>
        <v>0</v>
      </c>
    </row>
    <row r="581" spans="1:7">
      <c r="A581" s="3">
        <v>20</v>
      </c>
      <c r="B581" s="3">
        <v>10</v>
      </c>
      <c r="C581" s="3">
        <v>68</v>
      </c>
      <c r="D581" s="3">
        <v>18</v>
      </c>
      <c r="E581" s="3">
        <v>-135.944</v>
      </c>
      <c r="F581" s="4" t="str">
        <f>HYPERLINK("http://141.218.60.56/~jnz1568/getInfo.php?workbook=20_10.xlsx&amp;sheet=A0&amp;row=581&amp;col=6&amp;number=40000000000&amp;sourceID=14","40000000000")</f>
        <v>40000000000</v>
      </c>
      <c r="G581" s="4" t="str">
        <f>HYPERLINK("http://141.218.60.56/~jnz1568/getInfo.php?workbook=20_10.xlsx&amp;sheet=A0&amp;row=581&amp;col=7&amp;number=0&amp;sourceID=14","0")</f>
        <v>0</v>
      </c>
    </row>
    <row r="582" spans="1:7">
      <c r="A582" s="3">
        <v>20</v>
      </c>
      <c r="B582" s="3">
        <v>10</v>
      </c>
      <c r="C582" s="3">
        <v>68</v>
      </c>
      <c r="D582" s="3">
        <v>20</v>
      </c>
      <c r="E582" s="3">
        <v>-137.099</v>
      </c>
      <c r="F582" s="4" t="str">
        <f>HYPERLINK("http://141.218.60.56/~jnz1568/getInfo.php?workbook=20_10.xlsx&amp;sheet=A0&amp;row=582&amp;col=6&amp;number=2155000000&amp;sourceID=14","2155000000")</f>
        <v>2155000000</v>
      </c>
      <c r="G582" s="4" t="str">
        <f>HYPERLINK("http://141.218.60.56/~jnz1568/getInfo.php?workbook=20_10.xlsx&amp;sheet=A0&amp;row=582&amp;col=7&amp;number=0&amp;sourceID=14","0")</f>
        <v>0</v>
      </c>
    </row>
    <row r="583" spans="1:7">
      <c r="A583" s="3">
        <v>20</v>
      </c>
      <c r="B583" s="3">
        <v>10</v>
      </c>
      <c r="C583" s="3">
        <v>68</v>
      </c>
      <c r="D583" s="3">
        <v>21</v>
      </c>
      <c r="E583" s="3">
        <v>-138.312</v>
      </c>
      <c r="F583" s="4" t="str">
        <f>HYPERLINK("http://141.218.60.56/~jnz1568/getInfo.php?workbook=20_10.xlsx&amp;sheet=A0&amp;row=583&amp;col=6&amp;number=6326000000&amp;sourceID=14","6326000000")</f>
        <v>6326000000</v>
      </c>
      <c r="G583" s="4" t="str">
        <f>HYPERLINK("http://141.218.60.56/~jnz1568/getInfo.php?workbook=20_10.xlsx&amp;sheet=A0&amp;row=583&amp;col=7&amp;number=0&amp;sourceID=14","0")</f>
        <v>0</v>
      </c>
    </row>
    <row r="584" spans="1:7">
      <c r="A584" s="3">
        <v>20</v>
      </c>
      <c r="B584" s="3">
        <v>10</v>
      </c>
      <c r="C584" s="3">
        <v>68</v>
      </c>
      <c r="D584" s="3">
        <v>22</v>
      </c>
      <c r="E584" s="3">
        <v>-139.14</v>
      </c>
      <c r="F584" s="4" t="str">
        <f>HYPERLINK("http://141.218.60.56/~jnz1568/getInfo.php?workbook=20_10.xlsx&amp;sheet=A0&amp;row=584&amp;col=6&amp;number=19220000000&amp;sourceID=14","19220000000")</f>
        <v>19220000000</v>
      </c>
      <c r="G584" s="4" t="str">
        <f>HYPERLINK("http://141.218.60.56/~jnz1568/getInfo.php?workbook=20_10.xlsx&amp;sheet=A0&amp;row=584&amp;col=7&amp;number=0&amp;sourceID=14","0")</f>
        <v>0</v>
      </c>
    </row>
    <row r="585" spans="1:7">
      <c r="A585" s="3">
        <v>20</v>
      </c>
      <c r="B585" s="3">
        <v>10</v>
      </c>
      <c r="C585" s="3">
        <v>68</v>
      </c>
      <c r="D585" s="3">
        <v>23</v>
      </c>
      <c r="E585" s="3">
        <v>-141.965</v>
      </c>
      <c r="F585" s="4" t="str">
        <f>HYPERLINK("http://141.218.60.56/~jnz1568/getInfo.php?workbook=20_10.xlsx&amp;sheet=A0&amp;row=585&amp;col=6&amp;number=69330000000&amp;sourceID=14","69330000000")</f>
        <v>69330000000</v>
      </c>
      <c r="G585" s="4" t="str">
        <f>HYPERLINK("http://141.218.60.56/~jnz1568/getInfo.php?workbook=20_10.xlsx&amp;sheet=A0&amp;row=585&amp;col=7&amp;number=0&amp;sourceID=14","0")</f>
        <v>0</v>
      </c>
    </row>
    <row r="586" spans="1:7">
      <c r="A586" s="3">
        <v>20</v>
      </c>
      <c r="B586" s="3">
        <v>10</v>
      </c>
      <c r="C586" s="3">
        <v>68</v>
      </c>
      <c r="D586" s="3">
        <v>24</v>
      </c>
      <c r="E586" s="3">
        <v>-143.225</v>
      </c>
      <c r="F586" s="4" t="str">
        <f>HYPERLINK("http://141.218.60.56/~jnz1568/getInfo.php?workbook=20_10.xlsx&amp;sheet=A0&amp;row=586&amp;col=6&amp;number=2062000000&amp;sourceID=14","2062000000")</f>
        <v>2062000000</v>
      </c>
      <c r="G586" s="4" t="str">
        <f>HYPERLINK("http://141.218.60.56/~jnz1568/getInfo.php?workbook=20_10.xlsx&amp;sheet=A0&amp;row=586&amp;col=7&amp;number=0&amp;sourceID=14","0")</f>
        <v>0</v>
      </c>
    </row>
    <row r="587" spans="1:7">
      <c r="A587" s="3">
        <v>20</v>
      </c>
      <c r="B587" s="3">
        <v>10</v>
      </c>
      <c r="C587" s="3">
        <v>68</v>
      </c>
      <c r="D587" s="3">
        <v>25</v>
      </c>
      <c r="E587" s="3">
        <v>-143.864</v>
      </c>
      <c r="F587" s="4" t="str">
        <f>HYPERLINK("http://141.218.60.56/~jnz1568/getInfo.php?workbook=20_10.xlsx&amp;sheet=A0&amp;row=587&amp;col=6&amp;number=6573000000&amp;sourceID=14","6573000000")</f>
        <v>6573000000</v>
      </c>
      <c r="G587" s="4" t="str">
        <f>HYPERLINK("http://141.218.60.56/~jnz1568/getInfo.php?workbook=20_10.xlsx&amp;sheet=A0&amp;row=587&amp;col=7&amp;number=0&amp;sourceID=14","0")</f>
        <v>0</v>
      </c>
    </row>
    <row r="588" spans="1:7">
      <c r="A588" s="3">
        <v>20</v>
      </c>
      <c r="B588" s="3">
        <v>10</v>
      </c>
      <c r="C588" s="3">
        <v>68</v>
      </c>
      <c r="D588" s="3">
        <v>26</v>
      </c>
      <c r="E588" s="3">
        <v>-144.051</v>
      </c>
      <c r="F588" s="4" t="str">
        <f>HYPERLINK("http://141.218.60.56/~jnz1568/getInfo.php?workbook=20_10.xlsx&amp;sheet=A0&amp;row=588&amp;col=6&amp;number=4144000000&amp;sourceID=14","4144000000")</f>
        <v>4144000000</v>
      </c>
      <c r="G588" s="4" t="str">
        <f>HYPERLINK("http://141.218.60.56/~jnz1568/getInfo.php?workbook=20_10.xlsx&amp;sheet=A0&amp;row=588&amp;col=7&amp;number=0&amp;sourceID=14","0")</f>
        <v>0</v>
      </c>
    </row>
    <row r="589" spans="1:7">
      <c r="A589" s="3">
        <v>20</v>
      </c>
      <c r="B589" s="3">
        <v>10</v>
      </c>
      <c r="C589" s="3">
        <v>68</v>
      </c>
      <c r="D589" s="3">
        <v>31</v>
      </c>
      <c r="E589" s="3">
        <v>-436.499</v>
      </c>
      <c r="F589" s="4" t="str">
        <f>HYPERLINK("http://141.218.60.56/~jnz1568/getInfo.php?workbook=20_10.xlsx&amp;sheet=A0&amp;row=589&amp;col=6&amp;number=1590000000&amp;sourceID=14","1590000000")</f>
        <v>1590000000</v>
      </c>
      <c r="G589" s="4" t="str">
        <f>HYPERLINK("http://141.218.60.56/~jnz1568/getInfo.php?workbook=20_10.xlsx&amp;sheet=A0&amp;row=589&amp;col=7&amp;number=0&amp;sourceID=14","0")</f>
        <v>0</v>
      </c>
    </row>
    <row r="590" spans="1:7">
      <c r="A590" s="3">
        <v>20</v>
      </c>
      <c r="B590" s="3">
        <v>10</v>
      </c>
      <c r="C590" s="3">
        <v>68</v>
      </c>
      <c r="D590" s="3">
        <v>32</v>
      </c>
      <c r="E590" s="3">
        <v>-444.453</v>
      </c>
      <c r="F590" s="4" t="str">
        <f>HYPERLINK("http://141.218.60.56/~jnz1568/getInfo.php?workbook=20_10.xlsx&amp;sheet=A0&amp;row=590&amp;col=6&amp;number=740100000&amp;sourceID=14","740100000")</f>
        <v>740100000</v>
      </c>
      <c r="G590" s="4" t="str">
        <f>HYPERLINK("http://141.218.60.56/~jnz1568/getInfo.php?workbook=20_10.xlsx&amp;sheet=A0&amp;row=590&amp;col=7&amp;number=0&amp;sourceID=14","0")</f>
        <v>0</v>
      </c>
    </row>
    <row r="591" spans="1:7">
      <c r="A591" s="3">
        <v>20</v>
      </c>
      <c r="B591" s="3">
        <v>10</v>
      </c>
      <c r="C591" s="3">
        <v>68</v>
      </c>
      <c r="D591" s="3">
        <v>33</v>
      </c>
      <c r="E591" s="3">
        <v>-464.251</v>
      </c>
      <c r="F591" s="4" t="str">
        <f>HYPERLINK("http://141.218.60.56/~jnz1568/getInfo.php?workbook=20_10.xlsx&amp;sheet=A0&amp;row=591&amp;col=6&amp;number=3452000000&amp;sourceID=14","3452000000")</f>
        <v>3452000000</v>
      </c>
      <c r="G591" s="4" t="str">
        <f>HYPERLINK("http://141.218.60.56/~jnz1568/getInfo.php?workbook=20_10.xlsx&amp;sheet=A0&amp;row=591&amp;col=7&amp;number=0&amp;sourceID=14","0")</f>
        <v>0</v>
      </c>
    </row>
    <row r="592" spans="1:7">
      <c r="A592" s="3">
        <v>20</v>
      </c>
      <c r="B592" s="3">
        <v>10</v>
      </c>
      <c r="C592" s="3">
        <v>68</v>
      </c>
      <c r="D592" s="3">
        <v>34</v>
      </c>
      <c r="E592" s="3">
        <v>-523.011</v>
      </c>
      <c r="F592" s="4" t="str">
        <f>HYPERLINK("http://141.218.60.56/~jnz1568/getInfo.php?workbook=20_10.xlsx&amp;sheet=A0&amp;row=592&amp;col=6&amp;number=73920000&amp;sourceID=14","73920000")</f>
        <v>73920000</v>
      </c>
      <c r="G592" s="4" t="str">
        <f>HYPERLINK("http://141.218.60.56/~jnz1568/getInfo.php?workbook=20_10.xlsx&amp;sheet=A0&amp;row=592&amp;col=7&amp;number=0&amp;sourceID=14","0")</f>
        <v>0</v>
      </c>
    </row>
    <row r="593" spans="1:7">
      <c r="A593" s="3">
        <v>20</v>
      </c>
      <c r="B593" s="3">
        <v>10</v>
      </c>
      <c r="C593" s="3">
        <v>68</v>
      </c>
      <c r="D593" s="3">
        <v>37</v>
      </c>
      <c r="E593" s="3">
        <v>-626.96</v>
      </c>
      <c r="F593" s="4" t="str">
        <f>HYPERLINK("http://141.218.60.56/~jnz1568/getInfo.php?workbook=20_10.xlsx&amp;sheet=A0&amp;row=593&amp;col=6&amp;number=115900000&amp;sourceID=14","115900000")</f>
        <v>115900000</v>
      </c>
      <c r="G593" s="4" t="str">
        <f>HYPERLINK("http://141.218.60.56/~jnz1568/getInfo.php?workbook=20_10.xlsx&amp;sheet=A0&amp;row=593&amp;col=7&amp;number=0&amp;sourceID=14","0")</f>
        <v>0</v>
      </c>
    </row>
    <row r="594" spans="1:7">
      <c r="A594" s="3">
        <v>20</v>
      </c>
      <c r="B594" s="3">
        <v>10</v>
      </c>
      <c r="C594" s="3">
        <v>68</v>
      </c>
      <c r="D594" s="3">
        <v>49</v>
      </c>
      <c r="E594" s="3">
        <v>-2438.91</v>
      </c>
      <c r="F594" s="4" t="str">
        <f>HYPERLINK("http://141.218.60.56/~jnz1568/getInfo.php?workbook=20_10.xlsx&amp;sheet=A0&amp;row=594&amp;col=6&amp;number=53650000&amp;sourceID=14","53650000")</f>
        <v>53650000</v>
      </c>
      <c r="G594" s="4" t="str">
        <f>HYPERLINK("http://141.218.60.56/~jnz1568/getInfo.php?workbook=20_10.xlsx&amp;sheet=A0&amp;row=594&amp;col=7&amp;number=0&amp;sourceID=14","0")</f>
        <v>0</v>
      </c>
    </row>
    <row r="595" spans="1:7">
      <c r="A595" s="3">
        <v>20</v>
      </c>
      <c r="B595" s="3">
        <v>10</v>
      </c>
      <c r="C595" s="3">
        <v>68</v>
      </c>
      <c r="D595" s="3">
        <v>55</v>
      </c>
      <c r="E595" s="3">
        <v>-4114.557</v>
      </c>
      <c r="F595" s="4" t="str">
        <f>HYPERLINK("http://141.218.60.56/~jnz1568/getInfo.php?workbook=20_10.xlsx&amp;sheet=A0&amp;row=595&amp;col=6&amp;number=40240000&amp;sourceID=14","40240000")</f>
        <v>40240000</v>
      </c>
      <c r="G595" s="4" t="str">
        <f>HYPERLINK("http://141.218.60.56/~jnz1568/getInfo.php?workbook=20_10.xlsx&amp;sheet=A0&amp;row=595&amp;col=7&amp;number=0&amp;sourceID=14","0")</f>
        <v>0</v>
      </c>
    </row>
    <row r="596" spans="1:7">
      <c r="A596" s="3">
        <v>20</v>
      </c>
      <c r="B596" s="3">
        <v>10</v>
      </c>
      <c r="C596" s="3">
        <v>69</v>
      </c>
      <c r="D596" s="3">
        <v>2</v>
      </c>
      <c r="E596" s="3">
        <v>-87.607</v>
      </c>
      <c r="F596" s="4" t="str">
        <f>HYPERLINK("http://141.218.60.56/~jnz1568/getInfo.php?workbook=20_10.xlsx&amp;sheet=A0&amp;row=596&amp;col=6&amp;number=635500000&amp;sourceID=14","635500000")</f>
        <v>635500000</v>
      </c>
      <c r="G596" s="4" t="str">
        <f>HYPERLINK("http://141.218.60.56/~jnz1568/getInfo.php?workbook=20_10.xlsx&amp;sheet=A0&amp;row=596&amp;col=7&amp;number=0&amp;sourceID=14","0")</f>
        <v>0</v>
      </c>
    </row>
    <row r="597" spans="1:7">
      <c r="A597" s="3">
        <v>20</v>
      </c>
      <c r="B597" s="3">
        <v>10</v>
      </c>
      <c r="C597" s="3">
        <v>69</v>
      </c>
      <c r="D597" s="3">
        <v>18</v>
      </c>
      <c r="E597" s="3">
        <v>-135.858</v>
      </c>
      <c r="F597" s="4" t="str">
        <f>HYPERLINK("http://141.218.60.56/~jnz1568/getInfo.php?workbook=20_10.xlsx&amp;sheet=A0&amp;row=597&amp;col=6&amp;number=59350000000&amp;sourceID=14","59350000000")</f>
        <v>59350000000</v>
      </c>
      <c r="G597" s="4" t="str">
        <f>HYPERLINK("http://141.218.60.56/~jnz1568/getInfo.php?workbook=20_10.xlsx&amp;sheet=A0&amp;row=597&amp;col=7&amp;number=0&amp;sourceID=14","0")</f>
        <v>0</v>
      </c>
    </row>
    <row r="598" spans="1:7">
      <c r="A598" s="3">
        <v>20</v>
      </c>
      <c r="B598" s="3">
        <v>10</v>
      </c>
      <c r="C598" s="3">
        <v>69</v>
      </c>
      <c r="D598" s="3">
        <v>19</v>
      </c>
      <c r="E598" s="3">
        <v>-136.302</v>
      </c>
      <c r="F598" s="4" t="str">
        <f>HYPERLINK("http://141.218.60.56/~jnz1568/getInfo.php?workbook=20_10.xlsx&amp;sheet=A0&amp;row=598&amp;col=6&amp;number=8713000000&amp;sourceID=14","8713000000")</f>
        <v>8713000000</v>
      </c>
      <c r="G598" s="4" t="str">
        <f>HYPERLINK("http://141.218.60.56/~jnz1568/getInfo.php?workbook=20_10.xlsx&amp;sheet=A0&amp;row=598&amp;col=7&amp;number=0&amp;sourceID=14","0")</f>
        <v>0</v>
      </c>
    </row>
    <row r="599" spans="1:7">
      <c r="A599" s="3">
        <v>20</v>
      </c>
      <c r="B599" s="3">
        <v>10</v>
      </c>
      <c r="C599" s="3">
        <v>69</v>
      </c>
      <c r="D599" s="3">
        <v>20</v>
      </c>
      <c r="E599" s="3">
        <v>-137.012</v>
      </c>
      <c r="F599" s="4" t="str">
        <f>HYPERLINK("http://141.218.60.56/~jnz1568/getInfo.php?workbook=20_10.xlsx&amp;sheet=A0&amp;row=599&amp;col=6&amp;number=2543000000&amp;sourceID=14","2543000000")</f>
        <v>2543000000</v>
      </c>
      <c r="G599" s="4" t="str">
        <f>HYPERLINK("http://141.218.60.56/~jnz1568/getInfo.php?workbook=20_10.xlsx&amp;sheet=A0&amp;row=599&amp;col=7&amp;number=0&amp;sourceID=14","0")</f>
        <v>0</v>
      </c>
    </row>
    <row r="600" spans="1:7">
      <c r="A600" s="3">
        <v>20</v>
      </c>
      <c r="B600" s="3">
        <v>10</v>
      </c>
      <c r="C600" s="3">
        <v>69</v>
      </c>
      <c r="D600" s="3">
        <v>21</v>
      </c>
      <c r="E600" s="3">
        <v>-138.224</v>
      </c>
      <c r="F600" s="4" t="str">
        <f>HYPERLINK("http://141.218.60.56/~jnz1568/getInfo.php?workbook=20_10.xlsx&amp;sheet=A0&amp;row=600&amp;col=6&amp;number=426600000&amp;sourceID=14","426600000")</f>
        <v>426600000</v>
      </c>
      <c r="G600" s="4" t="str">
        <f>HYPERLINK("http://141.218.60.56/~jnz1568/getInfo.php?workbook=20_10.xlsx&amp;sheet=A0&amp;row=600&amp;col=7&amp;number=0&amp;sourceID=14","0")</f>
        <v>0</v>
      </c>
    </row>
    <row r="601" spans="1:7">
      <c r="A601" s="3">
        <v>20</v>
      </c>
      <c r="B601" s="3">
        <v>10</v>
      </c>
      <c r="C601" s="3">
        <v>69</v>
      </c>
      <c r="D601" s="3">
        <v>22</v>
      </c>
      <c r="E601" s="3">
        <v>-139.05</v>
      </c>
      <c r="F601" s="4" t="str">
        <f>HYPERLINK("http://141.218.60.56/~jnz1568/getInfo.php?workbook=20_10.xlsx&amp;sheet=A0&amp;row=601&amp;col=6&amp;number=4198000000&amp;sourceID=14","4198000000")</f>
        <v>4198000000</v>
      </c>
      <c r="G601" s="4" t="str">
        <f>HYPERLINK("http://141.218.60.56/~jnz1568/getInfo.php?workbook=20_10.xlsx&amp;sheet=A0&amp;row=601&amp;col=7&amp;number=0&amp;sourceID=14","0")</f>
        <v>0</v>
      </c>
    </row>
    <row r="602" spans="1:7">
      <c r="A602" s="3">
        <v>20</v>
      </c>
      <c r="B602" s="3">
        <v>10</v>
      </c>
      <c r="C602" s="3">
        <v>69</v>
      </c>
      <c r="D602" s="3">
        <v>25</v>
      </c>
      <c r="E602" s="3">
        <v>-143.768</v>
      </c>
      <c r="F602" s="4" t="str">
        <f>HYPERLINK("http://141.218.60.56/~jnz1568/getInfo.php?workbook=20_10.xlsx&amp;sheet=A0&amp;row=602&amp;col=6&amp;number=1718000000&amp;sourceID=14","1718000000")</f>
        <v>1718000000</v>
      </c>
      <c r="G602" s="4" t="str">
        <f>HYPERLINK("http://141.218.60.56/~jnz1568/getInfo.php?workbook=20_10.xlsx&amp;sheet=A0&amp;row=602&amp;col=7&amp;number=0&amp;sourceID=14","0")</f>
        <v>0</v>
      </c>
    </row>
    <row r="603" spans="1:7">
      <c r="A603" s="3">
        <v>20</v>
      </c>
      <c r="B603" s="3">
        <v>10</v>
      </c>
      <c r="C603" s="3">
        <v>69</v>
      </c>
      <c r="D603" s="3">
        <v>26</v>
      </c>
      <c r="E603" s="3">
        <v>-143.955</v>
      </c>
      <c r="F603" s="4" t="str">
        <f>HYPERLINK("http://141.218.60.56/~jnz1568/getInfo.php?workbook=20_10.xlsx&amp;sheet=A0&amp;row=603&amp;col=6&amp;number=314600000&amp;sourceID=14","314600000")</f>
        <v>314600000</v>
      </c>
      <c r="G603" s="4" t="str">
        <f>HYPERLINK("http://141.218.60.56/~jnz1568/getInfo.php?workbook=20_10.xlsx&amp;sheet=A0&amp;row=603&amp;col=7&amp;number=0&amp;sourceID=14","0")</f>
        <v>0</v>
      </c>
    </row>
    <row r="604" spans="1:7">
      <c r="A604" s="3">
        <v>20</v>
      </c>
      <c r="B604" s="3">
        <v>10</v>
      </c>
      <c r="C604" s="3">
        <v>69</v>
      </c>
      <c r="D604" s="3">
        <v>32</v>
      </c>
      <c r="E604" s="3">
        <v>-443.536</v>
      </c>
      <c r="F604" s="4" t="str">
        <f>HYPERLINK("http://141.218.60.56/~jnz1568/getInfo.php?workbook=20_10.xlsx&amp;sheet=A0&amp;row=604&amp;col=6&amp;number=1768000000&amp;sourceID=14","1768000000")</f>
        <v>1768000000</v>
      </c>
      <c r="G604" s="4" t="str">
        <f>HYPERLINK("http://141.218.60.56/~jnz1568/getInfo.php?workbook=20_10.xlsx&amp;sheet=A0&amp;row=604&amp;col=7&amp;number=0&amp;sourceID=14","0")</f>
        <v>0</v>
      </c>
    </row>
    <row r="605" spans="1:7">
      <c r="A605" s="3">
        <v>20</v>
      </c>
      <c r="B605" s="3">
        <v>10</v>
      </c>
      <c r="C605" s="3">
        <v>69</v>
      </c>
      <c r="D605" s="3">
        <v>34</v>
      </c>
      <c r="E605" s="3">
        <v>-521.742</v>
      </c>
      <c r="F605" s="4" t="str">
        <f>HYPERLINK("http://141.218.60.56/~jnz1568/getInfo.php?workbook=20_10.xlsx&amp;sheet=A0&amp;row=605&amp;col=6&amp;number=311800000&amp;sourceID=14","311800000")</f>
        <v>311800000</v>
      </c>
      <c r="G605" s="4" t="str">
        <f>HYPERLINK("http://141.218.60.56/~jnz1568/getInfo.php?workbook=20_10.xlsx&amp;sheet=A0&amp;row=605&amp;col=7&amp;number=0&amp;sourceID=14","0")</f>
        <v>0</v>
      </c>
    </row>
    <row r="606" spans="1:7">
      <c r="A606" s="3">
        <v>20</v>
      </c>
      <c r="B606" s="3">
        <v>10</v>
      </c>
      <c r="C606" s="3">
        <v>70</v>
      </c>
      <c r="D606" s="3">
        <v>1</v>
      </c>
      <c r="E606" s="3">
        <v>25.327</v>
      </c>
      <c r="F606" s="4" t="str">
        <f>HYPERLINK("http://141.218.60.56/~jnz1568/getInfo.php?workbook=20_10.xlsx&amp;sheet=A0&amp;row=606&amp;col=6&amp;number=1750000000000&amp;sourceID=14","1750000000000")</f>
        <v>1750000000000</v>
      </c>
      <c r="G606" s="4" t="str">
        <f>HYPERLINK("http://141.218.60.56/~jnz1568/getInfo.php?workbook=20_10.xlsx&amp;sheet=A0&amp;row=606&amp;col=7&amp;number=0&amp;sourceID=14","0")</f>
        <v>0</v>
      </c>
    </row>
    <row r="607" spans="1:7">
      <c r="A607" s="3">
        <v>20</v>
      </c>
      <c r="B607" s="3">
        <v>10</v>
      </c>
      <c r="C607" s="3">
        <v>70</v>
      </c>
      <c r="D607" s="3">
        <v>5</v>
      </c>
      <c r="E607" s="3">
        <v>90.212</v>
      </c>
      <c r="F607" s="4" t="str">
        <f>HYPERLINK("http://141.218.60.56/~jnz1568/getInfo.php?workbook=20_10.xlsx&amp;sheet=A0&amp;row=607&amp;col=6&amp;number=13710000&amp;sourceID=14","13710000")</f>
        <v>13710000</v>
      </c>
      <c r="G607" s="4" t="str">
        <f>HYPERLINK("http://141.218.60.56/~jnz1568/getInfo.php?workbook=20_10.xlsx&amp;sheet=A0&amp;row=607&amp;col=7&amp;number=0&amp;sourceID=14","0")</f>
        <v>0</v>
      </c>
    </row>
    <row r="608" spans="1:7">
      <c r="A608" s="3">
        <v>20</v>
      </c>
      <c r="B608" s="3">
        <v>10</v>
      </c>
      <c r="C608" s="3">
        <v>70</v>
      </c>
      <c r="D608" s="3">
        <v>6</v>
      </c>
      <c r="E608" s="3">
        <v>-101.081</v>
      </c>
      <c r="F608" s="4" t="str">
        <f>HYPERLINK("http://141.218.60.56/~jnz1568/getInfo.php?workbook=20_10.xlsx&amp;sheet=A0&amp;row=608&amp;col=6&amp;number=245500000&amp;sourceID=14","245500000")</f>
        <v>245500000</v>
      </c>
      <c r="G608" s="4" t="str">
        <f>HYPERLINK("http://141.218.60.56/~jnz1568/getInfo.php?workbook=20_10.xlsx&amp;sheet=A0&amp;row=608&amp;col=7&amp;number=0&amp;sourceID=14","0")</f>
        <v>0</v>
      </c>
    </row>
    <row r="609" spans="1:7">
      <c r="A609" s="3">
        <v>20</v>
      </c>
      <c r="B609" s="3">
        <v>10</v>
      </c>
      <c r="C609" s="3">
        <v>70</v>
      </c>
      <c r="D609" s="3">
        <v>9</v>
      </c>
      <c r="E609" s="3">
        <v>104.319</v>
      </c>
      <c r="F609" s="4" t="str">
        <f>HYPERLINK("http://141.218.60.56/~jnz1568/getInfo.php?workbook=20_10.xlsx&amp;sheet=A0&amp;row=609&amp;col=6&amp;number=260800000&amp;sourceID=14","260800000")</f>
        <v>260800000</v>
      </c>
      <c r="G609" s="4" t="str">
        <f>HYPERLINK("http://141.218.60.56/~jnz1568/getInfo.php?workbook=20_10.xlsx&amp;sheet=A0&amp;row=609&amp;col=7&amp;number=0&amp;sourceID=14","0")</f>
        <v>0</v>
      </c>
    </row>
    <row r="610" spans="1:7">
      <c r="A610" s="3">
        <v>20</v>
      </c>
      <c r="B610" s="3">
        <v>10</v>
      </c>
      <c r="C610" s="3">
        <v>70</v>
      </c>
      <c r="D610" s="3">
        <v>10</v>
      </c>
      <c r="E610" s="3">
        <v>103.563</v>
      </c>
      <c r="F610" s="4" t="str">
        <f>HYPERLINK("http://141.218.60.56/~jnz1568/getInfo.php?workbook=20_10.xlsx&amp;sheet=A0&amp;row=610&amp;col=6&amp;number=185800000&amp;sourceID=14","185800000")</f>
        <v>185800000</v>
      </c>
      <c r="G610" s="4" t="str">
        <f>HYPERLINK("http://141.218.60.56/~jnz1568/getInfo.php?workbook=20_10.xlsx&amp;sheet=A0&amp;row=610&amp;col=7&amp;number=0&amp;sourceID=14","0")</f>
        <v>0</v>
      </c>
    </row>
    <row r="611" spans="1:7">
      <c r="A611" s="3">
        <v>20</v>
      </c>
      <c r="B611" s="3">
        <v>10</v>
      </c>
      <c r="C611" s="3">
        <v>70</v>
      </c>
      <c r="D611" s="3">
        <v>11</v>
      </c>
      <c r="E611" s="3">
        <v>103.853</v>
      </c>
      <c r="F611" s="4" t="str">
        <f>HYPERLINK("http://141.218.60.56/~jnz1568/getInfo.php?workbook=20_10.xlsx&amp;sheet=A0&amp;row=611&amp;col=6&amp;number=13740000000&amp;sourceID=14","13740000000")</f>
        <v>13740000000</v>
      </c>
      <c r="G611" s="4" t="str">
        <f>HYPERLINK("http://141.218.60.56/~jnz1568/getInfo.php?workbook=20_10.xlsx&amp;sheet=A0&amp;row=611&amp;col=7&amp;number=0&amp;sourceID=14","0")</f>
        <v>0</v>
      </c>
    </row>
    <row r="612" spans="1:7">
      <c r="A612" s="3">
        <v>20</v>
      </c>
      <c r="B612" s="3">
        <v>10</v>
      </c>
      <c r="C612" s="3">
        <v>70</v>
      </c>
      <c r="D612" s="3">
        <v>12</v>
      </c>
      <c r="E612" s="3">
        <v>-106.367</v>
      </c>
      <c r="F612" s="4" t="str">
        <f>HYPERLINK("http://141.218.60.56/~jnz1568/getInfo.php?workbook=20_10.xlsx&amp;sheet=A0&amp;row=612&amp;col=6&amp;number=6748000000&amp;sourceID=14","6748000000")</f>
        <v>6748000000</v>
      </c>
      <c r="G612" s="4" t="str">
        <f>HYPERLINK("http://141.218.60.56/~jnz1568/getInfo.php?workbook=20_10.xlsx&amp;sheet=A0&amp;row=612&amp;col=7&amp;number=0&amp;sourceID=14","0")</f>
        <v>0</v>
      </c>
    </row>
    <row r="613" spans="1:7">
      <c r="A613" s="3">
        <v>20</v>
      </c>
      <c r="B613" s="3">
        <v>10</v>
      </c>
      <c r="C613" s="3">
        <v>70</v>
      </c>
      <c r="D613" s="3">
        <v>13</v>
      </c>
      <c r="E613" s="3">
        <v>107.319</v>
      </c>
      <c r="F613" s="4" t="str">
        <f>HYPERLINK("http://141.218.60.56/~jnz1568/getInfo.php?workbook=20_10.xlsx&amp;sheet=A0&amp;row=613&amp;col=6&amp;number=1379000000&amp;sourceID=14","1379000000")</f>
        <v>1379000000</v>
      </c>
      <c r="G613" s="4" t="str">
        <f>HYPERLINK("http://141.218.60.56/~jnz1568/getInfo.php?workbook=20_10.xlsx&amp;sheet=A0&amp;row=613&amp;col=7&amp;number=0&amp;sourceID=14","0")</f>
        <v>0</v>
      </c>
    </row>
    <row r="614" spans="1:7">
      <c r="A614" s="3">
        <v>20</v>
      </c>
      <c r="B614" s="3">
        <v>10</v>
      </c>
      <c r="C614" s="3">
        <v>70</v>
      </c>
      <c r="D614" s="3">
        <v>14</v>
      </c>
      <c r="E614" s="3">
        <v>107.308</v>
      </c>
      <c r="F614" s="4" t="str">
        <f>HYPERLINK("http://141.218.60.56/~jnz1568/getInfo.php?workbook=20_10.xlsx&amp;sheet=A0&amp;row=614&amp;col=6&amp;number=13430000000&amp;sourceID=14","13430000000")</f>
        <v>13430000000</v>
      </c>
      <c r="G614" s="4" t="str">
        <f>HYPERLINK("http://141.218.60.56/~jnz1568/getInfo.php?workbook=20_10.xlsx&amp;sheet=A0&amp;row=614&amp;col=7&amp;number=0&amp;sourceID=14","0")</f>
        <v>0</v>
      </c>
    </row>
    <row r="615" spans="1:7">
      <c r="A615" s="3">
        <v>20</v>
      </c>
      <c r="B615" s="3">
        <v>10</v>
      </c>
      <c r="C615" s="3">
        <v>70</v>
      </c>
      <c r="D615" s="3">
        <v>15</v>
      </c>
      <c r="E615" s="3">
        <v>-118.237</v>
      </c>
      <c r="F615" s="4" t="str">
        <f>HYPERLINK("http://141.218.60.56/~jnz1568/getInfo.php?workbook=20_10.xlsx&amp;sheet=A0&amp;row=615&amp;col=6&amp;number=46630000000&amp;sourceID=14","46630000000")</f>
        <v>46630000000</v>
      </c>
      <c r="G615" s="4" t="str">
        <f>HYPERLINK("http://141.218.60.56/~jnz1568/getInfo.php?workbook=20_10.xlsx&amp;sheet=A0&amp;row=615&amp;col=7&amp;number=0&amp;sourceID=14","0")</f>
        <v>0</v>
      </c>
    </row>
    <row r="616" spans="1:7">
      <c r="A616" s="3">
        <v>20</v>
      </c>
      <c r="B616" s="3">
        <v>10</v>
      </c>
      <c r="C616" s="3">
        <v>70</v>
      </c>
      <c r="D616" s="3">
        <v>28</v>
      </c>
      <c r="E616" s="3">
        <v>-245.099</v>
      </c>
      <c r="F616" s="4" t="str">
        <f>HYPERLINK("http://141.218.60.56/~jnz1568/getInfo.php?workbook=20_10.xlsx&amp;sheet=A0&amp;row=616&amp;col=6&amp;number=21990000&amp;sourceID=14","21990000")</f>
        <v>21990000</v>
      </c>
      <c r="G616" s="4" t="str">
        <f>HYPERLINK("http://141.218.60.56/~jnz1568/getInfo.php?workbook=20_10.xlsx&amp;sheet=A0&amp;row=616&amp;col=7&amp;number=0&amp;sourceID=14","0")</f>
        <v>0</v>
      </c>
    </row>
    <row r="617" spans="1:7">
      <c r="A617" s="3">
        <v>20</v>
      </c>
      <c r="B617" s="3">
        <v>10</v>
      </c>
      <c r="C617" s="3">
        <v>70</v>
      </c>
      <c r="D617" s="3">
        <v>29</v>
      </c>
      <c r="E617" s="3">
        <v>-266.058</v>
      </c>
      <c r="F617" s="4" t="str">
        <f>HYPERLINK("http://141.218.60.56/~jnz1568/getInfo.php?workbook=20_10.xlsx&amp;sheet=A0&amp;row=617&amp;col=6&amp;number=601300000&amp;sourceID=14","601300000")</f>
        <v>601300000</v>
      </c>
      <c r="G617" s="4" t="str">
        <f>HYPERLINK("http://141.218.60.56/~jnz1568/getInfo.php?workbook=20_10.xlsx&amp;sheet=A0&amp;row=617&amp;col=7&amp;number=0&amp;sourceID=14","0")</f>
        <v>0</v>
      </c>
    </row>
    <row r="618" spans="1:7">
      <c r="A618" s="3">
        <v>20</v>
      </c>
      <c r="B618" s="3">
        <v>10</v>
      </c>
      <c r="C618" s="3">
        <v>70</v>
      </c>
      <c r="D618" s="3">
        <v>38</v>
      </c>
      <c r="E618" s="3">
        <v>-751.825</v>
      </c>
      <c r="F618" s="4" t="str">
        <f>HYPERLINK("http://141.218.60.56/~jnz1568/getInfo.php?workbook=20_10.xlsx&amp;sheet=A0&amp;row=618&amp;col=6&amp;number=13700000&amp;sourceID=14","13700000")</f>
        <v>13700000</v>
      </c>
      <c r="G618" s="4" t="str">
        <f>HYPERLINK("http://141.218.60.56/~jnz1568/getInfo.php?workbook=20_10.xlsx&amp;sheet=A0&amp;row=618&amp;col=7&amp;number=0&amp;sourceID=14","0")</f>
        <v>0</v>
      </c>
    </row>
    <row r="619" spans="1:7">
      <c r="A619" s="3">
        <v>20</v>
      </c>
      <c r="B619" s="3">
        <v>10</v>
      </c>
      <c r="C619" s="3">
        <v>70</v>
      </c>
      <c r="D619" s="3">
        <v>41</v>
      </c>
      <c r="E619" s="3">
        <v>-801.72</v>
      </c>
      <c r="F619" s="4" t="str">
        <f>HYPERLINK("http://141.218.60.56/~jnz1568/getInfo.php?workbook=20_10.xlsx&amp;sheet=A0&amp;row=619&amp;col=6&amp;number=266600000&amp;sourceID=14","266600000")</f>
        <v>266600000</v>
      </c>
      <c r="G619" s="4" t="str">
        <f>HYPERLINK("http://141.218.60.56/~jnz1568/getInfo.php?workbook=20_10.xlsx&amp;sheet=A0&amp;row=619&amp;col=7&amp;number=0&amp;sourceID=14","0")</f>
        <v>0</v>
      </c>
    </row>
    <row r="620" spans="1:7">
      <c r="A620" s="3">
        <v>20</v>
      </c>
      <c r="B620" s="3">
        <v>10</v>
      </c>
      <c r="C620" s="3">
        <v>70</v>
      </c>
      <c r="D620" s="3">
        <v>43</v>
      </c>
      <c r="E620" s="3">
        <v>-906.341</v>
      </c>
      <c r="F620" s="4" t="str">
        <f>HYPERLINK("http://141.218.60.56/~jnz1568/getInfo.php?workbook=20_10.xlsx&amp;sheet=A0&amp;row=620&amp;col=6&amp;number=115700000&amp;sourceID=14","115700000")</f>
        <v>115700000</v>
      </c>
      <c r="G620" s="4" t="str">
        <f>HYPERLINK("http://141.218.60.56/~jnz1568/getInfo.php?workbook=20_10.xlsx&amp;sheet=A0&amp;row=620&amp;col=7&amp;number=0&amp;sourceID=14","0")</f>
        <v>0</v>
      </c>
    </row>
    <row r="621" spans="1:7">
      <c r="A621" s="3">
        <v>20</v>
      </c>
      <c r="B621" s="3">
        <v>10</v>
      </c>
      <c r="C621" s="3">
        <v>70</v>
      </c>
      <c r="D621" s="3">
        <v>44</v>
      </c>
      <c r="E621" s="3">
        <v>993.05</v>
      </c>
      <c r="F621" s="4" t="str">
        <f>HYPERLINK("http://141.218.60.56/~jnz1568/getInfo.php?workbook=20_10.xlsx&amp;sheet=A0&amp;row=621&amp;col=6&amp;number=540500000&amp;sourceID=14","540500000")</f>
        <v>540500000</v>
      </c>
      <c r="G621" s="4" t="str">
        <f>HYPERLINK("http://141.218.60.56/~jnz1568/getInfo.php?workbook=20_10.xlsx&amp;sheet=A0&amp;row=621&amp;col=7&amp;number=0&amp;sourceID=14","0")</f>
        <v>0</v>
      </c>
    </row>
    <row r="622" spans="1:7">
      <c r="A622" s="3">
        <v>20</v>
      </c>
      <c r="B622" s="3">
        <v>10</v>
      </c>
      <c r="C622" s="3">
        <v>70</v>
      </c>
      <c r="D622" s="3">
        <v>45</v>
      </c>
      <c r="E622" s="3">
        <v>-1041.495</v>
      </c>
      <c r="F622" s="4" t="str">
        <f>HYPERLINK("http://141.218.60.56/~jnz1568/getInfo.php?workbook=20_10.xlsx&amp;sheet=A0&amp;row=622&amp;col=6&amp;number=518600000&amp;sourceID=14","518600000")</f>
        <v>518600000</v>
      </c>
      <c r="G622" s="4" t="str">
        <f>HYPERLINK("http://141.218.60.56/~jnz1568/getInfo.php?workbook=20_10.xlsx&amp;sheet=A0&amp;row=622&amp;col=7&amp;number=0&amp;sourceID=14","0")</f>
        <v>0</v>
      </c>
    </row>
    <row r="623" spans="1:7">
      <c r="A623" s="3">
        <v>20</v>
      </c>
      <c r="B623" s="3">
        <v>10</v>
      </c>
      <c r="C623" s="3">
        <v>70</v>
      </c>
      <c r="D623" s="3">
        <v>46</v>
      </c>
      <c r="E623" s="3">
        <v>-1049.078</v>
      </c>
      <c r="F623" s="4" t="str">
        <f>HYPERLINK("http://141.218.60.56/~jnz1568/getInfo.php?workbook=20_10.xlsx&amp;sheet=A0&amp;row=623&amp;col=6&amp;number=40240000&amp;sourceID=14","40240000")</f>
        <v>40240000</v>
      </c>
      <c r="G623" s="4" t="str">
        <f>HYPERLINK("http://141.218.60.56/~jnz1568/getInfo.php?workbook=20_10.xlsx&amp;sheet=A0&amp;row=623&amp;col=7&amp;number=0&amp;sourceID=14","0")</f>
        <v>0</v>
      </c>
    </row>
    <row r="624" spans="1:7">
      <c r="A624" s="3">
        <v>20</v>
      </c>
      <c r="B624" s="3">
        <v>10</v>
      </c>
      <c r="C624" s="3">
        <v>70</v>
      </c>
      <c r="D624" s="3">
        <v>47</v>
      </c>
      <c r="E624" s="3">
        <v>-1314.132</v>
      </c>
      <c r="F624" s="4" t="str">
        <f>HYPERLINK("http://141.218.60.56/~jnz1568/getInfo.php?workbook=20_10.xlsx&amp;sheet=A0&amp;row=624&amp;col=6&amp;number=393900000&amp;sourceID=14","393900000")</f>
        <v>393900000</v>
      </c>
      <c r="G624" s="4" t="str">
        <f>HYPERLINK("http://141.218.60.56/~jnz1568/getInfo.php?workbook=20_10.xlsx&amp;sheet=A0&amp;row=624&amp;col=7&amp;number=0&amp;sourceID=14","0")</f>
        <v>0</v>
      </c>
    </row>
    <row r="625" spans="1:7">
      <c r="A625" s="3">
        <v>20</v>
      </c>
      <c r="B625" s="3">
        <v>10</v>
      </c>
      <c r="C625" s="3">
        <v>71</v>
      </c>
      <c r="D625" s="3">
        <v>1</v>
      </c>
      <c r="E625" s="3">
        <v>-25.26</v>
      </c>
      <c r="F625" s="4" t="str">
        <f>HYPERLINK("http://141.218.60.56/~jnz1568/getInfo.php?workbook=20_10.xlsx&amp;sheet=A0&amp;row=625&amp;col=6&amp;number=185900000&amp;sourceID=14","185900000")</f>
        <v>185900000</v>
      </c>
      <c r="G625" s="4" t="str">
        <f>HYPERLINK("http://141.218.60.56/~jnz1568/getInfo.php?workbook=20_10.xlsx&amp;sheet=A0&amp;row=625&amp;col=7&amp;number=0&amp;sourceID=14","0")</f>
        <v>0</v>
      </c>
    </row>
    <row r="626" spans="1:7">
      <c r="A626" s="3">
        <v>20</v>
      </c>
      <c r="B626" s="3">
        <v>10</v>
      </c>
      <c r="C626" s="3">
        <v>71</v>
      </c>
      <c r="D626" s="3">
        <v>3</v>
      </c>
      <c r="E626" s="3">
        <v>-86.77</v>
      </c>
      <c r="F626" s="4" t="str">
        <f>HYPERLINK("http://141.218.60.56/~jnz1568/getInfo.php?workbook=20_10.xlsx&amp;sheet=A0&amp;row=626&amp;col=6&amp;number=37590000&amp;sourceID=14","37590000")</f>
        <v>37590000</v>
      </c>
      <c r="G626" s="4" t="str">
        <f>HYPERLINK("http://141.218.60.56/~jnz1568/getInfo.php?workbook=20_10.xlsx&amp;sheet=A0&amp;row=626&amp;col=7&amp;number=0&amp;sourceID=14","0")</f>
        <v>0</v>
      </c>
    </row>
    <row r="627" spans="1:7">
      <c r="A627" s="3">
        <v>20</v>
      </c>
      <c r="B627" s="3">
        <v>10</v>
      </c>
      <c r="C627" s="3">
        <v>71</v>
      </c>
      <c r="D627" s="3">
        <v>5</v>
      </c>
      <c r="E627" s="3">
        <v>-88.979</v>
      </c>
      <c r="F627" s="4" t="str">
        <f>HYPERLINK("http://141.218.60.56/~jnz1568/getInfo.php?workbook=20_10.xlsx&amp;sheet=A0&amp;row=627&amp;col=6&amp;number=62210000&amp;sourceID=14","62210000")</f>
        <v>62210000</v>
      </c>
      <c r="G627" s="4" t="str">
        <f>HYPERLINK("http://141.218.60.56/~jnz1568/getInfo.php?workbook=20_10.xlsx&amp;sheet=A0&amp;row=627&amp;col=7&amp;number=0&amp;sourceID=14","0")</f>
        <v>0</v>
      </c>
    </row>
    <row r="628" spans="1:7">
      <c r="A628" s="3">
        <v>20</v>
      </c>
      <c r="B628" s="3">
        <v>10</v>
      </c>
      <c r="C628" s="3">
        <v>71</v>
      </c>
      <c r="D628" s="3">
        <v>17</v>
      </c>
      <c r="E628" s="3">
        <v>-131.378</v>
      </c>
      <c r="F628" s="4" t="str">
        <f>HYPERLINK("http://141.218.60.56/~jnz1568/getInfo.php?workbook=20_10.xlsx&amp;sheet=A0&amp;row=628&amp;col=6&amp;number=8364000000&amp;sourceID=14","8364000000")</f>
        <v>8364000000</v>
      </c>
      <c r="G628" s="4" t="str">
        <f>HYPERLINK("http://141.218.60.56/~jnz1568/getInfo.php?workbook=20_10.xlsx&amp;sheet=A0&amp;row=628&amp;col=7&amp;number=0&amp;sourceID=14","0")</f>
        <v>0</v>
      </c>
    </row>
    <row r="629" spans="1:7">
      <c r="A629" s="3">
        <v>20</v>
      </c>
      <c r="B629" s="3">
        <v>10</v>
      </c>
      <c r="C629" s="3">
        <v>71</v>
      </c>
      <c r="D629" s="3">
        <v>18</v>
      </c>
      <c r="E629" s="3">
        <v>-132.421</v>
      </c>
      <c r="F629" s="4" t="str">
        <f>HYPERLINK("http://141.218.60.56/~jnz1568/getInfo.php?workbook=20_10.xlsx&amp;sheet=A0&amp;row=629&amp;col=6&amp;number=949900000&amp;sourceID=14","949900000")</f>
        <v>949900000</v>
      </c>
      <c r="G629" s="4" t="str">
        <f>HYPERLINK("http://141.218.60.56/~jnz1568/getInfo.php?workbook=20_10.xlsx&amp;sheet=A0&amp;row=629&amp;col=7&amp;number=0&amp;sourceID=14","0")</f>
        <v>0</v>
      </c>
    </row>
    <row r="630" spans="1:7">
      <c r="A630" s="3">
        <v>20</v>
      </c>
      <c r="B630" s="3">
        <v>10</v>
      </c>
      <c r="C630" s="3">
        <v>71</v>
      </c>
      <c r="D630" s="3">
        <v>20</v>
      </c>
      <c r="E630" s="3">
        <v>-133.517</v>
      </c>
      <c r="F630" s="4" t="str">
        <f>HYPERLINK("http://141.218.60.56/~jnz1568/getInfo.php?workbook=20_10.xlsx&amp;sheet=A0&amp;row=630&amp;col=6&amp;number=9767000000&amp;sourceID=14","9767000000")</f>
        <v>9767000000</v>
      </c>
      <c r="G630" s="4" t="str">
        <f>HYPERLINK("http://141.218.60.56/~jnz1568/getInfo.php?workbook=20_10.xlsx&amp;sheet=A0&amp;row=630&amp;col=7&amp;number=0&amp;sourceID=14","0")</f>
        <v>0</v>
      </c>
    </row>
    <row r="631" spans="1:7">
      <c r="A631" s="3">
        <v>20</v>
      </c>
      <c r="B631" s="3">
        <v>10</v>
      </c>
      <c r="C631" s="3">
        <v>71</v>
      </c>
      <c r="D631" s="3">
        <v>21</v>
      </c>
      <c r="E631" s="3">
        <v>-134.668</v>
      </c>
      <c r="F631" s="4" t="str">
        <f>HYPERLINK("http://141.218.60.56/~jnz1568/getInfo.php?workbook=20_10.xlsx&amp;sheet=A0&amp;row=631&amp;col=6&amp;number=4377000000&amp;sourceID=14","4377000000")</f>
        <v>4377000000</v>
      </c>
      <c r="G631" s="4" t="str">
        <f>HYPERLINK("http://141.218.60.56/~jnz1568/getInfo.php?workbook=20_10.xlsx&amp;sheet=A0&amp;row=631&amp;col=7&amp;number=0&amp;sourceID=14","0")</f>
        <v>0</v>
      </c>
    </row>
    <row r="632" spans="1:7">
      <c r="A632" s="3">
        <v>20</v>
      </c>
      <c r="B632" s="3">
        <v>10</v>
      </c>
      <c r="C632" s="3">
        <v>71</v>
      </c>
      <c r="D632" s="3">
        <v>22</v>
      </c>
      <c r="E632" s="3">
        <v>-135.452</v>
      </c>
      <c r="F632" s="4" t="str">
        <f>HYPERLINK("http://141.218.60.56/~jnz1568/getInfo.php?workbook=20_10.xlsx&amp;sheet=A0&amp;row=632&amp;col=6&amp;number=5607000000&amp;sourceID=14","5607000000")</f>
        <v>5607000000</v>
      </c>
      <c r="G632" s="4" t="str">
        <f>HYPERLINK("http://141.218.60.56/~jnz1568/getInfo.php?workbook=20_10.xlsx&amp;sheet=A0&amp;row=632&amp;col=7&amp;number=0&amp;sourceID=14","0")</f>
        <v>0</v>
      </c>
    </row>
    <row r="633" spans="1:7">
      <c r="A633" s="3">
        <v>20</v>
      </c>
      <c r="B633" s="3">
        <v>10</v>
      </c>
      <c r="C633" s="3">
        <v>71</v>
      </c>
      <c r="D633" s="3">
        <v>23</v>
      </c>
      <c r="E633" s="3">
        <v>-138.128</v>
      </c>
      <c r="F633" s="4" t="str">
        <f>HYPERLINK("http://141.218.60.56/~jnz1568/getInfo.php?workbook=20_10.xlsx&amp;sheet=A0&amp;row=633&amp;col=6&amp;number=12740000000&amp;sourceID=14","12740000000")</f>
        <v>12740000000</v>
      </c>
      <c r="G633" s="4" t="str">
        <f>HYPERLINK("http://141.218.60.56/~jnz1568/getInfo.php?workbook=20_10.xlsx&amp;sheet=A0&amp;row=633&amp;col=7&amp;number=0&amp;sourceID=14","0")</f>
        <v>0</v>
      </c>
    </row>
    <row r="634" spans="1:7">
      <c r="A634" s="3">
        <v>20</v>
      </c>
      <c r="B634" s="3">
        <v>10</v>
      </c>
      <c r="C634" s="3">
        <v>71</v>
      </c>
      <c r="D634" s="3">
        <v>24</v>
      </c>
      <c r="E634" s="3">
        <v>-139.321</v>
      </c>
      <c r="F634" s="4" t="str">
        <f>HYPERLINK("http://141.218.60.56/~jnz1568/getInfo.php?workbook=20_10.xlsx&amp;sheet=A0&amp;row=634&amp;col=6&amp;number=32740000000&amp;sourceID=14","32740000000")</f>
        <v>32740000000</v>
      </c>
      <c r="G634" s="4" t="str">
        <f>HYPERLINK("http://141.218.60.56/~jnz1568/getInfo.php?workbook=20_10.xlsx&amp;sheet=A0&amp;row=634&amp;col=7&amp;number=0&amp;sourceID=14","0")</f>
        <v>0</v>
      </c>
    </row>
    <row r="635" spans="1:7">
      <c r="A635" s="3">
        <v>20</v>
      </c>
      <c r="B635" s="3">
        <v>10</v>
      </c>
      <c r="C635" s="3">
        <v>71</v>
      </c>
      <c r="D635" s="3">
        <v>25</v>
      </c>
      <c r="E635" s="3">
        <v>-139.925</v>
      </c>
      <c r="F635" s="4" t="str">
        <f>HYPERLINK("http://141.218.60.56/~jnz1568/getInfo.php?workbook=20_10.xlsx&amp;sheet=A0&amp;row=635&amp;col=6&amp;number=20050000000&amp;sourceID=14","20050000000")</f>
        <v>20050000000</v>
      </c>
      <c r="G635" s="4" t="str">
        <f>HYPERLINK("http://141.218.60.56/~jnz1568/getInfo.php?workbook=20_10.xlsx&amp;sheet=A0&amp;row=635&amp;col=7&amp;number=0&amp;sourceID=14","0")</f>
        <v>0</v>
      </c>
    </row>
    <row r="636" spans="1:7">
      <c r="A636" s="3">
        <v>20</v>
      </c>
      <c r="B636" s="3">
        <v>10</v>
      </c>
      <c r="C636" s="3">
        <v>71</v>
      </c>
      <c r="D636" s="3">
        <v>26</v>
      </c>
      <c r="E636" s="3">
        <v>-140.102</v>
      </c>
      <c r="F636" s="4" t="str">
        <f>HYPERLINK("http://141.218.60.56/~jnz1568/getInfo.php?workbook=20_10.xlsx&amp;sheet=A0&amp;row=636&amp;col=6&amp;number=8555000000&amp;sourceID=14","8555000000")</f>
        <v>8555000000</v>
      </c>
      <c r="G636" s="4" t="str">
        <f>HYPERLINK("http://141.218.60.56/~jnz1568/getInfo.php?workbook=20_10.xlsx&amp;sheet=A0&amp;row=636&amp;col=7&amp;number=0&amp;sourceID=14","0")</f>
        <v>0</v>
      </c>
    </row>
    <row r="637" spans="1:7">
      <c r="A637" s="3">
        <v>20</v>
      </c>
      <c r="B637" s="3">
        <v>10</v>
      </c>
      <c r="C637" s="3">
        <v>71</v>
      </c>
      <c r="D637" s="3">
        <v>27</v>
      </c>
      <c r="E637" s="3">
        <v>-147.718</v>
      </c>
      <c r="F637" s="4" t="str">
        <f>HYPERLINK("http://141.218.60.56/~jnz1568/getInfo.php?workbook=20_10.xlsx&amp;sheet=A0&amp;row=637&amp;col=6&amp;number=119200000000&amp;sourceID=14","119200000000")</f>
        <v>119200000000</v>
      </c>
      <c r="G637" s="4" t="str">
        <f>HYPERLINK("http://141.218.60.56/~jnz1568/getInfo.php?workbook=20_10.xlsx&amp;sheet=A0&amp;row=637&amp;col=7&amp;number=0&amp;sourceID=14","0")</f>
        <v>0</v>
      </c>
    </row>
    <row r="638" spans="1:7">
      <c r="A638" s="3">
        <v>20</v>
      </c>
      <c r="B638" s="3">
        <v>10</v>
      </c>
      <c r="C638" s="3">
        <v>71</v>
      </c>
      <c r="D638" s="3">
        <v>31</v>
      </c>
      <c r="E638" s="3">
        <v>-402.15</v>
      </c>
      <c r="F638" s="4" t="str">
        <f>HYPERLINK("http://141.218.60.56/~jnz1568/getInfo.php?workbook=20_10.xlsx&amp;sheet=A0&amp;row=638&amp;col=6&amp;number=1053000000&amp;sourceID=14","1053000000")</f>
        <v>1053000000</v>
      </c>
      <c r="G638" s="4" t="str">
        <f>HYPERLINK("http://141.218.60.56/~jnz1568/getInfo.php?workbook=20_10.xlsx&amp;sheet=A0&amp;row=638&amp;col=7&amp;number=0&amp;sourceID=14","0")</f>
        <v>0</v>
      </c>
    </row>
    <row r="639" spans="1:7">
      <c r="A639" s="3">
        <v>20</v>
      </c>
      <c r="B639" s="3">
        <v>10</v>
      </c>
      <c r="C639" s="3">
        <v>71</v>
      </c>
      <c r="D639" s="3">
        <v>32</v>
      </c>
      <c r="E639" s="3">
        <v>-408.892</v>
      </c>
      <c r="F639" s="4" t="str">
        <f>HYPERLINK("http://141.218.60.56/~jnz1568/getInfo.php?workbook=20_10.xlsx&amp;sheet=A0&amp;row=639&amp;col=6&amp;number=121900000&amp;sourceID=14","121900000")</f>
        <v>121900000</v>
      </c>
      <c r="G639" s="4" t="str">
        <f>HYPERLINK("http://141.218.60.56/~jnz1568/getInfo.php?workbook=20_10.xlsx&amp;sheet=A0&amp;row=639&amp;col=7&amp;number=0&amp;sourceID=14","0")</f>
        <v>0</v>
      </c>
    </row>
    <row r="640" spans="1:7">
      <c r="A640" s="3">
        <v>20</v>
      </c>
      <c r="B640" s="3">
        <v>10</v>
      </c>
      <c r="C640" s="3">
        <v>71</v>
      </c>
      <c r="D640" s="3">
        <v>33</v>
      </c>
      <c r="E640" s="3">
        <v>-425.589</v>
      </c>
      <c r="F640" s="4" t="str">
        <f>HYPERLINK("http://141.218.60.56/~jnz1568/getInfo.php?workbook=20_10.xlsx&amp;sheet=A0&amp;row=640&amp;col=6&amp;number=4781000000&amp;sourceID=14","4781000000")</f>
        <v>4781000000</v>
      </c>
      <c r="G640" s="4" t="str">
        <f>HYPERLINK("http://141.218.60.56/~jnz1568/getInfo.php?workbook=20_10.xlsx&amp;sheet=A0&amp;row=640&amp;col=7&amp;number=0&amp;sourceID=14","0")</f>
        <v>0</v>
      </c>
    </row>
    <row r="641" spans="1:7">
      <c r="A641" s="3">
        <v>20</v>
      </c>
      <c r="B641" s="3">
        <v>10</v>
      </c>
      <c r="C641" s="3">
        <v>71</v>
      </c>
      <c r="D641" s="3">
        <v>34</v>
      </c>
      <c r="E641" s="3">
        <v>-474.454</v>
      </c>
      <c r="F641" s="4" t="str">
        <f>HYPERLINK("http://141.218.60.56/~jnz1568/getInfo.php?workbook=20_10.xlsx&amp;sheet=A0&amp;row=641&amp;col=6&amp;number=10490000&amp;sourceID=14","10490000")</f>
        <v>10490000</v>
      </c>
      <c r="G641" s="4" t="str">
        <f>HYPERLINK("http://141.218.60.56/~jnz1568/getInfo.php?workbook=20_10.xlsx&amp;sheet=A0&amp;row=641&amp;col=7&amp;number=0&amp;sourceID=14","0")</f>
        <v>0</v>
      </c>
    </row>
    <row r="642" spans="1:7">
      <c r="A642" s="3">
        <v>20</v>
      </c>
      <c r="B642" s="3">
        <v>10</v>
      </c>
      <c r="C642" s="3">
        <v>71</v>
      </c>
      <c r="D642" s="3">
        <v>35</v>
      </c>
      <c r="E642" s="3">
        <v>-481.309</v>
      </c>
      <c r="F642" s="4" t="str">
        <f>HYPERLINK("http://141.218.60.56/~jnz1568/getInfo.php?workbook=20_10.xlsx&amp;sheet=A0&amp;row=642&amp;col=6&amp;number=127100000&amp;sourceID=14","127100000")</f>
        <v>127100000</v>
      </c>
      <c r="G642" s="4" t="str">
        <f>HYPERLINK("http://141.218.60.56/~jnz1568/getInfo.php?workbook=20_10.xlsx&amp;sheet=A0&amp;row=642&amp;col=7&amp;number=0&amp;sourceID=14","0")</f>
        <v>0</v>
      </c>
    </row>
    <row r="643" spans="1:7">
      <c r="A643" s="3">
        <v>20</v>
      </c>
      <c r="B643" s="3">
        <v>10</v>
      </c>
      <c r="C643" s="3">
        <v>71</v>
      </c>
      <c r="D643" s="3">
        <v>70</v>
      </c>
      <c r="E643" s="3">
        <v>-6960.893</v>
      </c>
      <c r="F643" s="4" t="str">
        <f>HYPERLINK("http://141.218.60.56/~jnz1568/getInfo.php?workbook=20_10.xlsx&amp;sheet=A0&amp;row=643&amp;col=6&amp;number=16540000&amp;sourceID=14","16540000")</f>
        <v>16540000</v>
      </c>
      <c r="G643" s="4" t="str">
        <f>HYPERLINK("http://141.218.60.56/~jnz1568/getInfo.php?workbook=20_10.xlsx&amp;sheet=A0&amp;row=643&amp;col=7&amp;number=0&amp;sourceID=14","0")</f>
        <v>0</v>
      </c>
    </row>
    <row r="644" spans="1:7">
      <c r="A644" s="3">
        <v>20</v>
      </c>
      <c r="B644" s="3">
        <v>10</v>
      </c>
      <c r="C644" s="3">
        <v>72</v>
      </c>
      <c r="D644" s="3">
        <v>11</v>
      </c>
      <c r="E644" s="3">
        <v>-104.193</v>
      </c>
      <c r="F644" s="4" t="str">
        <f>HYPERLINK("http://141.218.60.56/~jnz1568/getInfo.php?workbook=20_10.xlsx&amp;sheet=A0&amp;row=644&amp;col=6&amp;number=25040000&amp;sourceID=14","25040000")</f>
        <v>25040000</v>
      </c>
      <c r="G644" s="4" t="str">
        <f>HYPERLINK("http://141.218.60.56/~jnz1568/getInfo.php?workbook=20_10.xlsx&amp;sheet=A0&amp;row=644&amp;col=7&amp;number=0&amp;sourceID=14","0")</f>
        <v>0</v>
      </c>
    </row>
    <row r="645" spans="1:7">
      <c r="A645" s="3">
        <v>20</v>
      </c>
      <c r="B645" s="3">
        <v>10</v>
      </c>
      <c r="C645" s="3">
        <v>72</v>
      </c>
      <c r="D645" s="3">
        <v>20</v>
      </c>
      <c r="E645" s="3">
        <v>-132.638</v>
      </c>
      <c r="F645" s="4" t="str">
        <f>HYPERLINK("http://141.218.60.56/~jnz1568/getInfo.php?workbook=20_10.xlsx&amp;sheet=A0&amp;row=645&amp;col=6&amp;number=104400000&amp;sourceID=14","104400000")</f>
        <v>104400000</v>
      </c>
      <c r="G645" s="4" t="str">
        <f>HYPERLINK("http://141.218.60.56/~jnz1568/getInfo.php?workbook=20_10.xlsx&amp;sheet=A0&amp;row=645&amp;col=7&amp;number=0&amp;sourceID=14","0")</f>
        <v>0</v>
      </c>
    </row>
    <row r="646" spans="1:7">
      <c r="A646" s="3">
        <v>20</v>
      </c>
      <c r="B646" s="3">
        <v>10</v>
      </c>
      <c r="C646" s="3">
        <v>72</v>
      </c>
      <c r="D646" s="3">
        <v>21</v>
      </c>
      <c r="E646" s="3">
        <v>-133.773</v>
      </c>
      <c r="F646" s="4" t="str">
        <f>HYPERLINK("http://141.218.60.56/~jnz1568/getInfo.php?workbook=20_10.xlsx&amp;sheet=A0&amp;row=646&amp;col=6&amp;number=19660000000&amp;sourceID=14","19660000000")</f>
        <v>19660000000</v>
      </c>
      <c r="G646" s="4" t="str">
        <f>HYPERLINK("http://141.218.60.56/~jnz1568/getInfo.php?workbook=20_10.xlsx&amp;sheet=A0&amp;row=646&amp;col=7&amp;number=0&amp;sourceID=14","0")</f>
        <v>0</v>
      </c>
    </row>
    <row r="647" spans="1:7">
      <c r="A647" s="3">
        <v>20</v>
      </c>
      <c r="B647" s="3">
        <v>10</v>
      </c>
      <c r="C647" s="3">
        <v>72</v>
      </c>
      <c r="D647" s="3">
        <v>22</v>
      </c>
      <c r="E647" s="3">
        <v>-134.548</v>
      </c>
      <c r="F647" s="4" t="str">
        <f>HYPERLINK("http://141.218.60.56/~jnz1568/getInfo.php?workbook=20_10.xlsx&amp;sheet=A0&amp;row=647&amp;col=6&amp;number=180200000&amp;sourceID=14","180200000")</f>
        <v>180200000</v>
      </c>
      <c r="G647" s="4" t="str">
        <f>HYPERLINK("http://141.218.60.56/~jnz1568/getInfo.php?workbook=20_10.xlsx&amp;sheet=A0&amp;row=647&amp;col=7&amp;number=0&amp;sourceID=14","0")</f>
        <v>0</v>
      </c>
    </row>
    <row r="648" spans="1:7">
      <c r="A648" s="3">
        <v>20</v>
      </c>
      <c r="B648" s="3">
        <v>10</v>
      </c>
      <c r="C648" s="3">
        <v>72</v>
      </c>
      <c r="D648" s="3">
        <v>24</v>
      </c>
      <c r="E648" s="3">
        <v>-138.364</v>
      </c>
      <c r="F648" s="4" t="str">
        <f>HYPERLINK("http://141.218.60.56/~jnz1568/getInfo.php?workbook=20_10.xlsx&amp;sheet=A0&amp;row=648&amp;col=6&amp;number=193000000000&amp;sourceID=14","193000000000")</f>
        <v>193000000000</v>
      </c>
      <c r="G648" s="4" t="str">
        <f>HYPERLINK("http://141.218.60.56/~jnz1568/getInfo.php?workbook=20_10.xlsx&amp;sheet=A0&amp;row=648&amp;col=7&amp;number=0&amp;sourceID=14","0")</f>
        <v>0</v>
      </c>
    </row>
    <row r="649" spans="1:7">
      <c r="A649" s="3">
        <v>20</v>
      </c>
      <c r="B649" s="3">
        <v>10</v>
      </c>
      <c r="C649" s="3">
        <v>72</v>
      </c>
      <c r="D649" s="3">
        <v>25</v>
      </c>
      <c r="E649" s="3">
        <v>-138.96</v>
      </c>
      <c r="F649" s="4" t="str">
        <f>HYPERLINK("http://141.218.60.56/~jnz1568/getInfo.php?workbook=20_10.xlsx&amp;sheet=A0&amp;row=649&amp;col=6&amp;number=124300000&amp;sourceID=14","124300000")</f>
        <v>124300000</v>
      </c>
      <c r="G649" s="4" t="str">
        <f>HYPERLINK("http://141.218.60.56/~jnz1568/getInfo.php?workbook=20_10.xlsx&amp;sheet=A0&amp;row=649&amp;col=7&amp;number=0&amp;sourceID=14","0")</f>
        <v>0</v>
      </c>
    </row>
    <row r="650" spans="1:7">
      <c r="A650" s="3">
        <v>20</v>
      </c>
      <c r="B650" s="3">
        <v>10</v>
      </c>
      <c r="C650" s="3">
        <v>72</v>
      </c>
      <c r="D650" s="3">
        <v>26</v>
      </c>
      <c r="E650" s="3">
        <v>-139.134</v>
      </c>
      <c r="F650" s="4" t="str">
        <f>HYPERLINK("http://141.218.60.56/~jnz1568/getInfo.php?workbook=20_10.xlsx&amp;sheet=A0&amp;row=650&amp;col=6&amp;number=10500000000&amp;sourceID=14","10500000000")</f>
        <v>10500000000</v>
      </c>
      <c r="G650" s="4" t="str">
        <f>HYPERLINK("http://141.218.60.56/~jnz1568/getInfo.php?workbook=20_10.xlsx&amp;sheet=A0&amp;row=650&amp;col=7&amp;number=0&amp;sourceID=14","0")</f>
        <v>0</v>
      </c>
    </row>
    <row r="651" spans="1:7">
      <c r="A651" s="3">
        <v>20</v>
      </c>
      <c r="B651" s="3">
        <v>10</v>
      </c>
      <c r="C651" s="3">
        <v>72</v>
      </c>
      <c r="D651" s="3">
        <v>58</v>
      </c>
      <c r="E651" s="3">
        <v>-3121.689</v>
      </c>
      <c r="F651" s="4" t="str">
        <f>HYPERLINK("http://141.218.60.56/~jnz1568/getInfo.php?workbook=20_10.xlsx&amp;sheet=A0&amp;row=651&amp;col=6&amp;number=67260000&amp;sourceID=14","67260000")</f>
        <v>67260000</v>
      </c>
      <c r="G651" s="4" t="str">
        <f>HYPERLINK("http://141.218.60.56/~jnz1568/getInfo.php?workbook=20_10.xlsx&amp;sheet=A0&amp;row=651&amp;col=7&amp;number=0&amp;sourceID=14","0")</f>
        <v>0</v>
      </c>
    </row>
    <row r="652" spans="1:7">
      <c r="A652" s="3">
        <v>20</v>
      </c>
      <c r="B652" s="3">
        <v>10</v>
      </c>
      <c r="C652" s="3">
        <v>73</v>
      </c>
      <c r="D652" s="3">
        <v>14</v>
      </c>
      <c r="E652" s="3">
        <v>-105.115</v>
      </c>
      <c r="F652" s="4" t="str">
        <f>HYPERLINK("http://141.218.60.56/~jnz1568/getInfo.php?workbook=20_10.xlsx&amp;sheet=A0&amp;row=652&amp;col=6&amp;number=15540000&amp;sourceID=14","15540000")</f>
        <v>15540000</v>
      </c>
      <c r="G652" s="4" t="str">
        <f>HYPERLINK("http://141.218.60.56/~jnz1568/getInfo.php?workbook=20_10.xlsx&amp;sheet=A0&amp;row=652&amp;col=7&amp;number=0&amp;sourceID=14","0")</f>
        <v>0</v>
      </c>
    </row>
    <row r="653" spans="1:7">
      <c r="A653" s="3">
        <v>20</v>
      </c>
      <c r="B653" s="3">
        <v>10</v>
      </c>
      <c r="C653" s="3">
        <v>73</v>
      </c>
      <c r="D653" s="3">
        <v>18</v>
      </c>
      <c r="E653" s="3">
        <v>-131.526</v>
      </c>
      <c r="F653" s="4" t="str">
        <f>HYPERLINK("http://141.218.60.56/~jnz1568/getInfo.php?workbook=20_10.xlsx&amp;sheet=A0&amp;row=653&amp;col=6&amp;number=69190000000&amp;sourceID=14","69190000000")</f>
        <v>69190000000</v>
      </c>
      <c r="G653" s="4" t="str">
        <f>HYPERLINK("http://141.218.60.56/~jnz1568/getInfo.php?workbook=20_10.xlsx&amp;sheet=A0&amp;row=653&amp;col=7&amp;number=0&amp;sourceID=14","0")</f>
        <v>0</v>
      </c>
    </row>
    <row r="654" spans="1:7">
      <c r="A654" s="3">
        <v>20</v>
      </c>
      <c r="B654" s="3">
        <v>10</v>
      </c>
      <c r="C654" s="3">
        <v>73</v>
      </c>
      <c r="D654" s="3">
        <v>19</v>
      </c>
      <c r="E654" s="3">
        <v>-131.942</v>
      </c>
      <c r="F654" s="4" t="str">
        <f>HYPERLINK("http://141.218.60.56/~jnz1568/getInfo.php?workbook=20_10.xlsx&amp;sheet=A0&amp;row=654&amp;col=6&amp;number=10450000000&amp;sourceID=14","10450000000")</f>
        <v>10450000000</v>
      </c>
      <c r="G654" s="4" t="str">
        <f>HYPERLINK("http://141.218.60.56/~jnz1568/getInfo.php?workbook=20_10.xlsx&amp;sheet=A0&amp;row=654&amp;col=7&amp;number=0&amp;sourceID=14","0")</f>
        <v>0</v>
      </c>
    </row>
    <row r="655" spans="1:7">
      <c r="A655" s="3">
        <v>20</v>
      </c>
      <c r="B655" s="3">
        <v>10</v>
      </c>
      <c r="C655" s="3">
        <v>73</v>
      </c>
      <c r="D655" s="3">
        <v>20</v>
      </c>
      <c r="E655" s="3">
        <v>-132.607</v>
      </c>
      <c r="F655" s="4" t="str">
        <f>HYPERLINK("http://141.218.60.56/~jnz1568/getInfo.php?workbook=20_10.xlsx&amp;sheet=A0&amp;row=655&amp;col=6&amp;number=370800000&amp;sourceID=14","370800000")</f>
        <v>370800000</v>
      </c>
      <c r="G655" s="4" t="str">
        <f>HYPERLINK("http://141.218.60.56/~jnz1568/getInfo.php?workbook=20_10.xlsx&amp;sheet=A0&amp;row=655&amp;col=7&amp;number=0&amp;sourceID=14","0")</f>
        <v>0</v>
      </c>
    </row>
    <row r="656" spans="1:7">
      <c r="A656" s="3">
        <v>20</v>
      </c>
      <c r="B656" s="3">
        <v>10</v>
      </c>
      <c r="C656" s="3">
        <v>73</v>
      </c>
      <c r="D656" s="3">
        <v>21</v>
      </c>
      <c r="E656" s="3">
        <v>-133.742</v>
      </c>
      <c r="F656" s="4" t="str">
        <f>HYPERLINK("http://141.218.60.56/~jnz1568/getInfo.php?workbook=20_10.xlsx&amp;sheet=A0&amp;row=656&amp;col=6&amp;number=160700000&amp;sourceID=14","160700000")</f>
        <v>160700000</v>
      </c>
      <c r="G656" s="4" t="str">
        <f>HYPERLINK("http://141.218.60.56/~jnz1568/getInfo.php?workbook=20_10.xlsx&amp;sheet=A0&amp;row=656&amp;col=7&amp;number=0&amp;sourceID=14","0")</f>
        <v>0</v>
      </c>
    </row>
    <row r="657" spans="1:7">
      <c r="A657" s="3">
        <v>20</v>
      </c>
      <c r="B657" s="3">
        <v>10</v>
      </c>
      <c r="C657" s="3">
        <v>73</v>
      </c>
      <c r="D657" s="3">
        <v>22</v>
      </c>
      <c r="E657" s="3">
        <v>-134.516</v>
      </c>
      <c r="F657" s="4" t="str">
        <f>HYPERLINK("http://141.218.60.56/~jnz1568/getInfo.php?workbook=20_10.xlsx&amp;sheet=A0&amp;row=657&amp;col=6&amp;number=5067000000&amp;sourceID=14","5067000000")</f>
        <v>5067000000</v>
      </c>
      <c r="G657" s="4" t="str">
        <f>HYPERLINK("http://141.218.60.56/~jnz1568/getInfo.php?workbook=20_10.xlsx&amp;sheet=A0&amp;row=657&amp;col=7&amp;number=0&amp;sourceID=14","0")</f>
        <v>0</v>
      </c>
    </row>
    <row r="658" spans="1:7">
      <c r="A658" s="3">
        <v>20</v>
      </c>
      <c r="B658" s="3">
        <v>10</v>
      </c>
      <c r="C658" s="3">
        <v>73</v>
      </c>
      <c r="D658" s="3">
        <v>24</v>
      </c>
      <c r="E658" s="3">
        <v>-138.33</v>
      </c>
      <c r="F658" s="4" t="str">
        <f>HYPERLINK("http://141.218.60.56/~jnz1568/getInfo.php?workbook=20_10.xlsx&amp;sheet=A0&amp;row=658&amp;col=6&amp;number=1078000000&amp;sourceID=14","1078000000")</f>
        <v>1078000000</v>
      </c>
      <c r="G658" s="4" t="str">
        <f>HYPERLINK("http://141.218.60.56/~jnz1568/getInfo.php?workbook=20_10.xlsx&amp;sheet=A0&amp;row=658&amp;col=7&amp;number=0&amp;sourceID=14","0")</f>
        <v>0</v>
      </c>
    </row>
    <row r="659" spans="1:7">
      <c r="A659" s="3">
        <v>20</v>
      </c>
      <c r="B659" s="3">
        <v>10</v>
      </c>
      <c r="C659" s="3">
        <v>73</v>
      </c>
      <c r="D659" s="3">
        <v>25</v>
      </c>
      <c r="E659" s="3">
        <v>-138.926</v>
      </c>
      <c r="F659" s="4" t="str">
        <f>HYPERLINK("http://141.218.60.56/~jnz1568/getInfo.php?workbook=20_10.xlsx&amp;sheet=A0&amp;row=659&amp;col=6&amp;number=143300000000&amp;sourceID=14","143300000000")</f>
        <v>143300000000</v>
      </c>
      <c r="G659" s="4" t="str">
        <f>HYPERLINK("http://141.218.60.56/~jnz1568/getInfo.php?workbook=20_10.xlsx&amp;sheet=A0&amp;row=659&amp;col=7&amp;number=0&amp;sourceID=14","0")</f>
        <v>0</v>
      </c>
    </row>
    <row r="660" spans="1:7">
      <c r="A660" s="3">
        <v>20</v>
      </c>
      <c r="B660" s="3">
        <v>10</v>
      </c>
      <c r="C660" s="3">
        <v>73</v>
      </c>
      <c r="D660" s="3">
        <v>26</v>
      </c>
      <c r="E660" s="3">
        <v>-139.1</v>
      </c>
      <c r="F660" s="4" t="str">
        <f>HYPERLINK("http://141.218.60.56/~jnz1568/getInfo.php?workbook=20_10.xlsx&amp;sheet=A0&amp;row=660&amp;col=6&amp;number=28550000000&amp;sourceID=14","28550000000")</f>
        <v>28550000000</v>
      </c>
      <c r="G660" s="4" t="str">
        <f>HYPERLINK("http://141.218.60.56/~jnz1568/getInfo.php?workbook=20_10.xlsx&amp;sheet=A0&amp;row=660&amp;col=7&amp;number=0&amp;sourceID=14","0")</f>
        <v>0</v>
      </c>
    </row>
    <row r="661" spans="1:7">
      <c r="A661" s="3">
        <v>20</v>
      </c>
      <c r="B661" s="3">
        <v>10</v>
      </c>
      <c r="C661" s="3">
        <v>73</v>
      </c>
      <c r="D661" s="3">
        <v>32</v>
      </c>
      <c r="E661" s="3">
        <v>-400.473</v>
      </c>
      <c r="F661" s="4" t="str">
        <f>HYPERLINK("http://141.218.60.56/~jnz1568/getInfo.php?workbook=20_10.xlsx&amp;sheet=A0&amp;row=661&amp;col=6&amp;number=3152000000&amp;sourceID=14","3152000000")</f>
        <v>3152000000</v>
      </c>
      <c r="G661" s="4" t="str">
        <f>HYPERLINK("http://141.218.60.56/~jnz1568/getInfo.php?workbook=20_10.xlsx&amp;sheet=A0&amp;row=661&amp;col=7&amp;number=0&amp;sourceID=14","0")</f>
        <v>0</v>
      </c>
    </row>
    <row r="662" spans="1:7">
      <c r="A662" s="3">
        <v>20</v>
      </c>
      <c r="B662" s="3">
        <v>10</v>
      </c>
      <c r="C662" s="3">
        <v>73</v>
      </c>
      <c r="D662" s="3">
        <v>34</v>
      </c>
      <c r="E662" s="3">
        <v>-463.157</v>
      </c>
      <c r="F662" s="4" t="str">
        <f>HYPERLINK("http://141.218.60.56/~jnz1568/getInfo.php?workbook=20_10.xlsx&amp;sheet=A0&amp;row=662&amp;col=6&amp;number=292100000&amp;sourceID=14","292100000")</f>
        <v>292100000</v>
      </c>
      <c r="G662" s="4" t="str">
        <f>HYPERLINK("http://141.218.60.56/~jnz1568/getInfo.php?workbook=20_10.xlsx&amp;sheet=A0&amp;row=662&amp;col=7&amp;number=0&amp;sourceID=14","0")</f>
        <v>0</v>
      </c>
    </row>
    <row r="663" spans="1:7">
      <c r="A663" s="3">
        <v>20</v>
      </c>
      <c r="B663" s="3">
        <v>10</v>
      </c>
      <c r="C663" s="3">
        <v>73</v>
      </c>
      <c r="D663" s="3">
        <v>51</v>
      </c>
      <c r="E663" s="3">
        <v>-1587.128</v>
      </c>
      <c r="F663" s="4" t="str">
        <f>HYPERLINK("http://141.218.60.56/~jnz1568/getInfo.php?workbook=20_10.xlsx&amp;sheet=A0&amp;row=663&amp;col=6&amp;number=49380000&amp;sourceID=14","49380000")</f>
        <v>49380000</v>
      </c>
      <c r="G663" s="4" t="str">
        <f>HYPERLINK("http://141.218.60.56/~jnz1568/getInfo.php?workbook=20_10.xlsx&amp;sheet=A0&amp;row=663&amp;col=7&amp;number=0&amp;sourceID=14","0")</f>
        <v>0</v>
      </c>
    </row>
    <row r="664" spans="1:7">
      <c r="A664" s="3">
        <v>20</v>
      </c>
      <c r="B664" s="3">
        <v>10</v>
      </c>
      <c r="C664" s="3">
        <v>73</v>
      </c>
      <c r="D664" s="3">
        <v>59</v>
      </c>
      <c r="E664" s="3">
        <v>-3173.803</v>
      </c>
      <c r="F664" s="4" t="str">
        <f>HYPERLINK("http://141.218.60.56/~jnz1568/getInfo.php?workbook=20_10.xlsx&amp;sheet=A0&amp;row=664&amp;col=6&amp;number=88230000&amp;sourceID=14","88230000")</f>
        <v>88230000</v>
      </c>
      <c r="G664" s="4" t="str">
        <f>HYPERLINK("http://141.218.60.56/~jnz1568/getInfo.php?workbook=20_10.xlsx&amp;sheet=A0&amp;row=664&amp;col=7&amp;number=0&amp;sourceID=14","0")</f>
        <v>0</v>
      </c>
    </row>
    <row r="665" spans="1:7">
      <c r="A665" s="3">
        <v>20</v>
      </c>
      <c r="B665" s="3">
        <v>10</v>
      </c>
      <c r="C665" s="3">
        <v>74</v>
      </c>
      <c r="D665" s="3">
        <v>13</v>
      </c>
      <c r="E665" s="3">
        <v>-105.111</v>
      </c>
      <c r="F665" s="4" t="str">
        <f>HYPERLINK("http://141.218.60.56/~jnz1568/getInfo.php?workbook=20_10.xlsx&amp;sheet=A0&amp;row=665&amp;col=6&amp;number=30840000&amp;sourceID=14","30840000")</f>
        <v>30840000</v>
      </c>
      <c r="G665" s="4" t="str">
        <f>HYPERLINK("http://141.218.60.56/~jnz1568/getInfo.php?workbook=20_10.xlsx&amp;sheet=A0&amp;row=665&amp;col=7&amp;number=0&amp;sourceID=14","0")</f>
        <v>0</v>
      </c>
    </row>
    <row r="666" spans="1:7">
      <c r="A666" s="3">
        <v>20</v>
      </c>
      <c r="B666" s="3">
        <v>10</v>
      </c>
      <c r="C666" s="3">
        <v>74</v>
      </c>
      <c r="D666" s="3">
        <v>19</v>
      </c>
      <c r="E666" s="3">
        <v>-131.936</v>
      </c>
      <c r="F666" s="4" t="str">
        <f>HYPERLINK("http://141.218.60.56/~jnz1568/getInfo.php?workbook=20_10.xlsx&amp;sheet=A0&amp;row=666&amp;col=6&amp;number=128000000&amp;sourceID=14","128000000")</f>
        <v>128000000</v>
      </c>
      <c r="G666" s="4" t="str">
        <f>HYPERLINK("http://141.218.60.56/~jnz1568/getInfo.php?workbook=20_10.xlsx&amp;sheet=A0&amp;row=666&amp;col=7&amp;number=0&amp;sourceID=14","0")</f>
        <v>0</v>
      </c>
    </row>
    <row r="667" spans="1:7">
      <c r="A667" s="3">
        <v>20</v>
      </c>
      <c r="B667" s="3">
        <v>10</v>
      </c>
      <c r="C667" s="3">
        <v>74</v>
      </c>
      <c r="D667" s="3">
        <v>20</v>
      </c>
      <c r="E667" s="3">
        <v>-132.601</v>
      </c>
      <c r="F667" s="4" t="str">
        <f>HYPERLINK("http://141.218.60.56/~jnz1568/getInfo.php?workbook=20_10.xlsx&amp;sheet=A0&amp;row=667&amp;col=6&amp;number=8770000000&amp;sourceID=14","8770000000")</f>
        <v>8770000000</v>
      </c>
      <c r="G667" s="4" t="str">
        <f>HYPERLINK("http://141.218.60.56/~jnz1568/getInfo.php?workbook=20_10.xlsx&amp;sheet=A0&amp;row=667&amp;col=7&amp;number=0&amp;sourceID=14","0")</f>
        <v>0</v>
      </c>
    </row>
    <row r="668" spans="1:7">
      <c r="A668" s="3">
        <v>20</v>
      </c>
      <c r="B668" s="3">
        <v>10</v>
      </c>
      <c r="C668" s="3">
        <v>74</v>
      </c>
      <c r="D668" s="3">
        <v>22</v>
      </c>
      <c r="E668" s="3">
        <v>-134.509</v>
      </c>
      <c r="F668" s="4" t="str">
        <f>HYPERLINK("http://141.218.60.56/~jnz1568/getInfo.php?workbook=20_10.xlsx&amp;sheet=A0&amp;row=668&amp;col=6&amp;number=2018000000&amp;sourceID=14","2018000000")</f>
        <v>2018000000</v>
      </c>
      <c r="G668" s="4" t="str">
        <f>HYPERLINK("http://141.218.60.56/~jnz1568/getInfo.php?workbook=20_10.xlsx&amp;sheet=A0&amp;row=668&amp;col=7&amp;number=0&amp;sourceID=14","0")</f>
        <v>0</v>
      </c>
    </row>
    <row r="669" spans="1:7">
      <c r="A669" s="3">
        <v>20</v>
      </c>
      <c r="B669" s="3">
        <v>10</v>
      </c>
      <c r="C669" s="3">
        <v>74</v>
      </c>
      <c r="D669" s="3">
        <v>26</v>
      </c>
      <c r="E669" s="3">
        <v>-139.094</v>
      </c>
      <c r="F669" s="4" t="str">
        <f>HYPERLINK("http://141.218.60.56/~jnz1568/getInfo.php?workbook=20_10.xlsx&amp;sheet=A0&amp;row=669&amp;col=6&amp;number=212300000000&amp;sourceID=14","212300000000")</f>
        <v>212300000000</v>
      </c>
      <c r="G669" s="4" t="str">
        <f>HYPERLINK("http://141.218.60.56/~jnz1568/getInfo.php?workbook=20_10.xlsx&amp;sheet=A0&amp;row=669&amp;col=7&amp;number=0&amp;sourceID=14","0")</f>
        <v>0</v>
      </c>
    </row>
    <row r="670" spans="1:7">
      <c r="A670" s="3">
        <v>20</v>
      </c>
      <c r="B670" s="3">
        <v>10</v>
      </c>
      <c r="C670" s="3">
        <v>74</v>
      </c>
      <c r="D670" s="3">
        <v>62</v>
      </c>
      <c r="E670" s="3">
        <v>-3284.618</v>
      </c>
      <c r="F670" s="4" t="str">
        <f>HYPERLINK("http://141.218.60.56/~jnz1568/getInfo.php?workbook=20_10.xlsx&amp;sheet=A0&amp;row=670&amp;col=6&amp;number=59410000&amp;sourceID=14","59410000")</f>
        <v>59410000</v>
      </c>
      <c r="G670" s="4" t="str">
        <f>HYPERLINK("http://141.218.60.56/~jnz1568/getInfo.php?workbook=20_10.xlsx&amp;sheet=A0&amp;row=670&amp;col=7&amp;number=0&amp;sourceID=14","0")</f>
        <v>0</v>
      </c>
    </row>
    <row r="671" spans="1:7">
      <c r="A671" s="3">
        <v>20</v>
      </c>
      <c r="B671" s="3">
        <v>10</v>
      </c>
      <c r="C671" s="3">
        <v>75</v>
      </c>
      <c r="D671" s="3">
        <v>1</v>
      </c>
      <c r="E671" s="3">
        <v>-25.226</v>
      </c>
      <c r="F671" s="4" t="str">
        <f>HYPERLINK("http://141.218.60.56/~jnz1568/getInfo.php?workbook=20_10.xlsx&amp;sheet=A0&amp;row=671&amp;col=6&amp;number=190400000&amp;sourceID=14","190400000")</f>
        <v>190400000</v>
      </c>
      <c r="G671" s="4" t="str">
        <f>HYPERLINK("http://141.218.60.56/~jnz1568/getInfo.php?workbook=20_10.xlsx&amp;sheet=A0&amp;row=671&amp;col=7&amp;number=0&amp;sourceID=14","0")</f>
        <v>0</v>
      </c>
    </row>
    <row r="672" spans="1:7">
      <c r="A672" s="3">
        <v>20</v>
      </c>
      <c r="B672" s="3">
        <v>10</v>
      </c>
      <c r="C672" s="3">
        <v>75</v>
      </c>
      <c r="D672" s="3">
        <v>2</v>
      </c>
      <c r="E672" s="3">
        <v>-85.767</v>
      </c>
      <c r="F672" s="4" t="str">
        <f>HYPERLINK("http://141.218.60.56/~jnz1568/getInfo.php?workbook=20_10.xlsx&amp;sheet=A0&amp;row=672&amp;col=6&amp;number=15530000&amp;sourceID=14","15530000")</f>
        <v>15530000</v>
      </c>
      <c r="G672" s="4" t="str">
        <f>HYPERLINK("http://141.218.60.56/~jnz1568/getInfo.php?workbook=20_10.xlsx&amp;sheet=A0&amp;row=672&amp;col=7&amp;number=0&amp;sourceID=14","0")</f>
        <v>0</v>
      </c>
    </row>
    <row r="673" spans="1:7">
      <c r="A673" s="3">
        <v>20</v>
      </c>
      <c r="B673" s="3">
        <v>10</v>
      </c>
      <c r="C673" s="3">
        <v>75</v>
      </c>
      <c r="D673" s="3">
        <v>3</v>
      </c>
      <c r="E673" s="3">
        <v>-86.367</v>
      </c>
      <c r="F673" s="4" t="str">
        <f>HYPERLINK("http://141.218.60.56/~jnz1568/getInfo.php?workbook=20_10.xlsx&amp;sheet=A0&amp;row=673&amp;col=6&amp;number=67760000&amp;sourceID=14","67760000")</f>
        <v>67760000</v>
      </c>
      <c r="G673" s="4" t="str">
        <f>HYPERLINK("http://141.218.60.56/~jnz1568/getInfo.php?workbook=20_10.xlsx&amp;sheet=A0&amp;row=673&amp;col=7&amp;number=0&amp;sourceID=14","0")</f>
        <v>0</v>
      </c>
    </row>
    <row r="674" spans="1:7">
      <c r="A674" s="3">
        <v>20</v>
      </c>
      <c r="B674" s="3">
        <v>10</v>
      </c>
      <c r="C674" s="3">
        <v>75</v>
      </c>
      <c r="D674" s="3">
        <v>17</v>
      </c>
      <c r="E674" s="3">
        <v>-130.455</v>
      </c>
      <c r="F674" s="4" t="str">
        <f>HYPERLINK("http://141.218.60.56/~jnz1568/getInfo.php?workbook=20_10.xlsx&amp;sheet=A0&amp;row=674&amp;col=6&amp;number=35700000000&amp;sourceID=14","35700000000")</f>
        <v>35700000000</v>
      </c>
      <c r="G674" s="4" t="str">
        <f>HYPERLINK("http://141.218.60.56/~jnz1568/getInfo.php?workbook=20_10.xlsx&amp;sheet=A0&amp;row=674&amp;col=7&amp;number=0&amp;sourceID=14","0")</f>
        <v>0</v>
      </c>
    </row>
    <row r="675" spans="1:7">
      <c r="A675" s="3">
        <v>20</v>
      </c>
      <c r="B675" s="3">
        <v>10</v>
      </c>
      <c r="C675" s="3">
        <v>75</v>
      </c>
      <c r="D675" s="3">
        <v>18</v>
      </c>
      <c r="E675" s="3">
        <v>-131.483</v>
      </c>
      <c r="F675" s="4" t="str">
        <f>HYPERLINK("http://141.218.60.56/~jnz1568/getInfo.php?workbook=20_10.xlsx&amp;sheet=A0&amp;row=675&amp;col=6&amp;number=20670000000&amp;sourceID=14","20670000000")</f>
        <v>20670000000</v>
      </c>
      <c r="G675" s="4" t="str">
        <f>HYPERLINK("http://141.218.60.56/~jnz1568/getInfo.php?workbook=20_10.xlsx&amp;sheet=A0&amp;row=675&amp;col=7&amp;number=0&amp;sourceID=14","0")</f>
        <v>0</v>
      </c>
    </row>
    <row r="676" spans="1:7">
      <c r="A676" s="3">
        <v>20</v>
      </c>
      <c r="B676" s="3">
        <v>10</v>
      </c>
      <c r="C676" s="3">
        <v>75</v>
      </c>
      <c r="D676" s="3">
        <v>20</v>
      </c>
      <c r="E676" s="3">
        <v>-132.563</v>
      </c>
      <c r="F676" s="4" t="str">
        <f>HYPERLINK("http://141.218.60.56/~jnz1568/getInfo.php?workbook=20_10.xlsx&amp;sheet=A0&amp;row=676&amp;col=6&amp;number=26630000000&amp;sourceID=14","26630000000")</f>
        <v>26630000000</v>
      </c>
      <c r="G676" s="4" t="str">
        <f>HYPERLINK("http://141.218.60.56/~jnz1568/getInfo.php?workbook=20_10.xlsx&amp;sheet=A0&amp;row=676&amp;col=7&amp;number=0&amp;sourceID=14","0")</f>
        <v>0</v>
      </c>
    </row>
    <row r="677" spans="1:7">
      <c r="A677" s="3">
        <v>20</v>
      </c>
      <c r="B677" s="3">
        <v>10</v>
      </c>
      <c r="C677" s="3">
        <v>75</v>
      </c>
      <c r="D677" s="3">
        <v>21</v>
      </c>
      <c r="E677" s="3">
        <v>-133.698</v>
      </c>
      <c r="F677" s="4" t="str">
        <f>HYPERLINK("http://141.218.60.56/~jnz1568/getInfo.php?workbook=20_10.xlsx&amp;sheet=A0&amp;row=677&amp;col=6&amp;number=27620000000&amp;sourceID=14","27620000000")</f>
        <v>27620000000</v>
      </c>
      <c r="G677" s="4" t="str">
        <f>HYPERLINK("http://141.218.60.56/~jnz1568/getInfo.php?workbook=20_10.xlsx&amp;sheet=A0&amp;row=677&amp;col=7&amp;number=0&amp;sourceID=14","0")</f>
        <v>0</v>
      </c>
    </row>
    <row r="678" spans="1:7">
      <c r="A678" s="3">
        <v>20</v>
      </c>
      <c r="B678" s="3">
        <v>10</v>
      </c>
      <c r="C678" s="3">
        <v>75</v>
      </c>
      <c r="D678" s="3">
        <v>22</v>
      </c>
      <c r="E678" s="3">
        <v>-134.471</v>
      </c>
      <c r="F678" s="4" t="str">
        <f>HYPERLINK("http://141.218.60.56/~jnz1568/getInfo.php?workbook=20_10.xlsx&amp;sheet=A0&amp;row=678&amp;col=6&amp;number=1757000000&amp;sourceID=14","1757000000")</f>
        <v>1757000000</v>
      </c>
      <c r="G678" s="4" t="str">
        <f>HYPERLINK("http://141.218.60.56/~jnz1568/getInfo.php?workbook=20_10.xlsx&amp;sheet=A0&amp;row=678&amp;col=7&amp;number=0&amp;sourceID=14","0")</f>
        <v>0</v>
      </c>
    </row>
    <row r="679" spans="1:7">
      <c r="A679" s="3">
        <v>20</v>
      </c>
      <c r="B679" s="3">
        <v>10</v>
      </c>
      <c r="C679" s="3">
        <v>75</v>
      </c>
      <c r="D679" s="3">
        <v>23</v>
      </c>
      <c r="E679" s="3">
        <v>-137.108</v>
      </c>
      <c r="F679" s="4" t="str">
        <f>HYPERLINK("http://141.218.60.56/~jnz1568/getInfo.php?workbook=20_10.xlsx&amp;sheet=A0&amp;row=679&amp;col=6&amp;number=41850000000&amp;sourceID=14","41850000000")</f>
        <v>41850000000</v>
      </c>
      <c r="G679" s="4" t="str">
        <f>HYPERLINK("http://141.218.60.56/~jnz1568/getInfo.php?workbook=20_10.xlsx&amp;sheet=A0&amp;row=679&amp;col=7&amp;number=0&amp;sourceID=14","0")</f>
        <v>0</v>
      </c>
    </row>
    <row r="680" spans="1:7">
      <c r="A680" s="3">
        <v>20</v>
      </c>
      <c r="B680" s="3">
        <v>10</v>
      </c>
      <c r="C680" s="3">
        <v>75</v>
      </c>
      <c r="D680" s="3">
        <v>24</v>
      </c>
      <c r="E680" s="3">
        <v>-138.283</v>
      </c>
      <c r="F680" s="4" t="str">
        <f>HYPERLINK("http://141.218.60.56/~jnz1568/getInfo.php?workbook=20_10.xlsx&amp;sheet=A0&amp;row=680&amp;col=6&amp;number=3960000000&amp;sourceID=14","3960000000")</f>
        <v>3960000000</v>
      </c>
      <c r="G680" s="4" t="str">
        <f>HYPERLINK("http://141.218.60.56/~jnz1568/getInfo.php?workbook=20_10.xlsx&amp;sheet=A0&amp;row=680&amp;col=7&amp;number=0&amp;sourceID=14","0")</f>
        <v>0</v>
      </c>
    </row>
    <row r="681" spans="1:7">
      <c r="A681" s="3">
        <v>20</v>
      </c>
      <c r="B681" s="3">
        <v>10</v>
      </c>
      <c r="C681" s="3">
        <v>75</v>
      </c>
      <c r="D681" s="3">
        <v>25</v>
      </c>
      <c r="E681" s="3">
        <v>-138.878</v>
      </c>
      <c r="F681" s="4" t="str">
        <f>HYPERLINK("http://141.218.60.56/~jnz1568/getInfo.php?workbook=20_10.xlsx&amp;sheet=A0&amp;row=681&amp;col=6&amp;number=18130000000&amp;sourceID=14","18130000000")</f>
        <v>18130000000</v>
      </c>
      <c r="G681" s="4" t="str">
        <f>HYPERLINK("http://141.218.60.56/~jnz1568/getInfo.php?workbook=20_10.xlsx&amp;sheet=A0&amp;row=681&amp;col=7&amp;number=0&amp;sourceID=14","0")</f>
        <v>0</v>
      </c>
    </row>
    <row r="682" spans="1:7">
      <c r="A682" s="3">
        <v>20</v>
      </c>
      <c r="B682" s="3">
        <v>10</v>
      </c>
      <c r="C682" s="3">
        <v>75</v>
      </c>
      <c r="D682" s="3">
        <v>26</v>
      </c>
      <c r="E682" s="3">
        <v>-139.053</v>
      </c>
      <c r="F682" s="4" t="str">
        <f>HYPERLINK("http://141.218.60.56/~jnz1568/getInfo.php?workbook=20_10.xlsx&amp;sheet=A0&amp;row=682&amp;col=6&amp;number=198400000&amp;sourceID=14","198400000")</f>
        <v>198400000</v>
      </c>
      <c r="G682" s="4" t="str">
        <f>HYPERLINK("http://141.218.60.56/~jnz1568/getInfo.php?workbook=20_10.xlsx&amp;sheet=A0&amp;row=682&amp;col=7&amp;number=0&amp;sourceID=14","0")</f>
        <v>0</v>
      </c>
    </row>
    <row r="683" spans="1:7">
      <c r="A683" s="3">
        <v>20</v>
      </c>
      <c r="B683" s="3">
        <v>10</v>
      </c>
      <c r="C683" s="3">
        <v>75</v>
      </c>
      <c r="D683" s="3">
        <v>27</v>
      </c>
      <c r="E683" s="3">
        <v>-146.552</v>
      </c>
      <c r="F683" s="4" t="str">
        <f>HYPERLINK("http://141.218.60.56/~jnz1568/getInfo.php?workbook=20_10.xlsx&amp;sheet=A0&amp;row=683&amp;col=6&amp;number=10660000000&amp;sourceID=14","10660000000")</f>
        <v>10660000000</v>
      </c>
      <c r="G683" s="4" t="str">
        <f>HYPERLINK("http://141.218.60.56/~jnz1568/getInfo.php?workbook=20_10.xlsx&amp;sheet=A0&amp;row=683&amp;col=7&amp;number=0&amp;sourceID=14","0")</f>
        <v>0</v>
      </c>
    </row>
    <row r="684" spans="1:7">
      <c r="A684" s="3">
        <v>20</v>
      </c>
      <c r="B684" s="3">
        <v>10</v>
      </c>
      <c r="C684" s="3">
        <v>75</v>
      </c>
      <c r="D684" s="3">
        <v>31</v>
      </c>
      <c r="E684" s="3">
        <v>-393.622</v>
      </c>
      <c r="F684" s="4" t="str">
        <f>HYPERLINK("http://141.218.60.56/~jnz1568/getInfo.php?workbook=20_10.xlsx&amp;sheet=A0&amp;row=684&amp;col=6&amp;number=2018000000&amp;sourceID=14","2018000000")</f>
        <v>2018000000</v>
      </c>
      <c r="G684" s="4" t="str">
        <f>HYPERLINK("http://141.218.60.56/~jnz1568/getInfo.php?workbook=20_10.xlsx&amp;sheet=A0&amp;row=684&amp;col=7&amp;number=0&amp;sourceID=14","0")</f>
        <v>0</v>
      </c>
    </row>
    <row r="685" spans="1:7">
      <c r="A685" s="3">
        <v>20</v>
      </c>
      <c r="B685" s="3">
        <v>10</v>
      </c>
      <c r="C685" s="3">
        <v>75</v>
      </c>
      <c r="D685" s="3">
        <v>32</v>
      </c>
      <c r="E685" s="3">
        <v>-400.079</v>
      </c>
      <c r="F685" s="4" t="str">
        <f>HYPERLINK("http://141.218.60.56/~jnz1568/getInfo.php?workbook=20_10.xlsx&amp;sheet=A0&amp;row=685&amp;col=6&amp;number=516500000&amp;sourceID=14","516500000")</f>
        <v>516500000</v>
      </c>
      <c r="G685" s="4" t="str">
        <f>HYPERLINK("http://141.218.60.56/~jnz1568/getInfo.php?workbook=20_10.xlsx&amp;sheet=A0&amp;row=685&amp;col=7&amp;number=0&amp;sourceID=14","0")</f>
        <v>0</v>
      </c>
    </row>
    <row r="686" spans="1:7">
      <c r="A686" s="3">
        <v>20</v>
      </c>
      <c r="B686" s="3">
        <v>10</v>
      </c>
      <c r="C686" s="3">
        <v>75</v>
      </c>
      <c r="D686" s="3">
        <v>33</v>
      </c>
      <c r="E686" s="3">
        <v>-416.05</v>
      </c>
      <c r="F686" s="4" t="str">
        <f>HYPERLINK("http://141.218.60.56/~jnz1568/getInfo.php?workbook=20_10.xlsx&amp;sheet=A0&amp;row=686&amp;col=6&amp;number=304400000&amp;sourceID=14","304400000")</f>
        <v>304400000</v>
      </c>
      <c r="G686" s="4" t="str">
        <f>HYPERLINK("http://141.218.60.56/~jnz1568/getInfo.php?workbook=20_10.xlsx&amp;sheet=A0&amp;row=686&amp;col=7&amp;number=0&amp;sourceID=14","0")</f>
        <v>0</v>
      </c>
    </row>
    <row r="687" spans="1:7">
      <c r="A687" s="3">
        <v>20</v>
      </c>
      <c r="B687" s="3">
        <v>10</v>
      </c>
      <c r="C687" s="3">
        <v>75</v>
      </c>
      <c r="D687" s="3">
        <v>34</v>
      </c>
      <c r="E687" s="3">
        <v>-462.63</v>
      </c>
      <c r="F687" s="4" t="str">
        <f>HYPERLINK("http://141.218.60.56/~jnz1568/getInfo.php?workbook=20_10.xlsx&amp;sheet=A0&amp;row=687&amp;col=6&amp;number=57840000&amp;sourceID=14","57840000")</f>
        <v>57840000</v>
      </c>
      <c r="G687" s="4" t="str">
        <f>HYPERLINK("http://141.218.60.56/~jnz1568/getInfo.php?workbook=20_10.xlsx&amp;sheet=A0&amp;row=687&amp;col=7&amp;number=0&amp;sourceID=14","0")</f>
        <v>0</v>
      </c>
    </row>
    <row r="688" spans="1:7">
      <c r="A688" s="3">
        <v>20</v>
      </c>
      <c r="B688" s="3">
        <v>10</v>
      </c>
      <c r="C688" s="3">
        <v>75</v>
      </c>
      <c r="D688" s="3">
        <v>35</v>
      </c>
      <c r="E688" s="3">
        <v>-469.145</v>
      </c>
      <c r="F688" s="4" t="str">
        <f>HYPERLINK("http://141.218.60.56/~jnz1568/getInfo.php?workbook=20_10.xlsx&amp;sheet=A0&amp;row=688&amp;col=6&amp;number=144600000&amp;sourceID=14","144600000")</f>
        <v>144600000</v>
      </c>
      <c r="G688" s="4" t="str">
        <f>HYPERLINK("http://141.218.60.56/~jnz1568/getInfo.php?workbook=20_10.xlsx&amp;sheet=A0&amp;row=688&amp;col=7&amp;number=0&amp;sourceID=14","0")</f>
        <v>0</v>
      </c>
    </row>
    <row r="689" spans="1:7">
      <c r="A689" s="3">
        <v>20</v>
      </c>
      <c r="B689" s="3">
        <v>10</v>
      </c>
      <c r="C689" s="3">
        <v>75</v>
      </c>
      <c r="D689" s="3">
        <v>37</v>
      </c>
      <c r="E689" s="3">
        <v>-542.139</v>
      </c>
      <c r="F689" s="4" t="str">
        <f>HYPERLINK("http://141.218.60.56/~jnz1568/getInfo.php?workbook=20_10.xlsx&amp;sheet=A0&amp;row=689&amp;col=6&amp;number=11220000&amp;sourceID=14","11220000")</f>
        <v>11220000</v>
      </c>
      <c r="G689" s="4" t="str">
        <f>HYPERLINK("http://141.218.60.56/~jnz1568/getInfo.php?workbook=20_10.xlsx&amp;sheet=A0&amp;row=689&amp;col=7&amp;number=0&amp;sourceID=14","0")</f>
        <v>0</v>
      </c>
    </row>
    <row r="690" spans="1:7">
      <c r="A690" s="3">
        <v>20</v>
      </c>
      <c r="B690" s="3">
        <v>10</v>
      </c>
      <c r="C690" s="3">
        <v>75</v>
      </c>
      <c r="D690" s="3">
        <v>49</v>
      </c>
      <c r="E690" s="3">
        <v>-1516.142</v>
      </c>
      <c r="F690" s="4" t="str">
        <f>HYPERLINK("http://141.218.60.56/~jnz1568/getInfo.php?workbook=20_10.xlsx&amp;sheet=A0&amp;row=690&amp;col=6&amp;number=40020000&amp;sourceID=14","40020000")</f>
        <v>40020000</v>
      </c>
      <c r="G690" s="4" t="str">
        <f>HYPERLINK("http://141.218.60.56/~jnz1568/getInfo.php?workbook=20_10.xlsx&amp;sheet=A0&amp;row=690&amp;col=7&amp;number=0&amp;sourceID=14","0")</f>
        <v>0</v>
      </c>
    </row>
    <row r="691" spans="1:7">
      <c r="A691" s="3">
        <v>20</v>
      </c>
      <c r="B691" s="3">
        <v>10</v>
      </c>
      <c r="C691" s="3">
        <v>75</v>
      </c>
      <c r="D691" s="3">
        <v>51</v>
      </c>
      <c r="E691" s="3">
        <v>-1580.956</v>
      </c>
      <c r="F691" s="4" t="str">
        <f>HYPERLINK("http://141.218.60.56/~jnz1568/getInfo.php?workbook=20_10.xlsx&amp;sheet=A0&amp;row=691&amp;col=6&amp;number=19790000&amp;sourceID=14","19790000")</f>
        <v>19790000</v>
      </c>
      <c r="G691" s="4" t="str">
        <f>HYPERLINK("http://141.218.60.56/~jnz1568/getInfo.php?workbook=20_10.xlsx&amp;sheet=A0&amp;row=691&amp;col=7&amp;number=0&amp;sourceID=14","0")</f>
        <v>0</v>
      </c>
    </row>
    <row r="692" spans="1:7">
      <c r="A692" s="3">
        <v>20</v>
      </c>
      <c r="B692" s="3">
        <v>10</v>
      </c>
      <c r="C692" s="3">
        <v>75</v>
      </c>
      <c r="D692" s="3">
        <v>53</v>
      </c>
      <c r="E692" s="3">
        <v>-1679.067</v>
      </c>
      <c r="F692" s="4" t="str">
        <f>HYPERLINK("http://141.218.60.56/~jnz1568/getInfo.php?workbook=20_10.xlsx&amp;sheet=A0&amp;row=692&amp;col=6&amp;number=14080000&amp;sourceID=14","14080000")</f>
        <v>14080000</v>
      </c>
      <c r="G692" s="4" t="str">
        <f>HYPERLINK("http://141.218.60.56/~jnz1568/getInfo.php?workbook=20_10.xlsx&amp;sheet=A0&amp;row=692&amp;col=7&amp;number=0&amp;sourceID=14","0")</f>
        <v>0</v>
      </c>
    </row>
    <row r="693" spans="1:7">
      <c r="A693" s="3">
        <v>20</v>
      </c>
      <c r="B693" s="3">
        <v>10</v>
      </c>
      <c r="C693" s="3">
        <v>76</v>
      </c>
      <c r="D693" s="3">
        <v>2</v>
      </c>
      <c r="E693" s="3">
        <v>-59.501</v>
      </c>
      <c r="F693" s="4" t="str">
        <f>HYPERLINK("http://141.218.60.56/~jnz1568/getInfo.php?workbook=20_10.xlsx&amp;sheet=A0&amp;row=693&amp;col=6&amp;number=53560000&amp;sourceID=14","53560000")</f>
        <v>53560000</v>
      </c>
      <c r="G693" s="4" t="str">
        <f>HYPERLINK("http://141.218.60.56/~jnz1568/getInfo.php?workbook=20_10.xlsx&amp;sheet=A0&amp;row=693&amp;col=7&amp;number=0&amp;sourceID=14","0")</f>
        <v>0</v>
      </c>
    </row>
    <row r="694" spans="1:7">
      <c r="A694" s="3">
        <v>20</v>
      </c>
      <c r="B694" s="3">
        <v>10</v>
      </c>
      <c r="C694" s="3">
        <v>76</v>
      </c>
      <c r="D694" s="3">
        <v>3</v>
      </c>
      <c r="E694" s="3">
        <v>-59.789</v>
      </c>
      <c r="F694" s="4" t="str">
        <f>HYPERLINK("http://141.218.60.56/~jnz1568/getInfo.php?workbook=20_10.xlsx&amp;sheet=A0&amp;row=694&amp;col=6&amp;number=19790000&amp;sourceID=14","19790000")</f>
        <v>19790000</v>
      </c>
      <c r="G694" s="4" t="str">
        <f>HYPERLINK("http://141.218.60.56/~jnz1568/getInfo.php?workbook=20_10.xlsx&amp;sheet=A0&amp;row=694&amp;col=7&amp;number=0&amp;sourceID=14","0")</f>
        <v>0</v>
      </c>
    </row>
    <row r="695" spans="1:7">
      <c r="A695" s="3">
        <v>20</v>
      </c>
      <c r="B695" s="3">
        <v>10</v>
      </c>
      <c r="C695" s="3">
        <v>76</v>
      </c>
      <c r="D695" s="3">
        <v>4</v>
      </c>
      <c r="E695" s="3">
        <v>-60.575</v>
      </c>
      <c r="F695" s="4" t="str">
        <f>HYPERLINK("http://141.218.60.56/~jnz1568/getInfo.php?workbook=20_10.xlsx&amp;sheet=A0&amp;row=695&amp;col=6&amp;number=10660000&amp;sourceID=14","10660000")</f>
        <v>10660000</v>
      </c>
      <c r="G695" s="4" t="str">
        <f>HYPERLINK("http://141.218.60.56/~jnz1568/getInfo.php?workbook=20_10.xlsx&amp;sheet=A0&amp;row=695&amp;col=7&amp;number=0&amp;sourceID=14","0")</f>
        <v>0</v>
      </c>
    </row>
    <row r="696" spans="1:7">
      <c r="A696" s="3">
        <v>20</v>
      </c>
      <c r="B696" s="3">
        <v>10</v>
      </c>
      <c r="C696" s="3">
        <v>76</v>
      </c>
      <c r="D696" s="3">
        <v>5</v>
      </c>
      <c r="E696" s="3">
        <v>-60.829</v>
      </c>
      <c r="F696" s="4" t="str">
        <f>HYPERLINK("http://141.218.60.56/~jnz1568/getInfo.php?workbook=20_10.xlsx&amp;sheet=A0&amp;row=696&amp;col=6&amp;number=12440000&amp;sourceID=14","12440000")</f>
        <v>12440000</v>
      </c>
      <c r="G696" s="4" t="str">
        <f>HYPERLINK("http://141.218.60.56/~jnz1568/getInfo.php?workbook=20_10.xlsx&amp;sheet=A0&amp;row=696&amp;col=7&amp;number=0&amp;sourceID=14","0")</f>
        <v>0</v>
      </c>
    </row>
    <row r="697" spans="1:7">
      <c r="A697" s="3">
        <v>20</v>
      </c>
      <c r="B697" s="3">
        <v>10</v>
      </c>
      <c r="C697" s="3">
        <v>76</v>
      </c>
      <c r="D697" s="3">
        <v>16</v>
      </c>
      <c r="E697" s="3">
        <v>-77.867</v>
      </c>
      <c r="F697" s="4" t="str">
        <f>HYPERLINK("http://141.218.60.56/~jnz1568/getInfo.php?workbook=20_10.xlsx&amp;sheet=A0&amp;row=697&amp;col=6&amp;number=37580000&amp;sourceID=14","37580000")</f>
        <v>37580000</v>
      </c>
      <c r="G697" s="4" t="str">
        <f>HYPERLINK("http://141.218.60.56/~jnz1568/getInfo.php?workbook=20_10.xlsx&amp;sheet=A0&amp;row=697&amp;col=7&amp;number=0&amp;sourceID=14","0")</f>
        <v>0</v>
      </c>
    </row>
    <row r="698" spans="1:7">
      <c r="A698" s="3">
        <v>20</v>
      </c>
      <c r="B698" s="3">
        <v>10</v>
      </c>
      <c r="C698" s="3">
        <v>76</v>
      </c>
      <c r="D698" s="3">
        <v>17</v>
      </c>
      <c r="E698" s="3">
        <v>-78.049</v>
      </c>
      <c r="F698" s="4" t="str">
        <f>HYPERLINK("http://141.218.60.56/~jnz1568/getInfo.php?workbook=20_10.xlsx&amp;sheet=A0&amp;row=698&amp;col=6&amp;number=112000000&amp;sourceID=14","112000000")</f>
        <v>112000000</v>
      </c>
      <c r="G698" s="4" t="str">
        <f>HYPERLINK("http://141.218.60.56/~jnz1568/getInfo.php?workbook=20_10.xlsx&amp;sheet=A0&amp;row=698&amp;col=7&amp;number=0&amp;sourceID=14","0")</f>
        <v>0</v>
      </c>
    </row>
    <row r="699" spans="1:7">
      <c r="A699" s="3">
        <v>20</v>
      </c>
      <c r="B699" s="3">
        <v>10</v>
      </c>
      <c r="C699" s="3">
        <v>76</v>
      </c>
      <c r="D699" s="3">
        <v>18</v>
      </c>
      <c r="E699" s="3">
        <v>-78.416</v>
      </c>
      <c r="F699" s="4" t="str">
        <f>HYPERLINK("http://141.218.60.56/~jnz1568/getInfo.php?workbook=20_10.xlsx&amp;sheet=A0&amp;row=699&amp;col=6&amp;number=177500000&amp;sourceID=14","177500000")</f>
        <v>177500000</v>
      </c>
      <c r="G699" s="4" t="str">
        <f>HYPERLINK("http://141.218.60.56/~jnz1568/getInfo.php?workbook=20_10.xlsx&amp;sheet=A0&amp;row=699&amp;col=7&amp;number=0&amp;sourceID=14","0")</f>
        <v>0</v>
      </c>
    </row>
    <row r="700" spans="1:7">
      <c r="A700" s="3">
        <v>20</v>
      </c>
      <c r="B700" s="3">
        <v>10</v>
      </c>
      <c r="C700" s="3">
        <v>76</v>
      </c>
      <c r="D700" s="3">
        <v>25</v>
      </c>
      <c r="E700" s="3">
        <v>-80.988</v>
      </c>
      <c r="F700" s="4" t="str">
        <f>HYPERLINK("http://141.218.60.56/~jnz1568/getInfo.php?workbook=20_10.xlsx&amp;sheet=A0&amp;row=700&amp;col=6&amp;number=32420000&amp;sourceID=14","32420000")</f>
        <v>32420000</v>
      </c>
      <c r="G700" s="4" t="str">
        <f>HYPERLINK("http://141.218.60.56/~jnz1568/getInfo.php?workbook=20_10.xlsx&amp;sheet=A0&amp;row=700&amp;col=7&amp;number=0&amp;sourceID=14","0")</f>
        <v>0</v>
      </c>
    </row>
    <row r="701" spans="1:7">
      <c r="A701" s="3">
        <v>20</v>
      </c>
      <c r="B701" s="3">
        <v>10</v>
      </c>
      <c r="C701" s="3">
        <v>76</v>
      </c>
      <c r="D701" s="3">
        <v>30</v>
      </c>
      <c r="E701" s="3">
        <v>-129.861</v>
      </c>
      <c r="F701" s="4" t="str">
        <f>HYPERLINK("http://141.218.60.56/~jnz1568/getInfo.php?workbook=20_10.xlsx&amp;sheet=A0&amp;row=701&amp;col=6&amp;number=12420000000&amp;sourceID=14","12420000000")</f>
        <v>12420000000</v>
      </c>
      <c r="G701" s="4" t="str">
        <f>HYPERLINK("http://141.218.60.56/~jnz1568/getInfo.php?workbook=20_10.xlsx&amp;sheet=A0&amp;row=701&amp;col=7&amp;number=0&amp;sourceID=14","0")</f>
        <v>0</v>
      </c>
    </row>
    <row r="702" spans="1:7">
      <c r="A702" s="3">
        <v>20</v>
      </c>
      <c r="B702" s="3">
        <v>10</v>
      </c>
      <c r="C702" s="3">
        <v>76</v>
      </c>
      <c r="D702" s="3">
        <v>31</v>
      </c>
      <c r="E702" s="3">
        <v>-130.082</v>
      </c>
      <c r="F702" s="4" t="str">
        <f>HYPERLINK("http://141.218.60.56/~jnz1568/getInfo.php?workbook=20_10.xlsx&amp;sheet=A0&amp;row=702&amp;col=6&amp;number=38990000000&amp;sourceID=14","38990000000")</f>
        <v>38990000000</v>
      </c>
      <c r="G702" s="4" t="str">
        <f>HYPERLINK("http://141.218.60.56/~jnz1568/getInfo.php?workbook=20_10.xlsx&amp;sheet=A0&amp;row=702&amp;col=7&amp;number=0&amp;sourceID=14","0")</f>
        <v>0</v>
      </c>
    </row>
    <row r="703" spans="1:7">
      <c r="A703" s="3">
        <v>20</v>
      </c>
      <c r="B703" s="3">
        <v>10</v>
      </c>
      <c r="C703" s="3">
        <v>76</v>
      </c>
      <c r="D703" s="3">
        <v>32</v>
      </c>
      <c r="E703" s="3">
        <v>-130.78</v>
      </c>
      <c r="F703" s="4" t="str">
        <f>HYPERLINK("http://141.218.60.56/~jnz1568/getInfo.php?workbook=20_10.xlsx&amp;sheet=A0&amp;row=703&amp;col=6&amp;number=77230000000&amp;sourceID=14","77230000000")</f>
        <v>77230000000</v>
      </c>
      <c r="G703" s="4" t="str">
        <f>HYPERLINK("http://141.218.60.56/~jnz1568/getInfo.php?workbook=20_10.xlsx&amp;sheet=A0&amp;row=703&amp;col=7&amp;number=0&amp;sourceID=14","0")</f>
        <v>0</v>
      </c>
    </row>
    <row r="704" spans="1:7">
      <c r="A704" s="3">
        <v>20</v>
      </c>
      <c r="B704" s="3">
        <v>10</v>
      </c>
      <c r="C704" s="3">
        <v>76</v>
      </c>
      <c r="D704" s="3">
        <v>33</v>
      </c>
      <c r="E704" s="3">
        <v>-132.442</v>
      </c>
      <c r="F704" s="4" t="str">
        <f>HYPERLINK("http://141.218.60.56/~jnz1568/getInfo.php?workbook=20_10.xlsx&amp;sheet=A0&amp;row=704&amp;col=6&amp;number=914100000&amp;sourceID=14","914100000")</f>
        <v>914100000</v>
      </c>
      <c r="G704" s="4" t="str">
        <f>HYPERLINK("http://141.218.60.56/~jnz1568/getInfo.php?workbook=20_10.xlsx&amp;sheet=A0&amp;row=704&amp;col=7&amp;number=0&amp;sourceID=14","0")</f>
        <v>0</v>
      </c>
    </row>
    <row r="705" spans="1:7">
      <c r="A705" s="3">
        <v>20</v>
      </c>
      <c r="B705" s="3">
        <v>10</v>
      </c>
      <c r="C705" s="3">
        <v>76</v>
      </c>
      <c r="D705" s="3">
        <v>34</v>
      </c>
      <c r="E705" s="3">
        <v>-136.827</v>
      </c>
      <c r="F705" s="4" t="str">
        <f>HYPERLINK("http://141.218.60.56/~jnz1568/getInfo.php?workbook=20_10.xlsx&amp;sheet=A0&amp;row=705&amp;col=6&amp;number=19720000000&amp;sourceID=14","19720000000")</f>
        <v>19720000000</v>
      </c>
      <c r="G705" s="4" t="str">
        <f>HYPERLINK("http://141.218.60.56/~jnz1568/getInfo.php?workbook=20_10.xlsx&amp;sheet=A0&amp;row=705&amp;col=7&amp;number=0&amp;sourceID=14","0")</f>
        <v>0</v>
      </c>
    </row>
    <row r="706" spans="1:7">
      <c r="A706" s="3">
        <v>20</v>
      </c>
      <c r="B706" s="3">
        <v>10</v>
      </c>
      <c r="C706" s="3">
        <v>76</v>
      </c>
      <c r="D706" s="3">
        <v>35</v>
      </c>
      <c r="E706" s="3">
        <v>-137.392</v>
      </c>
      <c r="F706" s="4" t="str">
        <f>HYPERLINK("http://141.218.60.56/~jnz1568/getInfo.php?workbook=20_10.xlsx&amp;sheet=A0&amp;row=706&amp;col=6&amp;number=5373000000&amp;sourceID=14","5373000000")</f>
        <v>5373000000</v>
      </c>
      <c r="G706" s="4" t="str">
        <f>HYPERLINK("http://141.218.60.56/~jnz1568/getInfo.php?workbook=20_10.xlsx&amp;sheet=A0&amp;row=706&amp;col=7&amp;number=0&amp;sourceID=14","0")</f>
        <v>0</v>
      </c>
    </row>
    <row r="707" spans="1:7">
      <c r="A707" s="3">
        <v>20</v>
      </c>
      <c r="B707" s="3">
        <v>10</v>
      </c>
      <c r="C707" s="3">
        <v>76</v>
      </c>
      <c r="D707" s="3">
        <v>36</v>
      </c>
      <c r="E707" s="3">
        <v>-142.684</v>
      </c>
      <c r="F707" s="4" t="str">
        <f>HYPERLINK("http://141.218.60.56/~jnz1568/getInfo.php?workbook=20_10.xlsx&amp;sheet=A0&amp;row=707&amp;col=6&amp;number=5620000000&amp;sourceID=14","5620000000")</f>
        <v>5620000000</v>
      </c>
      <c r="G707" s="4" t="str">
        <f>HYPERLINK("http://141.218.60.56/~jnz1568/getInfo.php?workbook=20_10.xlsx&amp;sheet=A0&amp;row=707&amp;col=7&amp;number=0&amp;sourceID=14","0")</f>
        <v>0</v>
      </c>
    </row>
    <row r="708" spans="1:7">
      <c r="A708" s="3">
        <v>20</v>
      </c>
      <c r="B708" s="3">
        <v>10</v>
      </c>
      <c r="C708" s="3">
        <v>76</v>
      </c>
      <c r="D708" s="3">
        <v>37</v>
      </c>
      <c r="E708" s="3">
        <v>-143.031</v>
      </c>
      <c r="F708" s="4" t="str">
        <f>HYPERLINK("http://141.218.60.56/~jnz1568/getInfo.php?workbook=20_10.xlsx&amp;sheet=A0&amp;row=708&amp;col=6&amp;number=10190000000&amp;sourceID=14","10190000000")</f>
        <v>10190000000</v>
      </c>
      <c r="G708" s="4" t="str">
        <f>HYPERLINK("http://141.218.60.56/~jnz1568/getInfo.php?workbook=20_10.xlsx&amp;sheet=A0&amp;row=708&amp;col=7&amp;number=0&amp;sourceID=14","0")</f>
        <v>0</v>
      </c>
    </row>
    <row r="709" spans="1:7">
      <c r="A709" s="3">
        <v>20</v>
      </c>
      <c r="B709" s="3">
        <v>10</v>
      </c>
      <c r="C709" s="3">
        <v>77</v>
      </c>
      <c r="D709" s="3">
        <v>23</v>
      </c>
      <c r="E709" s="3">
        <v>-79.706</v>
      </c>
      <c r="F709" s="4" t="str">
        <f>HYPERLINK("http://141.218.60.56/~jnz1568/getInfo.php?workbook=20_10.xlsx&amp;sheet=A0&amp;row=709&amp;col=6&amp;number=14550000&amp;sourceID=14","14550000")</f>
        <v>14550000</v>
      </c>
      <c r="G709" s="4" t="str">
        <f>HYPERLINK("http://141.218.60.56/~jnz1568/getInfo.php?workbook=20_10.xlsx&amp;sheet=A0&amp;row=709&amp;col=7&amp;number=0&amp;sourceID=14","0")</f>
        <v>0</v>
      </c>
    </row>
    <row r="710" spans="1:7">
      <c r="A710" s="3">
        <v>20</v>
      </c>
      <c r="B710" s="3">
        <v>10</v>
      </c>
      <c r="C710" s="3">
        <v>77</v>
      </c>
      <c r="D710" s="3">
        <v>27</v>
      </c>
      <c r="E710" s="3">
        <v>-82.809</v>
      </c>
      <c r="F710" s="4" t="str">
        <f>HYPERLINK("http://141.218.60.56/~jnz1568/getInfo.php?workbook=20_10.xlsx&amp;sheet=A0&amp;row=710&amp;col=6&amp;number=302600000&amp;sourceID=14","302600000")</f>
        <v>302600000</v>
      </c>
      <c r="G710" s="4" t="str">
        <f>HYPERLINK("http://141.218.60.56/~jnz1568/getInfo.php?workbook=20_10.xlsx&amp;sheet=A0&amp;row=710&amp;col=7&amp;number=0&amp;sourceID=14","0")</f>
        <v>0</v>
      </c>
    </row>
    <row r="711" spans="1:7">
      <c r="A711" s="3">
        <v>20</v>
      </c>
      <c r="B711" s="3">
        <v>10</v>
      </c>
      <c r="C711" s="3">
        <v>77</v>
      </c>
      <c r="D711" s="3">
        <v>31</v>
      </c>
      <c r="E711" s="3">
        <v>-128.32</v>
      </c>
      <c r="F711" s="4" t="str">
        <f>HYPERLINK("http://141.218.60.56/~jnz1568/getInfo.php?workbook=20_10.xlsx&amp;sheet=A0&amp;row=711&amp;col=6&amp;number=3965000000&amp;sourceID=14","3965000000")</f>
        <v>3965000000</v>
      </c>
      <c r="G711" s="4" t="str">
        <f>HYPERLINK("http://141.218.60.56/~jnz1568/getInfo.php?workbook=20_10.xlsx&amp;sheet=A0&amp;row=711&amp;col=7&amp;number=0&amp;sourceID=14","0")</f>
        <v>0</v>
      </c>
    </row>
    <row r="712" spans="1:7">
      <c r="A712" s="3">
        <v>20</v>
      </c>
      <c r="B712" s="3">
        <v>10</v>
      </c>
      <c r="C712" s="3">
        <v>77</v>
      </c>
      <c r="D712" s="3">
        <v>33</v>
      </c>
      <c r="E712" s="3">
        <v>-130.615</v>
      </c>
      <c r="F712" s="4" t="str">
        <f>HYPERLINK("http://141.218.60.56/~jnz1568/getInfo.php?workbook=20_10.xlsx&amp;sheet=A0&amp;row=712&amp;col=6&amp;number=96580000000&amp;sourceID=14","96580000000")</f>
        <v>96580000000</v>
      </c>
      <c r="G712" s="4" t="str">
        <f>HYPERLINK("http://141.218.60.56/~jnz1568/getInfo.php?workbook=20_10.xlsx&amp;sheet=A0&amp;row=712&amp;col=7&amp;number=0&amp;sourceID=14","0")</f>
        <v>0</v>
      </c>
    </row>
    <row r="713" spans="1:7">
      <c r="A713" s="3">
        <v>20</v>
      </c>
      <c r="B713" s="3">
        <v>10</v>
      </c>
      <c r="C713" s="3">
        <v>77</v>
      </c>
      <c r="D713" s="3">
        <v>35</v>
      </c>
      <c r="E713" s="3">
        <v>-135.427</v>
      </c>
      <c r="F713" s="4" t="str">
        <f>HYPERLINK("http://141.218.60.56/~jnz1568/getInfo.php?workbook=20_10.xlsx&amp;sheet=A0&amp;row=713&amp;col=6&amp;number=33130000000&amp;sourceID=14","33130000000")</f>
        <v>33130000000</v>
      </c>
      <c r="G713" s="4" t="str">
        <f>HYPERLINK("http://141.218.60.56/~jnz1568/getInfo.php?workbook=20_10.xlsx&amp;sheet=A0&amp;row=713&amp;col=7&amp;number=0&amp;sourceID=14","0")</f>
        <v>0</v>
      </c>
    </row>
    <row r="714" spans="1:7">
      <c r="A714" s="3">
        <v>20</v>
      </c>
      <c r="B714" s="3">
        <v>10</v>
      </c>
      <c r="C714" s="3">
        <v>77</v>
      </c>
      <c r="D714" s="3">
        <v>37</v>
      </c>
      <c r="E714" s="3">
        <v>-140.903</v>
      </c>
      <c r="F714" s="4" t="str">
        <f>HYPERLINK("http://141.218.60.56/~jnz1568/getInfo.php?workbook=20_10.xlsx&amp;sheet=A0&amp;row=714&amp;col=6&amp;number=20430000000&amp;sourceID=14","20430000000")</f>
        <v>20430000000</v>
      </c>
      <c r="G714" s="4" t="str">
        <f>HYPERLINK("http://141.218.60.56/~jnz1568/getInfo.php?workbook=20_10.xlsx&amp;sheet=A0&amp;row=714&amp;col=7&amp;number=0&amp;sourceID=14","0")</f>
        <v>0</v>
      </c>
    </row>
    <row r="715" spans="1:7">
      <c r="A715" s="3">
        <v>20</v>
      </c>
      <c r="B715" s="3">
        <v>10</v>
      </c>
      <c r="C715" s="3">
        <v>77</v>
      </c>
      <c r="D715" s="3">
        <v>55</v>
      </c>
      <c r="E715" s="3">
        <v>-174.06</v>
      </c>
      <c r="F715" s="4" t="str">
        <f>HYPERLINK("http://141.218.60.56/~jnz1568/getInfo.php?workbook=20_10.xlsx&amp;sheet=A0&amp;row=715&amp;col=6&amp;number=330300000&amp;sourceID=14","330300000")</f>
        <v>330300000</v>
      </c>
      <c r="G715" s="4" t="str">
        <f>HYPERLINK("http://141.218.60.56/~jnz1568/getInfo.php?workbook=20_10.xlsx&amp;sheet=A0&amp;row=715&amp;col=7&amp;number=0&amp;sourceID=14","0")</f>
        <v>0</v>
      </c>
    </row>
    <row r="716" spans="1:7">
      <c r="A716" s="3">
        <v>20</v>
      </c>
      <c r="B716" s="3">
        <v>10</v>
      </c>
      <c r="C716" s="3">
        <v>77</v>
      </c>
      <c r="D716" s="3">
        <v>70</v>
      </c>
      <c r="E716" s="3">
        <v>-183.484</v>
      </c>
      <c r="F716" s="4" t="str">
        <f>HYPERLINK("http://141.218.60.56/~jnz1568/getInfo.php?workbook=20_10.xlsx&amp;sheet=A0&amp;row=716&amp;col=6&amp;number=774700000&amp;sourceID=14","774700000")</f>
        <v>774700000</v>
      </c>
      <c r="G716" s="4" t="str">
        <f>HYPERLINK("http://141.218.60.56/~jnz1568/getInfo.php?workbook=20_10.xlsx&amp;sheet=A0&amp;row=716&amp;col=7&amp;number=0&amp;sourceID=14","0")</f>
        <v>0</v>
      </c>
    </row>
    <row r="717" spans="1:7">
      <c r="A717" s="3">
        <v>20</v>
      </c>
      <c r="B717" s="3">
        <v>10</v>
      </c>
      <c r="C717" s="3">
        <v>78</v>
      </c>
      <c r="D717" s="3">
        <v>6</v>
      </c>
      <c r="E717" s="3">
        <v>-62.841</v>
      </c>
      <c r="F717" s="4" t="str">
        <f>HYPERLINK("http://141.218.60.56/~jnz1568/getInfo.php?workbook=20_10.xlsx&amp;sheet=A0&amp;row=717&amp;col=6&amp;number=35980000&amp;sourceID=14","35980000")</f>
        <v>35980000</v>
      </c>
      <c r="G717" s="4" t="str">
        <f>HYPERLINK("http://141.218.60.56/~jnz1568/getInfo.php?workbook=20_10.xlsx&amp;sheet=A0&amp;row=717&amp;col=7&amp;number=0&amp;sourceID=14","0")</f>
        <v>0</v>
      </c>
    </row>
    <row r="718" spans="1:7">
      <c r="A718" s="3">
        <v>20</v>
      </c>
      <c r="B718" s="3">
        <v>10</v>
      </c>
      <c r="C718" s="3">
        <v>78</v>
      </c>
      <c r="D718" s="3">
        <v>10</v>
      </c>
      <c r="E718" s="3">
        <v>-63.957</v>
      </c>
      <c r="F718" s="4" t="str">
        <f>HYPERLINK("http://141.218.60.56/~jnz1568/getInfo.php?workbook=20_10.xlsx&amp;sheet=A0&amp;row=718&amp;col=6&amp;number=60350000&amp;sourceID=14","60350000")</f>
        <v>60350000</v>
      </c>
      <c r="G718" s="4" t="str">
        <f>HYPERLINK("http://141.218.60.56/~jnz1568/getInfo.php?workbook=20_10.xlsx&amp;sheet=A0&amp;row=718&amp;col=7&amp;number=0&amp;sourceID=14","0")</f>
        <v>0</v>
      </c>
    </row>
    <row r="719" spans="1:7">
      <c r="A719" s="3">
        <v>20</v>
      </c>
      <c r="B719" s="3">
        <v>10</v>
      </c>
      <c r="C719" s="3">
        <v>78</v>
      </c>
      <c r="D719" s="3">
        <v>11</v>
      </c>
      <c r="E719" s="3">
        <v>-64.833</v>
      </c>
      <c r="F719" s="4" t="str">
        <f>HYPERLINK("http://141.218.60.56/~jnz1568/getInfo.php?workbook=20_10.xlsx&amp;sheet=A0&amp;row=719&amp;col=6&amp;number=138900000&amp;sourceID=14","138900000")</f>
        <v>138900000</v>
      </c>
      <c r="G719" s="4" t="str">
        <f>HYPERLINK("http://141.218.60.56/~jnz1568/getInfo.php?workbook=20_10.xlsx&amp;sheet=A0&amp;row=719&amp;col=7&amp;number=0&amp;sourceID=14","0")</f>
        <v>0</v>
      </c>
    </row>
    <row r="720" spans="1:7">
      <c r="A720" s="3">
        <v>20</v>
      </c>
      <c r="B720" s="3">
        <v>10</v>
      </c>
      <c r="C720" s="3">
        <v>78</v>
      </c>
      <c r="D720" s="3">
        <v>14</v>
      </c>
      <c r="E720" s="3">
        <v>-65.196</v>
      </c>
      <c r="F720" s="4" t="str">
        <f>HYPERLINK("http://141.218.60.56/~jnz1568/getInfo.php?workbook=20_10.xlsx&amp;sheet=A0&amp;row=720&amp;col=6&amp;number=49080000&amp;sourceID=14","49080000")</f>
        <v>49080000</v>
      </c>
      <c r="G720" s="4" t="str">
        <f>HYPERLINK("http://141.218.60.56/~jnz1568/getInfo.php?workbook=20_10.xlsx&amp;sheet=A0&amp;row=720&amp;col=7&amp;number=0&amp;sourceID=14","0")</f>
        <v>0</v>
      </c>
    </row>
    <row r="721" spans="1:7">
      <c r="A721" s="3">
        <v>20</v>
      </c>
      <c r="B721" s="3">
        <v>10</v>
      </c>
      <c r="C721" s="3">
        <v>78</v>
      </c>
      <c r="D721" s="3">
        <v>28</v>
      </c>
      <c r="E721" s="3">
        <v>-99.01</v>
      </c>
      <c r="F721" s="4" t="str">
        <f>HYPERLINK("http://141.218.60.56/~jnz1568/getInfo.php?workbook=20_10.xlsx&amp;sheet=A0&amp;row=721&amp;col=6&amp;number=42970000000&amp;sourceID=14","42970000000")</f>
        <v>42970000000</v>
      </c>
      <c r="G721" s="4" t="str">
        <f>HYPERLINK("http://141.218.60.56/~jnz1568/getInfo.php?workbook=20_10.xlsx&amp;sheet=A0&amp;row=721&amp;col=7&amp;number=0&amp;sourceID=14","0")</f>
        <v>0</v>
      </c>
    </row>
    <row r="722" spans="1:7">
      <c r="A722" s="3">
        <v>20</v>
      </c>
      <c r="B722" s="3">
        <v>10</v>
      </c>
      <c r="C722" s="3">
        <v>78</v>
      </c>
      <c r="D722" s="3">
        <v>38</v>
      </c>
      <c r="E722" s="3">
        <v>-136.053</v>
      </c>
      <c r="F722" s="4" t="str">
        <f>HYPERLINK("http://141.218.60.56/~jnz1568/getInfo.php?workbook=20_10.xlsx&amp;sheet=A0&amp;row=722&amp;col=6&amp;number=22750000000&amp;sourceID=14","22750000000")</f>
        <v>22750000000</v>
      </c>
      <c r="G722" s="4" t="str">
        <f>HYPERLINK("http://141.218.60.56/~jnz1568/getInfo.php?workbook=20_10.xlsx&amp;sheet=A0&amp;row=722&amp;col=7&amp;number=0&amp;sourceID=14","0")</f>
        <v>0</v>
      </c>
    </row>
    <row r="723" spans="1:7">
      <c r="A723" s="3">
        <v>20</v>
      </c>
      <c r="B723" s="3">
        <v>10</v>
      </c>
      <c r="C723" s="3">
        <v>78</v>
      </c>
      <c r="D723" s="3">
        <v>41</v>
      </c>
      <c r="E723" s="3">
        <v>-137.602</v>
      </c>
      <c r="F723" s="4" t="str">
        <f>HYPERLINK("http://141.218.60.56/~jnz1568/getInfo.php?workbook=20_10.xlsx&amp;sheet=A0&amp;row=723&amp;col=6&amp;number=32080000000&amp;sourceID=14","32080000000")</f>
        <v>32080000000</v>
      </c>
      <c r="G723" s="4" t="str">
        <f>HYPERLINK("http://141.218.60.56/~jnz1568/getInfo.php?workbook=20_10.xlsx&amp;sheet=A0&amp;row=723&amp;col=7&amp;number=0&amp;sourceID=14","0")</f>
        <v>0</v>
      </c>
    </row>
    <row r="724" spans="1:7">
      <c r="A724" s="3">
        <v>20</v>
      </c>
      <c r="B724" s="3">
        <v>10</v>
      </c>
      <c r="C724" s="3">
        <v>78</v>
      </c>
      <c r="D724" s="3">
        <v>44</v>
      </c>
      <c r="E724" s="3">
        <v>-142.712</v>
      </c>
      <c r="F724" s="4" t="str">
        <f>HYPERLINK("http://141.218.60.56/~jnz1568/getInfo.php?workbook=20_10.xlsx&amp;sheet=A0&amp;row=724&amp;col=6&amp;number=26430000000&amp;sourceID=14","26430000000")</f>
        <v>26430000000</v>
      </c>
      <c r="G724" s="4" t="str">
        <f>HYPERLINK("http://141.218.60.56/~jnz1568/getInfo.php?workbook=20_10.xlsx&amp;sheet=A0&amp;row=724&amp;col=7&amp;number=0&amp;sourceID=14","0")</f>
        <v>0</v>
      </c>
    </row>
    <row r="725" spans="1:7">
      <c r="A725" s="3">
        <v>20</v>
      </c>
      <c r="B725" s="3">
        <v>10</v>
      </c>
      <c r="C725" s="3">
        <v>78</v>
      </c>
      <c r="D725" s="3">
        <v>45</v>
      </c>
      <c r="E725" s="3">
        <v>-143.263</v>
      </c>
      <c r="F725" s="4" t="str">
        <f>HYPERLINK("http://141.218.60.56/~jnz1568/getInfo.php?workbook=20_10.xlsx&amp;sheet=A0&amp;row=725&amp;col=6&amp;number=2766000000&amp;sourceID=14","2766000000")</f>
        <v>2766000000</v>
      </c>
      <c r="G725" s="4" t="str">
        <f>HYPERLINK("http://141.218.60.56/~jnz1568/getInfo.php?workbook=20_10.xlsx&amp;sheet=A0&amp;row=725&amp;col=7&amp;number=0&amp;sourceID=14","0")</f>
        <v>0</v>
      </c>
    </row>
    <row r="726" spans="1:7">
      <c r="A726" s="3">
        <v>20</v>
      </c>
      <c r="B726" s="3">
        <v>10</v>
      </c>
      <c r="C726" s="3">
        <v>78</v>
      </c>
      <c r="D726" s="3">
        <v>56</v>
      </c>
      <c r="E726" s="3">
        <v>-162.72</v>
      </c>
      <c r="F726" s="4" t="str">
        <f>HYPERLINK("http://141.218.60.56/~jnz1568/getInfo.php?workbook=20_10.xlsx&amp;sheet=A0&amp;row=726&amp;col=6&amp;number=5014000000&amp;sourceID=14","5014000000")</f>
        <v>5014000000</v>
      </c>
      <c r="G726" s="4" t="str">
        <f>HYPERLINK("http://141.218.60.56/~jnz1568/getInfo.php?workbook=20_10.xlsx&amp;sheet=A0&amp;row=726&amp;col=7&amp;number=0&amp;sourceID=14","0")</f>
        <v>0</v>
      </c>
    </row>
    <row r="727" spans="1:7">
      <c r="A727" s="3">
        <v>20</v>
      </c>
      <c r="B727" s="3">
        <v>10</v>
      </c>
      <c r="C727" s="3">
        <v>78</v>
      </c>
      <c r="D727" s="3">
        <v>67</v>
      </c>
      <c r="E727" s="3">
        <v>-164.609</v>
      </c>
      <c r="F727" s="4" t="str">
        <f>HYPERLINK("http://141.218.60.56/~jnz1568/getInfo.php?workbook=20_10.xlsx&amp;sheet=A0&amp;row=727&amp;col=6&amp;number=9409000000&amp;sourceID=14","9409000000")</f>
        <v>9409000000</v>
      </c>
      <c r="G727" s="4" t="str">
        <f>HYPERLINK("http://141.218.60.56/~jnz1568/getInfo.php?workbook=20_10.xlsx&amp;sheet=A0&amp;row=727&amp;col=7&amp;number=0&amp;sourceID=14","0")</f>
        <v>0</v>
      </c>
    </row>
    <row r="728" spans="1:7">
      <c r="A728" s="3">
        <v>20</v>
      </c>
      <c r="B728" s="3">
        <v>10</v>
      </c>
      <c r="C728" s="3">
        <v>78</v>
      </c>
      <c r="D728" s="3">
        <v>76</v>
      </c>
      <c r="E728" s="3">
        <v>-1480.3</v>
      </c>
      <c r="F728" s="4" t="str">
        <f>HYPERLINK("http://141.218.60.56/~jnz1568/getInfo.php?workbook=20_10.xlsx&amp;sheet=A0&amp;row=728&amp;col=6&amp;number=682900000&amp;sourceID=14","682900000")</f>
        <v>682900000</v>
      </c>
      <c r="G728" s="4" t="str">
        <f>HYPERLINK("http://141.218.60.56/~jnz1568/getInfo.php?workbook=20_10.xlsx&amp;sheet=A0&amp;row=728&amp;col=7&amp;number=0&amp;sourceID=14","0")</f>
        <v>0</v>
      </c>
    </row>
    <row r="729" spans="1:7">
      <c r="A729" s="3">
        <v>20</v>
      </c>
      <c r="B729" s="3">
        <v>10</v>
      </c>
      <c r="C729" s="3">
        <v>79</v>
      </c>
      <c r="D729" s="3">
        <v>1</v>
      </c>
      <c r="E729" s="3">
        <v>-21.993</v>
      </c>
      <c r="F729" s="4" t="str">
        <f>HYPERLINK("http://141.218.60.56/~jnz1568/getInfo.php?workbook=20_10.xlsx&amp;sheet=A0&amp;row=729&amp;col=6&amp;number=23430000000&amp;sourceID=14","23430000000")</f>
        <v>23430000000</v>
      </c>
      <c r="G729" s="4" t="str">
        <f>HYPERLINK("http://141.218.60.56/~jnz1568/getInfo.php?workbook=20_10.xlsx&amp;sheet=A0&amp;row=729&amp;col=7&amp;number=0&amp;sourceID=14","0")</f>
        <v>0</v>
      </c>
    </row>
    <row r="730" spans="1:7">
      <c r="A730" s="3">
        <v>20</v>
      </c>
      <c r="B730" s="3">
        <v>10</v>
      </c>
      <c r="C730" s="3">
        <v>79</v>
      </c>
      <c r="D730" s="3">
        <v>6</v>
      </c>
      <c r="E730" s="3">
        <v>-62.822</v>
      </c>
      <c r="F730" s="4" t="str">
        <f>HYPERLINK("http://141.218.60.56/~jnz1568/getInfo.php?workbook=20_10.xlsx&amp;sheet=A0&amp;row=730&amp;col=6&amp;number=30240000&amp;sourceID=14","30240000")</f>
        <v>30240000</v>
      </c>
      <c r="G730" s="4" t="str">
        <f>HYPERLINK("http://141.218.60.56/~jnz1568/getInfo.php?workbook=20_10.xlsx&amp;sheet=A0&amp;row=730&amp;col=7&amp;number=0&amp;sourceID=14","0")</f>
        <v>0</v>
      </c>
    </row>
    <row r="731" spans="1:7">
      <c r="A731" s="3">
        <v>20</v>
      </c>
      <c r="B731" s="3">
        <v>10</v>
      </c>
      <c r="C731" s="3">
        <v>79</v>
      </c>
      <c r="D731" s="3">
        <v>7</v>
      </c>
      <c r="E731" s="3">
        <v>-63.621</v>
      </c>
      <c r="F731" s="4" t="str">
        <f>HYPERLINK("http://141.218.60.56/~jnz1568/getInfo.php?workbook=20_10.xlsx&amp;sheet=A0&amp;row=731&amp;col=6&amp;number=113400000&amp;sourceID=14","113400000")</f>
        <v>113400000</v>
      </c>
      <c r="G731" s="4" t="str">
        <f>HYPERLINK("http://141.218.60.56/~jnz1568/getInfo.php?workbook=20_10.xlsx&amp;sheet=A0&amp;row=731&amp;col=7&amp;number=0&amp;sourceID=14","0")</f>
        <v>0</v>
      </c>
    </row>
    <row r="732" spans="1:7">
      <c r="A732" s="3">
        <v>20</v>
      </c>
      <c r="B732" s="3">
        <v>10</v>
      </c>
      <c r="C732" s="3">
        <v>79</v>
      </c>
      <c r="D732" s="3">
        <v>10</v>
      </c>
      <c r="E732" s="3">
        <v>-63.937</v>
      </c>
      <c r="F732" s="4" t="str">
        <f>HYPERLINK("http://141.218.60.56/~jnz1568/getInfo.php?workbook=20_10.xlsx&amp;sheet=A0&amp;row=732&amp;col=6&amp;number=34160000&amp;sourceID=14","34160000")</f>
        <v>34160000</v>
      </c>
      <c r="G732" s="4" t="str">
        <f>HYPERLINK("http://141.218.60.56/~jnz1568/getInfo.php?workbook=20_10.xlsx&amp;sheet=A0&amp;row=732&amp;col=7&amp;number=0&amp;sourceID=14","0")</f>
        <v>0</v>
      </c>
    </row>
    <row r="733" spans="1:7">
      <c r="A733" s="3">
        <v>20</v>
      </c>
      <c r="B733" s="3">
        <v>10</v>
      </c>
      <c r="C733" s="3">
        <v>79</v>
      </c>
      <c r="D733" s="3">
        <v>11</v>
      </c>
      <c r="E733" s="3">
        <v>-64.812</v>
      </c>
      <c r="F733" s="4" t="str">
        <f>HYPERLINK("http://141.218.60.56/~jnz1568/getInfo.php?workbook=20_10.xlsx&amp;sheet=A0&amp;row=733&amp;col=6&amp;number=27800000&amp;sourceID=14","27800000")</f>
        <v>27800000</v>
      </c>
      <c r="G733" s="4" t="str">
        <f>HYPERLINK("http://141.218.60.56/~jnz1568/getInfo.php?workbook=20_10.xlsx&amp;sheet=A0&amp;row=733&amp;col=7&amp;number=0&amp;sourceID=14","0")</f>
        <v>0</v>
      </c>
    </row>
    <row r="734" spans="1:7">
      <c r="A734" s="3">
        <v>20</v>
      </c>
      <c r="B734" s="3">
        <v>10</v>
      </c>
      <c r="C734" s="3">
        <v>79</v>
      </c>
      <c r="D734" s="3">
        <v>13</v>
      </c>
      <c r="E734" s="3">
        <v>-65.175</v>
      </c>
      <c r="F734" s="4" t="str">
        <f>HYPERLINK("http://141.218.60.56/~jnz1568/getInfo.php?workbook=20_10.xlsx&amp;sheet=A0&amp;row=734&amp;col=6&amp;number=53080000&amp;sourceID=14","53080000")</f>
        <v>53080000</v>
      </c>
      <c r="G734" s="4" t="str">
        <f>HYPERLINK("http://141.218.60.56/~jnz1568/getInfo.php?workbook=20_10.xlsx&amp;sheet=A0&amp;row=734&amp;col=7&amp;number=0&amp;sourceID=14","0")</f>
        <v>0</v>
      </c>
    </row>
    <row r="735" spans="1:7">
      <c r="A735" s="3">
        <v>20</v>
      </c>
      <c r="B735" s="3">
        <v>10</v>
      </c>
      <c r="C735" s="3">
        <v>79</v>
      </c>
      <c r="D735" s="3">
        <v>28</v>
      </c>
      <c r="E735" s="3">
        <v>-98.961</v>
      </c>
      <c r="F735" s="4" t="str">
        <f>HYPERLINK("http://141.218.60.56/~jnz1568/getInfo.php?workbook=20_10.xlsx&amp;sheet=A0&amp;row=735&amp;col=6&amp;number=40940000000&amp;sourceID=14","40940000000")</f>
        <v>40940000000</v>
      </c>
      <c r="G735" s="4" t="str">
        <f>HYPERLINK("http://141.218.60.56/~jnz1568/getInfo.php?workbook=20_10.xlsx&amp;sheet=A0&amp;row=735&amp;col=7&amp;number=0&amp;sourceID=14","0")</f>
        <v>0</v>
      </c>
    </row>
    <row r="736" spans="1:7">
      <c r="A736" s="3">
        <v>20</v>
      </c>
      <c r="B736" s="3">
        <v>10</v>
      </c>
      <c r="C736" s="3">
        <v>79</v>
      </c>
      <c r="D736" s="3">
        <v>29</v>
      </c>
      <c r="E736" s="3">
        <v>-102.212</v>
      </c>
      <c r="F736" s="4" t="str">
        <f>HYPERLINK("http://141.218.60.56/~jnz1568/getInfo.php?workbook=20_10.xlsx&amp;sheet=A0&amp;row=736&amp;col=6&amp;number=1637000000&amp;sourceID=14","1637000000")</f>
        <v>1637000000</v>
      </c>
      <c r="G736" s="4" t="str">
        <f>HYPERLINK("http://141.218.60.56/~jnz1568/getInfo.php?workbook=20_10.xlsx&amp;sheet=A0&amp;row=736&amp;col=7&amp;number=0&amp;sourceID=14","0")</f>
        <v>0</v>
      </c>
    </row>
    <row r="737" spans="1:7">
      <c r="A737" s="3">
        <v>20</v>
      </c>
      <c r="B737" s="3">
        <v>10</v>
      </c>
      <c r="C737" s="3">
        <v>79</v>
      </c>
      <c r="D737" s="3">
        <v>38</v>
      </c>
      <c r="E737" s="3">
        <v>-135.96</v>
      </c>
      <c r="F737" s="4" t="str">
        <f>HYPERLINK("http://141.218.60.56/~jnz1568/getInfo.php?workbook=20_10.xlsx&amp;sheet=A0&amp;row=737&amp;col=6&amp;number=8136000000&amp;sourceID=14","8136000000")</f>
        <v>8136000000</v>
      </c>
      <c r="G737" s="4" t="str">
        <f>HYPERLINK("http://141.218.60.56/~jnz1568/getInfo.php?workbook=20_10.xlsx&amp;sheet=A0&amp;row=737&amp;col=7&amp;number=0&amp;sourceID=14","0")</f>
        <v>0</v>
      </c>
    </row>
    <row r="738" spans="1:7">
      <c r="A738" s="3">
        <v>20</v>
      </c>
      <c r="B738" s="3">
        <v>10</v>
      </c>
      <c r="C738" s="3">
        <v>79</v>
      </c>
      <c r="D738" s="3">
        <v>39</v>
      </c>
      <c r="E738" s="3">
        <v>-136.945</v>
      </c>
      <c r="F738" s="4" t="str">
        <f>HYPERLINK("http://141.218.60.56/~jnz1568/getInfo.php?workbook=20_10.xlsx&amp;sheet=A0&amp;row=738&amp;col=6&amp;number=42800000000&amp;sourceID=14","42800000000")</f>
        <v>42800000000</v>
      </c>
      <c r="G738" s="4" t="str">
        <f>HYPERLINK("http://141.218.60.56/~jnz1568/getInfo.php?workbook=20_10.xlsx&amp;sheet=A0&amp;row=738&amp;col=7&amp;number=0&amp;sourceID=14","0")</f>
        <v>0</v>
      </c>
    </row>
    <row r="739" spans="1:7">
      <c r="A739" s="3">
        <v>20</v>
      </c>
      <c r="B739" s="3">
        <v>10</v>
      </c>
      <c r="C739" s="3">
        <v>79</v>
      </c>
      <c r="D739" s="3">
        <v>41</v>
      </c>
      <c r="E739" s="3">
        <v>-137.508</v>
      </c>
      <c r="F739" s="4" t="str">
        <f>HYPERLINK("http://141.218.60.56/~jnz1568/getInfo.php?workbook=20_10.xlsx&amp;sheet=A0&amp;row=739&amp;col=6&amp;number=10940000&amp;sourceID=14","10940000")</f>
        <v>10940000</v>
      </c>
      <c r="G739" s="4" t="str">
        <f>HYPERLINK("http://141.218.60.56/~jnz1568/getInfo.php?workbook=20_10.xlsx&amp;sheet=A0&amp;row=739&amp;col=7&amp;number=0&amp;sourceID=14","0")</f>
        <v>0</v>
      </c>
    </row>
    <row r="740" spans="1:7">
      <c r="A740" s="3">
        <v>20</v>
      </c>
      <c r="B740" s="3">
        <v>10</v>
      </c>
      <c r="C740" s="3">
        <v>79</v>
      </c>
      <c r="D740" s="3">
        <v>42</v>
      </c>
      <c r="E740" s="3">
        <v>-137.83</v>
      </c>
      <c r="F740" s="4" t="str">
        <f>HYPERLINK("http://141.218.60.56/~jnz1568/getInfo.php?workbook=20_10.xlsx&amp;sheet=A0&amp;row=740&amp;col=6&amp;number=5886000000&amp;sourceID=14","5886000000")</f>
        <v>5886000000</v>
      </c>
      <c r="G740" s="4" t="str">
        <f>HYPERLINK("http://141.218.60.56/~jnz1568/getInfo.php?workbook=20_10.xlsx&amp;sheet=A0&amp;row=740&amp;col=7&amp;number=0&amp;sourceID=14","0")</f>
        <v>0</v>
      </c>
    </row>
    <row r="741" spans="1:7">
      <c r="A741" s="3">
        <v>20</v>
      </c>
      <c r="B741" s="3">
        <v>10</v>
      </c>
      <c r="C741" s="3">
        <v>79</v>
      </c>
      <c r="D741" s="3">
        <v>43</v>
      </c>
      <c r="E741" s="3">
        <v>-140.285</v>
      </c>
      <c r="F741" s="4" t="str">
        <f>HYPERLINK("http://141.218.60.56/~jnz1568/getInfo.php?workbook=20_10.xlsx&amp;sheet=A0&amp;row=741&amp;col=6&amp;number=6017000000&amp;sourceID=14","6017000000")</f>
        <v>6017000000</v>
      </c>
      <c r="G741" s="4" t="str">
        <f>HYPERLINK("http://141.218.60.56/~jnz1568/getInfo.php?workbook=20_10.xlsx&amp;sheet=A0&amp;row=741&amp;col=7&amp;number=0&amp;sourceID=14","0")</f>
        <v>0</v>
      </c>
    </row>
    <row r="742" spans="1:7">
      <c r="A742" s="3">
        <v>20</v>
      </c>
      <c r="B742" s="3">
        <v>10</v>
      </c>
      <c r="C742" s="3">
        <v>79</v>
      </c>
      <c r="D742" s="3">
        <v>44</v>
      </c>
      <c r="E742" s="3">
        <v>-142.61</v>
      </c>
      <c r="F742" s="4" t="str">
        <f>HYPERLINK("http://141.218.60.56/~jnz1568/getInfo.php?workbook=20_10.xlsx&amp;sheet=A0&amp;row=742&amp;col=6&amp;number=15720000000&amp;sourceID=14","15720000000")</f>
        <v>15720000000</v>
      </c>
      <c r="G742" s="4" t="str">
        <f>HYPERLINK("http://141.218.60.56/~jnz1568/getInfo.php?workbook=20_10.xlsx&amp;sheet=A0&amp;row=742&amp;col=7&amp;number=0&amp;sourceID=14","0")</f>
        <v>0</v>
      </c>
    </row>
    <row r="743" spans="1:7">
      <c r="A743" s="3">
        <v>20</v>
      </c>
      <c r="B743" s="3">
        <v>10</v>
      </c>
      <c r="C743" s="3">
        <v>79</v>
      </c>
      <c r="D743" s="3">
        <v>45</v>
      </c>
      <c r="E743" s="3">
        <v>-143.16</v>
      </c>
      <c r="F743" s="4" t="str">
        <f>HYPERLINK("http://141.218.60.56/~jnz1568/getInfo.php?workbook=20_10.xlsx&amp;sheet=A0&amp;row=743&amp;col=6&amp;number=896800000&amp;sourceID=14","896800000")</f>
        <v>896800000</v>
      </c>
      <c r="G743" s="4" t="str">
        <f>HYPERLINK("http://141.218.60.56/~jnz1568/getInfo.php?workbook=20_10.xlsx&amp;sheet=A0&amp;row=743&amp;col=7&amp;number=0&amp;sourceID=14","0")</f>
        <v>0</v>
      </c>
    </row>
    <row r="744" spans="1:7">
      <c r="A744" s="3">
        <v>20</v>
      </c>
      <c r="B744" s="3">
        <v>10</v>
      </c>
      <c r="C744" s="3">
        <v>79</v>
      </c>
      <c r="D744" s="3">
        <v>46</v>
      </c>
      <c r="E744" s="3">
        <v>-143.303</v>
      </c>
      <c r="F744" s="4" t="str">
        <f>HYPERLINK("http://141.218.60.56/~jnz1568/getInfo.php?workbook=20_10.xlsx&amp;sheet=A0&amp;row=744&amp;col=6&amp;number=2763000000&amp;sourceID=14","2763000000")</f>
        <v>2763000000</v>
      </c>
      <c r="G744" s="4" t="str">
        <f>HYPERLINK("http://141.218.60.56/~jnz1568/getInfo.php?workbook=20_10.xlsx&amp;sheet=A0&amp;row=744&amp;col=7&amp;number=0&amp;sourceID=14","0")</f>
        <v>0</v>
      </c>
    </row>
    <row r="745" spans="1:7">
      <c r="A745" s="3">
        <v>20</v>
      </c>
      <c r="B745" s="3">
        <v>10</v>
      </c>
      <c r="C745" s="3">
        <v>79</v>
      </c>
      <c r="D745" s="3">
        <v>47</v>
      </c>
      <c r="E745" s="3">
        <v>-147.363</v>
      </c>
      <c r="F745" s="4" t="str">
        <f>HYPERLINK("http://141.218.60.56/~jnz1568/getInfo.php?workbook=20_10.xlsx&amp;sheet=A0&amp;row=745&amp;col=6&amp;number=2023000000&amp;sourceID=14","2023000000")</f>
        <v>2023000000</v>
      </c>
      <c r="G745" s="4" t="str">
        <f>HYPERLINK("http://141.218.60.56/~jnz1568/getInfo.php?workbook=20_10.xlsx&amp;sheet=A0&amp;row=745&amp;col=7&amp;number=0&amp;sourceID=14","0")</f>
        <v>0</v>
      </c>
    </row>
    <row r="746" spans="1:7">
      <c r="A746" s="3">
        <v>20</v>
      </c>
      <c r="B746" s="3">
        <v>10</v>
      </c>
      <c r="C746" s="3">
        <v>79</v>
      </c>
      <c r="D746" s="3">
        <v>56</v>
      </c>
      <c r="E746" s="3">
        <v>-162.587</v>
      </c>
      <c r="F746" s="4" t="str">
        <f>HYPERLINK("http://141.218.60.56/~jnz1568/getInfo.php?workbook=20_10.xlsx&amp;sheet=A0&amp;row=746&amp;col=6&amp;number=1125000000&amp;sourceID=14","1125000000")</f>
        <v>1125000000</v>
      </c>
      <c r="G746" s="4" t="str">
        <f>HYPERLINK("http://141.218.60.56/~jnz1568/getInfo.php?workbook=20_10.xlsx&amp;sheet=A0&amp;row=746&amp;col=7&amp;number=0&amp;sourceID=14","0")</f>
        <v>0</v>
      </c>
    </row>
    <row r="747" spans="1:7">
      <c r="A747" s="3">
        <v>20</v>
      </c>
      <c r="B747" s="3">
        <v>10</v>
      </c>
      <c r="C747" s="3">
        <v>79</v>
      </c>
      <c r="D747" s="3">
        <v>57</v>
      </c>
      <c r="E747" s="3">
        <v>-162.713</v>
      </c>
      <c r="F747" s="4" t="str">
        <f>HYPERLINK("http://141.218.60.56/~jnz1568/getInfo.php?workbook=20_10.xlsx&amp;sheet=A0&amp;row=747&amp;col=6&amp;number=3698000000&amp;sourceID=14","3698000000")</f>
        <v>3698000000</v>
      </c>
      <c r="G747" s="4" t="str">
        <f>HYPERLINK("http://141.218.60.56/~jnz1568/getInfo.php?workbook=20_10.xlsx&amp;sheet=A0&amp;row=747&amp;col=7&amp;number=0&amp;sourceID=14","0")</f>
        <v>0</v>
      </c>
    </row>
    <row r="748" spans="1:7">
      <c r="A748" s="3">
        <v>20</v>
      </c>
      <c r="B748" s="3">
        <v>10</v>
      </c>
      <c r="C748" s="3">
        <v>79</v>
      </c>
      <c r="D748" s="3">
        <v>64</v>
      </c>
      <c r="E748" s="3">
        <v>-163.263</v>
      </c>
      <c r="F748" s="4" t="str">
        <f>HYPERLINK("http://141.218.60.56/~jnz1568/getInfo.php?workbook=20_10.xlsx&amp;sheet=A0&amp;row=748&amp;col=6&amp;number=534900000&amp;sourceID=14","534900000")</f>
        <v>534900000</v>
      </c>
      <c r="G748" s="4" t="str">
        <f>HYPERLINK("http://141.218.60.56/~jnz1568/getInfo.php?workbook=20_10.xlsx&amp;sheet=A0&amp;row=748&amp;col=7&amp;number=0&amp;sourceID=14","0")</f>
        <v>0</v>
      </c>
    </row>
    <row r="749" spans="1:7">
      <c r="A749" s="3">
        <v>20</v>
      </c>
      <c r="B749" s="3">
        <v>10</v>
      </c>
      <c r="C749" s="3">
        <v>79</v>
      </c>
      <c r="D749" s="3">
        <v>67</v>
      </c>
      <c r="E749" s="3">
        <v>-164.473</v>
      </c>
      <c r="F749" s="4" t="str">
        <f>HYPERLINK("http://141.218.60.56/~jnz1568/getInfo.php?workbook=20_10.xlsx&amp;sheet=A0&amp;row=749&amp;col=6&amp;number=2216000000&amp;sourceID=14","2216000000")</f>
        <v>2216000000</v>
      </c>
      <c r="G749" s="4" t="str">
        <f>HYPERLINK("http://141.218.60.56/~jnz1568/getInfo.php?workbook=20_10.xlsx&amp;sheet=A0&amp;row=749&amp;col=7&amp;number=0&amp;sourceID=14","0")</f>
        <v>0</v>
      </c>
    </row>
    <row r="750" spans="1:7">
      <c r="A750" s="3">
        <v>20</v>
      </c>
      <c r="B750" s="3">
        <v>10</v>
      </c>
      <c r="C750" s="3">
        <v>79</v>
      </c>
      <c r="D750" s="3">
        <v>68</v>
      </c>
      <c r="E750" s="3">
        <v>-164.554</v>
      </c>
      <c r="F750" s="4" t="str">
        <f>HYPERLINK("http://141.218.60.56/~jnz1568/getInfo.php?workbook=20_10.xlsx&amp;sheet=A0&amp;row=750&amp;col=6&amp;number=1820000000&amp;sourceID=14","1820000000")</f>
        <v>1820000000</v>
      </c>
      <c r="G750" s="4" t="str">
        <f>HYPERLINK("http://141.218.60.56/~jnz1568/getInfo.php?workbook=20_10.xlsx&amp;sheet=A0&amp;row=750&amp;col=7&amp;number=0&amp;sourceID=14","0")</f>
        <v>0</v>
      </c>
    </row>
    <row r="751" spans="1:7">
      <c r="A751" s="3">
        <v>20</v>
      </c>
      <c r="B751" s="3">
        <v>10</v>
      </c>
      <c r="C751" s="3">
        <v>79</v>
      </c>
      <c r="D751" s="3">
        <v>71</v>
      </c>
      <c r="E751" s="3">
        <v>-170.029</v>
      </c>
      <c r="F751" s="4" t="str">
        <f>HYPERLINK("http://141.218.60.56/~jnz1568/getInfo.php?workbook=20_10.xlsx&amp;sheet=A0&amp;row=751&amp;col=6&amp;number=1509000000&amp;sourceID=14","1509000000")</f>
        <v>1509000000</v>
      </c>
      <c r="G751" s="4" t="str">
        <f>HYPERLINK("http://141.218.60.56/~jnz1568/getInfo.php?workbook=20_10.xlsx&amp;sheet=A0&amp;row=751&amp;col=7&amp;number=0&amp;sourceID=14","0")</f>
        <v>0</v>
      </c>
    </row>
    <row r="752" spans="1:7">
      <c r="A752" s="3">
        <v>20</v>
      </c>
      <c r="B752" s="3">
        <v>10</v>
      </c>
      <c r="C752" s="3">
        <v>79</v>
      </c>
      <c r="D752" s="3">
        <v>75</v>
      </c>
      <c r="E752" s="3">
        <v>-171.601</v>
      </c>
      <c r="F752" s="4" t="str">
        <f>HYPERLINK("http://141.218.60.56/~jnz1568/getInfo.php?workbook=20_10.xlsx&amp;sheet=A0&amp;row=752&amp;col=6&amp;number=3893000000&amp;sourceID=14","3893000000")</f>
        <v>3893000000</v>
      </c>
      <c r="G752" s="4" t="str">
        <f>HYPERLINK("http://141.218.60.56/~jnz1568/getInfo.php?workbook=20_10.xlsx&amp;sheet=A0&amp;row=752&amp;col=7&amp;number=0&amp;sourceID=14","0")</f>
        <v>0</v>
      </c>
    </row>
    <row r="753" spans="1:7">
      <c r="A753" s="3">
        <v>20</v>
      </c>
      <c r="B753" s="3">
        <v>10</v>
      </c>
      <c r="C753" s="3">
        <v>79</v>
      </c>
      <c r="D753" s="3">
        <v>76</v>
      </c>
      <c r="E753" s="3">
        <v>-1469.402</v>
      </c>
      <c r="F753" s="4" t="str">
        <f>HYPERLINK("http://141.218.60.56/~jnz1568/getInfo.php?workbook=20_10.xlsx&amp;sheet=A0&amp;row=753&amp;col=6&amp;number=672000000&amp;sourceID=14","672000000")</f>
        <v>672000000</v>
      </c>
      <c r="G753" s="4" t="str">
        <f>HYPERLINK("http://141.218.60.56/~jnz1568/getInfo.php?workbook=20_10.xlsx&amp;sheet=A0&amp;row=753&amp;col=7&amp;number=0&amp;sourceID=14","0")</f>
        <v>0</v>
      </c>
    </row>
    <row r="754" spans="1:7">
      <c r="A754" s="3">
        <v>20</v>
      </c>
      <c r="B754" s="3">
        <v>10</v>
      </c>
      <c r="C754" s="3">
        <v>79</v>
      </c>
      <c r="D754" s="3">
        <v>77</v>
      </c>
      <c r="E754" s="3">
        <v>-1739.315</v>
      </c>
      <c r="F754" s="4" t="str">
        <f>HYPERLINK("http://141.218.60.56/~jnz1568/getInfo.php?workbook=20_10.xlsx&amp;sheet=A0&amp;row=754&amp;col=6&amp;number=14370000&amp;sourceID=14","14370000")</f>
        <v>14370000</v>
      </c>
      <c r="G754" s="4" t="str">
        <f>HYPERLINK("http://141.218.60.56/~jnz1568/getInfo.php?workbook=20_10.xlsx&amp;sheet=A0&amp;row=754&amp;col=7&amp;number=0&amp;sourceID=14","0")</f>
        <v>0</v>
      </c>
    </row>
    <row r="755" spans="1:7">
      <c r="A755" s="3">
        <v>20</v>
      </c>
      <c r="B755" s="3">
        <v>10</v>
      </c>
      <c r="C755" s="3">
        <v>80</v>
      </c>
      <c r="D755" s="3">
        <v>6</v>
      </c>
      <c r="E755" s="3">
        <v>-62.759</v>
      </c>
      <c r="F755" s="4" t="str">
        <f>HYPERLINK("http://141.218.60.56/~jnz1568/getInfo.php?workbook=20_10.xlsx&amp;sheet=A0&amp;row=755&amp;col=6&amp;number=40140000&amp;sourceID=14","40140000")</f>
        <v>40140000</v>
      </c>
      <c r="G755" s="4" t="str">
        <f>HYPERLINK("http://141.218.60.56/~jnz1568/getInfo.php?workbook=20_10.xlsx&amp;sheet=A0&amp;row=755&amp;col=7&amp;number=0&amp;sourceID=14","0")</f>
        <v>0</v>
      </c>
    </row>
    <row r="756" spans="1:7">
      <c r="A756" s="3">
        <v>20</v>
      </c>
      <c r="B756" s="3">
        <v>10</v>
      </c>
      <c r="C756" s="3">
        <v>80</v>
      </c>
      <c r="D756" s="3">
        <v>7</v>
      </c>
      <c r="E756" s="3">
        <v>-63.557</v>
      </c>
      <c r="F756" s="4" t="str">
        <f>HYPERLINK("http://141.218.60.56/~jnz1568/getInfo.php?workbook=20_10.xlsx&amp;sheet=A0&amp;row=756&amp;col=6&amp;number=32300000&amp;sourceID=14","32300000")</f>
        <v>32300000</v>
      </c>
      <c r="G756" s="4" t="str">
        <f>HYPERLINK("http://141.218.60.56/~jnz1568/getInfo.php?workbook=20_10.xlsx&amp;sheet=A0&amp;row=756&amp;col=7&amp;number=0&amp;sourceID=14","0")</f>
        <v>0</v>
      </c>
    </row>
    <row r="757" spans="1:7">
      <c r="A757" s="3">
        <v>20</v>
      </c>
      <c r="B757" s="3">
        <v>10</v>
      </c>
      <c r="C757" s="3">
        <v>80</v>
      </c>
      <c r="D757" s="3">
        <v>8</v>
      </c>
      <c r="E757" s="3">
        <v>-63.574</v>
      </c>
      <c r="F757" s="4" t="str">
        <f>HYPERLINK("http://141.218.60.56/~jnz1568/getInfo.php?workbook=20_10.xlsx&amp;sheet=A0&amp;row=757&amp;col=6&amp;number=190200000&amp;sourceID=14","190200000")</f>
        <v>190200000</v>
      </c>
      <c r="G757" s="4" t="str">
        <f>HYPERLINK("http://141.218.60.56/~jnz1568/getInfo.php?workbook=20_10.xlsx&amp;sheet=A0&amp;row=757&amp;col=7&amp;number=0&amp;sourceID=14","0")</f>
        <v>0</v>
      </c>
    </row>
    <row r="758" spans="1:7">
      <c r="A758" s="3">
        <v>20</v>
      </c>
      <c r="B758" s="3">
        <v>10</v>
      </c>
      <c r="C758" s="3">
        <v>80</v>
      </c>
      <c r="D758" s="3">
        <v>38</v>
      </c>
      <c r="E758" s="3">
        <v>-135.665</v>
      </c>
      <c r="F758" s="4" t="str">
        <f>HYPERLINK("http://141.218.60.56/~jnz1568/getInfo.php?workbook=20_10.xlsx&amp;sheet=A0&amp;row=758&amp;col=6&amp;number=1334000000&amp;sourceID=14","1334000000")</f>
        <v>1334000000</v>
      </c>
      <c r="G758" s="4" t="str">
        <f>HYPERLINK("http://141.218.60.56/~jnz1568/getInfo.php?workbook=20_10.xlsx&amp;sheet=A0&amp;row=758&amp;col=7&amp;number=0&amp;sourceID=14","0")</f>
        <v>0</v>
      </c>
    </row>
    <row r="759" spans="1:7">
      <c r="A759" s="3">
        <v>20</v>
      </c>
      <c r="B759" s="3">
        <v>10</v>
      </c>
      <c r="C759" s="3">
        <v>80</v>
      </c>
      <c r="D759" s="3">
        <v>39</v>
      </c>
      <c r="E759" s="3">
        <v>-136.646</v>
      </c>
      <c r="F759" s="4" t="str">
        <f>HYPERLINK("http://141.218.60.56/~jnz1568/getInfo.php?workbook=20_10.xlsx&amp;sheet=A0&amp;row=759&amp;col=6&amp;number=626600000&amp;sourceID=14","626600000")</f>
        <v>626600000</v>
      </c>
      <c r="G759" s="4" t="str">
        <f>HYPERLINK("http://141.218.60.56/~jnz1568/getInfo.php?workbook=20_10.xlsx&amp;sheet=A0&amp;row=759&amp;col=7&amp;number=0&amp;sourceID=14","0")</f>
        <v>0</v>
      </c>
    </row>
    <row r="760" spans="1:7">
      <c r="A760" s="3">
        <v>20</v>
      </c>
      <c r="B760" s="3">
        <v>10</v>
      </c>
      <c r="C760" s="3">
        <v>80</v>
      </c>
      <c r="D760" s="3">
        <v>40</v>
      </c>
      <c r="E760" s="3">
        <v>-136.679</v>
      </c>
      <c r="F760" s="4" t="str">
        <f>HYPERLINK("http://141.218.60.56/~jnz1568/getInfo.php?workbook=20_10.xlsx&amp;sheet=A0&amp;row=760&amp;col=6&amp;number=45790000000&amp;sourceID=14","45790000000")</f>
        <v>45790000000</v>
      </c>
      <c r="G760" s="4" t="str">
        <f>HYPERLINK("http://141.218.60.56/~jnz1568/getInfo.php?workbook=20_10.xlsx&amp;sheet=A0&amp;row=760&amp;col=7&amp;number=0&amp;sourceID=14","0")</f>
        <v>0</v>
      </c>
    </row>
    <row r="761" spans="1:7">
      <c r="A761" s="3">
        <v>20</v>
      </c>
      <c r="B761" s="3">
        <v>10</v>
      </c>
      <c r="C761" s="3">
        <v>80</v>
      </c>
      <c r="D761" s="3">
        <v>41</v>
      </c>
      <c r="E761" s="3">
        <v>-137.206</v>
      </c>
      <c r="F761" s="4" t="str">
        <f>HYPERLINK("http://141.218.60.56/~jnz1568/getInfo.php?workbook=20_10.xlsx&amp;sheet=A0&amp;row=761&amp;col=6&amp;number=1220000000&amp;sourceID=14","1220000000")</f>
        <v>1220000000</v>
      </c>
      <c r="G761" s="4" t="str">
        <f>HYPERLINK("http://141.218.60.56/~jnz1568/getInfo.php?workbook=20_10.xlsx&amp;sheet=A0&amp;row=761&amp;col=7&amp;number=0&amp;sourceID=14","0")</f>
        <v>0</v>
      </c>
    </row>
    <row r="762" spans="1:7">
      <c r="A762" s="3">
        <v>20</v>
      </c>
      <c r="B762" s="3">
        <v>10</v>
      </c>
      <c r="C762" s="3">
        <v>80</v>
      </c>
      <c r="D762" s="3">
        <v>42</v>
      </c>
      <c r="E762" s="3">
        <v>-137.527</v>
      </c>
      <c r="F762" s="4" t="str">
        <f>HYPERLINK("http://141.218.60.56/~jnz1568/getInfo.php?workbook=20_10.xlsx&amp;sheet=A0&amp;row=762&amp;col=6&amp;number=12250000000&amp;sourceID=14","12250000000")</f>
        <v>12250000000</v>
      </c>
      <c r="G762" s="4" t="str">
        <f>HYPERLINK("http://141.218.60.56/~jnz1568/getInfo.php?workbook=20_10.xlsx&amp;sheet=A0&amp;row=762&amp;col=7&amp;number=0&amp;sourceID=14","0")</f>
        <v>0</v>
      </c>
    </row>
    <row r="763" spans="1:7">
      <c r="A763" s="3">
        <v>20</v>
      </c>
      <c r="B763" s="3">
        <v>10</v>
      </c>
      <c r="C763" s="3">
        <v>80</v>
      </c>
      <c r="D763" s="3">
        <v>44</v>
      </c>
      <c r="E763" s="3">
        <v>-142.286</v>
      </c>
      <c r="F763" s="4" t="str">
        <f>HYPERLINK("http://141.218.60.56/~jnz1568/getInfo.php?workbook=20_10.xlsx&amp;sheet=A0&amp;row=763&amp;col=6&amp;number=673600000&amp;sourceID=14","673600000")</f>
        <v>673600000</v>
      </c>
      <c r="G763" s="4" t="str">
        <f>HYPERLINK("http://141.218.60.56/~jnz1568/getInfo.php?workbook=20_10.xlsx&amp;sheet=A0&amp;row=763&amp;col=7&amp;number=0&amp;sourceID=14","0")</f>
        <v>0</v>
      </c>
    </row>
    <row r="764" spans="1:7">
      <c r="A764" s="3">
        <v>20</v>
      </c>
      <c r="B764" s="3">
        <v>10</v>
      </c>
      <c r="C764" s="3">
        <v>80</v>
      </c>
      <c r="D764" s="3">
        <v>45</v>
      </c>
      <c r="E764" s="3">
        <v>-142.834</v>
      </c>
      <c r="F764" s="4" t="str">
        <f>HYPERLINK("http://141.218.60.56/~jnz1568/getInfo.php?workbook=20_10.xlsx&amp;sheet=A0&amp;row=764&amp;col=6&amp;number=8745000000&amp;sourceID=14","8745000000")</f>
        <v>8745000000</v>
      </c>
      <c r="G764" s="4" t="str">
        <f>HYPERLINK("http://141.218.60.56/~jnz1568/getInfo.php?workbook=20_10.xlsx&amp;sheet=A0&amp;row=764&amp;col=7&amp;number=0&amp;sourceID=14","0")</f>
        <v>0</v>
      </c>
    </row>
    <row r="765" spans="1:7">
      <c r="A765" s="3">
        <v>20</v>
      </c>
      <c r="B765" s="3">
        <v>10</v>
      </c>
      <c r="C765" s="3">
        <v>80</v>
      </c>
      <c r="D765" s="3">
        <v>46</v>
      </c>
      <c r="E765" s="3">
        <v>-142.975</v>
      </c>
      <c r="F765" s="4" t="str">
        <f>HYPERLINK("http://141.218.60.56/~jnz1568/getInfo.php?workbook=20_10.xlsx&amp;sheet=A0&amp;row=765&amp;col=6&amp;number=13570000000&amp;sourceID=14","13570000000")</f>
        <v>13570000000</v>
      </c>
      <c r="G765" s="4" t="str">
        <f>HYPERLINK("http://141.218.60.56/~jnz1568/getInfo.php?workbook=20_10.xlsx&amp;sheet=A0&amp;row=765&amp;col=7&amp;number=0&amp;sourceID=14","0")</f>
        <v>0</v>
      </c>
    </row>
    <row r="766" spans="1:7">
      <c r="A766" s="3">
        <v>20</v>
      </c>
      <c r="B766" s="3">
        <v>10</v>
      </c>
      <c r="C766" s="3">
        <v>80</v>
      </c>
      <c r="D766" s="3">
        <v>56</v>
      </c>
      <c r="E766" s="3">
        <v>-162.166</v>
      </c>
      <c r="F766" s="4" t="str">
        <f>HYPERLINK("http://141.218.60.56/~jnz1568/getInfo.php?workbook=20_10.xlsx&amp;sheet=A0&amp;row=766&amp;col=6&amp;number=41180000&amp;sourceID=14","41180000")</f>
        <v>41180000</v>
      </c>
      <c r="G766" s="4" t="str">
        <f>HYPERLINK("http://141.218.60.56/~jnz1568/getInfo.php?workbook=20_10.xlsx&amp;sheet=A0&amp;row=766&amp;col=7&amp;number=0&amp;sourceID=14","0")</f>
        <v>0</v>
      </c>
    </row>
    <row r="767" spans="1:7">
      <c r="A767" s="3">
        <v>20</v>
      </c>
      <c r="B767" s="3">
        <v>10</v>
      </c>
      <c r="C767" s="3">
        <v>80</v>
      </c>
      <c r="D767" s="3">
        <v>57</v>
      </c>
      <c r="E767" s="3">
        <v>-162.291</v>
      </c>
      <c r="F767" s="4" t="str">
        <f>HYPERLINK("http://141.218.60.56/~jnz1568/getInfo.php?workbook=20_10.xlsx&amp;sheet=A0&amp;row=767&amp;col=6&amp;number=705000000&amp;sourceID=14","705000000")</f>
        <v>705000000</v>
      </c>
      <c r="G767" s="4" t="str">
        <f>HYPERLINK("http://141.218.60.56/~jnz1568/getInfo.php?workbook=20_10.xlsx&amp;sheet=A0&amp;row=767&amp;col=7&amp;number=0&amp;sourceID=14","0")</f>
        <v>0</v>
      </c>
    </row>
    <row r="768" spans="1:7">
      <c r="A768" s="3">
        <v>20</v>
      </c>
      <c r="B768" s="3">
        <v>10</v>
      </c>
      <c r="C768" s="3">
        <v>80</v>
      </c>
      <c r="D768" s="3">
        <v>63</v>
      </c>
      <c r="E768" s="3">
        <v>-162.745</v>
      </c>
      <c r="F768" s="4" t="str">
        <f>HYPERLINK("http://141.218.60.56/~jnz1568/getInfo.php?workbook=20_10.xlsx&amp;sheet=A0&amp;row=768&amp;col=6&amp;number=3796000000&amp;sourceID=14","3796000000")</f>
        <v>3796000000</v>
      </c>
      <c r="G768" s="4" t="str">
        <f>HYPERLINK("http://141.218.60.56/~jnz1568/getInfo.php?workbook=20_10.xlsx&amp;sheet=A0&amp;row=768&amp;col=7&amp;number=0&amp;sourceID=14","0")</f>
        <v>0</v>
      </c>
    </row>
    <row r="769" spans="1:7">
      <c r="A769" s="3">
        <v>20</v>
      </c>
      <c r="B769" s="3">
        <v>10</v>
      </c>
      <c r="C769" s="3">
        <v>80</v>
      </c>
      <c r="D769" s="3">
        <v>64</v>
      </c>
      <c r="E769" s="3">
        <v>-162.838</v>
      </c>
      <c r="F769" s="4" t="str">
        <f>HYPERLINK("http://141.218.60.56/~jnz1568/getInfo.php?workbook=20_10.xlsx&amp;sheet=A0&amp;row=769&amp;col=6&amp;number=33640000&amp;sourceID=14","33640000")</f>
        <v>33640000</v>
      </c>
      <c r="G769" s="4" t="str">
        <f>HYPERLINK("http://141.218.60.56/~jnz1568/getInfo.php?workbook=20_10.xlsx&amp;sheet=A0&amp;row=769&amp;col=7&amp;number=0&amp;sourceID=14","0")</f>
        <v>0</v>
      </c>
    </row>
    <row r="770" spans="1:7">
      <c r="A770" s="3">
        <v>20</v>
      </c>
      <c r="B770" s="3">
        <v>10</v>
      </c>
      <c r="C770" s="3">
        <v>80</v>
      </c>
      <c r="D770" s="3">
        <v>67</v>
      </c>
      <c r="E770" s="3">
        <v>-164.042</v>
      </c>
      <c r="F770" s="4" t="str">
        <f>HYPERLINK("http://141.218.60.56/~jnz1568/getInfo.php?workbook=20_10.xlsx&amp;sheet=A0&amp;row=770&amp;col=6&amp;number=88350000&amp;sourceID=14","88350000")</f>
        <v>88350000</v>
      </c>
      <c r="G770" s="4" t="str">
        <f>HYPERLINK("http://141.218.60.56/~jnz1568/getInfo.php?workbook=20_10.xlsx&amp;sheet=A0&amp;row=770&amp;col=7&amp;number=0&amp;sourceID=14","0")</f>
        <v>0</v>
      </c>
    </row>
    <row r="771" spans="1:7">
      <c r="A771" s="3">
        <v>20</v>
      </c>
      <c r="B771" s="3">
        <v>10</v>
      </c>
      <c r="C771" s="3">
        <v>80</v>
      </c>
      <c r="D771" s="3">
        <v>68</v>
      </c>
      <c r="E771" s="3">
        <v>-164.123</v>
      </c>
      <c r="F771" s="4" t="str">
        <f>HYPERLINK("http://141.218.60.56/~jnz1568/getInfo.php?workbook=20_10.xlsx&amp;sheet=A0&amp;row=771&amp;col=6&amp;number=645100000&amp;sourceID=14","645100000")</f>
        <v>645100000</v>
      </c>
      <c r="G771" s="4" t="str">
        <f>HYPERLINK("http://141.218.60.56/~jnz1568/getInfo.php?workbook=20_10.xlsx&amp;sheet=A0&amp;row=771&amp;col=7&amp;number=0&amp;sourceID=14","0")</f>
        <v>0</v>
      </c>
    </row>
    <row r="772" spans="1:7">
      <c r="A772" s="3">
        <v>20</v>
      </c>
      <c r="B772" s="3">
        <v>10</v>
      </c>
      <c r="C772" s="3">
        <v>80</v>
      </c>
      <c r="D772" s="3">
        <v>69</v>
      </c>
      <c r="E772" s="3">
        <v>-164.248</v>
      </c>
      <c r="F772" s="4" t="str">
        <f>HYPERLINK("http://141.218.60.56/~jnz1568/getInfo.php?workbook=20_10.xlsx&amp;sheet=A0&amp;row=772&amp;col=6&amp;number=5295000000&amp;sourceID=14","5295000000")</f>
        <v>5295000000</v>
      </c>
      <c r="G772" s="4" t="str">
        <f>HYPERLINK("http://141.218.60.56/~jnz1568/getInfo.php?workbook=20_10.xlsx&amp;sheet=A0&amp;row=772&amp;col=7&amp;number=0&amp;sourceID=14","0")</f>
        <v>0</v>
      </c>
    </row>
    <row r="773" spans="1:7">
      <c r="A773" s="3">
        <v>20</v>
      </c>
      <c r="B773" s="3">
        <v>10</v>
      </c>
      <c r="C773" s="3">
        <v>80</v>
      </c>
      <c r="D773" s="3">
        <v>71</v>
      </c>
      <c r="E773" s="3">
        <v>-169.568</v>
      </c>
      <c r="F773" s="4" t="str">
        <f>HYPERLINK("http://141.218.60.56/~jnz1568/getInfo.php?workbook=20_10.xlsx&amp;sheet=A0&amp;row=773&amp;col=6&amp;number=93050000&amp;sourceID=14","93050000")</f>
        <v>93050000</v>
      </c>
      <c r="G773" s="4" t="str">
        <f>HYPERLINK("http://141.218.60.56/~jnz1568/getInfo.php?workbook=20_10.xlsx&amp;sheet=A0&amp;row=773&amp;col=7&amp;number=0&amp;sourceID=14","0")</f>
        <v>0</v>
      </c>
    </row>
    <row r="774" spans="1:7">
      <c r="A774" s="3">
        <v>20</v>
      </c>
      <c r="B774" s="3">
        <v>10</v>
      </c>
      <c r="C774" s="3">
        <v>80</v>
      </c>
      <c r="D774" s="3">
        <v>73</v>
      </c>
      <c r="E774" s="3">
        <v>-171.059</v>
      </c>
      <c r="F774" s="4" t="str">
        <f>HYPERLINK("http://141.218.60.56/~jnz1568/getInfo.php?workbook=20_10.xlsx&amp;sheet=A0&amp;row=774&amp;col=6&amp;number=3503000000&amp;sourceID=14","3503000000")</f>
        <v>3503000000</v>
      </c>
      <c r="G774" s="4" t="str">
        <f>HYPERLINK("http://141.218.60.56/~jnz1568/getInfo.php?workbook=20_10.xlsx&amp;sheet=A0&amp;row=774&amp;col=7&amp;number=0&amp;sourceID=14","0")</f>
        <v>0</v>
      </c>
    </row>
    <row r="775" spans="1:7">
      <c r="A775" s="3">
        <v>20</v>
      </c>
      <c r="B775" s="3">
        <v>10</v>
      </c>
      <c r="C775" s="3">
        <v>80</v>
      </c>
      <c r="D775" s="3">
        <v>75</v>
      </c>
      <c r="E775" s="3">
        <v>-171.132</v>
      </c>
      <c r="F775" s="4" t="str">
        <f>HYPERLINK("http://141.218.60.56/~jnz1568/getInfo.php?workbook=20_10.xlsx&amp;sheet=A0&amp;row=775&amp;col=6&amp;number=586800000&amp;sourceID=14","586800000")</f>
        <v>586800000</v>
      </c>
      <c r="G775" s="4" t="str">
        <f>HYPERLINK("http://141.218.60.56/~jnz1568/getInfo.php?workbook=20_10.xlsx&amp;sheet=A0&amp;row=775&amp;col=7&amp;number=0&amp;sourceID=14","0")</f>
        <v>0</v>
      </c>
    </row>
    <row r="776" spans="1:7">
      <c r="A776" s="3">
        <v>20</v>
      </c>
      <c r="B776" s="3">
        <v>10</v>
      </c>
      <c r="C776" s="3">
        <v>80</v>
      </c>
      <c r="D776" s="3">
        <v>76</v>
      </c>
      <c r="E776" s="3">
        <v>-1435.691</v>
      </c>
      <c r="F776" s="4" t="str">
        <f>HYPERLINK("http://141.218.60.56/~jnz1568/getInfo.php?workbook=20_10.xlsx&amp;sheet=A0&amp;row=776&amp;col=6&amp;number=748300000&amp;sourceID=14","748300000")</f>
        <v>748300000</v>
      </c>
      <c r="G776" s="4" t="str">
        <f>HYPERLINK("http://141.218.60.56/~jnz1568/getInfo.php?workbook=20_10.xlsx&amp;sheet=A0&amp;row=776&amp;col=7&amp;number=0&amp;sourceID=14","0")</f>
        <v>0</v>
      </c>
    </row>
    <row r="777" spans="1:7">
      <c r="A777" s="3">
        <v>20</v>
      </c>
      <c r="B777" s="3">
        <v>10</v>
      </c>
      <c r="C777" s="3">
        <v>81</v>
      </c>
      <c r="D777" s="3">
        <v>1</v>
      </c>
      <c r="E777" s="3">
        <v>-21.969</v>
      </c>
      <c r="F777" s="4" t="str">
        <f>HYPERLINK("http://141.218.60.56/~jnz1568/getInfo.php?workbook=20_10.xlsx&amp;sheet=A0&amp;row=777&amp;col=6&amp;number=525800000000&amp;sourceID=14","525800000000")</f>
        <v>525800000000</v>
      </c>
      <c r="G777" s="4" t="str">
        <f>HYPERLINK("http://141.218.60.56/~jnz1568/getInfo.php?workbook=20_10.xlsx&amp;sheet=A0&amp;row=777&amp;col=7&amp;number=0&amp;sourceID=14","0")</f>
        <v>0</v>
      </c>
    </row>
    <row r="778" spans="1:7">
      <c r="A778" s="3">
        <v>20</v>
      </c>
      <c r="B778" s="3">
        <v>10</v>
      </c>
      <c r="C778" s="3">
        <v>81</v>
      </c>
      <c r="D778" s="3">
        <v>9</v>
      </c>
      <c r="E778" s="3">
        <v>-63.971</v>
      </c>
      <c r="F778" s="4" t="str">
        <f>HYPERLINK("http://141.218.60.56/~jnz1568/getInfo.php?workbook=20_10.xlsx&amp;sheet=A0&amp;row=778&amp;col=6&amp;number=14470000&amp;sourceID=14","14470000")</f>
        <v>14470000</v>
      </c>
      <c r="G778" s="4" t="str">
        <f>HYPERLINK("http://141.218.60.56/~jnz1568/getInfo.php?workbook=20_10.xlsx&amp;sheet=A0&amp;row=778&amp;col=7&amp;number=0&amp;sourceID=14","0")</f>
        <v>0</v>
      </c>
    </row>
    <row r="779" spans="1:7">
      <c r="A779" s="3">
        <v>20</v>
      </c>
      <c r="B779" s="3">
        <v>10</v>
      </c>
      <c r="C779" s="3">
        <v>81</v>
      </c>
      <c r="D779" s="3">
        <v>10</v>
      </c>
      <c r="E779" s="3">
        <v>-63.737</v>
      </c>
      <c r="F779" s="4" t="str">
        <f>HYPERLINK("http://141.218.60.56/~jnz1568/getInfo.php?workbook=20_10.xlsx&amp;sheet=A0&amp;row=779&amp;col=6&amp;number=10140000&amp;sourceID=14","10140000")</f>
        <v>10140000</v>
      </c>
      <c r="G779" s="4" t="str">
        <f>HYPERLINK("http://141.218.60.56/~jnz1568/getInfo.php?workbook=20_10.xlsx&amp;sheet=A0&amp;row=779&amp;col=7&amp;number=0&amp;sourceID=14","0")</f>
        <v>0</v>
      </c>
    </row>
    <row r="780" spans="1:7">
      <c r="A780" s="3">
        <v>20</v>
      </c>
      <c r="B780" s="3">
        <v>10</v>
      </c>
      <c r="C780" s="3">
        <v>81</v>
      </c>
      <c r="D780" s="3">
        <v>13</v>
      </c>
      <c r="E780" s="3">
        <v>-64.967</v>
      </c>
      <c r="F780" s="4" t="str">
        <f>HYPERLINK("http://141.218.60.56/~jnz1568/getInfo.php?workbook=20_10.xlsx&amp;sheet=A0&amp;row=780&amp;col=6&amp;number=35260000&amp;sourceID=14","35260000")</f>
        <v>35260000</v>
      </c>
      <c r="G780" s="4" t="str">
        <f>HYPERLINK("http://141.218.60.56/~jnz1568/getInfo.php?workbook=20_10.xlsx&amp;sheet=A0&amp;row=780&amp;col=7&amp;number=0&amp;sourceID=14","0")</f>
        <v>0</v>
      </c>
    </row>
    <row r="781" spans="1:7">
      <c r="A781" s="3">
        <v>20</v>
      </c>
      <c r="B781" s="3">
        <v>10</v>
      </c>
      <c r="C781" s="3">
        <v>81</v>
      </c>
      <c r="D781" s="3">
        <v>28</v>
      </c>
      <c r="E781" s="3">
        <v>-98.484</v>
      </c>
      <c r="F781" s="4" t="str">
        <f>HYPERLINK("http://141.218.60.56/~jnz1568/getInfo.php?workbook=20_10.xlsx&amp;sheet=A0&amp;row=781&amp;col=6&amp;number=1541000000&amp;sourceID=14","1541000000")</f>
        <v>1541000000</v>
      </c>
      <c r="G781" s="4" t="str">
        <f>HYPERLINK("http://141.218.60.56/~jnz1568/getInfo.php?workbook=20_10.xlsx&amp;sheet=A0&amp;row=781&amp;col=7&amp;number=0&amp;sourceID=14","0")</f>
        <v>0</v>
      </c>
    </row>
    <row r="782" spans="1:7">
      <c r="A782" s="3">
        <v>20</v>
      </c>
      <c r="B782" s="3">
        <v>10</v>
      </c>
      <c r="C782" s="3">
        <v>81</v>
      </c>
      <c r="D782" s="3">
        <v>29</v>
      </c>
      <c r="E782" s="3">
        <v>-101.703</v>
      </c>
      <c r="F782" s="4" t="str">
        <f>HYPERLINK("http://141.218.60.56/~jnz1568/getInfo.php?workbook=20_10.xlsx&amp;sheet=A0&amp;row=782&amp;col=6&amp;number=38360000000&amp;sourceID=14","38360000000")</f>
        <v>38360000000</v>
      </c>
      <c r="G782" s="4" t="str">
        <f>HYPERLINK("http://141.218.60.56/~jnz1568/getInfo.php?workbook=20_10.xlsx&amp;sheet=A0&amp;row=782&amp;col=7&amp;number=0&amp;sourceID=14","0")</f>
        <v>0</v>
      </c>
    </row>
    <row r="783" spans="1:7">
      <c r="A783" s="3">
        <v>20</v>
      </c>
      <c r="B783" s="3">
        <v>10</v>
      </c>
      <c r="C783" s="3">
        <v>81</v>
      </c>
      <c r="D783" s="3">
        <v>38</v>
      </c>
      <c r="E783" s="3">
        <v>-135.06</v>
      </c>
      <c r="F783" s="4" t="str">
        <f>HYPERLINK("http://141.218.60.56/~jnz1568/getInfo.php?workbook=20_10.xlsx&amp;sheet=A0&amp;row=783&amp;col=6&amp;number=2132000000&amp;sourceID=14","2132000000")</f>
        <v>2132000000</v>
      </c>
      <c r="G783" s="4" t="str">
        <f>HYPERLINK("http://141.218.60.56/~jnz1568/getInfo.php?workbook=20_10.xlsx&amp;sheet=A0&amp;row=783&amp;col=7&amp;number=0&amp;sourceID=14","0")</f>
        <v>0</v>
      </c>
    </row>
    <row r="784" spans="1:7">
      <c r="A784" s="3">
        <v>20</v>
      </c>
      <c r="B784" s="3">
        <v>10</v>
      </c>
      <c r="C784" s="3">
        <v>81</v>
      </c>
      <c r="D784" s="3">
        <v>39</v>
      </c>
      <c r="E784" s="3">
        <v>-136.033</v>
      </c>
      <c r="F784" s="4" t="str">
        <f>HYPERLINK("http://141.218.60.56/~jnz1568/getInfo.php?workbook=20_10.xlsx&amp;sheet=A0&amp;row=784&amp;col=6&amp;number=8429000000&amp;sourceID=14","8429000000")</f>
        <v>8429000000</v>
      </c>
      <c r="G784" s="4" t="str">
        <f>HYPERLINK("http://141.218.60.56/~jnz1568/getInfo.php?workbook=20_10.xlsx&amp;sheet=A0&amp;row=784&amp;col=7&amp;number=0&amp;sourceID=14","0")</f>
        <v>0</v>
      </c>
    </row>
    <row r="785" spans="1:7">
      <c r="A785" s="3">
        <v>20</v>
      </c>
      <c r="B785" s="3">
        <v>10</v>
      </c>
      <c r="C785" s="3">
        <v>81</v>
      </c>
      <c r="D785" s="3">
        <v>41</v>
      </c>
      <c r="E785" s="3">
        <v>-136.587</v>
      </c>
      <c r="F785" s="4" t="str">
        <f>HYPERLINK("http://141.218.60.56/~jnz1568/getInfo.php?workbook=20_10.xlsx&amp;sheet=A0&amp;row=785&amp;col=6&amp;number=16000000000&amp;sourceID=14","16000000000")</f>
        <v>16000000000</v>
      </c>
      <c r="G785" s="4" t="str">
        <f>HYPERLINK("http://141.218.60.56/~jnz1568/getInfo.php?workbook=20_10.xlsx&amp;sheet=A0&amp;row=785&amp;col=7&amp;number=0&amp;sourceID=14","0")</f>
        <v>0</v>
      </c>
    </row>
    <row r="786" spans="1:7">
      <c r="A786" s="3">
        <v>20</v>
      </c>
      <c r="B786" s="3">
        <v>10</v>
      </c>
      <c r="C786" s="3">
        <v>81</v>
      </c>
      <c r="D786" s="3">
        <v>42</v>
      </c>
      <c r="E786" s="3">
        <v>-136.906</v>
      </c>
      <c r="F786" s="4" t="str">
        <f>HYPERLINK("http://141.218.60.56/~jnz1568/getInfo.php?workbook=20_10.xlsx&amp;sheet=A0&amp;row=786&amp;col=6&amp;number=19710000000&amp;sourceID=14","19710000000")</f>
        <v>19710000000</v>
      </c>
      <c r="G786" s="4" t="str">
        <f>HYPERLINK("http://141.218.60.56/~jnz1568/getInfo.php?workbook=20_10.xlsx&amp;sheet=A0&amp;row=786&amp;col=7&amp;number=0&amp;sourceID=14","0")</f>
        <v>0</v>
      </c>
    </row>
    <row r="787" spans="1:7">
      <c r="A787" s="3">
        <v>20</v>
      </c>
      <c r="B787" s="3">
        <v>10</v>
      </c>
      <c r="C787" s="3">
        <v>81</v>
      </c>
      <c r="D787" s="3">
        <v>43</v>
      </c>
      <c r="E787" s="3">
        <v>-139.327</v>
      </c>
      <c r="F787" s="4" t="str">
        <f>HYPERLINK("http://141.218.60.56/~jnz1568/getInfo.php?workbook=20_10.xlsx&amp;sheet=A0&amp;row=787&amp;col=6&amp;number=2918000000&amp;sourceID=14","2918000000")</f>
        <v>2918000000</v>
      </c>
      <c r="G787" s="4" t="str">
        <f>HYPERLINK("http://141.218.60.56/~jnz1568/getInfo.php?workbook=20_10.xlsx&amp;sheet=A0&amp;row=787&amp;col=7&amp;number=0&amp;sourceID=14","0")</f>
        <v>0</v>
      </c>
    </row>
    <row r="788" spans="1:7">
      <c r="A788" s="3">
        <v>20</v>
      </c>
      <c r="B788" s="3">
        <v>10</v>
      </c>
      <c r="C788" s="3">
        <v>81</v>
      </c>
      <c r="D788" s="3">
        <v>44</v>
      </c>
      <c r="E788" s="3">
        <v>-141.621</v>
      </c>
      <c r="F788" s="4" t="str">
        <f>HYPERLINK("http://141.218.60.56/~jnz1568/getInfo.php?workbook=20_10.xlsx&amp;sheet=A0&amp;row=788&amp;col=6&amp;number=2945000000&amp;sourceID=14","2945000000")</f>
        <v>2945000000</v>
      </c>
      <c r="G788" s="4" t="str">
        <f>HYPERLINK("http://141.218.60.56/~jnz1568/getInfo.php?workbook=20_10.xlsx&amp;sheet=A0&amp;row=788&amp;col=7&amp;number=0&amp;sourceID=14","0")</f>
        <v>0</v>
      </c>
    </row>
    <row r="789" spans="1:7">
      <c r="A789" s="3">
        <v>20</v>
      </c>
      <c r="B789" s="3">
        <v>10</v>
      </c>
      <c r="C789" s="3">
        <v>81</v>
      </c>
      <c r="D789" s="3">
        <v>45</v>
      </c>
      <c r="E789" s="3">
        <v>-142.163</v>
      </c>
      <c r="F789" s="4" t="str">
        <f>HYPERLINK("http://141.218.60.56/~jnz1568/getInfo.php?workbook=20_10.xlsx&amp;sheet=A0&amp;row=789&amp;col=6&amp;number=6223000000&amp;sourceID=14","6223000000")</f>
        <v>6223000000</v>
      </c>
      <c r="G789" s="4" t="str">
        <f>HYPERLINK("http://141.218.60.56/~jnz1568/getInfo.php?workbook=20_10.xlsx&amp;sheet=A0&amp;row=789&amp;col=7&amp;number=0&amp;sourceID=14","0")</f>
        <v>0</v>
      </c>
    </row>
    <row r="790" spans="1:7">
      <c r="A790" s="3">
        <v>20</v>
      </c>
      <c r="B790" s="3">
        <v>10</v>
      </c>
      <c r="C790" s="3">
        <v>81</v>
      </c>
      <c r="D790" s="3">
        <v>46</v>
      </c>
      <c r="E790" s="3">
        <v>-142.304</v>
      </c>
      <c r="F790" s="4" t="str">
        <f>HYPERLINK("http://141.218.60.56/~jnz1568/getInfo.php?workbook=20_10.xlsx&amp;sheet=A0&amp;row=790&amp;col=6&amp;number=20900000000&amp;sourceID=14","20900000000")</f>
        <v>20900000000</v>
      </c>
      <c r="G790" s="4" t="str">
        <f>HYPERLINK("http://141.218.60.56/~jnz1568/getInfo.php?workbook=20_10.xlsx&amp;sheet=A0&amp;row=790&amp;col=7&amp;number=0&amp;sourceID=14","0")</f>
        <v>0</v>
      </c>
    </row>
    <row r="791" spans="1:7">
      <c r="A791" s="3">
        <v>20</v>
      </c>
      <c r="B791" s="3">
        <v>10</v>
      </c>
      <c r="C791" s="3">
        <v>81</v>
      </c>
      <c r="D791" s="3">
        <v>47</v>
      </c>
      <c r="E791" s="3">
        <v>-146.307</v>
      </c>
      <c r="F791" s="4" t="str">
        <f>HYPERLINK("http://141.218.60.56/~jnz1568/getInfo.php?workbook=20_10.xlsx&amp;sheet=A0&amp;row=791&amp;col=6&amp;number=10580000000&amp;sourceID=14","10580000000")</f>
        <v>10580000000</v>
      </c>
      <c r="G791" s="4" t="str">
        <f>HYPERLINK("http://141.218.60.56/~jnz1568/getInfo.php?workbook=20_10.xlsx&amp;sheet=A0&amp;row=791&amp;col=7&amp;number=0&amp;sourceID=14","0")</f>
        <v>0</v>
      </c>
    </row>
    <row r="792" spans="1:7">
      <c r="A792" s="3">
        <v>20</v>
      </c>
      <c r="B792" s="3">
        <v>10</v>
      </c>
      <c r="C792" s="3">
        <v>81</v>
      </c>
      <c r="D792" s="3">
        <v>56</v>
      </c>
      <c r="E792" s="3">
        <v>-161.302</v>
      </c>
      <c r="F792" s="4" t="str">
        <f>HYPERLINK("http://141.218.60.56/~jnz1568/getInfo.php?workbook=20_10.xlsx&amp;sheet=A0&amp;row=792&amp;col=6&amp;number=55380000&amp;sourceID=14","55380000")</f>
        <v>55380000</v>
      </c>
      <c r="G792" s="4" t="str">
        <f>HYPERLINK("http://141.218.60.56/~jnz1568/getInfo.php?workbook=20_10.xlsx&amp;sheet=A0&amp;row=792&amp;col=7&amp;number=0&amp;sourceID=14","0")</f>
        <v>0</v>
      </c>
    </row>
    <row r="793" spans="1:7">
      <c r="A793" s="3">
        <v>20</v>
      </c>
      <c r="B793" s="3">
        <v>10</v>
      </c>
      <c r="C793" s="3">
        <v>81</v>
      </c>
      <c r="D793" s="3">
        <v>57</v>
      </c>
      <c r="E793" s="3">
        <v>-161.426</v>
      </c>
      <c r="F793" s="4" t="str">
        <f>HYPERLINK("http://141.218.60.56/~jnz1568/getInfo.php?workbook=20_10.xlsx&amp;sheet=A0&amp;row=793&amp;col=6&amp;number=311000000&amp;sourceID=14","311000000")</f>
        <v>311000000</v>
      </c>
      <c r="G793" s="4" t="str">
        <f>HYPERLINK("http://141.218.60.56/~jnz1568/getInfo.php?workbook=20_10.xlsx&amp;sheet=A0&amp;row=793&amp;col=7&amp;number=0&amp;sourceID=14","0")</f>
        <v>0</v>
      </c>
    </row>
    <row r="794" spans="1:7">
      <c r="A794" s="3">
        <v>20</v>
      </c>
      <c r="B794" s="3">
        <v>10</v>
      </c>
      <c r="C794" s="3">
        <v>81</v>
      </c>
      <c r="D794" s="3">
        <v>64</v>
      </c>
      <c r="E794" s="3">
        <v>-161.967</v>
      </c>
      <c r="F794" s="4" t="str">
        <f>HYPERLINK("http://141.218.60.56/~jnz1568/getInfo.php?workbook=20_10.xlsx&amp;sheet=A0&amp;row=794&amp;col=6&amp;number=2545000000&amp;sourceID=14","2545000000")</f>
        <v>2545000000</v>
      </c>
      <c r="G794" s="4" t="str">
        <f>HYPERLINK("http://141.218.60.56/~jnz1568/getInfo.php?workbook=20_10.xlsx&amp;sheet=A0&amp;row=794&amp;col=7&amp;number=0&amp;sourceID=14","0")</f>
        <v>0</v>
      </c>
    </row>
    <row r="795" spans="1:7">
      <c r="A795" s="3">
        <v>20</v>
      </c>
      <c r="B795" s="3">
        <v>10</v>
      </c>
      <c r="C795" s="3">
        <v>81</v>
      </c>
      <c r="D795" s="3">
        <v>67</v>
      </c>
      <c r="E795" s="3">
        <v>-163.159</v>
      </c>
      <c r="F795" s="4" t="str">
        <f>HYPERLINK("http://141.218.60.56/~jnz1568/getInfo.php?workbook=20_10.xlsx&amp;sheet=A0&amp;row=795&amp;col=6&amp;number=89150000&amp;sourceID=14","89150000")</f>
        <v>89150000</v>
      </c>
      <c r="G795" s="4" t="str">
        <f>HYPERLINK("http://141.218.60.56/~jnz1568/getInfo.php?workbook=20_10.xlsx&amp;sheet=A0&amp;row=795&amp;col=7&amp;number=0&amp;sourceID=14","0")</f>
        <v>0</v>
      </c>
    </row>
    <row r="796" spans="1:7">
      <c r="A796" s="3">
        <v>20</v>
      </c>
      <c r="B796" s="3">
        <v>10</v>
      </c>
      <c r="C796" s="3">
        <v>81</v>
      </c>
      <c r="D796" s="3">
        <v>68</v>
      </c>
      <c r="E796" s="3">
        <v>-163.238</v>
      </c>
      <c r="F796" s="4" t="str">
        <f>HYPERLINK("http://141.218.60.56/~jnz1568/getInfo.php?workbook=20_10.xlsx&amp;sheet=A0&amp;row=796&amp;col=6&amp;number=6989000000&amp;sourceID=14","6989000000")</f>
        <v>6989000000</v>
      </c>
      <c r="G796" s="4" t="str">
        <f>HYPERLINK("http://141.218.60.56/~jnz1568/getInfo.php?workbook=20_10.xlsx&amp;sheet=A0&amp;row=796&amp;col=7&amp;number=0&amp;sourceID=14","0")</f>
        <v>0</v>
      </c>
    </row>
    <row r="797" spans="1:7">
      <c r="A797" s="3">
        <v>20</v>
      </c>
      <c r="B797" s="3">
        <v>10</v>
      </c>
      <c r="C797" s="3">
        <v>81</v>
      </c>
      <c r="D797" s="3">
        <v>71</v>
      </c>
      <c r="E797" s="3">
        <v>-168.624</v>
      </c>
      <c r="F797" s="4" t="str">
        <f>HYPERLINK("http://141.218.60.56/~jnz1568/getInfo.php?workbook=20_10.xlsx&amp;sheet=A0&amp;row=797&amp;col=6&amp;number=7135000000&amp;sourceID=14","7135000000")</f>
        <v>7135000000</v>
      </c>
      <c r="G797" s="4" t="str">
        <f>HYPERLINK("http://141.218.60.56/~jnz1568/getInfo.php?workbook=20_10.xlsx&amp;sheet=A0&amp;row=797&amp;col=7&amp;number=0&amp;sourceID=14","0")</f>
        <v>0</v>
      </c>
    </row>
    <row r="798" spans="1:7">
      <c r="A798" s="3">
        <v>20</v>
      </c>
      <c r="B798" s="3">
        <v>10</v>
      </c>
      <c r="C798" s="3">
        <v>81</v>
      </c>
      <c r="D798" s="3">
        <v>75</v>
      </c>
      <c r="E798" s="3">
        <v>-170.17</v>
      </c>
      <c r="F798" s="4" t="str">
        <f>HYPERLINK("http://141.218.60.56/~jnz1568/getInfo.php?workbook=20_10.xlsx&amp;sheet=A0&amp;row=798&amp;col=6&amp;number=938500000&amp;sourceID=14","938500000")</f>
        <v>938500000</v>
      </c>
      <c r="G798" s="4" t="str">
        <f>HYPERLINK("http://141.218.60.56/~jnz1568/getInfo.php?workbook=20_10.xlsx&amp;sheet=A0&amp;row=798&amp;col=7&amp;number=0&amp;sourceID=14","0")</f>
        <v>0</v>
      </c>
    </row>
    <row r="799" spans="1:7">
      <c r="A799" s="3">
        <v>20</v>
      </c>
      <c r="B799" s="3">
        <v>10</v>
      </c>
      <c r="C799" s="3">
        <v>81</v>
      </c>
      <c r="D799" s="3">
        <v>76</v>
      </c>
      <c r="E799" s="3">
        <v>-1370.729</v>
      </c>
      <c r="F799" s="4" t="str">
        <f>HYPERLINK("http://141.218.60.56/~jnz1568/getInfo.php?workbook=20_10.xlsx&amp;sheet=A0&amp;row=799&amp;col=6&amp;number=32710000&amp;sourceID=14","32710000")</f>
        <v>32710000</v>
      </c>
      <c r="G799" s="4" t="str">
        <f>HYPERLINK("http://141.218.60.56/~jnz1568/getInfo.php?workbook=20_10.xlsx&amp;sheet=A0&amp;row=799&amp;col=7&amp;number=0&amp;sourceID=14","0")</f>
        <v>0</v>
      </c>
    </row>
    <row r="800" spans="1:7">
      <c r="A800" s="3">
        <v>20</v>
      </c>
      <c r="B800" s="3">
        <v>10</v>
      </c>
      <c r="C800" s="3">
        <v>81</v>
      </c>
      <c r="D800" s="3">
        <v>77</v>
      </c>
      <c r="E800" s="3">
        <v>-1602.747</v>
      </c>
      <c r="F800" s="4" t="str">
        <f>HYPERLINK("http://141.218.60.56/~jnz1568/getInfo.php?workbook=20_10.xlsx&amp;sheet=A0&amp;row=800&amp;col=6&amp;number=483000000&amp;sourceID=14","483000000")</f>
        <v>483000000</v>
      </c>
      <c r="G800" s="4" t="str">
        <f>HYPERLINK("http://141.218.60.56/~jnz1568/getInfo.php?workbook=20_10.xlsx&amp;sheet=A0&amp;row=800&amp;col=7&amp;number=0&amp;sourceID=14","0")</f>
        <v>0</v>
      </c>
    </row>
    <row r="801" spans="1:7">
      <c r="A801" s="3">
        <v>20</v>
      </c>
      <c r="B801" s="3">
        <v>10</v>
      </c>
      <c r="C801" s="3">
        <v>82</v>
      </c>
      <c r="D801" s="3">
        <v>16</v>
      </c>
      <c r="E801" s="3">
        <v>-69.635</v>
      </c>
      <c r="F801" s="4" t="str">
        <f>HYPERLINK("http://141.218.60.56/~jnz1568/getInfo.php?workbook=20_10.xlsx&amp;sheet=A0&amp;row=801&amp;col=6&amp;number=103900000&amp;sourceID=14","103900000")</f>
        <v>103900000</v>
      </c>
      <c r="G801" s="4" t="str">
        <f>HYPERLINK("http://141.218.60.56/~jnz1568/getInfo.php?workbook=20_10.xlsx&amp;sheet=A0&amp;row=801&amp;col=7&amp;number=0&amp;sourceID=14","0")</f>
        <v>0</v>
      </c>
    </row>
    <row r="802" spans="1:7">
      <c r="A802" s="3">
        <v>20</v>
      </c>
      <c r="B802" s="3">
        <v>10</v>
      </c>
      <c r="C802" s="3">
        <v>82</v>
      </c>
      <c r="D802" s="3">
        <v>17</v>
      </c>
      <c r="E802" s="3">
        <v>-69.78</v>
      </c>
      <c r="F802" s="4" t="str">
        <f>HYPERLINK("http://141.218.60.56/~jnz1568/getInfo.php?workbook=20_10.xlsx&amp;sheet=A0&amp;row=802&amp;col=6&amp;number=67950000&amp;sourceID=14","67950000")</f>
        <v>67950000</v>
      </c>
      <c r="G802" s="4" t="str">
        <f>HYPERLINK("http://141.218.60.56/~jnz1568/getInfo.php?workbook=20_10.xlsx&amp;sheet=A0&amp;row=802&amp;col=7&amp;number=0&amp;sourceID=14","0")</f>
        <v>0</v>
      </c>
    </row>
    <row r="803" spans="1:7">
      <c r="A803" s="3">
        <v>20</v>
      </c>
      <c r="B803" s="3">
        <v>10</v>
      </c>
      <c r="C803" s="3">
        <v>82</v>
      </c>
      <c r="D803" s="3">
        <v>21</v>
      </c>
      <c r="E803" s="3">
        <v>-70.698</v>
      </c>
      <c r="F803" s="4" t="str">
        <f>HYPERLINK("http://141.218.60.56/~jnz1568/getInfo.php?workbook=20_10.xlsx&amp;sheet=A0&amp;row=803&amp;col=6&amp;number=679500000&amp;sourceID=14","679500000")</f>
        <v>679500000</v>
      </c>
      <c r="G803" s="4" t="str">
        <f>HYPERLINK("http://141.218.60.56/~jnz1568/getInfo.php?workbook=20_10.xlsx&amp;sheet=A0&amp;row=803&amp;col=7&amp;number=0&amp;sourceID=14","0")</f>
        <v>0</v>
      </c>
    </row>
    <row r="804" spans="1:7">
      <c r="A804" s="3">
        <v>20</v>
      </c>
      <c r="B804" s="3">
        <v>10</v>
      </c>
      <c r="C804" s="3">
        <v>82</v>
      </c>
      <c r="D804" s="3">
        <v>23</v>
      </c>
      <c r="E804" s="3">
        <v>-71.64</v>
      </c>
      <c r="F804" s="4" t="str">
        <f>HYPERLINK("http://141.218.60.56/~jnz1568/getInfo.php?workbook=20_10.xlsx&amp;sheet=A0&amp;row=804&amp;col=6&amp;number=24450000&amp;sourceID=14","24450000")</f>
        <v>24450000</v>
      </c>
      <c r="G804" s="4" t="str">
        <f>HYPERLINK("http://141.218.60.56/~jnz1568/getInfo.php?workbook=20_10.xlsx&amp;sheet=A0&amp;row=804&amp;col=7&amp;number=0&amp;sourceID=14","0")</f>
        <v>0</v>
      </c>
    </row>
    <row r="805" spans="1:7">
      <c r="A805" s="3">
        <v>20</v>
      </c>
      <c r="B805" s="3">
        <v>10</v>
      </c>
      <c r="C805" s="3">
        <v>82</v>
      </c>
      <c r="D805" s="3">
        <v>24</v>
      </c>
      <c r="E805" s="3">
        <v>-71.959</v>
      </c>
      <c r="F805" s="4" t="str">
        <f>HYPERLINK("http://141.218.60.56/~jnz1568/getInfo.php?workbook=20_10.xlsx&amp;sheet=A0&amp;row=805&amp;col=6&amp;number=604500000&amp;sourceID=14","604500000")</f>
        <v>604500000</v>
      </c>
      <c r="G805" s="4" t="str">
        <f>HYPERLINK("http://141.218.60.56/~jnz1568/getInfo.php?workbook=20_10.xlsx&amp;sheet=A0&amp;row=805&amp;col=7&amp;number=0&amp;sourceID=14","0")</f>
        <v>0</v>
      </c>
    </row>
    <row r="806" spans="1:7">
      <c r="A806" s="3">
        <v>20</v>
      </c>
      <c r="B806" s="3">
        <v>10</v>
      </c>
      <c r="C806" s="3">
        <v>82</v>
      </c>
      <c r="D806" s="3">
        <v>25</v>
      </c>
      <c r="E806" s="3">
        <v>-72.12</v>
      </c>
      <c r="F806" s="4" t="str">
        <f>HYPERLINK("http://141.218.60.56/~jnz1568/getInfo.php?workbook=20_10.xlsx&amp;sheet=A0&amp;row=806&amp;col=6&amp;number=10070000&amp;sourceID=14","10070000")</f>
        <v>10070000</v>
      </c>
      <c r="G806" s="4" t="str">
        <f>HYPERLINK("http://141.218.60.56/~jnz1568/getInfo.php?workbook=20_10.xlsx&amp;sheet=A0&amp;row=806&amp;col=7&amp;number=0&amp;sourceID=14","0")</f>
        <v>0</v>
      </c>
    </row>
    <row r="807" spans="1:7">
      <c r="A807" s="3">
        <v>20</v>
      </c>
      <c r="B807" s="3">
        <v>10</v>
      </c>
      <c r="C807" s="3">
        <v>82</v>
      </c>
      <c r="D807" s="3">
        <v>28</v>
      </c>
      <c r="E807" s="3">
        <v>-91.385</v>
      </c>
      <c r="F807" s="4" t="str">
        <f>HYPERLINK("http://141.218.60.56/~jnz1568/getInfo.php?workbook=20_10.xlsx&amp;sheet=A0&amp;row=807&amp;col=6&amp;number=14410000&amp;sourceID=14","14410000")</f>
        <v>14410000</v>
      </c>
      <c r="G807" s="4" t="str">
        <f>HYPERLINK("http://141.218.60.56/~jnz1568/getInfo.php?workbook=20_10.xlsx&amp;sheet=A0&amp;row=807&amp;col=7&amp;number=0&amp;sourceID=14","0")</f>
        <v>0</v>
      </c>
    </row>
    <row r="808" spans="1:7">
      <c r="A808" s="3">
        <v>20</v>
      </c>
      <c r="B808" s="3">
        <v>10</v>
      </c>
      <c r="C808" s="3">
        <v>82</v>
      </c>
      <c r="D808" s="3">
        <v>30</v>
      </c>
      <c r="E808" s="3">
        <v>-108.475</v>
      </c>
      <c r="F808" s="4" t="str">
        <f>HYPERLINK("http://141.218.60.56/~jnz1568/getInfo.php?workbook=20_10.xlsx&amp;sheet=A0&amp;row=808&amp;col=6&amp;number=45170000000&amp;sourceID=14","45170000000")</f>
        <v>45170000000</v>
      </c>
      <c r="G808" s="4" t="str">
        <f>HYPERLINK("http://141.218.60.56/~jnz1568/getInfo.php?workbook=20_10.xlsx&amp;sheet=A0&amp;row=808&amp;col=7&amp;number=0&amp;sourceID=14","0")</f>
        <v>0</v>
      </c>
    </row>
    <row r="809" spans="1:7">
      <c r="A809" s="3">
        <v>20</v>
      </c>
      <c r="B809" s="3">
        <v>10</v>
      </c>
      <c r="C809" s="3">
        <v>82</v>
      </c>
      <c r="D809" s="3">
        <v>31</v>
      </c>
      <c r="E809" s="3">
        <v>-108.629</v>
      </c>
      <c r="F809" s="4" t="str">
        <f>HYPERLINK("http://141.218.60.56/~jnz1568/getInfo.php?workbook=20_10.xlsx&amp;sheet=A0&amp;row=809&amp;col=6&amp;number=32520000000&amp;sourceID=14","32520000000")</f>
        <v>32520000000</v>
      </c>
      <c r="G809" s="4" t="str">
        <f>HYPERLINK("http://141.218.60.56/~jnz1568/getInfo.php?workbook=20_10.xlsx&amp;sheet=A0&amp;row=809&amp;col=7&amp;number=0&amp;sourceID=14","0")</f>
        <v>0</v>
      </c>
    </row>
    <row r="810" spans="1:7">
      <c r="A810" s="3">
        <v>20</v>
      </c>
      <c r="B810" s="3">
        <v>10</v>
      </c>
      <c r="C810" s="3">
        <v>82</v>
      </c>
      <c r="D810" s="3">
        <v>32</v>
      </c>
      <c r="E810" s="3">
        <v>-109.115</v>
      </c>
      <c r="F810" s="4" t="str">
        <f>HYPERLINK("http://141.218.60.56/~jnz1568/getInfo.php?workbook=20_10.xlsx&amp;sheet=A0&amp;row=810&amp;col=6&amp;number=2148000000&amp;sourceID=14","2148000000")</f>
        <v>2148000000</v>
      </c>
      <c r="G810" s="4" t="str">
        <f>HYPERLINK("http://141.218.60.56/~jnz1568/getInfo.php?workbook=20_10.xlsx&amp;sheet=A0&amp;row=810&amp;col=7&amp;number=0&amp;sourceID=14","0")</f>
        <v>0</v>
      </c>
    </row>
    <row r="811" spans="1:7">
      <c r="A811" s="3">
        <v>20</v>
      </c>
      <c r="B811" s="3">
        <v>10</v>
      </c>
      <c r="C811" s="3">
        <v>82</v>
      </c>
      <c r="D811" s="3">
        <v>33</v>
      </c>
      <c r="E811" s="3">
        <v>-110.269</v>
      </c>
      <c r="F811" s="4" t="str">
        <f>HYPERLINK("http://141.218.60.56/~jnz1568/getInfo.php?workbook=20_10.xlsx&amp;sheet=A0&amp;row=811&amp;col=6&amp;number=999300000&amp;sourceID=14","999300000")</f>
        <v>999300000</v>
      </c>
      <c r="G811" s="4" t="str">
        <f>HYPERLINK("http://141.218.60.56/~jnz1568/getInfo.php?workbook=20_10.xlsx&amp;sheet=A0&amp;row=811&amp;col=7&amp;number=0&amp;sourceID=14","0")</f>
        <v>0</v>
      </c>
    </row>
    <row r="812" spans="1:7">
      <c r="A812" s="3">
        <v>20</v>
      </c>
      <c r="B812" s="3">
        <v>10</v>
      </c>
      <c r="C812" s="3">
        <v>82</v>
      </c>
      <c r="D812" s="3">
        <v>34</v>
      </c>
      <c r="E812" s="3">
        <v>-113.292</v>
      </c>
      <c r="F812" s="4" t="str">
        <f>HYPERLINK("http://141.218.60.56/~jnz1568/getInfo.php?workbook=20_10.xlsx&amp;sheet=A0&amp;row=812&amp;col=6&amp;number=241100000&amp;sourceID=14","241100000")</f>
        <v>241100000</v>
      </c>
      <c r="G812" s="4" t="str">
        <f>HYPERLINK("http://141.218.60.56/~jnz1568/getInfo.php?workbook=20_10.xlsx&amp;sheet=A0&amp;row=812&amp;col=7&amp;number=0&amp;sourceID=14","0")</f>
        <v>0</v>
      </c>
    </row>
    <row r="813" spans="1:7">
      <c r="A813" s="3">
        <v>20</v>
      </c>
      <c r="B813" s="3">
        <v>10</v>
      </c>
      <c r="C813" s="3">
        <v>82</v>
      </c>
      <c r="D813" s="3">
        <v>35</v>
      </c>
      <c r="E813" s="3">
        <v>-113.679</v>
      </c>
      <c r="F813" s="4" t="str">
        <f>HYPERLINK("http://141.218.60.56/~jnz1568/getInfo.php?workbook=20_10.xlsx&amp;sheet=A0&amp;row=813&amp;col=6&amp;number=1020000000&amp;sourceID=14","1020000000")</f>
        <v>1020000000</v>
      </c>
      <c r="G813" s="4" t="str">
        <f>HYPERLINK("http://141.218.60.56/~jnz1568/getInfo.php?workbook=20_10.xlsx&amp;sheet=A0&amp;row=813&amp;col=7&amp;number=0&amp;sourceID=14","0")</f>
        <v>0</v>
      </c>
    </row>
    <row r="814" spans="1:7">
      <c r="A814" s="3">
        <v>20</v>
      </c>
      <c r="B814" s="3">
        <v>10</v>
      </c>
      <c r="C814" s="3">
        <v>82</v>
      </c>
      <c r="D814" s="3">
        <v>36</v>
      </c>
      <c r="E814" s="3">
        <v>-117.278</v>
      </c>
      <c r="F814" s="4" t="str">
        <f>HYPERLINK("http://141.218.60.56/~jnz1568/getInfo.php?workbook=20_10.xlsx&amp;sheet=A0&amp;row=814&amp;col=6&amp;number=1423000000&amp;sourceID=14","1423000000")</f>
        <v>1423000000</v>
      </c>
      <c r="G814" s="4" t="str">
        <f>HYPERLINK("http://141.218.60.56/~jnz1568/getInfo.php?workbook=20_10.xlsx&amp;sheet=A0&amp;row=814&amp;col=7&amp;number=0&amp;sourceID=14","0")</f>
        <v>0</v>
      </c>
    </row>
    <row r="815" spans="1:7">
      <c r="A815" s="3">
        <v>20</v>
      </c>
      <c r="B815" s="3">
        <v>10</v>
      </c>
      <c r="C815" s="3">
        <v>82</v>
      </c>
      <c r="D815" s="3">
        <v>37</v>
      </c>
      <c r="E815" s="3">
        <v>-117.513</v>
      </c>
      <c r="F815" s="4" t="str">
        <f>HYPERLINK("http://141.218.60.56/~jnz1568/getInfo.php?workbook=20_10.xlsx&amp;sheet=A0&amp;row=815&amp;col=6&amp;number=701500000&amp;sourceID=14","701500000")</f>
        <v>701500000</v>
      </c>
      <c r="G815" s="4" t="str">
        <f>HYPERLINK("http://141.218.60.56/~jnz1568/getInfo.php?workbook=20_10.xlsx&amp;sheet=A0&amp;row=815&amp;col=7&amp;number=0&amp;sourceID=14","0")</f>
        <v>0</v>
      </c>
    </row>
    <row r="816" spans="1:7">
      <c r="A816" s="3">
        <v>20</v>
      </c>
      <c r="B816" s="3">
        <v>10</v>
      </c>
      <c r="C816" s="3">
        <v>82</v>
      </c>
      <c r="D816" s="3">
        <v>48</v>
      </c>
      <c r="E816" s="3">
        <v>-136.227</v>
      </c>
      <c r="F816" s="4" t="str">
        <f>HYPERLINK("http://141.218.60.56/~jnz1568/getInfo.php?workbook=20_10.xlsx&amp;sheet=A0&amp;row=816&amp;col=6&amp;number=6385000000&amp;sourceID=14","6385000000")</f>
        <v>6385000000</v>
      </c>
      <c r="G816" s="4" t="str">
        <f>HYPERLINK("http://141.218.60.56/~jnz1568/getInfo.php?workbook=20_10.xlsx&amp;sheet=A0&amp;row=816&amp;col=7&amp;number=0&amp;sourceID=14","0")</f>
        <v>0</v>
      </c>
    </row>
    <row r="817" spans="1:7">
      <c r="A817" s="3">
        <v>20</v>
      </c>
      <c r="B817" s="3">
        <v>10</v>
      </c>
      <c r="C817" s="3">
        <v>82</v>
      </c>
      <c r="D817" s="3">
        <v>49</v>
      </c>
      <c r="E817" s="3">
        <v>-136.524</v>
      </c>
      <c r="F817" s="4" t="str">
        <f>HYPERLINK("http://141.218.60.56/~jnz1568/getInfo.php?workbook=20_10.xlsx&amp;sheet=A0&amp;row=817&amp;col=6&amp;number=11940000000&amp;sourceID=14","11940000000")</f>
        <v>11940000000</v>
      </c>
      <c r="G817" s="4" t="str">
        <f>HYPERLINK("http://141.218.60.56/~jnz1568/getInfo.php?workbook=20_10.xlsx&amp;sheet=A0&amp;row=817&amp;col=7&amp;number=0&amp;sourceID=14","0")</f>
        <v>0</v>
      </c>
    </row>
    <row r="818" spans="1:7">
      <c r="A818" s="3">
        <v>20</v>
      </c>
      <c r="B818" s="3">
        <v>10</v>
      </c>
      <c r="C818" s="3">
        <v>82</v>
      </c>
      <c r="D818" s="3">
        <v>51</v>
      </c>
      <c r="E818" s="3">
        <v>-137.03</v>
      </c>
      <c r="F818" s="4" t="str">
        <f>HYPERLINK("http://141.218.60.56/~jnz1568/getInfo.php?workbook=20_10.xlsx&amp;sheet=A0&amp;row=818&amp;col=6&amp;number=3242000000&amp;sourceID=14","3242000000")</f>
        <v>3242000000</v>
      </c>
      <c r="G818" s="4" t="str">
        <f>HYPERLINK("http://141.218.60.56/~jnz1568/getInfo.php?workbook=20_10.xlsx&amp;sheet=A0&amp;row=818&amp;col=7&amp;number=0&amp;sourceID=14","0")</f>
        <v>0</v>
      </c>
    </row>
    <row r="819" spans="1:7">
      <c r="A819" s="3">
        <v>20</v>
      </c>
      <c r="B819" s="3">
        <v>10</v>
      </c>
      <c r="C819" s="3">
        <v>82</v>
      </c>
      <c r="D819" s="3">
        <v>53</v>
      </c>
      <c r="E819" s="3">
        <v>-137.727</v>
      </c>
      <c r="F819" s="4" t="str">
        <f>HYPERLINK("http://141.218.60.56/~jnz1568/getInfo.php?workbook=20_10.xlsx&amp;sheet=A0&amp;row=819&amp;col=6&amp;number=24290000000&amp;sourceID=14","24290000000")</f>
        <v>24290000000</v>
      </c>
      <c r="G819" s="4" t="str">
        <f>HYPERLINK("http://141.218.60.56/~jnz1568/getInfo.php?workbook=20_10.xlsx&amp;sheet=A0&amp;row=819&amp;col=7&amp;number=0&amp;sourceID=14","0")</f>
        <v>0</v>
      </c>
    </row>
    <row r="820" spans="1:7">
      <c r="A820" s="3">
        <v>20</v>
      </c>
      <c r="B820" s="3">
        <v>10</v>
      </c>
      <c r="C820" s="3">
        <v>82</v>
      </c>
      <c r="D820" s="3">
        <v>55</v>
      </c>
      <c r="E820" s="3">
        <v>-139.709</v>
      </c>
      <c r="F820" s="4" t="str">
        <f>HYPERLINK("http://141.218.60.56/~jnz1568/getInfo.php?workbook=20_10.xlsx&amp;sheet=A0&amp;row=820&amp;col=6&amp;number=9070000000&amp;sourceID=14","9070000000")</f>
        <v>9070000000</v>
      </c>
      <c r="G820" s="4" t="str">
        <f>HYPERLINK("http://141.218.60.56/~jnz1568/getInfo.php?workbook=20_10.xlsx&amp;sheet=A0&amp;row=820&amp;col=7&amp;number=0&amp;sourceID=14","0")</f>
        <v>0</v>
      </c>
    </row>
    <row r="821" spans="1:7">
      <c r="A821" s="3">
        <v>20</v>
      </c>
      <c r="B821" s="3">
        <v>10</v>
      </c>
      <c r="C821" s="3">
        <v>82</v>
      </c>
      <c r="D821" s="3">
        <v>58</v>
      </c>
      <c r="E821" s="3">
        <v>-143.067</v>
      </c>
      <c r="F821" s="4" t="str">
        <f>HYPERLINK("http://141.218.60.56/~jnz1568/getInfo.php?workbook=20_10.xlsx&amp;sheet=A0&amp;row=821&amp;col=6&amp;number=19270000000&amp;sourceID=14","19270000000")</f>
        <v>19270000000</v>
      </c>
      <c r="G821" s="4" t="str">
        <f>HYPERLINK("http://141.218.60.56/~jnz1568/getInfo.php?workbook=20_10.xlsx&amp;sheet=A0&amp;row=821&amp;col=7&amp;number=0&amp;sourceID=14","0")</f>
        <v>0</v>
      </c>
    </row>
    <row r="822" spans="1:7">
      <c r="A822" s="3">
        <v>20</v>
      </c>
      <c r="B822" s="3">
        <v>10</v>
      </c>
      <c r="C822" s="3">
        <v>82</v>
      </c>
      <c r="D822" s="3">
        <v>59</v>
      </c>
      <c r="E822" s="3">
        <v>-143.211</v>
      </c>
      <c r="F822" s="4" t="str">
        <f>HYPERLINK("http://141.218.60.56/~jnz1568/getInfo.php?workbook=20_10.xlsx&amp;sheet=A0&amp;row=822&amp;col=6&amp;number=632600000&amp;sourceID=14","632600000")</f>
        <v>632600000</v>
      </c>
      <c r="G822" s="4" t="str">
        <f>HYPERLINK("http://141.218.60.56/~jnz1568/getInfo.php?workbook=20_10.xlsx&amp;sheet=A0&amp;row=822&amp;col=7&amp;number=0&amp;sourceID=14","0")</f>
        <v>0</v>
      </c>
    </row>
    <row r="823" spans="1:7">
      <c r="A823" s="3">
        <v>20</v>
      </c>
      <c r="B823" s="3">
        <v>10</v>
      </c>
      <c r="C823" s="3">
        <v>82</v>
      </c>
      <c r="D823" s="3">
        <v>70</v>
      </c>
      <c r="E823" s="3">
        <v>-145.715</v>
      </c>
      <c r="F823" s="4" t="str">
        <f>HYPERLINK("http://141.218.60.56/~jnz1568/getInfo.php?workbook=20_10.xlsx&amp;sheet=A0&amp;row=823&amp;col=6&amp;number=1914000000&amp;sourceID=14","1914000000")</f>
        <v>1914000000</v>
      </c>
      <c r="G823" s="4" t="str">
        <f>HYPERLINK("http://141.218.60.56/~jnz1568/getInfo.php?workbook=20_10.xlsx&amp;sheet=A0&amp;row=823&amp;col=7&amp;number=0&amp;sourceID=14","0")</f>
        <v>0</v>
      </c>
    </row>
    <row r="824" spans="1:7">
      <c r="A824" s="3">
        <v>20</v>
      </c>
      <c r="B824" s="3">
        <v>10</v>
      </c>
      <c r="C824" s="3">
        <v>82</v>
      </c>
      <c r="D824" s="3">
        <v>78</v>
      </c>
      <c r="E824" s="3">
        <v>-1186.664</v>
      </c>
      <c r="F824" s="4" t="str">
        <f>HYPERLINK("http://141.218.60.56/~jnz1568/getInfo.php?workbook=20_10.xlsx&amp;sheet=A0&amp;row=824&amp;col=6&amp;number=882600000&amp;sourceID=14","882600000")</f>
        <v>882600000</v>
      </c>
      <c r="G824" s="4" t="str">
        <f>HYPERLINK("http://141.218.60.56/~jnz1568/getInfo.php?workbook=20_10.xlsx&amp;sheet=A0&amp;row=824&amp;col=7&amp;number=0&amp;sourceID=14","0")</f>
        <v>0</v>
      </c>
    </row>
    <row r="825" spans="1:7">
      <c r="A825" s="3">
        <v>20</v>
      </c>
      <c r="B825" s="3">
        <v>10</v>
      </c>
      <c r="C825" s="3">
        <v>82</v>
      </c>
      <c r="D825" s="3">
        <v>79</v>
      </c>
      <c r="E825" s="3">
        <v>-1193.761</v>
      </c>
      <c r="F825" s="4" t="str">
        <f>HYPERLINK("http://141.218.60.56/~jnz1568/getInfo.php?workbook=20_10.xlsx&amp;sheet=A0&amp;row=825&amp;col=6&amp;number=625500000&amp;sourceID=14","625500000")</f>
        <v>625500000</v>
      </c>
      <c r="G825" s="4" t="str">
        <f>HYPERLINK("http://141.218.60.56/~jnz1568/getInfo.php?workbook=20_10.xlsx&amp;sheet=A0&amp;row=825&amp;col=7&amp;number=0&amp;sourceID=14","0")</f>
        <v>0</v>
      </c>
    </row>
    <row r="826" spans="1:7">
      <c r="A826" s="3">
        <v>20</v>
      </c>
      <c r="B826" s="3">
        <v>10</v>
      </c>
      <c r="C826" s="3">
        <v>82</v>
      </c>
      <c r="D826" s="3">
        <v>80</v>
      </c>
      <c r="E826" s="3">
        <v>-1216.977</v>
      </c>
      <c r="F826" s="4" t="str">
        <f>HYPERLINK("http://141.218.60.56/~jnz1568/getInfo.php?workbook=20_10.xlsx&amp;sheet=A0&amp;row=826&amp;col=6&amp;number=40820000&amp;sourceID=14","40820000")</f>
        <v>40820000</v>
      </c>
      <c r="G826" s="4" t="str">
        <f>HYPERLINK("http://141.218.60.56/~jnz1568/getInfo.php?workbook=20_10.xlsx&amp;sheet=A0&amp;row=826&amp;col=7&amp;number=0&amp;sourceID=14","0")</f>
        <v>0</v>
      </c>
    </row>
    <row r="827" spans="1:7">
      <c r="A827" s="3">
        <v>20</v>
      </c>
      <c r="B827" s="3">
        <v>10</v>
      </c>
      <c r="C827" s="3">
        <v>82</v>
      </c>
      <c r="D827" s="3">
        <v>81</v>
      </c>
      <c r="E827" s="3">
        <v>-1267.911</v>
      </c>
      <c r="F827" s="4" t="str">
        <f>HYPERLINK("http://141.218.60.56/~jnz1568/getInfo.php?workbook=20_10.xlsx&amp;sheet=A0&amp;row=827&amp;col=6&amp;number=19930000&amp;sourceID=14","19930000")</f>
        <v>19930000</v>
      </c>
      <c r="G827" s="4" t="str">
        <f>HYPERLINK("http://141.218.60.56/~jnz1568/getInfo.php?workbook=20_10.xlsx&amp;sheet=A0&amp;row=827&amp;col=7&amp;number=0&amp;sourceID=14","0")</f>
        <v>0</v>
      </c>
    </row>
    <row r="828" spans="1:7">
      <c r="A828" s="3">
        <v>20</v>
      </c>
      <c r="B828" s="3">
        <v>10</v>
      </c>
      <c r="C828" s="3">
        <v>83</v>
      </c>
      <c r="D828" s="3">
        <v>17</v>
      </c>
      <c r="E828" s="3">
        <v>-69.774</v>
      </c>
      <c r="F828" s="4" t="str">
        <f>HYPERLINK("http://141.218.60.56/~jnz1568/getInfo.php?workbook=20_10.xlsx&amp;sheet=A0&amp;row=828&amp;col=6&amp;number=143500000&amp;sourceID=14","143500000")</f>
        <v>143500000</v>
      </c>
      <c r="G828" s="4" t="str">
        <f>HYPERLINK("http://141.218.60.56/~jnz1568/getInfo.php?workbook=20_10.xlsx&amp;sheet=A0&amp;row=828&amp;col=7&amp;number=0&amp;sourceID=14","0")</f>
        <v>0</v>
      </c>
    </row>
    <row r="829" spans="1:7">
      <c r="A829" s="3">
        <v>20</v>
      </c>
      <c r="B829" s="3">
        <v>10</v>
      </c>
      <c r="C829" s="3">
        <v>83</v>
      </c>
      <c r="D829" s="3">
        <v>18</v>
      </c>
      <c r="E829" s="3">
        <v>-70.067</v>
      </c>
      <c r="F829" s="4" t="str">
        <f>HYPERLINK("http://141.218.60.56/~jnz1568/getInfo.php?workbook=20_10.xlsx&amp;sheet=A0&amp;row=829&amp;col=6&amp;number=31260000&amp;sourceID=14","31260000")</f>
        <v>31260000</v>
      </c>
      <c r="G829" s="4" t="str">
        <f>HYPERLINK("http://141.218.60.56/~jnz1568/getInfo.php?workbook=20_10.xlsx&amp;sheet=A0&amp;row=829&amp;col=7&amp;number=0&amp;sourceID=14","0")</f>
        <v>0</v>
      </c>
    </row>
    <row r="830" spans="1:7">
      <c r="A830" s="3">
        <v>20</v>
      </c>
      <c r="B830" s="3">
        <v>10</v>
      </c>
      <c r="C830" s="3">
        <v>83</v>
      </c>
      <c r="D830" s="3">
        <v>20</v>
      </c>
      <c r="E830" s="3">
        <v>-70.373</v>
      </c>
      <c r="F830" s="4" t="str">
        <f>HYPERLINK("http://141.218.60.56/~jnz1568/getInfo.php?workbook=20_10.xlsx&amp;sheet=A0&amp;row=830&amp;col=6&amp;number=877000000&amp;sourceID=14","877000000")</f>
        <v>877000000</v>
      </c>
      <c r="G830" s="4" t="str">
        <f>HYPERLINK("http://141.218.60.56/~jnz1568/getInfo.php?workbook=20_10.xlsx&amp;sheet=A0&amp;row=830&amp;col=7&amp;number=0&amp;sourceID=14","0")</f>
        <v>0</v>
      </c>
    </row>
    <row r="831" spans="1:7">
      <c r="A831" s="3">
        <v>20</v>
      </c>
      <c r="B831" s="3">
        <v>10</v>
      </c>
      <c r="C831" s="3">
        <v>83</v>
      </c>
      <c r="D831" s="3">
        <v>21</v>
      </c>
      <c r="E831" s="3">
        <v>-70.691</v>
      </c>
      <c r="F831" s="4" t="str">
        <f>HYPERLINK("http://141.218.60.56/~jnz1568/getInfo.php?workbook=20_10.xlsx&amp;sheet=A0&amp;row=831&amp;col=6&amp;number=108100000&amp;sourceID=14","108100000")</f>
        <v>108100000</v>
      </c>
      <c r="G831" s="4" t="str">
        <f>HYPERLINK("http://141.218.60.56/~jnz1568/getInfo.php?workbook=20_10.xlsx&amp;sheet=A0&amp;row=831&amp;col=7&amp;number=0&amp;sourceID=14","0")</f>
        <v>0</v>
      </c>
    </row>
    <row r="832" spans="1:7">
      <c r="A832" s="3">
        <v>20</v>
      </c>
      <c r="B832" s="3">
        <v>10</v>
      </c>
      <c r="C832" s="3">
        <v>83</v>
      </c>
      <c r="D832" s="3">
        <v>22</v>
      </c>
      <c r="E832" s="3">
        <v>-70.907</v>
      </c>
      <c r="F832" s="4" t="str">
        <f>HYPERLINK("http://141.218.60.56/~jnz1568/getInfo.php?workbook=20_10.xlsx&amp;sheet=A0&amp;row=832&amp;col=6&amp;number=14300000&amp;sourceID=14","14300000")</f>
        <v>14300000</v>
      </c>
      <c r="G832" s="4" t="str">
        <f>HYPERLINK("http://141.218.60.56/~jnz1568/getInfo.php?workbook=20_10.xlsx&amp;sheet=A0&amp;row=832&amp;col=7&amp;number=0&amp;sourceID=14","0")</f>
        <v>0</v>
      </c>
    </row>
    <row r="833" spans="1:7">
      <c r="A833" s="3">
        <v>20</v>
      </c>
      <c r="B833" s="3">
        <v>10</v>
      </c>
      <c r="C833" s="3">
        <v>83</v>
      </c>
      <c r="D833" s="3">
        <v>24</v>
      </c>
      <c r="E833" s="3">
        <v>-71.953</v>
      </c>
      <c r="F833" s="4" t="str">
        <f>HYPERLINK("http://141.218.60.56/~jnz1568/getInfo.php?workbook=20_10.xlsx&amp;sheet=A0&amp;row=833&amp;col=6&amp;number=42240000&amp;sourceID=14","42240000")</f>
        <v>42240000</v>
      </c>
      <c r="G833" s="4" t="str">
        <f>HYPERLINK("http://141.218.60.56/~jnz1568/getInfo.php?workbook=20_10.xlsx&amp;sheet=A0&amp;row=833&amp;col=7&amp;number=0&amp;sourceID=14","0")</f>
        <v>0</v>
      </c>
    </row>
    <row r="834" spans="1:7">
      <c r="A834" s="3">
        <v>20</v>
      </c>
      <c r="B834" s="3">
        <v>10</v>
      </c>
      <c r="C834" s="3">
        <v>83</v>
      </c>
      <c r="D834" s="3">
        <v>25</v>
      </c>
      <c r="E834" s="3">
        <v>-72.113</v>
      </c>
      <c r="F834" s="4" t="str">
        <f>HYPERLINK("http://141.218.60.56/~jnz1568/getInfo.php?workbook=20_10.xlsx&amp;sheet=A0&amp;row=834&amp;col=6&amp;number=26480000&amp;sourceID=14","26480000")</f>
        <v>26480000</v>
      </c>
      <c r="G834" s="4" t="str">
        <f>HYPERLINK("http://141.218.60.56/~jnz1568/getInfo.php?workbook=20_10.xlsx&amp;sheet=A0&amp;row=834&amp;col=7&amp;number=0&amp;sourceID=14","0")</f>
        <v>0</v>
      </c>
    </row>
    <row r="835" spans="1:7">
      <c r="A835" s="3">
        <v>20</v>
      </c>
      <c r="B835" s="3">
        <v>10</v>
      </c>
      <c r="C835" s="3">
        <v>83</v>
      </c>
      <c r="D835" s="3">
        <v>26</v>
      </c>
      <c r="E835" s="3">
        <v>-72.16</v>
      </c>
      <c r="F835" s="4" t="str">
        <f>HYPERLINK("http://141.218.60.56/~jnz1568/getInfo.php?workbook=20_10.xlsx&amp;sheet=A0&amp;row=835&amp;col=6&amp;number=269300000&amp;sourceID=14","269300000")</f>
        <v>269300000</v>
      </c>
      <c r="G835" s="4" t="str">
        <f>HYPERLINK("http://141.218.60.56/~jnz1568/getInfo.php?workbook=20_10.xlsx&amp;sheet=A0&amp;row=835&amp;col=7&amp;number=0&amp;sourceID=14","0")</f>
        <v>0</v>
      </c>
    </row>
    <row r="836" spans="1:7">
      <c r="A836" s="3">
        <v>20</v>
      </c>
      <c r="B836" s="3">
        <v>10</v>
      </c>
      <c r="C836" s="3">
        <v>83</v>
      </c>
      <c r="D836" s="3">
        <v>28</v>
      </c>
      <c r="E836" s="3">
        <v>-91.374</v>
      </c>
      <c r="F836" s="4" t="str">
        <f>HYPERLINK("http://141.218.60.56/~jnz1568/getInfo.php?workbook=20_10.xlsx&amp;sheet=A0&amp;row=836&amp;col=6&amp;number=14400000&amp;sourceID=14","14400000")</f>
        <v>14400000</v>
      </c>
      <c r="G836" s="4" t="str">
        <f>HYPERLINK("http://141.218.60.56/~jnz1568/getInfo.php?workbook=20_10.xlsx&amp;sheet=A0&amp;row=836&amp;col=7&amp;number=0&amp;sourceID=14","0")</f>
        <v>0</v>
      </c>
    </row>
    <row r="837" spans="1:7">
      <c r="A837" s="3">
        <v>20</v>
      </c>
      <c r="B837" s="3">
        <v>10</v>
      </c>
      <c r="C837" s="3">
        <v>83</v>
      </c>
      <c r="D837" s="3">
        <v>31</v>
      </c>
      <c r="E837" s="3">
        <v>-108.613</v>
      </c>
      <c r="F837" s="4" t="str">
        <f>HYPERLINK("http://141.218.60.56/~jnz1568/getInfo.php?workbook=20_10.xlsx&amp;sheet=A0&amp;row=837&amp;col=6&amp;number=58850000000&amp;sourceID=14","58850000000")</f>
        <v>58850000000</v>
      </c>
      <c r="G837" s="4" t="str">
        <f>HYPERLINK("http://141.218.60.56/~jnz1568/getInfo.php?workbook=20_10.xlsx&amp;sheet=A0&amp;row=837&amp;col=7&amp;number=0&amp;sourceID=14","0")</f>
        <v>0</v>
      </c>
    </row>
    <row r="838" spans="1:7">
      <c r="A838" s="3">
        <v>20</v>
      </c>
      <c r="B838" s="3">
        <v>10</v>
      </c>
      <c r="C838" s="3">
        <v>83</v>
      </c>
      <c r="D838" s="3">
        <v>32</v>
      </c>
      <c r="E838" s="3">
        <v>-109.099</v>
      </c>
      <c r="F838" s="4" t="str">
        <f>HYPERLINK("http://141.218.60.56/~jnz1568/getInfo.php?workbook=20_10.xlsx&amp;sheet=A0&amp;row=838&amp;col=6&amp;number=19250000000&amp;sourceID=14","19250000000")</f>
        <v>19250000000</v>
      </c>
      <c r="G838" s="4" t="str">
        <f>HYPERLINK("http://141.218.60.56/~jnz1568/getInfo.php?workbook=20_10.xlsx&amp;sheet=A0&amp;row=838&amp;col=7&amp;number=0&amp;sourceID=14","0")</f>
        <v>0</v>
      </c>
    </row>
    <row r="839" spans="1:7">
      <c r="A839" s="3">
        <v>20</v>
      </c>
      <c r="B839" s="3">
        <v>10</v>
      </c>
      <c r="C839" s="3">
        <v>83</v>
      </c>
      <c r="D839" s="3">
        <v>33</v>
      </c>
      <c r="E839" s="3">
        <v>-110.253</v>
      </c>
      <c r="F839" s="4" t="str">
        <f>HYPERLINK("http://141.218.60.56/~jnz1568/getInfo.php?workbook=20_10.xlsx&amp;sheet=A0&amp;row=839&amp;col=6&amp;number=1209000000&amp;sourceID=14","1209000000")</f>
        <v>1209000000</v>
      </c>
      <c r="G839" s="4" t="str">
        <f>HYPERLINK("http://141.218.60.56/~jnz1568/getInfo.php?workbook=20_10.xlsx&amp;sheet=A0&amp;row=839&amp;col=7&amp;number=0&amp;sourceID=14","0")</f>
        <v>0</v>
      </c>
    </row>
    <row r="840" spans="1:7">
      <c r="A840" s="3">
        <v>20</v>
      </c>
      <c r="B840" s="3">
        <v>10</v>
      </c>
      <c r="C840" s="3">
        <v>83</v>
      </c>
      <c r="D840" s="3">
        <v>34</v>
      </c>
      <c r="E840" s="3">
        <v>-113.275</v>
      </c>
      <c r="F840" s="4" t="str">
        <f>HYPERLINK("http://141.218.60.56/~jnz1568/getInfo.php?workbook=20_10.xlsx&amp;sheet=A0&amp;row=840&amp;col=6&amp;number=2169000000&amp;sourceID=14","2169000000")</f>
        <v>2169000000</v>
      </c>
      <c r="G840" s="4" t="str">
        <f>HYPERLINK("http://141.218.60.56/~jnz1568/getInfo.php?workbook=20_10.xlsx&amp;sheet=A0&amp;row=840&amp;col=7&amp;number=0&amp;sourceID=14","0")</f>
        <v>0</v>
      </c>
    </row>
    <row r="841" spans="1:7">
      <c r="A841" s="3">
        <v>20</v>
      </c>
      <c r="B841" s="3">
        <v>10</v>
      </c>
      <c r="C841" s="3">
        <v>83</v>
      </c>
      <c r="D841" s="3">
        <v>35</v>
      </c>
      <c r="E841" s="3">
        <v>-113.662</v>
      </c>
      <c r="F841" s="4" t="str">
        <f>HYPERLINK("http://141.218.60.56/~jnz1568/getInfo.php?workbook=20_10.xlsx&amp;sheet=A0&amp;row=841&amp;col=6&amp;number=1957000000&amp;sourceID=14","1957000000")</f>
        <v>1957000000</v>
      </c>
      <c r="G841" s="4" t="str">
        <f>HYPERLINK("http://141.218.60.56/~jnz1568/getInfo.php?workbook=20_10.xlsx&amp;sheet=A0&amp;row=841&amp;col=7&amp;number=0&amp;sourceID=14","0")</f>
        <v>0</v>
      </c>
    </row>
    <row r="842" spans="1:7">
      <c r="A842" s="3">
        <v>20</v>
      </c>
      <c r="B842" s="3">
        <v>10</v>
      </c>
      <c r="C842" s="3">
        <v>83</v>
      </c>
      <c r="D842" s="3">
        <v>37</v>
      </c>
      <c r="E842" s="3">
        <v>-117.495</v>
      </c>
      <c r="F842" s="4" t="str">
        <f>HYPERLINK("http://141.218.60.56/~jnz1568/getInfo.php?workbook=20_10.xlsx&amp;sheet=A0&amp;row=842&amp;col=6&amp;number=1199000000&amp;sourceID=14","1199000000")</f>
        <v>1199000000</v>
      </c>
      <c r="G842" s="4" t="str">
        <f>HYPERLINK("http://141.218.60.56/~jnz1568/getInfo.php?workbook=20_10.xlsx&amp;sheet=A0&amp;row=842&amp;col=7&amp;number=0&amp;sourceID=14","0")</f>
        <v>0</v>
      </c>
    </row>
    <row r="843" spans="1:7">
      <c r="A843" s="3">
        <v>20</v>
      </c>
      <c r="B843" s="3">
        <v>10</v>
      </c>
      <c r="C843" s="3">
        <v>83</v>
      </c>
      <c r="D843" s="3">
        <v>49</v>
      </c>
      <c r="E843" s="3">
        <v>-136.499</v>
      </c>
      <c r="F843" s="4" t="str">
        <f>HYPERLINK("http://141.218.60.56/~jnz1568/getInfo.php?workbook=20_10.xlsx&amp;sheet=A0&amp;row=843&amp;col=6&amp;number=4577000000&amp;sourceID=14","4577000000")</f>
        <v>4577000000</v>
      </c>
      <c r="G843" s="4" t="str">
        <f>HYPERLINK("http://141.218.60.56/~jnz1568/getInfo.php?workbook=20_10.xlsx&amp;sheet=A0&amp;row=843&amp;col=7&amp;number=0&amp;sourceID=14","0")</f>
        <v>0</v>
      </c>
    </row>
    <row r="844" spans="1:7">
      <c r="A844" s="3">
        <v>20</v>
      </c>
      <c r="B844" s="3">
        <v>10</v>
      </c>
      <c r="C844" s="3">
        <v>83</v>
      </c>
      <c r="D844" s="3">
        <v>51</v>
      </c>
      <c r="E844" s="3">
        <v>-137.005</v>
      </c>
      <c r="F844" s="4" t="str">
        <f>HYPERLINK("http://141.218.60.56/~jnz1568/getInfo.php?workbook=20_10.xlsx&amp;sheet=A0&amp;row=844&amp;col=6&amp;number=10530000000&amp;sourceID=14","10530000000")</f>
        <v>10530000000</v>
      </c>
      <c r="G844" s="4" t="str">
        <f>HYPERLINK("http://141.218.60.56/~jnz1568/getInfo.php?workbook=20_10.xlsx&amp;sheet=A0&amp;row=844&amp;col=7&amp;number=0&amp;sourceID=14","0")</f>
        <v>0</v>
      </c>
    </row>
    <row r="845" spans="1:7">
      <c r="A845" s="3">
        <v>20</v>
      </c>
      <c r="B845" s="3">
        <v>10</v>
      </c>
      <c r="C845" s="3">
        <v>83</v>
      </c>
      <c r="D845" s="3">
        <v>52</v>
      </c>
      <c r="E845" s="3">
        <v>-137.229</v>
      </c>
      <c r="F845" s="4" t="str">
        <f>HYPERLINK("http://141.218.60.56/~jnz1568/getInfo.php?workbook=20_10.xlsx&amp;sheet=A0&amp;row=845&amp;col=6&amp;number=31130000000&amp;sourceID=14","31130000000")</f>
        <v>31130000000</v>
      </c>
      <c r="G845" s="4" t="str">
        <f>HYPERLINK("http://141.218.60.56/~jnz1568/getInfo.php?workbook=20_10.xlsx&amp;sheet=A0&amp;row=845&amp;col=7&amp;number=0&amp;sourceID=14","0")</f>
        <v>0</v>
      </c>
    </row>
    <row r="846" spans="1:7">
      <c r="A846" s="3">
        <v>20</v>
      </c>
      <c r="B846" s="3">
        <v>10</v>
      </c>
      <c r="C846" s="3">
        <v>83</v>
      </c>
      <c r="D846" s="3">
        <v>53</v>
      </c>
      <c r="E846" s="3">
        <v>-137.702</v>
      </c>
      <c r="F846" s="4" t="str">
        <f>HYPERLINK("http://141.218.60.56/~jnz1568/getInfo.php?workbook=20_10.xlsx&amp;sheet=A0&amp;row=846&amp;col=6&amp;number=828800000&amp;sourceID=14","828800000")</f>
        <v>828800000</v>
      </c>
      <c r="G846" s="4" t="str">
        <f>HYPERLINK("http://141.218.60.56/~jnz1568/getInfo.php?workbook=20_10.xlsx&amp;sheet=A0&amp;row=846&amp;col=7&amp;number=0&amp;sourceID=14","0")</f>
        <v>0</v>
      </c>
    </row>
    <row r="847" spans="1:7">
      <c r="A847" s="3">
        <v>20</v>
      </c>
      <c r="B847" s="3">
        <v>10</v>
      </c>
      <c r="C847" s="3">
        <v>83</v>
      </c>
      <c r="D847" s="3">
        <v>54</v>
      </c>
      <c r="E847" s="3">
        <v>-137.949</v>
      </c>
      <c r="F847" s="4" t="str">
        <f>HYPERLINK("http://141.218.60.56/~jnz1568/getInfo.php?workbook=20_10.xlsx&amp;sheet=A0&amp;row=847&amp;col=6&amp;number=5024000000&amp;sourceID=14","5024000000")</f>
        <v>5024000000</v>
      </c>
      <c r="G847" s="4" t="str">
        <f>HYPERLINK("http://141.218.60.56/~jnz1568/getInfo.php?workbook=20_10.xlsx&amp;sheet=A0&amp;row=847&amp;col=7&amp;number=0&amp;sourceID=14","0")</f>
        <v>0</v>
      </c>
    </row>
    <row r="848" spans="1:7">
      <c r="A848" s="3">
        <v>20</v>
      </c>
      <c r="B848" s="3">
        <v>10</v>
      </c>
      <c r="C848" s="3">
        <v>83</v>
      </c>
      <c r="D848" s="3">
        <v>55</v>
      </c>
      <c r="E848" s="3">
        <v>-139.683</v>
      </c>
      <c r="F848" s="4" t="str">
        <f>HYPERLINK("http://141.218.60.56/~jnz1568/getInfo.php?workbook=20_10.xlsx&amp;sheet=A0&amp;row=848&amp;col=6&amp;number=4931000000&amp;sourceID=14","4931000000")</f>
        <v>4931000000</v>
      </c>
      <c r="G848" s="4" t="str">
        <f>HYPERLINK("http://141.218.60.56/~jnz1568/getInfo.php?workbook=20_10.xlsx&amp;sheet=A0&amp;row=848&amp;col=7&amp;number=0&amp;sourceID=14","0")</f>
        <v>0</v>
      </c>
    </row>
    <row r="849" spans="1:7">
      <c r="A849" s="3">
        <v>20</v>
      </c>
      <c r="B849" s="3">
        <v>10</v>
      </c>
      <c r="C849" s="3">
        <v>83</v>
      </c>
      <c r="D849" s="3">
        <v>58</v>
      </c>
      <c r="E849" s="3">
        <v>-143.04</v>
      </c>
      <c r="F849" s="4" t="str">
        <f>HYPERLINK("http://141.218.60.56/~jnz1568/getInfo.php?workbook=20_10.xlsx&amp;sheet=A0&amp;row=849&amp;col=6&amp;number=9130000000&amp;sourceID=14","9130000000")</f>
        <v>9130000000</v>
      </c>
      <c r="G849" s="4" t="str">
        <f>HYPERLINK("http://141.218.60.56/~jnz1568/getInfo.php?workbook=20_10.xlsx&amp;sheet=A0&amp;row=849&amp;col=7&amp;number=0&amp;sourceID=14","0")</f>
        <v>0</v>
      </c>
    </row>
    <row r="850" spans="1:7">
      <c r="A850" s="3">
        <v>20</v>
      </c>
      <c r="B850" s="3">
        <v>10</v>
      </c>
      <c r="C850" s="3">
        <v>83</v>
      </c>
      <c r="D850" s="3">
        <v>59</v>
      </c>
      <c r="E850" s="3">
        <v>-143.184</v>
      </c>
      <c r="F850" s="4" t="str">
        <f>HYPERLINK("http://141.218.60.56/~jnz1568/getInfo.php?workbook=20_10.xlsx&amp;sheet=A0&amp;row=850&amp;col=6&amp;number=3218000000&amp;sourceID=14","3218000000")</f>
        <v>3218000000</v>
      </c>
      <c r="G850" s="4" t="str">
        <f>HYPERLINK("http://141.218.60.56/~jnz1568/getInfo.php?workbook=20_10.xlsx&amp;sheet=A0&amp;row=850&amp;col=7&amp;number=0&amp;sourceID=14","0")</f>
        <v>0</v>
      </c>
    </row>
    <row r="851" spans="1:7">
      <c r="A851" s="3">
        <v>20</v>
      </c>
      <c r="B851" s="3">
        <v>10</v>
      </c>
      <c r="C851" s="3">
        <v>83</v>
      </c>
      <c r="D851" s="3">
        <v>62</v>
      </c>
      <c r="E851" s="3">
        <v>-143.409</v>
      </c>
      <c r="F851" s="4" t="str">
        <f>HYPERLINK("http://141.218.60.56/~jnz1568/getInfo.php?workbook=20_10.xlsx&amp;sheet=A0&amp;row=851&amp;col=6&amp;number=5710000000&amp;sourceID=14","5710000000")</f>
        <v>5710000000</v>
      </c>
      <c r="G851" s="4" t="str">
        <f>HYPERLINK("http://141.218.60.56/~jnz1568/getInfo.php?workbook=20_10.xlsx&amp;sheet=A0&amp;row=851&amp;col=7&amp;number=0&amp;sourceID=14","0")</f>
        <v>0</v>
      </c>
    </row>
    <row r="852" spans="1:7">
      <c r="A852" s="3">
        <v>20</v>
      </c>
      <c r="B852" s="3">
        <v>10</v>
      </c>
      <c r="C852" s="3">
        <v>83</v>
      </c>
      <c r="D852" s="3">
        <v>70</v>
      </c>
      <c r="E852" s="3">
        <v>-145.687</v>
      </c>
      <c r="F852" s="4" t="str">
        <f>HYPERLINK("http://141.218.60.56/~jnz1568/getInfo.php?workbook=20_10.xlsx&amp;sheet=A0&amp;row=852&amp;col=6&amp;number=1991000000&amp;sourceID=14","1991000000")</f>
        <v>1991000000</v>
      </c>
      <c r="G852" s="4" t="str">
        <f>HYPERLINK("http://141.218.60.56/~jnz1568/getInfo.php?workbook=20_10.xlsx&amp;sheet=A0&amp;row=852&amp;col=7&amp;number=0&amp;sourceID=14","0")</f>
        <v>0</v>
      </c>
    </row>
    <row r="853" spans="1:7">
      <c r="A853" s="3">
        <v>20</v>
      </c>
      <c r="B853" s="3">
        <v>10</v>
      </c>
      <c r="C853" s="3">
        <v>83</v>
      </c>
      <c r="D853" s="3">
        <v>79</v>
      </c>
      <c r="E853" s="3">
        <v>-1191.883</v>
      </c>
      <c r="F853" s="4" t="str">
        <f>HYPERLINK("http://141.218.60.56/~jnz1568/getInfo.php?workbook=20_10.xlsx&amp;sheet=A0&amp;row=853&amp;col=6&amp;number=1148000000&amp;sourceID=14","1148000000")</f>
        <v>1148000000</v>
      </c>
      <c r="G853" s="4" t="str">
        <f>HYPERLINK("http://141.218.60.56/~jnz1568/getInfo.php?workbook=20_10.xlsx&amp;sheet=A0&amp;row=853&amp;col=7&amp;number=0&amp;sourceID=14","0")</f>
        <v>0</v>
      </c>
    </row>
    <row r="854" spans="1:7">
      <c r="A854" s="3">
        <v>20</v>
      </c>
      <c r="B854" s="3">
        <v>10</v>
      </c>
      <c r="C854" s="3">
        <v>83</v>
      </c>
      <c r="D854" s="3">
        <v>80</v>
      </c>
      <c r="E854" s="3">
        <v>-1215.025</v>
      </c>
      <c r="F854" s="4" t="str">
        <f>HYPERLINK("http://141.218.60.56/~jnz1568/getInfo.php?workbook=20_10.xlsx&amp;sheet=A0&amp;row=854&amp;col=6&amp;number=369700000&amp;sourceID=14","369700000")</f>
        <v>369700000</v>
      </c>
      <c r="G854" s="4" t="str">
        <f>HYPERLINK("http://141.218.60.56/~jnz1568/getInfo.php?workbook=20_10.xlsx&amp;sheet=A0&amp;row=854&amp;col=7&amp;number=0&amp;sourceID=14","0")</f>
        <v>0</v>
      </c>
    </row>
    <row r="855" spans="1:7">
      <c r="A855" s="3">
        <v>20</v>
      </c>
      <c r="B855" s="3">
        <v>10</v>
      </c>
      <c r="C855" s="3">
        <v>83</v>
      </c>
      <c r="D855" s="3">
        <v>81</v>
      </c>
      <c r="E855" s="3">
        <v>-1265.793</v>
      </c>
      <c r="F855" s="4" t="str">
        <f>HYPERLINK("http://141.218.60.56/~jnz1568/getInfo.php?workbook=20_10.xlsx&amp;sheet=A0&amp;row=855&amp;col=6&amp;number=24990000&amp;sourceID=14","24990000")</f>
        <v>24990000</v>
      </c>
      <c r="G855" s="4" t="str">
        <f>HYPERLINK("http://141.218.60.56/~jnz1568/getInfo.php?workbook=20_10.xlsx&amp;sheet=A0&amp;row=855&amp;col=7&amp;number=0&amp;sourceID=14","0")</f>
        <v>0</v>
      </c>
    </row>
    <row r="856" spans="1:7">
      <c r="A856" s="3">
        <v>20</v>
      </c>
      <c r="B856" s="3">
        <v>10</v>
      </c>
      <c r="C856" s="3">
        <v>84</v>
      </c>
      <c r="D856" s="3">
        <v>18</v>
      </c>
      <c r="E856" s="3">
        <v>-70.057</v>
      </c>
      <c r="F856" s="4" t="str">
        <f>HYPERLINK("http://141.218.60.56/~jnz1568/getInfo.php?workbook=20_10.xlsx&amp;sheet=A0&amp;row=856&amp;col=6&amp;number=181300000&amp;sourceID=14","181300000")</f>
        <v>181300000</v>
      </c>
      <c r="G856" s="4" t="str">
        <f>HYPERLINK("http://141.218.60.56/~jnz1568/getInfo.php?workbook=20_10.xlsx&amp;sheet=A0&amp;row=856&amp;col=7&amp;number=0&amp;sourceID=14","0")</f>
        <v>0</v>
      </c>
    </row>
    <row r="857" spans="1:7">
      <c r="A857" s="3">
        <v>20</v>
      </c>
      <c r="B857" s="3">
        <v>10</v>
      </c>
      <c r="C857" s="3">
        <v>84</v>
      </c>
      <c r="D857" s="3">
        <v>19</v>
      </c>
      <c r="E857" s="3">
        <v>-70.175</v>
      </c>
      <c r="F857" s="4" t="str">
        <f>HYPERLINK("http://141.218.60.56/~jnz1568/getInfo.php?workbook=20_10.xlsx&amp;sheet=A0&amp;row=857&amp;col=6&amp;number=1212000000&amp;sourceID=14","1212000000")</f>
        <v>1212000000</v>
      </c>
      <c r="G857" s="4" t="str">
        <f>HYPERLINK("http://141.218.60.56/~jnz1568/getInfo.php?workbook=20_10.xlsx&amp;sheet=A0&amp;row=857&amp;col=7&amp;number=0&amp;sourceID=14","0")</f>
        <v>0</v>
      </c>
    </row>
    <row r="858" spans="1:7">
      <c r="A858" s="3">
        <v>20</v>
      </c>
      <c r="B858" s="3">
        <v>10</v>
      </c>
      <c r="C858" s="3">
        <v>84</v>
      </c>
      <c r="D858" s="3">
        <v>20</v>
      </c>
      <c r="E858" s="3">
        <v>-70.363</v>
      </c>
      <c r="F858" s="4" t="str">
        <f>HYPERLINK("http://141.218.60.56/~jnz1568/getInfo.php?workbook=20_10.xlsx&amp;sheet=A0&amp;row=858&amp;col=6&amp;number=91070000&amp;sourceID=14","91070000")</f>
        <v>91070000</v>
      </c>
      <c r="G858" s="4" t="str">
        <f>HYPERLINK("http://141.218.60.56/~jnz1568/getInfo.php?workbook=20_10.xlsx&amp;sheet=A0&amp;row=858&amp;col=7&amp;number=0&amp;sourceID=14","0")</f>
        <v>0</v>
      </c>
    </row>
    <row r="859" spans="1:7">
      <c r="A859" s="3">
        <v>20</v>
      </c>
      <c r="B859" s="3">
        <v>10</v>
      </c>
      <c r="C859" s="3">
        <v>84</v>
      </c>
      <c r="D859" s="3">
        <v>22</v>
      </c>
      <c r="E859" s="3">
        <v>-70.897</v>
      </c>
      <c r="F859" s="4" t="str">
        <f>HYPERLINK("http://141.218.60.56/~jnz1568/getInfo.php?workbook=20_10.xlsx&amp;sheet=A0&amp;row=859&amp;col=6&amp;number=19530000&amp;sourceID=14","19530000")</f>
        <v>19530000</v>
      </c>
      <c r="G859" s="4" t="str">
        <f>HYPERLINK("http://141.218.60.56/~jnz1568/getInfo.php?workbook=20_10.xlsx&amp;sheet=A0&amp;row=859&amp;col=7&amp;number=0&amp;sourceID=14","0")</f>
        <v>0</v>
      </c>
    </row>
    <row r="860" spans="1:7">
      <c r="A860" s="3">
        <v>20</v>
      </c>
      <c r="B860" s="3">
        <v>10</v>
      </c>
      <c r="C860" s="3">
        <v>84</v>
      </c>
      <c r="D860" s="3">
        <v>25</v>
      </c>
      <c r="E860" s="3">
        <v>-72.103</v>
      </c>
      <c r="F860" s="4" t="str">
        <f>HYPERLINK("http://141.218.60.56/~jnz1568/getInfo.php?workbook=20_10.xlsx&amp;sheet=A0&amp;row=860&amp;col=6&amp;number=24940000&amp;sourceID=14","24940000")</f>
        <v>24940000</v>
      </c>
      <c r="G860" s="4" t="str">
        <f>HYPERLINK("http://141.218.60.56/~jnz1568/getInfo.php?workbook=20_10.xlsx&amp;sheet=A0&amp;row=860&amp;col=7&amp;number=0&amp;sourceID=14","0")</f>
        <v>0</v>
      </c>
    </row>
    <row r="861" spans="1:7">
      <c r="A861" s="3">
        <v>20</v>
      </c>
      <c r="B861" s="3">
        <v>10</v>
      </c>
      <c r="C861" s="3">
        <v>84</v>
      </c>
      <c r="D861" s="3">
        <v>28</v>
      </c>
      <c r="E861" s="3">
        <v>-91.357</v>
      </c>
      <c r="F861" s="4" t="str">
        <f>HYPERLINK("http://141.218.60.56/~jnz1568/getInfo.php?workbook=20_10.xlsx&amp;sheet=A0&amp;row=861&amp;col=6&amp;number=14400000&amp;sourceID=14","14400000")</f>
        <v>14400000</v>
      </c>
      <c r="G861" s="4" t="str">
        <f>HYPERLINK("http://141.218.60.56/~jnz1568/getInfo.php?workbook=20_10.xlsx&amp;sheet=A0&amp;row=861&amp;col=7&amp;number=0&amp;sourceID=14","0")</f>
        <v>0</v>
      </c>
    </row>
    <row r="862" spans="1:7">
      <c r="A862" s="3">
        <v>20</v>
      </c>
      <c r="B862" s="3">
        <v>10</v>
      </c>
      <c r="C862" s="3">
        <v>84</v>
      </c>
      <c r="D862" s="3">
        <v>32</v>
      </c>
      <c r="E862" s="3">
        <v>-109.075</v>
      </c>
      <c r="F862" s="4" t="str">
        <f>HYPERLINK("http://141.218.60.56/~jnz1568/getInfo.php?workbook=20_10.xlsx&amp;sheet=A0&amp;row=862&amp;col=6&amp;number=76640000000&amp;sourceID=14","76640000000")</f>
        <v>76640000000</v>
      </c>
      <c r="G862" s="4" t="str">
        <f>HYPERLINK("http://141.218.60.56/~jnz1568/getInfo.php?workbook=20_10.xlsx&amp;sheet=A0&amp;row=862&amp;col=7&amp;number=0&amp;sourceID=14","0")</f>
        <v>0</v>
      </c>
    </row>
    <row r="863" spans="1:7">
      <c r="A863" s="3">
        <v>20</v>
      </c>
      <c r="B863" s="3">
        <v>10</v>
      </c>
      <c r="C863" s="3">
        <v>84</v>
      </c>
      <c r="D863" s="3">
        <v>34</v>
      </c>
      <c r="E863" s="3">
        <v>-113.249</v>
      </c>
      <c r="F863" s="4" t="str">
        <f>HYPERLINK("http://141.218.60.56/~jnz1568/getInfo.php?workbook=20_10.xlsx&amp;sheet=A0&amp;row=863&amp;col=6&amp;number=8687000000&amp;sourceID=14","8687000000")</f>
        <v>8687000000</v>
      </c>
      <c r="G863" s="4" t="str">
        <f>HYPERLINK("http://141.218.60.56/~jnz1568/getInfo.php?workbook=20_10.xlsx&amp;sheet=A0&amp;row=863&amp;col=7&amp;number=0&amp;sourceID=14","0")</f>
        <v>0</v>
      </c>
    </row>
    <row r="864" spans="1:7">
      <c r="A864" s="3">
        <v>20</v>
      </c>
      <c r="B864" s="3">
        <v>10</v>
      </c>
      <c r="C864" s="3">
        <v>84</v>
      </c>
      <c r="D864" s="3">
        <v>50</v>
      </c>
      <c r="E864" s="3">
        <v>-136.873</v>
      </c>
      <c r="F864" s="4" t="str">
        <f>HYPERLINK("http://141.218.60.56/~jnz1568/getInfo.php?workbook=20_10.xlsx&amp;sheet=A0&amp;row=864&amp;col=6&amp;number=40410000000&amp;sourceID=14","40410000000")</f>
        <v>40410000000</v>
      </c>
      <c r="G864" s="4" t="str">
        <f>HYPERLINK("http://141.218.60.56/~jnz1568/getInfo.php?workbook=20_10.xlsx&amp;sheet=A0&amp;row=864&amp;col=7&amp;number=0&amp;sourceID=14","0")</f>
        <v>0</v>
      </c>
    </row>
    <row r="865" spans="1:7">
      <c r="A865" s="3">
        <v>20</v>
      </c>
      <c r="B865" s="3">
        <v>10</v>
      </c>
      <c r="C865" s="3">
        <v>84</v>
      </c>
      <c r="D865" s="3">
        <v>51</v>
      </c>
      <c r="E865" s="3">
        <v>-136.967</v>
      </c>
      <c r="F865" s="4" t="str">
        <f>HYPERLINK("http://141.218.60.56/~jnz1568/getInfo.php?workbook=20_10.xlsx&amp;sheet=A0&amp;row=865&amp;col=6&amp;number=3808000000&amp;sourceID=14","3808000000")</f>
        <v>3808000000</v>
      </c>
      <c r="G865" s="4" t="str">
        <f>HYPERLINK("http://141.218.60.56/~jnz1568/getInfo.php?workbook=20_10.xlsx&amp;sheet=A0&amp;row=865&amp;col=7&amp;number=0&amp;sourceID=14","0")</f>
        <v>0</v>
      </c>
    </row>
    <row r="866" spans="1:7">
      <c r="A866" s="3">
        <v>20</v>
      </c>
      <c r="B866" s="3">
        <v>10</v>
      </c>
      <c r="C866" s="3">
        <v>84</v>
      </c>
      <c r="D866" s="3">
        <v>52</v>
      </c>
      <c r="E866" s="3">
        <v>-137.191</v>
      </c>
      <c r="F866" s="4" t="str">
        <f>HYPERLINK("http://141.218.60.56/~jnz1568/getInfo.php?workbook=20_10.xlsx&amp;sheet=A0&amp;row=866&amp;col=6&amp;number=37320000&amp;sourceID=14","37320000")</f>
        <v>37320000</v>
      </c>
      <c r="G866" s="4" t="str">
        <f>HYPERLINK("http://141.218.60.56/~jnz1568/getInfo.php?workbook=20_10.xlsx&amp;sheet=A0&amp;row=866&amp;col=7&amp;number=0&amp;sourceID=14","0")</f>
        <v>0</v>
      </c>
    </row>
    <row r="867" spans="1:7">
      <c r="A867" s="3">
        <v>20</v>
      </c>
      <c r="B867" s="3">
        <v>10</v>
      </c>
      <c r="C867" s="3">
        <v>84</v>
      </c>
      <c r="D867" s="3">
        <v>53</v>
      </c>
      <c r="E867" s="3">
        <v>-137.664</v>
      </c>
      <c r="F867" s="4" t="str">
        <f>HYPERLINK("http://141.218.60.56/~jnz1568/getInfo.php?workbook=20_10.xlsx&amp;sheet=A0&amp;row=867&amp;col=6&amp;number=622300000&amp;sourceID=14","622300000")</f>
        <v>622300000</v>
      </c>
      <c r="G867" s="4" t="str">
        <f>HYPERLINK("http://141.218.60.56/~jnz1568/getInfo.php?workbook=20_10.xlsx&amp;sheet=A0&amp;row=867&amp;col=7&amp;number=0&amp;sourceID=14","0")</f>
        <v>0</v>
      </c>
    </row>
    <row r="868" spans="1:7">
      <c r="A868" s="3">
        <v>20</v>
      </c>
      <c r="B868" s="3">
        <v>10</v>
      </c>
      <c r="C868" s="3">
        <v>84</v>
      </c>
      <c r="D868" s="3">
        <v>54</v>
      </c>
      <c r="E868" s="3">
        <v>-137.911</v>
      </c>
      <c r="F868" s="4" t="str">
        <f>HYPERLINK("http://141.218.60.56/~jnz1568/getInfo.php?workbook=20_10.xlsx&amp;sheet=A0&amp;row=868&amp;col=6&amp;number=12750000000&amp;sourceID=14","12750000000")</f>
        <v>12750000000</v>
      </c>
      <c r="G868" s="4" t="str">
        <f>HYPERLINK("http://141.218.60.56/~jnz1568/getInfo.php?workbook=20_10.xlsx&amp;sheet=A0&amp;row=868&amp;col=7&amp;number=0&amp;sourceID=14","0")</f>
        <v>0</v>
      </c>
    </row>
    <row r="869" spans="1:7">
      <c r="A869" s="3">
        <v>20</v>
      </c>
      <c r="B869" s="3">
        <v>10</v>
      </c>
      <c r="C869" s="3">
        <v>84</v>
      </c>
      <c r="D869" s="3">
        <v>58</v>
      </c>
      <c r="E869" s="3">
        <v>-142.999</v>
      </c>
      <c r="F869" s="4" t="str">
        <f>HYPERLINK("http://141.218.60.56/~jnz1568/getInfo.php?workbook=20_10.xlsx&amp;sheet=A0&amp;row=869&amp;col=6&amp;number=306000000&amp;sourceID=14","306000000")</f>
        <v>306000000</v>
      </c>
      <c r="G869" s="4" t="str">
        <f>HYPERLINK("http://141.218.60.56/~jnz1568/getInfo.php?workbook=20_10.xlsx&amp;sheet=A0&amp;row=869&amp;col=7&amp;number=0&amp;sourceID=14","0")</f>
        <v>0</v>
      </c>
    </row>
    <row r="870" spans="1:7">
      <c r="A870" s="3">
        <v>20</v>
      </c>
      <c r="B870" s="3">
        <v>10</v>
      </c>
      <c r="C870" s="3">
        <v>84</v>
      </c>
      <c r="D870" s="3">
        <v>59</v>
      </c>
      <c r="E870" s="3">
        <v>-143.142</v>
      </c>
      <c r="F870" s="4" t="str">
        <f>HYPERLINK("http://141.218.60.56/~jnz1568/getInfo.php?workbook=20_10.xlsx&amp;sheet=A0&amp;row=870&amp;col=6&amp;number=8158000000&amp;sourceID=14","8158000000")</f>
        <v>8158000000</v>
      </c>
      <c r="G870" s="4" t="str">
        <f>HYPERLINK("http://141.218.60.56/~jnz1568/getInfo.php?workbook=20_10.xlsx&amp;sheet=A0&amp;row=870&amp;col=7&amp;number=0&amp;sourceID=14","0")</f>
        <v>0</v>
      </c>
    </row>
    <row r="871" spans="1:7">
      <c r="A871" s="3">
        <v>20</v>
      </c>
      <c r="B871" s="3">
        <v>10</v>
      </c>
      <c r="C871" s="3">
        <v>84</v>
      </c>
      <c r="D871" s="3">
        <v>62</v>
      </c>
      <c r="E871" s="3">
        <v>-143.368</v>
      </c>
      <c r="F871" s="4" t="str">
        <f>HYPERLINK("http://141.218.60.56/~jnz1568/getInfo.php?workbook=20_10.xlsx&amp;sheet=A0&amp;row=871&amp;col=6&amp;number=11420000000&amp;sourceID=14","11420000000")</f>
        <v>11420000000</v>
      </c>
      <c r="G871" s="4" t="str">
        <f>HYPERLINK("http://141.218.60.56/~jnz1568/getInfo.php?workbook=20_10.xlsx&amp;sheet=A0&amp;row=871&amp;col=7&amp;number=0&amp;sourceID=14","0")</f>
        <v>0</v>
      </c>
    </row>
    <row r="872" spans="1:7">
      <c r="A872" s="3">
        <v>20</v>
      </c>
      <c r="B872" s="3">
        <v>10</v>
      </c>
      <c r="C872" s="3">
        <v>84</v>
      </c>
      <c r="D872" s="3">
        <v>80</v>
      </c>
      <c r="E872" s="3">
        <v>-1212.05</v>
      </c>
      <c r="F872" s="4" t="str">
        <f>HYPERLINK("http://141.218.60.56/~jnz1568/getInfo.php?workbook=20_10.xlsx&amp;sheet=A0&amp;row=872&amp;col=6&amp;number=1497000000&amp;sourceID=14","1497000000")</f>
        <v>1497000000</v>
      </c>
      <c r="G872" s="4" t="str">
        <f>HYPERLINK("http://141.218.60.56/~jnz1568/getInfo.php?workbook=20_10.xlsx&amp;sheet=A0&amp;row=872&amp;col=7&amp;number=0&amp;sourceID=14","0")</f>
        <v>0</v>
      </c>
    </row>
    <row r="873" spans="1:7">
      <c r="A873" s="3">
        <v>20</v>
      </c>
      <c r="B873" s="3">
        <v>10</v>
      </c>
      <c r="C873" s="3">
        <v>85</v>
      </c>
      <c r="D873" s="3">
        <v>1</v>
      </c>
      <c r="E873" s="3">
        <v>-21.559</v>
      </c>
      <c r="F873" s="4" t="str">
        <f>HYPERLINK("http://141.218.60.56/~jnz1568/getInfo.php?workbook=20_10.xlsx&amp;sheet=A0&amp;row=873&amp;col=6&amp;number=562000000&amp;sourceID=14","562000000")</f>
        <v>562000000</v>
      </c>
      <c r="G873" s="4" t="str">
        <f>HYPERLINK("http://141.218.60.56/~jnz1568/getInfo.php?workbook=20_10.xlsx&amp;sheet=A0&amp;row=873&amp;col=7&amp;number=0&amp;sourceID=14","0")</f>
        <v>0</v>
      </c>
    </row>
    <row r="874" spans="1:7">
      <c r="A874" s="3">
        <v>20</v>
      </c>
      <c r="B874" s="3">
        <v>10</v>
      </c>
      <c r="C874" s="3">
        <v>85</v>
      </c>
      <c r="D874" s="3">
        <v>3</v>
      </c>
      <c r="E874" s="3">
        <v>-54.583</v>
      </c>
      <c r="F874" s="4" t="str">
        <f>HYPERLINK("http://141.218.60.56/~jnz1568/getInfo.php?workbook=20_10.xlsx&amp;sheet=A0&amp;row=874&amp;col=6&amp;number=37050000&amp;sourceID=14","37050000")</f>
        <v>37050000</v>
      </c>
      <c r="G874" s="4" t="str">
        <f>HYPERLINK("http://141.218.60.56/~jnz1568/getInfo.php?workbook=20_10.xlsx&amp;sheet=A0&amp;row=874&amp;col=7&amp;number=0&amp;sourceID=14","0")</f>
        <v>0</v>
      </c>
    </row>
    <row r="875" spans="1:7">
      <c r="A875" s="3">
        <v>20</v>
      </c>
      <c r="B875" s="3">
        <v>10</v>
      </c>
      <c r="C875" s="3">
        <v>85</v>
      </c>
      <c r="D875" s="3">
        <v>5</v>
      </c>
      <c r="E875" s="3">
        <v>-55.449</v>
      </c>
      <c r="F875" s="4" t="str">
        <f>HYPERLINK("http://141.218.60.56/~jnz1568/getInfo.php?workbook=20_10.xlsx&amp;sheet=A0&amp;row=875&amp;col=6&amp;number=67940000&amp;sourceID=14","67940000")</f>
        <v>67940000</v>
      </c>
      <c r="G875" s="4" t="str">
        <f>HYPERLINK("http://141.218.60.56/~jnz1568/getInfo.php?workbook=20_10.xlsx&amp;sheet=A0&amp;row=875&amp;col=7&amp;number=0&amp;sourceID=14","0")</f>
        <v>0</v>
      </c>
    </row>
    <row r="876" spans="1:7">
      <c r="A876" s="3">
        <v>20</v>
      </c>
      <c r="B876" s="3">
        <v>10</v>
      </c>
      <c r="C876" s="3">
        <v>85</v>
      </c>
      <c r="D876" s="3">
        <v>20</v>
      </c>
      <c r="E876" s="3">
        <v>-70</v>
      </c>
      <c r="F876" s="4" t="str">
        <f>HYPERLINK("http://141.218.60.56/~jnz1568/getInfo.php?workbook=20_10.xlsx&amp;sheet=A0&amp;row=876&amp;col=6&amp;number=262700000&amp;sourceID=14","262700000")</f>
        <v>262700000</v>
      </c>
      <c r="G876" s="4" t="str">
        <f>HYPERLINK("http://141.218.60.56/~jnz1568/getInfo.php?workbook=20_10.xlsx&amp;sheet=A0&amp;row=876&amp;col=7&amp;number=0&amp;sourceID=14","0")</f>
        <v>0</v>
      </c>
    </row>
    <row r="877" spans="1:7">
      <c r="A877" s="3">
        <v>20</v>
      </c>
      <c r="B877" s="3">
        <v>10</v>
      </c>
      <c r="C877" s="3">
        <v>85</v>
      </c>
      <c r="D877" s="3">
        <v>22</v>
      </c>
      <c r="E877" s="3">
        <v>-70.528</v>
      </c>
      <c r="F877" s="4" t="str">
        <f>HYPERLINK("http://141.218.60.56/~jnz1568/getInfo.php?workbook=20_10.xlsx&amp;sheet=A0&amp;row=877&amp;col=6&amp;number=576400000&amp;sourceID=14","576400000")</f>
        <v>576400000</v>
      </c>
      <c r="G877" s="4" t="str">
        <f>HYPERLINK("http://141.218.60.56/~jnz1568/getInfo.php?workbook=20_10.xlsx&amp;sheet=A0&amp;row=877&amp;col=7&amp;number=0&amp;sourceID=14","0")</f>
        <v>0</v>
      </c>
    </row>
    <row r="878" spans="1:7">
      <c r="A878" s="3">
        <v>20</v>
      </c>
      <c r="B878" s="3">
        <v>10</v>
      </c>
      <c r="C878" s="3">
        <v>85</v>
      </c>
      <c r="D878" s="3">
        <v>26</v>
      </c>
      <c r="E878" s="3">
        <v>-71.769</v>
      </c>
      <c r="F878" s="4" t="str">
        <f>HYPERLINK("http://141.218.60.56/~jnz1568/getInfo.php?workbook=20_10.xlsx&amp;sheet=A0&amp;row=878&amp;col=6&amp;number=501400000&amp;sourceID=14","501400000")</f>
        <v>501400000</v>
      </c>
      <c r="G878" s="4" t="str">
        <f>HYPERLINK("http://141.218.60.56/~jnz1568/getInfo.php?workbook=20_10.xlsx&amp;sheet=A0&amp;row=878&amp;col=7&amp;number=0&amp;sourceID=14","0")</f>
        <v>0</v>
      </c>
    </row>
    <row r="879" spans="1:7">
      <c r="A879" s="3">
        <v>20</v>
      </c>
      <c r="B879" s="3">
        <v>10</v>
      </c>
      <c r="C879" s="3">
        <v>85</v>
      </c>
      <c r="D879" s="3">
        <v>29</v>
      </c>
      <c r="E879" s="3">
        <v>-93.473</v>
      </c>
      <c r="F879" s="4" t="str">
        <f>HYPERLINK("http://141.218.60.56/~jnz1568/getInfo.php?workbook=20_10.xlsx&amp;sheet=A0&amp;row=879&amp;col=6&amp;number=15620000&amp;sourceID=14","15620000")</f>
        <v>15620000</v>
      </c>
      <c r="G879" s="4" t="str">
        <f>HYPERLINK("http://141.218.60.56/~jnz1568/getInfo.php?workbook=20_10.xlsx&amp;sheet=A0&amp;row=879&amp;col=7&amp;number=0&amp;sourceID=14","0")</f>
        <v>0</v>
      </c>
    </row>
    <row r="880" spans="1:7">
      <c r="A880" s="3">
        <v>20</v>
      </c>
      <c r="B880" s="3">
        <v>10</v>
      </c>
      <c r="C880" s="3">
        <v>85</v>
      </c>
      <c r="D880" s="3">
        <v>31</v>
      </c>
      <c r="E880" s="3">
        <v>-107.728</v>
      </c>
      <c r="F880" s="4" t="str">
        <f>HYPERLINK("http://141.218.60.56/~jnz1568/getInfo.php?workbook=20_10.xlsx&amp;sheet=A0&amp;row=880&amp;col=6&amp;number=1414000000&amp;sourceID=14","1414000000")</f>
        <v>1414000000</v>
      </c>
      <c r="G880" s="4" t="str">
        <f>HYPERLINK("http://141.218.60.56/~jnz1568/getInfo.php?workbook=20_10.xlsx&amp;sheet=A0&amp;row=880&amp;col=7&amp;number=0&amp;sourceID=14","0")</f>
        <v>0</v>
      </c>
    </row>
    <row r="881" spans="1:7">
      <c r="A881" s="3">
        <v>20</v>
      </c>
      <c r="B881" s="3">
        <v>10</v>
      </c>
      <c r="C881" s="3">
        <v>85</v>
      </c>
      <c r="D881" s="3">
        <v>32</v>
      </c>
      <c r="E881" s="3">
        <v>-108.206</v>
      </c>
      <c r="F881" s="4" t="str">
        <f>HYPERLINK("http://141.218.60.56/~jnz1568/getInfo.php?workbook=20_10.xlsx&amp;sheet=A0&amp;row=881&amp;col=6&amp;number=16780000&amp;sourceID=14","16780000")</f>
        <v>16780000</v>
      </c>
      <c r="G881" s="4" t="str">
        <f>HYPERLINK("http://141.218.60.56/~jnz1568/getInfo.php?workbook=20_10.xlsx&amp;sheet=A0&amp;row=881&amp;col=7&amp;number=0&amp;sourceID=14","0")</f>
        <v>0</v>
      </c>
    </row>
    <row r="882" spans="1:7">
      <c r="A882" s="3">
        <v>20</v>
      </c>
      <c r="B882" s="3">
        <v>10</v>
      </c>
      <c r="C882" s="3">
        <v>85</v>
      </c>
      <c r="D882" s="3">
        <v>33</v>
      </c>
      <c r="E882" s="3">
        <v>-109.341</v>
      </c>
      <c r="F882" s="4" t="str">
        <f>HYPERLINK("http://141.218.60.56/~jnz1568/getInfo.php?workbook=20_10.xlsx&amp;sheet=A0&amp;row=882&amp;col=6&amp;number=82250000000&amp;sourceID=14","82250000000")</f>
        <v>82250000000</v>
      </c>
      <c r="G882" s="4" t="str">
        <f>HYPERLINK("http://141.218.60.56/~jnz1568/getInfo.php?workbook=20_10.xlsx&amp;sheet=A0&amp;row=882&amp;col=7&amp;number=0&amp;sourceID=14","0")</f>
        <v>0</v>
      </c>
    </row>
    <row r="883" spans="1:7">
      <c r="A883" s="3">
        <v>20</v>
      </c>
      <c r="B883" s="3">
        <v>10</v>
      </c>
      <c r="C883" s="3">
        <v>85</v>
      </c>
      <c r="D883" s="3">
        <v>35</v>
      </c>
      <c r="E883" s="3">
        <v>-112.693</v>
      </c>
      <c r="F883" s="4" t="str">
        <f>HYPERLINK("http://141.218.60.56/~jnz1568/getInfo.php?workbook=20_10.xlsx&amp;sheet=A0&amp;row=883&amp;col=6&amp;number=610600000&amp;sourceID=14","610600000")</f>
        <v>610600000</v>
      </c>
      <c r="G883" s="4" t="str">
        <f>HYPERLINK("http://141.218.60.56/~jnz1568/getInfo.php?workbook=20_10.xlsx&amp;sheet=A0&amp;row=883&amp;col=7&amp;number=0&amp;sourceID=14","0")</f>
        <v>0</v>
      </c>
    </row>
    <row r="884" spans="1:7">
      <c r="A884" s="3">
        <v>20</v>
      </c>
      <c r="B884" s="3">
        <v>10</v>
      </c>
      <c r="C884" s="3">
        <v>85</v>
      </c>
      <c r="D884" s="3">
        <v>37</v>
      </c>
      <c r="E884" s="3">
        <v>-116.459</v>
      </c>
      <c r="F884" s="4" t="str">
        <f>HYPERLINK("http://141.218.60.56/~jnz1568/getInfo.php?workbook=20_10.xlsx&amp;sheet=A0&amp;row=884&amp;col=6&amp;number=155200000&amp;sourceID=14","155200000")</f>
        <v>155200000</v>
      </c>
      <c r="G884" s="4" t="str">
        <f>HYPERLINK("http://141.218.60.56/~jnz1568/getInfo.php?workbook=20_10.xlsx&amp;sheet=A0&amp;row=884&amp;col=7&amp;number=0&amp;sourceID=14","0")</f>
        <v>0</v>
      </c>
    </row>
    <row r="885" spans="1:7">
      <c r="A885" s="3">
        <v>20</v>
      </c>
      <c r="B885" s="3">
        <v>10</v>
      </c>
      <c r="C885" s="3">
        <v>85</v>
      </c>
      <c r="D885" s="3">
        <v>49</v>
      </c>
      <c r="E885" s="3">
        <v>-135.104</v>
      </c>
      <c r="F885" s="4" t="str">
        <f>HYPERLINK("http://141.218.60.56/~jnz1568/getInfo.php?workbook=20_10.xlsx&amp;sheet=A0&amp;row=885&amp;col=6&amp;number=71190000&amp;sourceID=14","71190000")</f>
        <v>71190000</v>
      </c>
      <c r="G885" s="4" t="str">
        <f>HYPERLINK("http://141.218.60.56/~jnz1568/getInfo.php?workbook=20_10.xlsx&amp;sheet=A0&amp;row=885&amp;col=7&amp;number=0&amp;sourceID=14","0")</f>
        <v>0</v>
      </c>
    </row>
    <row r="886" spans="1:7">
      <c r="A886" s="3">
        <v>20</v>
      </c>
      <c r="B886" s="3">
        <v>10</v>
      </c>
      <c r="C886" s="3">
        <v>85</v>
      </c>
      <c r="D886" s="3">
        <v>51</v>
      </c>
      <c r="E886" s="3">
        <v>-135.599</v>
      </c>
      <c r="F886" s="4" t="str">
        <f>HYPERLINK("http://141.218.60.56/~jnz1568/getInfo.php?workbook=20_10.xlsx&amp;sheet=A0&amp;row=886&amp;col=6&amp;number=3385000000&amp;sourceID=14","3385000000")</f>
        <v>3385000000</v>
      </c>
      <c r="G886" s="4" t="str">
        <f>HYPERLINK("http://141.218.60.56/~jnz1568/getInfo.php?workbook=20_10.xlsx&amp;sheet=A0&amp;row=886&amp;col=7&amp;number=0&amp;sourceID=14","0")</f>
        <v>0</v>
      </c>
    </row>
    <row r="887" spans="1:7">
      <c r="A887" s="3">
        <v>20</v>
      </c>
      <c r="B887" s="3">
        <v>10</v>
      </c>
      <c r="C887" s="3">
        <v>85</v>
      </c>
      <c r="D887" s="3">
        <v>52</v>
      </c>
      <c r="E887" s="3">
        <v>-135.819</v>
      </c>
      <c r="F887" s="4" t="str">
        <f>HYPERLINK("http://141.218.60.56/~jnz1568/getInfo.php?workbook=20_10.xlsx&amp;sheet=A0&amp;row=887&amp;col=6&amp;number=12070000000&amp;sourceID=14","12070000000")</f>
        <v>12070000000</v>
      </c>
      <c r="G887" s="4" t="str">
        <f>HYPERLINK("http://141.218.60.56/~jnz1568/getInfo.php?workbook=20_10.xlsx&amp;sheet=A0&amp;row=887&amp;col=7&amp;number=0&amp;sourceID=14","0")</f>
        <v>0</v>
      </c>
    </row>
    <row r="888" spans="1:7">
      <c r="A888" s="3">
        <v>20</v>
      </c>
      <c r="B888" s="3">
        <v>10</v>
      </c>
      <c r="C888" s="3">
        <v>85</v>
      </c>
      <c r="D888" s="3">
        <v>53</v>
      </c>
      <c r="E888" s="3">
        <v>-136.282</v>
      </c>
      <c r="F888" s="4" t="str">
        <f>HYPERLINK("http://141.218.60.56/~jnz1568/getInfo.php?workbook=20_10.xlsx&amp;sheet=A0&amp;row=888&amp;col=6&amp;number=11220000000&amp;sourceID=14","11220000000")</f>
        <v>11220000000</v>
      </c>
      <c r="G888" s="4" t="str">
        <f>HYPERLINK("http://141.218.60.56/~jnz1568/getInfo.php?workbook=20_10.xlsx&amp;sheet=A0&amp;row=888&amp;col=7&amp;number=0&amp;sourceID=14","0")</f>
        <v>0</v>
      </c>
    </row>
    <row r="889" spans="1:7">
      <c r="A889" s="3">
        <v>20</v>
      </c>
      <c r="B889" s="3">
        <v>10</v>
      </c>
      <c r="C889" s="3">
        <v>85</v>
      </c>
      <c r="D889" s="3">
        <v>54</v>
      </c>
      <c r="E889" s="3">
        <v>-136.524</v>
      </c>
      <c r="F889" s="4" t="str">
        <f>HYPERLINK("http://141.218.60.56/~jnz1568/getInfo.php?workbook=20_10.xlsx&amp;sheet=A0&amp;row=889&amp;col=6&amp;number=15200000000&amp;sourceID=14","15200000000")</f>
        <v>15200000000</v>
      </c>
      <c r="G889" s="4" t="str">
        <f>HYPERLINK("http://141.218.60.56/~jnz1568/getInfo.php?workbook=20_10.xlsx&amp;sheet=A0&amp;row=889&amp;col=7&amp;number=0&amp;sourceID=14","0")</f>
        <v>0</v>
      </c>
    </row>
    <row r="890" spans="1:7">
      <c r="A890" s="3">
        <v>20</v>
      </c>
      <c r="B890" s="3">
        <v>10</v>
      </c>
      <c r="C890" s="3">
        <v>85</v>
      </c>
      <c r="D890" s="3">
        <v>55</v>
      </c>
      <c r="E890" s="3">
        <v>-138.222</v>
      </c>
      <c r="F890" s="4" t="str">
        <f>HYPERLINK("http://141.218.60.56/~jnz1568/getInfo.php?workbook=20_10.xlsx&amp;sheet=A0&amp;row=890&amp;col=6&amp;number=2836000000&amp;sourceID=14","2836000000")</f>
        <v>2836000000</v>
      </c>
      <c r="G890" s="4" t="str">
        <f>HYPERLINK("http://141.218.60.56/~jnz1568/getInfo.php?workbook=20_10.xlsx&amp;sheet=A0&amp;row=890&amp;col=7&amp;number=0&amp;sourceID=14","0")</f>
        <v>0</v>
      </c>
    </row>
    <row r="891" spans="1:7">
      <c r="A891" s="3">
        <v>20</v>
      </c>
      <c r="B891" s="3">
        <v>10</v>
      </c>
      <c r="C891" s="3">
        <v>85</v>
      </c>
      <c r="D891" s="3">
        <v>58</v>
      </c>
      <c r="E891" s="3">
        <v>-141.508</v>
      </c>
      <c r="F891" s="4" t="str">
        <f>HYPERLINK("http://141.218.60.56/~jnz1568/getInfo.php?workbook=20_10.xlsx&amp;sheet=A0&amp;row=891&amp;col=6&amp;number=5062000000&amp;sourceID=14","5062000000")</f>
        <v>5062000000</v>
      </c>
      <c r="G891" s="4" t="str">
        <f>HYPERLINK("http://141.218.60.56/~jnz1568/getInfo.php?workbook=20_10.xlsx&amp;sheet=A0&amp;row=891&amp;col=7&amp;number=0&amp;sourceID=14","0")</f>
        <v>0</v>
      </c>
    </row>
    <row r="892" spans="1:7">
      <c r="A892" s="3">
        <v>20</v>
      </c>
      <c r="B892" s="3">
        <v>10</v>
      </c>
      <c r="C892" s="3">
        <v>85</v>
      </c>
      <c r="D892" s="3">
        <v>59</v>
      </c>
      <c r="E892" s="3">
        <v>-141.649</v>
      </c>
      <c r="F892" s="4" t="str">
        <f>HYPERLINK("http://141.218.60.56/~jnz1568/getInfo.php?workbook=20_10.xlsx&amp;sheet=A0&amp;row=892&amp;col=6&amp;number=5598000000&amp;sourceID=14","5598000000")</f>
        <v>5598000000</v>
      </c>
      <c r="G892" s="4" t="str">
        <f>HYPERLINK("http://141.218.60.56/~jnz1568/getInfo.php?workbook=20_10.xlsx&amp;sheet=A0&amp;row=892&amp;col=7&amp;number=0&amp;sourceID=14","0")</f>
        <v>0</v>
      </c>
    </row>
    <row r="893" spans="1:7">
      <c r="A893" s="3">
        <v>20</v>
      </c>
      <c r="B893" s="3">
        <v>10</v>
      </c>
      <c r="C893" s="3">
        <v>85</v>
      </c>
      <c r="D893" s="3">
        <v>62</v>
      </c>
      <c r="E893" s="3">
        <v>-141.87</v>
      </c>
      <c r="F893" s="4" t="str">
        <f>HYPERLINK("http://141.218.60.56/~jnz1568/getInfo.php?workbook=20_10.xlsx&amp;sheet=A0&amp;row=893&amp;col=6&amp;number=14940000000&amp;sourceID=14","14940000000")</f>
        <v>14940000000</v>
      </c>
      <c r="G893" s="4" t="str">
        <f>HYPERLINK("http://141.218.60.56/~jnz1568/getInfo.php?workbook=20_10.xlsx&amp;sheet=A0&amp;row=893&amp;col=7&amp;number=0&amp;sourceID=14","0")</f>
        <v>0</v>
      </c>
    </row>
    <row r="894" spans="1:7">
      <c r="A894" s="3">
        <v>20</v>
      </c>
      <c r="B894" s="3">
        <v>10</v>
      </c>
      <c r="C894" s="3">
        <v>85</v>
      </c>
      <c r="D894" s="3">
        <v>70</v>
      </c>
      <c r="E894" s="3">
        <v>-144.099</v>
      </c>
      <c r="F894" s="4" t="str">
        <f>HYPERLINK("http://141.218.60.56/~jnz1568/getInfo.php?workbook=20_10.xlsx&amp;sheet=A0&amp;row=894&amp;col=6&amp;number=6907000000&amp;sourceID=14","6907000000")</f>
        <v>6907000000</v>
      </c>
      <c r="G894" s="4" t="str">
        <f>HYPERLINK("http://141.218.60.56/~jnz1568/getInfo.php?workbook=20_10.xlsx&amp;sheet=A0&amp;row=894&amp;col=7&amp;number=0&amp;sourceID=14","0")</f>
        <v>0</v>
      </c>
    </row>
    <row r="895" spans="1:7">
      <c r="A895" s="3">
        <v>20</v>
      </c>
      <c r="B895" s="3">
        <v>10</v>
      </c>
      <c r="C895" s="3">
        <v>85</v>
      </c>
      <c r="D895" s="3">
        <v>79</v>
      </c>
      <c r="E895" s="3">
        <v>-1093.281</v>
      </c>
      <c r="F895" s="4" t="str">
        <f>HYPERLINK("http://141.218.60.56/~jnz1568/getInfo.php?workbook=20_10.xlsx&amp;sheet=A0&amp;row=895&amp;col=6&amp;number=60720000&amp;sourceID=14","60720000")</f>
        <v>60720000</v>
      </c>
      <c r="G895" s="4" t="str">
        <f>HYPERLINK("http://141.218.60.56/~jnz1568/getInfo.php?workbook=20_10.xlsx&amp;sheet=A0&amp;row=895&amp;col=7&amp;number=0&amp;sourceID=14","0")</f>
        <v>0</v>
      </c>
    </row>
    <row r="896" spans="1:7">
      <c r="A896" s="3">
        <v>20</v>
      </c>
      <c r="B896" s="3">
        <v>10</v>
      </c>
      <c r="C896" s="3">
        <v>85</v>
      </c>
      <c r="D896" s="3">
        <v>81</v>
      </c>
      <c r="E896" s="3">
        <v>-1155.15</v>
      </c>
      <c r="F896" s="4" t="str">
        <f>HYPERLINK("http://141.218.60.56/~jnz1568/getInfo.php?workbook=20_10.xlsx&amp;sheet=A0&amp;row=896&amp;col=6&amp;number=1719000000&amp;sourceID=14","1719000000")</f>
        <v>1719000000</v>
      </c>
      <c r="G896" s="4" t="str">
        <f>HYPERLINK("http://141.218.60.56/~jnz1568/getInfo.php?workbook=20_10.xlsx&amp;sheet=A0&amp;row=896&amp;col=7&amp;number=0&amp;sourceID=14","0")</f>
        <v>0</v>
      </c>
    </row>
    <row r="897" spans="1:7">
      <c r="A897" s="3">
        <v>20</v>
      </c>
      <c r="B897" s="3">
        <v>10</v>
      </c>
      <c r="C897" s="3">
        <v>86</v>
      </c>
      <c r="D897" s="3">
        <v>7</v>
      </c>
      <c r="E897" s="3">
        <v>-59.274</v>
      </c>
      <c r="F897" s="4" t="str">
        <f>HYPERLINK("http://141.218.60.56/~jnz1568/getInfo.php?workbook=20_10.xlsx&amp;sheet=A0&amp;row=897&amp;col=6&amp;number=21040000&amp;sourceID=14","21040000")</f>
        <v>21040000</v>
      </c>
      <c r="G897" s="4" t="str">
        <f>HYPERLINK("http://141.218.60.56/~jnz1568/getInfo.php?workbook=20_10.xlsx&amp;sheet=A0&amp;row=897&amp;col=7&amp;number=0&amp;sourceID=14","0")</f>
        <v>0</v>
      </c>
    </row>
    <row r="898" spans="1:7">
      <c r="A898" s="3">
        <v>20</v>
      </c>
      <c r="B898" s="3">
        <v>10</v>
      </c>
      <c r="C898" s="3">
        <v>86</v>
      </c>
      <c r="D898" s="3">
        <v>10</v>
      </c>
      <c r="E898" s="3">
        <v>-59.547</v>
      </c>
      <c r="F898" s="4" t="str">
        <f>HYPERLINK("http://141.218.60.56/~jnz1568/getInfo.php?workbook=20_10.xlsx&amp;sheet=A0&amp;row=898&amp;col=6&amp;number=76570000&amp;sourceID=14","76570000")</f>
        <v>76570000</v>
      </c>
      <c r="G898" s="4" t="str">
        <f>HYPERLINK("http://141.218.60.56/~jnz1568/getInfo.php?workbook=20_10.xlsx&amp;sheet=A0&amp;row=898&amp;col=7&amp;number=0&amp;sourceID=14","0")</f>
        <v>0</v>
      </c>
    </row>
    <row r="899" spans="1:7">
      <c r="A899" s="3">
        <v>20</v>
      </c>
      <c r="B899" s="3">
        <v>10</v>
      </c>
      <c r="C899" s="3">
        <v>86</v>
      </c>
      <c r="D899" s="3">
        <v>11</v>
      </c>
      <c r="E899" s="3">
        <v>-60.306</v>
      </c>
      <c r="F899" s="4" t="str">
        <f>HYPERLINK("http://141.218.60.56/~jnz1568/getInfo.php?workbook=20_10.xlsx&amp;sheet=A0&amp;row=899&amp;col=6&amp;number=92450000&amp;sourceID=14","92450000")</f>
        <v>92450000</v>
      </c>
      <c r="G899" s="4" t="str">
        <f>HYPERLINK("http://141.218.60.56/~jnz1568/getInfo.php?workbook=20_10.xlsx&amp;sheet=A0&amp;row=899&amp;col=7&amp;number=0&amp;sourceID=14","0")</f>
        <v>0</v>
      </c>
    </row>
    <row r="900" spans="1:7">
      <c r="A900" s="3">
        <v>20</v>
      </c>
      <c r="B900" s="3">
        <v>10</v>
      </c>
      <c r="C900" s="3">
        <v>86</v>
      </c>
      <c r="D900" s="3">
        <v>13</v>
      </c>
      <c r="E900" s="3">
        <v>-60.62</v>
      </c>
      <c r="F900" s="4" t="str">
        <f>HYPERLINK("http://141.218.60.56/~jnz1568/getInfo.php?workbook=20_10.xlsx&amp;sheet=A0&amp;row=900&amp;col=6&amp;number=10180000&amp;sourceID=14","10180000")</f>
        <v>10180000</v>
      </c>
      <c r="G900" s="4" t="str">
        <f>HYPERLINK("http://141.218.60.56/~jnz1568/getInfo.php?workbook=20_10.xlsx&amp;sheet=A0&amp;row=900&amp;col=7&amp;number=0&amp;sourceID=14","0")</f>
        <v>0</v>
      </c>
    </row>
    <row r="901" spans="1:7">
      <c r="A901" s="3">
        <v>20</v>
      </c>
      <c r="B901" s="3">
        <v>10</v>
      </c>
      <c r="C901" s="3">
        <v>86</v>
      </c>
      <c r="D901" s="3">
        <v>30</v>
      </c>
      <c r="E901" s="3">
        <v>-104.888</v>
      </c>
      <c r="F901" s="4" t="str">
        <f>HYPERLINK("http://141.218.60.56/~jnz1568/getInfo.php?workbook=20_10.xlsx&amp;sheet=A0&amp;row=901&amp;col=6&amp;number=14230000&amp;sourceID=14","14230000")</f>
        <v>14230000</v>
      </c>
      <c r="G901" s="4" t="str">
        <f>HYPERLINK("http://141.218.60.56/~jnz1568/getInfo.php?workbook=20_10.xlsx&amp;sheet=A0&amp;row=901&amp;col=7&amp;number=0&amp;sourceID=14","0")</f>
        <v>0</v>
      </c>
    </row>
    <row r="902" spans="1:7">
      <c r="A902" s="3">
        <v>20</v>
      </c>
      <c r="B902" s="3">
        <v>10</v>
      </c>
      <c r="C902" s="3">
        <v>86</v>
      </c>
      <c r="D902" s="3">
        <v>31</v>
      </c>
      <c r="E902" s="3">
        <v>-105.032</v>
      </c>
      <c r="F902" s="4" t="str">
        <f>HYPERLINK("http://141.218.60.56/~jnz1568/getInfo.php?workbook=20_10.xlsx&amp;sheet=A0&amp;row=902&amp;col=6&amp;number=13540000&amp;sourceID=14","13540000")</f>
        <v>13540000</v>
      </c>
      <c r="G902" s="4" t="str">
        <f>HYPERLINK("http://141.218.60.56/~jnz1568/getInfo.php?workbook=20_10.xlsx&amp;sheet=A0&amp;row=902&amp;col=7&amp;number=0&amp;sourceID=14","0")</f>
        <v>0</v>
      </c>
    </row>
    <row r="903" spans="1:7">
      <c r="A903" s="3">
        <v>20</v>
      </c>
      <c r="B903" s="3">
        <v>10</v>
      </c>
      <c r="C903" s="3">
        <v>86</v>
      </c>
      <c r="D903" s="3">
        <v>39</v>
      </c>
      <c r="E903" s="3">
        <v>-118.272</v>
      </c>
      <c r="F903" s="4" t="str">
        <f>HYPERLINK("http://141.218.60.56/~jnz1568/getInfo.php?workbook=20_10.xlsx&amp;sheet=A0&amp;row=903&amp;col=6&amp;number=93490000&amp;sourceID=14","93490000")</f>
        <v>93490000</v>
      </c>
      <c r="G903" s="4" t="str">
        <f>HYPERLINK("http://141.218.60.56/~jnz1568/getInfo.php?workbook=20_10.xlsx&amp;sheet=A0&amp;row=903&amp;col=7&amp;number=0&amp;sourceID=14","0")</f>
        <v>0</v>
      </c>
    </row>
    <row r="904" spans="1:7">
      <c r="A904" s="3">
        <v>20</v>
      </c>
      <c r="B904" s="3">
        <v>10</v>
      </c>
      <c r="C904" s="3">
        <v>86</v>
      </c>
      <c r="D904" s="3">
        <v>41</v>
      </c>
      <c r="E904" s="3">
        <v>-118.691</v>
      </c>
      <c r="F904" s="4" t="str">
        <f>HYPERLINK("http://141.218.60.56/~jnz1568/getInfo.php?workbook=20_10.xlsx&amp;sheet=A0&amp;row=904&amp;col=6&amp;number=234000000&amp;sourceID=14","234000000")</f>
        <v>234000000</v>
      </c>
      <c r="G904" s="4" t="str">
        <f>HYPERLINK("http://141.218.60.56/~jnz1568/getInfo.php?workbook=20_10.xlsx&amp;sheet=A0&amp;row=904&amp;col=7&amp;number=0&amp;sourceID=14","0")</f>
        <v>0</v>
      </c>
    </row>
    <row r="905" spans="1:7">
      <c r="A905" s="3">
        <v>20</v>
      </c>
      <c r="B905" s="3">
        <v>10</v>
      </c>
      <c r="C905" s="3">
        <v>86</v>
      </c>
      <c r="D905" s="3">
        <v>44</v>
      </c>
      <c r="E905" s="3">
        <v>-122.473</v>
      </c>
      <c r="F905" s="4" t="str">
        <f>HYPERLINK("http://141.218.60.56/~jnz1568/getInfo.php?workbook=20_10.xlsx&amp;sheet=A0&amp;row=905&amp;col=6&amp;number=1162000000&amp;sourceID=14","1162000000")</f>
        <v>1162000000</v>
      </c>
      <c r="G905" s="4" t="str">
        <f>HYPERLINK("http://141.218.60.56/~jnz1568/getInfo.php?workbook=20_10.xlsx&amp;sheet=A0&amp;row=905&amp;col=7&amp;number=0&amp;sourceID=14","0")</f>
        <v>0</v>
      </c>
    </row>
    <row r="906" spans="1:7">
      <c r="A906" s="3">
        <v>20</v>
      </c>
      <c r="B906" s="3">
        <v>10</v>
      </c>
      <c r="C906" s="3">
        <v>86</v>
      </c>
      <c r="D906" s="3">
        <v>45</v>
      </c>
      <c r="E906" s="3">
        <v>-122.879</v>
      </c>
      <c r="F906" s="4" t="str">
        <f>HYPERLINK("http://141.218.60.56/~jnz1568/getInfo.php?workbook=20_10.xlsx&amp;sheet=A0&amp;row=906&amp;col=6&amp;number=42550000&amp;sourceID=14","42550000")</f>
        <v>42550000</v>
      </c>
      <c r="G906" s="4" t="str">
        <f>HYPERLINK("http://141.218.60.56/~jnz1568/getInfo.php?workbook=20_10.xlsx&amp;sheet=A0&amp;row=906&amp;col=7&amp;number=0&amp;sourceID=14","0")</f>
        <v>0</v>
      </c>
    </row>
    <row r="907" spans="1:7">
      <c r="A907" s="3">
        <v>20</v>
      </c>
      <c r="B907" s="3">
        <v>10</v>
      </c>
      <c r="C907" s="3">
        <v>86</v>
      </c>
      <c r="D907" s="3">
        <v>46</v>
      </c>
      <c r="E907" s="3">
        <v>-122.984</v>
      </c>
      <c r="F907" s="4" t="str">
        <f>HYPERLINK("http://141.218.60.56/~jnz1568/getInfo.php?workbook=20_10.xlsx&amp;sheet=A0&amp;row=907&amp;col=6&amp;number=129800000&amp;sourceID=14","129800000")</f>
        <v>129800000</v>
      </c>
      <c r="G907" s="4" t="str">
        <f>HYPERLINK("http://141.218.60.56/~jnz1568/getInfo.php?workbook=20_10.xlsx&amp;sheet=A0&amp;row=907&amp;col=7&amp;number=0&amp;sourceID=14","0")</f>
        <v>0</v>
      </c>
    </row>
    <row r="908" spans="1:7">
      <c r="A908" s="3">
        <v>20</v>
      </c>
      <c r="B908" s="3">
        <v>10</v>
      </c>
      <c r="C908" s="3">
        <v>86</v>
      </c>
      <c r="D908" s="3">
        <v>56</v>
      </c>
      <c r="E908" s="3">
        <v>-136.921</v>
      </c>
      <c r="F908" s="4" t="str">
        <f>HYPERLINK("http://141.218.60.56/~jnz1568/getInfo.php?workbook=20_10.xlsx&amp;sheet=A0&amp;row=908&amp;col=6&amp;number=37950000000&amp;sourceID=14","37950000000")</f>
        <v>37950000000</v>
      </c>
      <c r="G908" s="4" t="str">
        <f>HYPERLINK("http://141.218.60.56/~jnz1568/getInfo.php?workbook=20_10.xlsx&amp;sheet=A0&amp;row=908&amp;col=7&amp;number=0&amp;sourceID=14","0")</f>
        <v>0</v>
      </c>
    </row>
    <row r="909" spans="1:7">
      <c r="A909" s="3">
        <v>20</v>
      </c>
      <c r="B909" s="3">
        <v>10</v>
      </c>
      <c r="C909" s="3">
        <v>86</v>
      </c>
      <c r="D909" s="3">
        <v>57</v>
      </c>
      <c r="E909" s="3">
        <v>-137.01</v>
      </c>
      <c r="F909" s="4" t="str">
        <f>HYPERLINK("http://141.218.60.56/~jnz1568/getInfo.php?workbook=20_10.xlsx&amp;sheet=A0&amp;row=909&amp;col=6&amp;number=4280000000&amp;sourceID=14","4280000000")</f>
        <v>4280000000</v>
      </c>
      <c r="G909" s="4" t="str">
        <f>HYPERLINK("http://141.218.60.56/~jnz1568/getInfo.php?workbook=20_10.xlsx&amp;sheet=A0&amp;row=909&amp;col=7&amp;number=0&amp;sourceID=14","0")</f>
        <v>0</v>
      </c>
    </row>
    <row r="910" spans="1:7">
      <c r="A910" s="3">
        <v>20</v>
      </c>
      <c r="B910" s="3">
        <v>10</v>
      </c>
      <c r="C910" s="3">
        <v>86</v>
      </c>
      <c r="D910" s="3">
        <v>63</v>
      </c>
      <c r="E910" s="3">
        <v>-137.334</v>
      </c>
      <c r="F910" s="4" t="str">
        <f>HYPERLINK("http://141.218.60.56/~jnz1568/getInfo.php?workbook=20_10.xlsx&amp;sheet=A0&amp;row=910&amp;col=6&amp;number=2576000000&amp;sourceID=14","2576000000")</f>
        <v>2576000000</v>
      </c>
      <c r="G910" s="4" t="str">
        <f>HYPERLINK("http://141.218.60.56/~jnz1568/getInfo.php?workbook=20_10.xlsx&amp;sheet=A0&amp;row=910&amp;col=7&amp;number=0&amp;sourceID=14","0")</f>
        <v>0</v>
      </c>
    </row>
    <row r="911" spans="1:7">
      <c r="A911" s="3">
        <v>20</v>
      </c>
      <c r="B911" s="3">
        <v>10</v>
      </c>
      <c r="C911" s="3">
        <v>86</v>
      </c>
      <c r="D911" s="3">
        <v>64</v>
      </c>
      <c r="E911" s="3">
        <v>-137.4</v>
      </c>
      <c r="F911" s="4" t="str">
        <f>HYPERLINK("http://141.218.60.56/~jnz1568/getInfo.php?workbook=20_10.xlsx&amp;sheet=A0&amp;row=911&amp;col=6&amp;number=2369000000&amp;sourceID=14","2369000000")</f>
        <v>2369000000</v>
      </c>
      <c r="G911" s="4" t="str">
        <f>HYPERLINK("http://141.218.60.56/~jnz1568/getInfo.php?workbook=20_10.xlsx&amp;sheet=A0&amp;row=911&amp;col=7&amp;number=0&amp;sourceID=14","0")</f>
        <v>0</v>
      </c>
    </row>
    <row r="912" spans="1:7">
      <c r="A912" s="3">
        <v>20</v>
      </c>
      <c r="B912" s="3">
        <v>10</v>
      </c>
      <c r="C912" s="3">
        <v>86</v>
      </c>
      <c r="D912" s="3">
        <v>65</v>
      </c>
      <c r="E912" s="3">
        <v>-137.524</v>
      </c>
      <c r="F912" s="4" t="str">
        <f>HYPERLINK("http://141.218.60.56/~jnz1568/getInfo.php?workbook=20_10.xlsx&amp;sheet=A0&amp;row=912&amp;col=6&amp;number=18630000000&amp;sourceID=14","18630000000")</f>
        <v>18630000000</v>
      </c>
      <c r="G912" s="4" t="str">
        <f>HYPERLINK("http://141.218.60.56/~jnz1568/getInfo.php?workbook=20_10.xlsx&amp;sheet=A0&amp;row=912&amp;col=7&amp;number=0&amp;sourceID=14","0")</f>
        <v>0</v>
      </c>
    </row>
    <row r="913" spans="1:7">
      <c r="A913" s="3">
        <v>20</v>
      </c>
      <c r="B913" s="3">
        <v>10</v>
      </c>
      <c r="C913" s="3">
        <v>86</v>
      </c>
      <c r="D913" s="3">
        <v>67</v>
      </c>
      <c r="E913" s="3">
        <v>-138.256</v>
      </c>
      <c r="F913" s="4" t="str">
        <f>HYPERLINK("http://141.218.60.56/~jnz1568/getInfo.php?workbook=20_10.xlsx&amp;sheet=A0&amp;row=913&amp;col=6&amp;number=156600000000&amp;sourceID=14","156600000000")</f>
        <v>156600000000</v>
      </c>
      <c r="G913" s="4" t="str">
        <f>HYPERLINK("http://141.218.60.56/~jnz1568/getInfo.php?workbook=20_10.xlsx&amp;sheet=A0&amp;row=913&amp;col=7&amp;number=0&amp;sourceID=14","0")</f>
        <v>0</v>
      </c>
    </row>
    <row r="914" spans="1:7">
      <c r="A914" s="3">
        <v>20</v>
      </c>
      <c r="B914" s="3">
        <v>10</v>
      </c>
      <c r="C914" s="3">
        <v>86</v>
      </c>
      <c r="D914" s="3">
        <v>68</v>
      </c>
      <c r="E914" s="3">
        <v>-138.313</v>
      </c>
      <c r="F914" s="4" t="str">
        <f>HYPERLINK("http://141.218.60.56/~jnz1568/getInfo.php?workbook=20_10.xlsx&amp;sheet=A0&amp;row=914&amp;col=6&amp;number=5602000000&amp;sourceID=14","5602000000")</f>
        <v>5602000000</v>
      </c>
      <c r="G914" s="4" t="str">
        <f>HYPERLINK("http://141.218.60.56/~jnz1568/getInfo.php?workbook=20_10.xlsx&amp;sheet=A0&amp;row=914&amp;col=7&amp;number=0&amp;sourceID=14","0")</f>
        <v>0</v>
      </c>
    </row>
    <row r="915" spans="1:7">
      <c r="A915" s="3">
        <v>20</v>
      </c>
      <c r="B915" s="3">
        <v>10</v>
      </c>
      <c r="C915" s="3">
        <v>86</v>
      </c>
      <c r="D915" s="3">
        <v>72</v>
      </c>
      <c r="E915" s="3">
        <v>-143.171</v>
      </c>
      <c r="F915" s="4" t="str">
        <f>HYPERLINK("http://141.218.60.56/~jnz1568/getInfo.php?workbook=20_10.xlsx&amp;sheet=A0&amp;row=915&amp;col=6&amp;number=18720000000&amp;sourceID=14","18720000000")</f>
        <v>18720000000</v>
      </c>
      <c r="G915" s="4" t="str">
        <f>HYPERLINK("http://141.218.60.56/~jnz1568/getInfo.php?workbook=20_10.xlsx&amp;sheet=A0&amp;row=915&amp;col=7&amp;number=0&amp;sourceID=14","0")</f>
        <v>0</v>
      </c>
    </row>
    <row r="916" spans="1:7">
      <c r="A916" s="3">
        <v>20</v>
      </c>
      <c r="B916" s="3">
        <v>10</v>
      </c>
      <c r="C916" s="3">
        <v>86</v>
      </c>
      <c r="D916" s="3">
        <v>73</v>
      </c>
      <c r="E916" s="3">
        <v>-143.207</v>
      </c>
      <c r="F916" s="4" t="str">
        <f>HYPERLINK("http://141.218.60.56/~jnz1568/getInfo.php?workbook=20_10.xlsx&amp;sheet=A0&amp;row=916&amp;col=6&amp;number=11020000&amp;sourceID=14","11020000")</f>
        <v>11020000</v>
      </c>
      <c r="G916" s="4" t="str">
        <f>HYPERLINK("http://141.218.60.56/~jnz1568/getInfo.php?workbook=20_10.xlsx&amp;sheet=A0&amp;row=916&amp;col=7&amp;number=0&amp;sourceID=14","0")</f>
        <v>0</v>
      </c>
    </row>
    <row r="917" spans="1:7">
      <c r="A917" s="3">
        <v>20</v>
      </c>
      <c r="B917" s="3">
        <v>10</v>
      </c>
      <c r="C917" s="3">
        <v>86</v>
      </c>
      <c r="D917" s="3">
        <v>75</v>
      </c>
      <c r="E917" s="3">
        <v>-143.258</v>
      </c>
      <c r="F917" s="4" t="str">
        <f>HYPERLINK("http://141.218.60.56/~jnz1568/getInfo.php?workbook=20_10.xlsx&amp;sheet=A0&amp;row=917&amp;col=6&amp;number=46240000000&amp;sourceID=14","46240000000")</f>
        <v>46240000000</v>
      </c>
      <c r="G917" s="4" t="str">
        <f>HYPERLINK("http://141.218.60.56/~jnz1568/getInfo.php?workbook=20_10.xlsx&amp;sheet=A0&amp;row=917&amp;col=7&amp;number=0&amp;sourceID=14","0")</f>
        <v>0</v>
      </c>
    </row>
    <row r="918" spans="1:7">
      <c r="A918" s="3">
        <v>20</v>
      </c>
      <c r="B918" s="3">
        <v>10</v>
      </c>
      <c r="C918" s="3">
        <v>86</v>
      </c>
      <c r="D918" s="3">
        <v>82</v>
      </c>
      <c r="E918" s="3">
        <v>-3172.092</v>
      </c>
      <c r="F918" s="4" t="str">
        <f>HYPERLINK("http://141.218.60.56/~jnz1568/getInfo.php?workbook=20_10.xlsx&amp;sheet=A0&amp;row=918&amp;col=6&amp;number=57280000&amp;sourceID=14","57280000")</f>
        <v>57280000</v>
      </c>
      <c r="G918" s="4" t="str">
        <f>HYPERLINK("http://141.218.60.56/~jnz1568/getInfo.php?workbook=20_10.xlsx&amp;sheet=A0&amp;row=918&amp;col=7&amp;number=0&amp;sourceID=14","0")</f>
        <v>0</v>
      </c>
    </row>
    <row r="919" spans="1:7">
      <c r="A919" s="3">
        <v>20</v>
      </c>
      <c r="B919" s="3">
        <v>10</v>
      </c>
      <c r="C919" s="3">
        <v>86</v>
      </c>
      <c r="D919" s="3">
        <v>83</v>
      </c>
      <c r="E919" s="3">
        <v>-3185.429</v>
      </c>
      <c r="F919" s="4" t="str">
        <f>HYPERLINK("http://141.218.60.56/~jnz1568/getInfo.php?workbook=20_10.xlsx&amp;sheet=A0&amp;row=919&amp;col=6&amp;number=10410000&amp;sourceID=14","10410000")</f>
        <v>10410000</v>
      </c>
      <c r="G919" s="4" t="str">
        <f>HYPERLINK("http://141.218.60.56/~jnz1568/getInfo.php?workbook=20_10.xlsx&amp;sheet=A0&amp;row=919&amp;col=7&amp;number=0&amp;sourceID=14","0")</f>
        <v>0</v>
      </c>
    </row>
    <row r="920" spans="1:7">
      <c r="A920" s="3">
        <v>20</v>
      </c>
      <c r="B920" s="3">
        <v>10</v>
      </c>
      <c r="C920" s="3">
        <v>87</v>
      </c>
      <c r="D920" s="3">
        <v>7</v>
      </c>
      <c r="E920" s="3">
        <v>-59.27</v>
      </c>
      <c r="F920" s="4" t="str">
        <f>HYPERLINK("http://141.218.60.56/~jnz1568/getInfo.php?workbook=20_10.xlsx&amp;sheet=A0&amp;row=920&amp;col=6&amp;number=146300000&amp;sourceID=14","146300000")</f>
        <v>146300000</v>
      </c>
      <c r="G920" s="4" t="str">
        <f>HYPERLINK("http://141.218.60.56/~jnz1568/getInfo.php?workbook=20_10.xlsx&amp;sheet=A0&amp;row=920&amp;col=7&amp;number=0&amp;sourceID=14","0")</f>
        <v>0</v>
      </c>
    </row>
    <row r="921" spans="1:7">
      <c r="A921" s="3">
        <v>20</v>
      </c>
      <c r="B921" s="3">
        <v>10</v>
      </c>
      <c r="C921" s="3">
        <v>87</v>
      </c>
      <c r="D921" s="3">
        <v>8</v>
      </c>
      <c r="E921" s="3">
        <v>-59.285</v>
      </c>
      <c r="F921" s="4" t="str">
        <f>HYPERLINK("http://141.218.60.56/~jnz1568/getInfo.php?workbook=20_10.xlsx&amp;sheet=A0&amp;row=921&amp;col=6&amp;number=21480000&amp;sourceID=14","21480000")</f>
        <v>21480000</v>
      </c>
      <c r="G921" s="4" t="str">
        <f>HYPERLINK("http://141.218.60.56/~jnz1568/getInfo.php?workbook=20_10.xlsx&amp;sheet=A0&amp;row=921&amp;col=7&amp;number=0&amp;sourceID=14","0")</f>
        <v>0</v>
      </c>
    </row>
    <row r="922" spans="1:7">
      <c r="A922" s="3">
        <v>20</v>
      </c>
      <c r="B922" s="3">
        <v>10</v>
      </c>
      <c r="C922" s="3">
        <v>87</v>
      </c>
      <c r="D922" s="3">
        <v>13</v>
      </c>
      <c r="E922" s="3">
        <v>-60.616</v>
      </c>
      <c r="F922" s="4" t="str">
        <f>HYPERLINK("http://141.218.60.56/~jnz1568/getInfo.php?workbook=20_10.xlsx&amp;sheet=A0&amp;row=922&amp;col=6&amp;number=35000000&amp;sourceID=14","35000000")</f>
        <v>35000000</v>
      </c>
      <c r="G922" s="4" t="str">
        <f>HYPERLINK("http://141.218.60.56/~jnz1568/getInfo.php?workbook=20_10.xlsx&amp;sheet=A0&amp;row=922&amp;col=7&amp;number=0&amp;sourceID=14","0")</f>
        <v>0</v>
      </c>
    </row>
    <row r="923" spans="1:7">
      <c r="A923" s="3">
        <v>20</v>
      </c>
      <c r="B923" s="3">
        <v>10</v>
      </c>
      <c r="C923" s="3">
        <v>87</v>
      </c>
      <c r="D923" s="3">
        <v>31</v>
      </c>
      <c r="E923" s="3">
        <v>-105.02</v>
      </c>
      <c r="F923" s="4" t="str">
        <f>HYPERLINK("http://141.218.60.56/~jnz1568/getInfo.php?workbook=20_10.xlsx&amp;sheet=A0&amp;row=923&amp;col=6&amp;number=20090000&amp;sourceID=14","20090000")</f>
        <v>20090000</v>
      </c>
      <c r="G923" s="4" t="str">
        <f>HYPERLINK("http://141.218.60.56/~jnz1568/getInfo.php?workbook=20_10.xlsx&amp;sheet=A0&amp;row=923&amp;col=7&amp;number=0&amp;sourceID=14","0")</f>
        <v>0</v>
      </c>
    </row>
    <row r="924" spans="1:7">
      <c r="A924" s="3">
        <v>20</v>
      </c>
      <c r="B924" s="3">
        <v>10</v>
      </c>
      <c r="C924" s="3">
        <v>87</v>
      </c>
      <c r="D924" s="3">
        <v>39</v>
      </c>
      <c r="E924" s="3">
        <v>-118.257</v>
      </c>
      <c r="F924" s="4" t="str">
        <f>HYPERLINK("http://141.218.60.56/~jnz1568/getInfo.php?workbook=20_10.xlsx&amp;sheet=A0&amp;row=924&amp;col=6&amp;number=676300000&amp;sourceID=14","676300000")</f>
        <v>676300000</v>
      </c>
      <c r="G924" s="4" t="str">
        <f>HYPERLINK("http://141.218.60.56/~jnz1568/getInfo.php?workbook=20_10.xlsx&amp;sheet=A0&amp;row=924&amp;col=7&amp;number=0&amp;sourceID=14","0")</f>
        <v>0</v>
      </c>
    </row>
    <row r="925" spans="1:7">
      <c r="A925" s="3">
        <v>20</v>
      </c>
      <c r="B925" s="3">
        <v>10</v>
      </c>
      <c r="C925" s="3">
        <v>87</v>
      </c>
      <c r="D925" s="3">
        <v>40</v>
      </c>
      <c r="E925" s="3">
        <v>-118.281</v>
      </c>
      <c r="F925" s="4" t="str">
        <f>HYPERLINK("http://141.218.60.56/~jnz1568/getInfo.php?workbook=20_10.xlsx&amp;sheet=A0&amp;row=925&amp;col=6&amp;number=114100000&amp;sourceID=14","114100000")</f>
        <v>114100000</v>
      </c>
      <c r="G925" s="4" t="str">
        <f>HYPERLINK("http://141.218.60.56/~jnz1568/getInfo.php?workbook=20_10.xlsx&amp;sheet=A0&amp;row=925&amp;col=7&amp;number=0&amp;sourceID=14","0")</f>
        <v>0</v>
      </c>
    </row>
    <row r="926" spans="1:7">
      <c r="A926" s="3">
        <v>20</v>
      </c>
      <c r="B926" s="3">
        <v>10</v>
      </c>
      <c r="C926" s="3">
        <v>87</v>
      </c>
      <c r="D926" s="3">
        <v>46</v>
      </c>
      <c r="E926" s="3">
        <v>-122.968</v>
      </c>
      <c r="F926" s="4" t="str">
        <f>HYPERLINK("http://141.218.60.56/~jnz1568/getInfo.php?workbook=20_10.xlsx&amp;sheet=A0&amp;row=926&amp;col=6&amp;number=574500000&amp;sourceID=14","574500000")</f>
        <v>574500000</v>
      </c>
      <c r="G926" s="4" t="str">
        <f>HYPERLINK("http://141.218.60.56/~jnz1568/getInfo.php?workbook=20_10.xlsx&amp;sheet=A0&amp;row=926&amp;col=7&amp;number=0&amp;sourceID=14","0")</f>
        <v>0</v>
      </c>
    </row>
    <row r="927" spans="1:7">
      <c r="A927" s="3">
        <v>20</v>
      </c>
      <c r="B927" s="3">
        <v>10</v>
      </c>
      <c r="C927" s="3">
        <v>87</v>
      </c>
      <c r="D927" s="3">
        <v>57</v>
      </c>
      <c r="E927" s="3">
        <v>-136.99</v>
      </c>
      <c r="F927" s="4" t="str">
        <f>HYPERLINK("http://141.218.60.56/~jnz1568/getInfo.php?workbook=20_10.xlsx&amp;sheet=A0&amp;row=927&amp;col=6&amp;number=43840000000&amp;sourceID=14","43840000000")</f>
        <v>43840000000</v>
      </c>
      <c r="G927" s="4" t="str">
        <f>HYPERLINK("http://141.218.60.56/~jnz1568/getInfo.php?workbook=20_10.xlsx&amp;sheet=A0&amp;row=927&amp;col=7&amp;number=0&amp;sourceID=14","0")</f>
        <v>0</v>
      </c>
    </row>
    <row r="928" spans="1:7">
      <c r="A928" s="3">
        <v>20</v>
      </c>
      <c r="B928" s="3">
        <v>10</v>
      </c>
      <c r="C928" s="3">
        <v>87</v>
      </c>
      <c r="D928" s="3">
        <v>61</v>
      </c>
      <c r="E928" s="3">
        <v>-137.129</v>
      </c>
      <c r="F928" s="4" t="str">
        <f>HYPERLINK("http://141.218.60.56/~jnz1568/getInfo.php?workbook=20_10.xlsx&amp;sheet=A0&amp;row=928&amp;col=6&amp;number=24330000000&amp;sourceID=14","24330000000")</f>
        <v>24330000000</v>
      </c>
      <c r="G928" s="4" t="str">
        <f>HYPERLINK("http://141.218.60.56/~jnz1568/getInfo.php?workbook=20_10.xlsx&amp;sheet=A0&amp;row=928&amp;col=7&amp;number=0&amp;sourceID=14","0")</f>
        <v>0</v>
      </c>
    </row>
    <row r="929" spans="1:7">
      <c r="A929" s="3">
        <v>20</v>
      </c>
      <c r="B929" s="3">
        <v>10</v>
      </c>
      <c r="C929" s="3">
        <v>87</v>
      </c>
      <c r="D929" s="3">
        <v>63</v>
      </c>
      <c r="E929" s="3">
        <v>-137.314</v>
      </c>
      <c r="F929" s="4" t="str">
        <f>HYPERLINK("http://141.218.60.56/~jnz1568/getInfo.php?workbook=20_10.xlsx&amp;sheet=A0&amp;row=929&amp;col=6&amp;number=27030000000&amp;sourceID=14","27030000000")</f>
        <v>27030000000</v>
      </c>
      <c r="G929" s="4" t="str">
        <f>HYPERLINK("http://141.218.60.56/~jnz1568/getInfo.php?workbook=20_10.xlsx&amp;sheet=A0&amp;row=929&amp;col=7&amp;number=0&amp;sourceID=14","0")</f>
        <v>0</v>
      </c>
    </row>
    <row r="930" spans="1:7">
      <c r="A930" s="3">
        <v>20</v>
      </c>
      <c r="B930" s="3">
        <v>10</v>
      </c>
      <c r="C930" s="3">
        <v>87</v>
      </c>
      <c r="D930" s="3">
        <v>64</v>
      </c>
      <c r="E930" s="3">
        <v>-137.38</v>
      </c>
      <c r="F930" s="4" t="str">
        <f>HYPERLINK("http://141.218.60.56/~jnz1568/getInfo.php?workbook=20_10.xlsx&amp;sheet=A0&amp;row=930&amp;col=6&amp;number=7081000000&amp;sourceID=14","7081000000")</f>
        <v>7081000000</v>
      </c>
      <c r="G930" s="4" t="str">
        <f>HYPERLINK("http://141.218.60.56/~jnz1568/getInfo.php?workbook=20_10.xlsx&amp;sheet=A0&amp;row=930&amp;col=7&amp;number=0&amp;sourceID=14","0")</f>
        <v>0</v>
      </c>
    </row>
    <row r="931" spans="1:7">
      <c r="A931" s="3">
        <v>20</v>
      </c>
      <c r="B931" s="3">
        <v>10</v>
      </c>
      <c r="C931" s="3">
        <v>87</v>
      </c>
      <c r="D931" s="3">
        <v>65</v>
      </c>
      <c r="E931" s="3">
        <v>-137.504</v>
      </c>
      <c r="F931" s="4" t="str">
        <f>HYPERLINK("http://141.218.60.56/~jnz1568/getInfo.php?workbook=20_10.xlsx&amp;sheet=A0&amp;row=931&amp;col=6&amp;number=5165000000&amp;sourceID=14","5165000000")</f>
        <v>5165000000</v>
      </c>
      <c r="G931" s="4" t="str">
        <f>HYPERLINK("http://141.218.60.56/~jnz1568/getInfo.php?workbook=20_10.xlsx&amp;sheet=A0&amp;row=931&amp;col=7&amp;number=0&amp;sourceID=14","0")</f>
        <v>0</v>
      </c>
    </row>
    <row r="932" spans="1:7">
      <c r="A932" s="3">
        <v>20</v>
      </c>
      <c r="B932" s="3">
        <v>10</v>
      </c>
      <c r="C932" s="3">
        <v>87</v>
      </c>
      <c r="D932" s="3">
        <v>66</v>
      </c>
      <c r="E932" s="3">
        <v>-137.533</v>
      </c>
      <c r="F932" s="4" t="str">
        <f>HYPERLINK("http://141.218.60.56/~jnz1568/getInfo.php?workbook=20_10.xlsx&amp;sheet=A0&amp;row=932&amp;col=6&amp;number=8645000000&amp;sourceID=14","8645000000")</f>
        <v>8645000000</v>
      </c>
      <c r="G932" s="4" t="str">
        <f>HYPERLINK("http://141.218.60.56/~jnz1568/getInfo.php?workbook=20_10.xlsx&amp;sheet=A0&amp;row=932&amp;col=7&amp;number=0&amp;sourceID=14","0")</f>
        <v>0</v>
      </c>
    </row>
    <row r="933" spans="1:7">
      <c r="A933" s="3">
        <v>20</v>
      </c>
      <c r="B933" s="3">
        <v>10</v>
      </c>
      <c r="C933" s="3">
        <v>87</v>
      </c>
      <c r="D933" s="3">
        <v>68</v>
      </c>
      <c r="E933" s="3">
        <v>-138.293</v>
      </c>
      <c r="F933" s="4" t="str">
        <f>HYPERLINK("http://141.218.60.56/~jnz1568/getInfo.php?workbook=20_10.xlsx&amp;sheet=A0&amp;row=933&amp;col=6&amp;number=65580000000&amp;sourceID=14","65580000000")</f>
        <v>65580000000</v>
      </c>
      <c r="G933" s="4" t="str">
        <f>HYPERLINK("http://141.218.60.56/~jnz1568/getInfo.php?workbook=20_10.xlsx&amp;sheet=A0&amp;row=933&amp;col=7&amp;number=0&amp;sourceID=14","0")</f>
        <v>0</v>
      </c>
    </row>
    <row r="934" spans="1:7">
      <c r="A934" s="3">
        <v>20</v>
      </c>
      <c r="B934" s="3">
        <v>10</v>
      </c>
      <c r="C934" s="3">
        <v>87</v>
      </c>
      <c r="D934" s="3">
        <v>69</v>
      </c>
      <c r="E934" s="3">
        <v>-138.382</v>
      </c>
      <c r="F934" s="4" t="str">
        <f>HYPERLINK("http://141.218.60.56/~jnz1568/getInfo.php?workbook=20_10.xlsx&amp;sheet=A0&amp;row=934&amp;col=6&amp;number=2585000000&amp;sourceID=14","2585000000")</f>
        <v>2585000000</v>
      </c>
      <c r="G934" s="4" t="str">
        <f>HYPERLINK("http://141.218.60.56/~jnz1568/getInfo.php?workbook=20_10.xlsx&amp;sheet=A0&amp;row=934&amp;col=7&amp;number=0&amp;sourceID=14","0")</f>
        <v>0</v>
      </c>
    </row>
    <row r="935" spans="1:7">
      <c r="A935" s="3">
        <v>20</v>
      </c>
      <c r="B935" s="3">
        <v>10</v>
      </c>
      <c r="C935" s="3">
        <v>87</v>
      </c>
      <c r="D935" s="3">
        <v>71</v>
      </c>
      <c r="E935" s="3">
        <v>-142.139</v>
      </c>
      <c r="F935" s="4" t="str">
        <f>HYPERLINK("http://141.218.60.56/~jnz1568/getInfo.php?workbook=20_10.xlsx&amp;sheet=A0&amp;row=935&amp;col=6&amp;number=35720000000&amp;sourceID=14","35720000000")</f>
        <v>35720000000</v>
      </c>
      <c r="G935" s="4" t="str">
        <f>HYPERLINK("http://141.218.60.56/~jnz1568/getInfo.php?workbook=20_10.xlsx&amp;sheet=A0&amp;row=935&amp;col=7&amp;number=0&amp;sourceID=14","0")</f>
        <v>0</v>
      </c>
    </row>
    <row r="936" spans="1:7">
      <c r="A936" s="3">
        <v>20</v>
      </c>
      <c r="B936" s="3">
        <v>10</v>
      </c>
      <c r="C936" s="3">
        <v>87</v>
      </c>
      <c r="D936" s="3">
        <v>72</v>
      </c>
      <c r="E936" s="3">
        <v>-143.15</v>
      </c>
      <c r="F936" s="4" t="str">
        <f>HYPERLINK("http://141.218.60.56/~jnz1568/getInfo.php?workbook=20_10.xlsx&amp;sheet=A0&amp;row=936&amp;col=6&amp;number=9597000000&amp;sourceID=14","9597000000")</f>
        <v>9597000000</v>
      </c>
      <c r="G936" s="4" t="str">
        <f>HYPERLINK("http://141.218.60.56/~jnz1568/getInfo.php?workbook=20_10.xlsx&amp;sheet=A0&amp;row=936&amp;col=7&amp;number=0&amp;sourceID=14","0")</f>
        <v>0</v>
      </c>
    </row>
    <row r="937" spans="1:7">
      <c r="A937" s="3">
        <v>20</v>
      </c>
      <c r="B937" s="3">
        <v>10</v>
      </c>
      <c r="C937" s="3">
        <v>87</v>
      </c>
      <c r="D937" s="3">
        <v>73</v>
      </c>
      <c r="E937" s="3">
        <v>-143.186</v>
      </c>
      <c r="F937" s="4" t="str">
        <f>HYPERLINK("http://141.218.60.56/~jnz1568/getInfo.php?workbook=20_10.xlsx&amp;sheet=A0&amp;row=937&amp;col=6&amp;number=3771000000&amp;sourceID=14","3771000000")</f>
        <v>3771000000</v>
      </c>
      <c r="G937" s="4" t="str">
        <f>HYPERLINK("http://141.218.60.56/~jnz1568/getInfo.php?workbook=20_10.xlsx&amp;sheet=A0&amp;row=937&amp;col=7&amp;number=0&amp;sourceID=14","0")</f>
        <v>0</v>
      </c>
    </row>
    <row r="938" spans="1:7">
      <c r="A938" s="3">
        <v>20</v>
      </c>
      <c r="B938" s="3">
        <v>10</v>
      </c>
      <c r="C938" s="3">
        <v>87</v>
      </c>
      <c r="D938" s="3">
        <v>74</v>
      </c>
      <c r="E938" s="3">
        <v>-143.193</v>
      </c>
      <c r="F938" s="4" t="str">
        <f>HYPERLINK("http://141.218.60.56/~jnz1568/getInfo.php?workbook=20_10.xlsx&amp;sheet=A0&amp;row=938&amp;col=6&amp;number=4776000000&amp;sourceID=14","4776000000")</f>
        <v>4776000000</v>
      </c>
      <c r="G938" s="4" t="str">
        <f>HYPERLINK("http://141.218.60.56/~jnz1568/getInfo.php?workbook=20_10.xlsx&amp;sheet=A0&amp;row=938&amp;col=7&amp;number=0&amp;sourceID=14","0")</f>
        <v>0</v>
      </c>
    </row>
    <row r="939" spans="1:7">
      <c r="A939" s="3">
        <v>20</v>
      </c>
      <c r="B939" s="3">
        <v>10</v>
      </c>
      <c r="C939" s="3">
        <v>87</v>
      </c>
      <c r="D939" s="3">
        <v>75</v>
      </c>
      <c r="E939" s="3">
        <v>-143.236</v>
      </c>
      <c r="F939" s="4" t="str">
        <f>HYPERLINK("http://141.218.60.56/~jnz1568/getInfo.php?workbook=20_10.xlsx&amp;sheet=A0&amp;row=939&amp;col=6&amp;number=55590000000&amp;sourceID=14","55590000000")</f>
        <v>55590000000</v>
      </c>
      <c r="G939" s="4" t="str">
        <f>HYPERLINK("http://141.218.60.56/~jnz1568/getInfo.php?workbook=20_10.xlsx&amp;sheet=A0&amp;row=939&amp;col=7&amp;number=0&amp;sourceID=14","0")</f>
        <v>0</v>
      </c>
    </row>
    <row r="940" spans="1:7">
      <c r="A940" s="3">
        <v>20</v>
      </c>
      <c r="B940" s="3">
        <v>10</v>
      </c>
      <c r="C940" s="3">
        <v>87</v>
      </c>
      <c r="D940" s="3">
        <v>83</v>
      </c>
      <c r="E940" s="3">
        <v>-3174.71</v>
      </c>
      <c r="F940" s="4" t="str">
        <f>HYPERLINK("http://141.218.60.56/~jnz1568/getInfo.php?workbook=20_10.xlsx&amp;sheet=A0&amp;row=940&amp;col=6&amp;number=58720000&amp;sourceID=14","58720000")</f>
        <v>58720000</v>
      </c>
      <c r="G940" s="4" t="str">
        <f>HYPERLINK("http://141.218.60.56/~jnz1568/getInfo.php?workbook=20_10.xlsx&amp;sheet=A0&amp;row=940&amp;col=7&amp;number=0&amp;sourceID=14","0")</f>
        <v>0</v>
      </c>
    </row>
    <row r="941" spans="1:7">
      <c r="A941" s="3">
        <v>20</v>
      </c>
      <c r="B941" s="3">
        <v>10</v>
      </c>
      <c r="C941" s="3">
        <v>88</v>
      </c>
      <c r="D941" s="3">
        <v>8</v>
      </c>
      <c r="E941" s="3">
        <v>-59.282</v>
      </c>
      <c r="F941" s="4" t="str">
        <f>HYPERLINK("http://141.218.60.56/~jnz1568/getInfo.php?workbook=20_10.xlsx&amp;sheet=A0&amp;row=941&amp;col=6&amp;number=201800000&amp;sourceID=14","201800000")</f>
        <v>201800000</v>
      </c>
      <c r="G941" s="4" t="str">
        <f>HYPERLINK("http://141.218.60.56/~jnz1568/getInfo.php?workbook=20_10.xlsx&amp;sheet=A0&amp;row=941&amp;col=7&amp;number=0&amp;sourceID=14","0")</f>
        <v>0</v>
      </c>
    </row>
    <row r="942" spans="1:7">
      <c r="A942" s="3">
        <v>20</v>
      </c>
      <c r="B942" s="3">
        <v>10</v>
      </c>
      <c r="C942" s="3">
        <v>88</v>
      </c>
      <c r="D942" s="3">
        <v>32</v>
      </c>
      <c r="E942" s="3">
        <v>-105.464</v>
      </c>
      <c r="F942" s="4" t="str">
        <f>HYPERLINK("http://141.218.60.56/~jnz1568/getInfo.php?workbook=20_10.xlsx&amp;sheet=A0&amp;row=942&amp;col=6&amp;number=28100000&amp;sourceID=14","28100000")</f>
        <v>28100000</v>
      </c>
      <c r="G942" s="4" t="str">
        <f>HYPERLINK("http://141.218.60.56/~jnz1568/getInfo.php?workbook=20_10.xlsx&amp;sheet=A0&amp;row=942&amp;col=7&amp;number=0&amp;sourceID=14","0")</f>
        <v>0</v>
      </c>
    </row>
    <row r="943" spans="1:7">
      <c r="A943" s="3">
        <v>20</v>
      </c>
      <c r="B943" s="3">
        <v>10</v>
      </c>
      <c r="C943" s="3">
        <v>88</v>
      </c>
      <c r="D943" s="3">
        <v>40</v>
      </c>
      <c r="E943" s="3">
        <v>-118.268</v>
      </c>
      <c r="F943" s="4" t="str">
        <f>HYPERLINK("http://141.218.60.56/~jnz1568/getInfo.php?workbook=20_10.xlsx&amp;sheet=A0&amp;row=943&amp;col=6&amp;number=1109000000&amp;sourceID=14","1109000000")</f>
        <v>1109000000</v>
      </c>
      <c r="G943" s="4" t="str">
        <f>HYPERLINK("http://141.218.60.56/~jnz1568/getInfo.php?workbook=20_10.xlsx&amp;sheet=A0&amp;row=943&amp;col=7&amp;number=0&amp;sourceID=14","0")</f>
        <v>0</v>
      </c>
    </row>
    <row r="944" spans="1:7">
      <c r="A944" s="3">
        <v>20</v>
      </c>
      <c r="B944" s="3">
        <v>10</v>
      </c>
      <c r="C944" s="3">
        <v>88</v>
      </c>
      <c r="D944" s="3">
        <v>60</v>
      </c>
      <c r="E944" s="3">
        <v>-137.099</v>
      </c>
      <c r="F944" s="4" t="str">
        <f>HYPERLINK("http://141.218.60.56/~jnz1568/getInfo.php?workbook=20_10.xlsx&amp;sheet=A0&amp;row=944&amp;col=6&amp;number=36890000000&amp;sourceID=14","36890000000")</f>
        <v>36890000000</v>
      </c>
      <c r="G944" s="4" t="str">
        <f>HYPERLINK("http://141.218.60.56/~jnz1568/getInfo.php?workbook=20_10.xlsx&amp;sheet=A0&amp;row=944&amp;col=7&amp;number=0&amp;sourceID=14","0")</f>
        <v>0</v>
      </c>
    </row>
    <row r="945" spans="1:7">
      <c r="A945" s="3">
        <v>20</v>
      </c>
      <c r="B945" s="3">
        <v>10</v>
      </c>
      <c r="C945" s="3">
        <v>88</v>
      </c>
      <c r="D945" s="3">
        <v>61</v>
      </c>
      <c r="E945" s="3">
        <v>-137.111</v>
      </c>
      <c r="F945" s="4" t="str">
        <f>HYPERLINK("http://141.218.60.56/~jnz1568/getInfo.php?workbook=20_10.xlsx&amp;sheet=A0&amp;row=945&amp;col=6&amp;number=530600000&amp;sourceID=14","530600000")</f>
        <v>530600000</v>
      </c>
      <c r="G945" s="4" t="str">
        <f>HYPERLINK("http://141.218.60.56/~jnz1568/getInfo.php?workbook=20_10.xlsx&amp;sheet=A0&amp;row=945&amp;col=7&amp;number=0&amp;sourceID=14","0")</f>
        <v>0</v>
      </c>
    </row>
    <row r="946" spans="1:7">
      <c r="A946" s="3">
        <v>20</v>
      </c>
      <c r="B946" s="3">
        <v>10</v>
      </c>
      <c r="C946" s="3">
        <v>88</v>
      </c>
      <c r="D946" s="3">
        <v>63</v>
      </c>
      <c r="E946" s="3">
        <v>-137.296</v>
      </c>
      <c r="F946" s="4" t="str">
        <f>HYPERLINK("http://141.218.60.56/~jnz1568/getInfo.php?workbook=20_10.xlsx&amp;sheet=A0&amp;row=946&amp;col=6&amp;number=62140000000&amp;sourceID=14","62140000000")</f>
        <v>62140000000</v>
      </c>
      <c r="G946" s="4" t="str">
        <f>HYPERLINK("http://141.218.60.56/~jnz1568/getInfo.php?workbook=20_10.xlsx&amp;sheet=A0&amp;row=946&amp;col=7&amp;number=0&amp;sourceID=14","0")</f>
        <v>0</v>
      </c>
    </row>
    <row r="947" spans="1:7">
      <c r="A947" s="3">
        <v>20</v>
      </c>
      <c r="B947" s="3">
        <v>10</v>
      </c>
      <c r="C947" s="3">
        <v>88</v>
      </c>
      <c r="D947" s="3">
        <v>65</v>
      </c>
      <c r="E947" s="3">
        <v>-137.486</v>
      </c>
      <c r="F947" s="4" t="str">
        <f>HYPERLINK("http://141.218.60.56/~jnz1568/getInfo.php?workbook=20_10.xlsx&amp;sheet=A0&amp;row=947&amp;col=6&amp;number=318900000&amp;sourceID=14","318900000")</f>
        <v>318900000</v>
      </c>
      <c r="G947" s="4" t="str">
        <f>HYPERLINK("http://141.218.60.56/~jnz1568/getInfo.php?workbook=20_10.xlsx&amp;sheet=A0&amp;row=947&amp;col=7&amp;number=0&amp;sourceID=14","0")</f>
        <v>0</v>
      </c>
    </row>
    <row r="948" spans="1:7">
      <c r="A948" s="3">
        <v>20</v>
      </c>
      <c r="B948" s="3">
        <v>10</v>
      </c>
      <c r="C948" s="3">
        <v>88</v>
      </c>
      <c r="D948" s="3">
        <v>66</v>
      </c>
      <c r="E948" s="3">
        <v>-137.514</v>
      </c>
      <c r="F948" s="4" t="str">
        <f>HYPERLINK("http://141.218.60.56/~jnz1568/getInfo.php?workbook=20_10.xlsx&amp;sheet=A0&amp;row=948&amp;col=6&amp;number=13360000000&amp;sourceID=14","13360000000")</f>
        <v>13360000000</v>
      </c>
      <c r="G948" s="4" t="str">
        <f>HYPERLINK("http://141.218.60.56/~jnz1568/getInfo.php?workbook=20_10.xlsx&amp;sheet=A0&amp;row=948&amp;col=7&amp;number=0&amp;sourceID=14","0")</f>
        <v>0</v>
      </c>
    </row>
    <row r="949" spans="1:7">
      <c r="A949" s="3">
        <v>20</v>
      </c>
      <c r="B949" s="3">
        <v>10</v>
      </c>
      <c r="C949" s="3">
        <v>88</v>
      </c>
      <c r="D949" s="3">
        <v>69</v>
      </c>
      <c r="E949" s="3">
        <v>-138.364</v>
      </c>
      <c r="F949" s="4" t="str">
        <f>HYPERLINK("http://141.218.60.56/~jnz1568/getInfo.php?workbook=20_10.xlsx&amp;sheet=A0&amp;row=949&amp;col=6&amp;number=65590000000&amp;sourceID=14","65590000000")</f>
        <v>65590000000</v>
      </c>
      <c r="G949" s="4" t="str">
        <f>HYPERLINK("http://141.218.60.56/~jnz1568/getInfo.php?workbook=20_10.xlsx&amp;sheet=A0&amp;row=949&amp;col=7&amp;number=0&amp;sourceID=14","0")</f>
        <v>0</v>
      </c>
    </row>
    <row r="950" spans="1:7">
      <c r="A950" s="3">
        <v>20</v>
      </c>
      <c r="B950" s="3">
        <v>10</v>
      </c>
      <c r="C950" s="3">
        <v>88</v>
      </c>
      <c r="D950" s="3">
        <v>72</v>
      </c>
      <c r="E950" s="3">
        <v>-143.13</v>
      </c>
      <c r="F950" s="4" t="str">
        <f>HYPERLINK("http://141.218.60.56/~jnz1568/getInfo.php?workbook=20_10.xlsx&amp;sheet=A0&amp;row=950&amp;col=6&amp;number=284800000&amp;sourceID=14","284800000")</f>
        <v>284800000</v>
      </c>
      <c r="G950" s="4" t="str">
        <f>HYPERLINK("http://141.218.60.56/~jnz1568/getInfo.php?workbook=20_10.xlsx&amp;sheet=A0&amp;row=950&amp;col=7&amp;number=0&amp;sourceID=14","0")</f>
        <v>0</v>
      </c>
    </row>
    <row r="951" spans="1:7">
      <c r="A951" s="3">
        <v>20</v>
      </c>
      <c r="B951" s="3">
        <v>10</v>
      </c>
      <c r="C951" s="3">
        <v>88</v>
      </c>
      <c r="D951" s="3">
        <v>73</v>
      </c>
      <c r="E951" s="3">
        <v>-143.166</v>
      </c>
      <c r="F951" s="4" t="str">
        <f>HYPERLINK("http://141.218.60.56/~jnz1568/getInfo.php?workbook=20_10.xlsx&amp;sheet=A0&amp;row=951&amp;col=6&amp;number=104300000000&amp;sourceID=14","104300000000")</f>
        <v>104300000000</v>
      </c>
      <c r="G951" s="4" t="str">
        <f>HYPERLINK("http://141.218.60.56/~jnz1568/getInfo.php?workbook=20_10.xlsx&amp;sheet=A0&amp;row=951&amp;col=7&amp;number=0&amp;sourceID=14","0")</f>
        <v>0</v>
      </c>
    </row>
    <row r="952" spans="1:7">
      <c r="A952" s="3">
        <v>20</v>
      </c>
      <c r="B952" s="3">
        <v>10</v>
      </c>
      <c r="C952" s="3">
        <v>88</v>
      </c>
      <c r="D952" s="3">
        <v>74</v>
      </c>
      <c r="E952" s="3">
        <v>-143.173</v>
      </c>
      <c r="F952" s="4" t="str">
        <f>HYPERLINK("http://141.218.60.56/~jnz1568/getInfo.php?workbook=20_10.xlsx&amp;sheet=A0&amp;row=952&amp;col=6&amp;number=11070000000&amp;sourceID=14","11070000000")</f>
        <v>11070000000</v>
      </c>
      <c r="G952" s="4" t="str">
        <f>HYPERLINK("http://141.218.60.56/~jnz1568/getInfo.php?workbook=20_10.xlsx&amp;sheet=A0&amp;row=952&amp;col=7&amp;number=0&amp;sourceID=14","0")</f>
        <v>0</v>
      </c>
    </row>
    <row r="953" spans="1:7">
      <c r="A953" s="3">
        <v>20</v>
      </c>
      <c r="B953" s="3">
        <v>10</v>
      </c>
      <c r="C953" s="3">
        <v>88</v>
      </c>
      <c r="D953" s="3">
        <v>84</v>
      </c>
      <c r="E953" s="3">
        <v>-3185.429</v>
      </c>
      <c r="F953" s="4" t="str">
        <f>HYPERLINK("http://141.218.60.56/~jnz1568/getInfo.php?workbook=20_10.xlsx&amp;sheet=A0&amp;row=953&amp;col=6&amp;number=66140000&amp;sourceID=14","66140000")</f>
        <v>66140000</v>
      </c>
      <c r="G953" s="4" t="str">
        <f>HYPERLINK("http://141.218.60.56/~jnz1568/getInfo.php?workbook=20_10.xlsx&amp;sheet=A0&amp;row=953&amp;col=7&amp;number=0&amp;sourceID=14","0")</f>
        <v>0</v>
      </c>
    </row>
    <row r="954" spans="1:7">
      <c r="A954" s="3">
        <v>20</v>
      </c>
      <c r="B954" s="3">
        <v>10</v>
      </c>
      <c r="C954" s="3">
        <v>89</v>
      </c>
      <c r="D954" s="3">
        <v>7</v>
      </c>
      <c r="E954" s="3">
        <v>-59.252</v>
      </c>
      <c r="F954" s="4" t="str">
        <f>HYPERLINK("http://141.218.60.56/~jnz1568/getInfo.php?workbook=20_10.xlsx&amp;sheet=A0&amp;row=954&amp;col=6&amp;number=25260000&amp;sourceID=14","25260000")</f>
        <v>25260000</v>
      </c>
      <c r="G954" s="4" t="str">
        <f>HYPERLINK("http://141.218.60.56/~jnz1568/getInfo.php?workbook=20_10.xlsx&amp;sheet=A0&amp;row=954&amp;col=7&amp;number=0&amp;sourceID=14","0")</f>
        <v>0</v>
      </c>
    </row>
    <row r="955" spans="1:7">
      <c r="A955" s="3">
        <v>20</v>
      </c>
      <c r="B955" s="3">
        <v>10</v>
      </c>
      <c r="C955" s="3">
        <v>89</v>
      </c>
      <c r="D955" s="3">
        <v>9</v>
      </c>
      <c r="E955" s="3">
        <v>-59.729</v>
      </c>
      <c r="F955" s="4" t="str">
        <f>HYPERLINK("http://141.218.60.56/~jnz1568/getInfo.php?workbook=20_10.xlsx&amp;sheet=A0&amp;row=955&amp;col=6&amp;number=73020000&amp;sourceID=14","73020000")</f>
        <v>73020000</v>
      </c>
      <c r="G955" s="4" t="str">
        <f>HYPERLINK("http://141.218.60.56/~jnz1568/getInfo.php?workbook=20_10.xlsx&amp;sheet=A0&amp;row=955&amp;col=7&amp;number=0&amp;sourceID=14","0")</f>
        <v>0</v>
      </c>
    </row>
    <row r="956" spans="1:7">
      <c r="A956" s="3">
        <v>20</v>
      </c>
      <c r="B956" s="3">
        <v>10</v>
      </c>
      <c r="C956" s="3">
        <v>89</v>
      </c>
      <c r="D956" s="3">
        <v>13</v>
      </c>
      <c r="E956" s="3">
        <v>-60.598</v>
      </c>
      <c r="F956" s="4" t="str">
        <f>HYPERLINK("http://141.218.60.56/~jnz1568/getInfo.php?workbook=20_10.xlsx&amp;sheet=A0&amp;row=956&amp;col=6&amp;number=113200000&amp;sourceID=14","113200000")</f>
        <v>113200000</v>
      </c>
      <c r="G956" s="4" t="str">
        <f>HYPERLINK("http://141.218.60.56/~jnz1568/getInfo.php?workbook=20_10.xlsx&amp;sheet=A0&amp;row=956&amp;col=7&amp;number=0&amp;sourceID=14","0")</f>
        <v>0</v>
      </c>
    </row>
    <row r="957" spans="1:7">
      <c r="A957" s="3">
        <v>20</v>
      </c>
      <c r="B957" s="3">
        <v>10</v>
      </c>
      <c r="C957" s="3">
        <v>89</v>
      </c>
      <c r="D957" s="3">
        <v>33</v>
      </c>
      <c r="E957" s="3">
        <v>-106.496</v>
      </c>
      <c r="F957" s="4" t="str">
        <f>HYPERLINK("http://141.218.60.56/~jnz1568/getInfo.php?workbook=20_10.xlsx&amp;sheet=A0&amp;row=957&amp;col=6&amp;number=29880000&amp;sourceID=14","29880000")</f>
        <v>29880000</v>
      </c>
      <c r="G957" s="4" t="str">
        <f>HYPERLINK("http://141.218.60.56/~jnz1568/getInfo.php?workbook=20_10.xlsx&amp;sheet=A0&amp;row=957&amp;col=7&amp;number=0&amp;sourceID=14","0")</f>
        <v>0</v>
      </c>
    </row>
    <row r="958" spans="1:7">
      <c r="A958" s="3">
        <v>20</v>
      </c>
      <c r="B958" s="3">
        <v>10</v>
      </c>
      <c r="C958" s="3">
        <v>89</v>
      </c>
      <c r="D958" s="3">
        <v>39</v>
      </c>
      <c r="E958" s="3">
        <v>-118.187</v>
      </c>
      <c r="F958" s="4" t="str">
        <f>HYPERLINK("http://141.218.60.56/~jnz1568/getInfo.php?workbook=20_10.xlsx&amp;sheet=A0&amp;row=958&amp;col=6&amp;number=122200000&amp;sourceID=14","122200000")</f>
        <v>122200000</v>
      </c>
      <c r="G958" s="4" t="str">
        <f>HYPERLINK("http://141.218.60.56/~jnz1568/getInfo.php?workbook=20_10.xlsx&amp;sheet=A0&amp;row=958&amp;col=7&amp;number=0&amp;sourceID=14","0")</f>
        <v>0</v>
      </c>
    </row>
    <row r="959" spans="1:7">
      <c r="A959" s="3">
        <v>20</v>
      </c>
      <c r="B959" s="3">
        <v>10</v>
      </c>
      <c r="C959" s="3">
        <v>89</v>
      </c>
      <c r="D959" s="3">
        <v>42</v>
      </c>
      <c r="E959" s="3">
        <v>-118.845</v>
      </c>
      <c r="F959" s="4" t="str">
        <f>HYPERLINK("http://141.218.60.56/~jnz1568/getInfo.php?workbook=20_10.xlsx&amp;sheet=A0&amp;row=959&amp;col=6&amp;number=230900000&amp;sourceID=14","230900000")</f>
        <v>230900000</v>
      </c>
      <c r="G959" s="4" t="str">
        <f>HYPERLINK("http://141.218.60.56/~jnz1568/getInfo.php?workbook=20_10.xlsx&amp;sheet=A0&amp;row=959&amp;col=7&amp;number=0&amp;sourceID=14","0")</f>
        <v>0</v>
      </c>
    </row>
    <row r="960" spans="1:7">
      <c r="A960" s="3">
        <v>20</v>
      </c>
      <c r="B960" s="3">
        <v>10</v>
      </c>
      <c r="C960" s="3">
        <v>89</v>
      </c>
      <c r="D960" s="3">
        <v>46</v>
      </c>
      <c r="E960" s="3">
        <v>-122.892</v>
      </c>
      <c r="F960" s="4" t="str">
        <f>HYPERLINK("http://141.218.60.56/~jnz1568/getInfo.php?workbook=20_10.xlsx&amp;sheet=A0&amp;row=960&amp;col=6&amp;number=600800000&amp;sourceID=14","600800000")</f>
        <v>600800000</v>
      </c>
      <c r="G960" s="4" t="str">
        <f>HYPERLINK("http://141.218.60.56/~jnz1568/getInfo.php?workbook=20_10.xlsx&amp;sheet=A0&amp;row=960&amp;col=7&amp;number=0&amp;sourceID=14","0")</f>
        <v>0</v>
      </c>
    </row>
    <row r="961" spans="1:7">
      <c r="A961" s="3">
        <v>20</v>
      </c>
      <c r="B961" s="3">
        <v>10</v>
      </c>
      <c r="C961" s="3">
        <v>89</v>
      </c>
      <c r="D961" s="3">
        <v>57</v>
      </c>
      <c r="E961" s="3">
        <v>-136.896</v>
      </c>
      <c r="F961" s="4" t="str">
        <f>HYPERLINK("http://141.218.60.56/~jnz1568/getInfo.php?workbook=20_10.xlsx&amp;sheet=A0&amp;row=961&amp;col=6&amp;number=1740000000&amp;sourceID=14","1740000000")</f>
        <v>1740000000</v>
      </c>
      <c r="G961" s="4" t="str">
        <f>HYPERLINK("http://141.218.60.56/~jnz1568/getInfo.php?workbook=20_10.xlsx&amp;sheet=A0&amp;row=961&amp;col=7&amp;number=0&amp;sourceID=14","0")</f>
        <v>0</v>
      </c>
    </row>
    <row r="962" spans="1:7">
      <c r="A962" s="3">
        <v>20</v>
      </c>
      <c r="B962" s="3">
        <v>10</v>
      </c>
      <c r="C962" s="3">
        <v>89</v>
      </c>
      <c r="D962" s="3">
        <v>61</v>
      </c>
      <c r="E962" s="3">
        <v>-137.035</v>
      </c>
      <c r="F962" s="4" t="str">
        <f>HYPERLINK("http://141.218.60.56/~jnz1568/getInfo.php?workbook=20_10.xlsx&amp;sheet=A0&amp;row=962&amp;col=6&amp;number=13960000000&amp;sourceID=14","13960000000")</f>
        <v>13960000000</v>
      </c>
      <c r="G962" s="4" t="str">
        <f>HYPERLINK("http://141.218.60.56/~jnz1568/getInfo.php?workbook=20_10.xlsx&amp;sheet=A0&amp;row=962&amp;col=7&amp;number=0&amp;sourceID=14","0")</f>
        <v>0</v>
      </c>
    </row>
    <row r="963" spans="1:7">
      <c r="A963" s="3">
        <v>20</v>
      </c>
      <c r="B963" s="3">
        <v>10</v>
      </c>
      <c r="C963" s="3">
        <v>89</v>
      </c>
      <c r="D963" s="3">
        <v>63</v>
      </c>
      <c r="E963" s="3">
        <v>-137.219</v>
      </c>
      <c r="F963" s="4" t="str">
        <f>HYPERLINK("http://141.218.60.56/~jnz1568/getInfo.php?workbook=20_10.xlsx&amp;sheet=A0&amp;row=963&amp;col=6&amp;number=13250000000&amp;sourceID=14","13250000000")</f>
        <v>13250000000</v>
      </c>
      <c r="G963" s="4" t="str">
        <f>HYPERLINK("http://141.218.60.56/~jnz1568/getInfo.php?workbook=20_10.xlsx&amp;sheet=A0&amp;row=963&amp;col=7&amp;number=0&amp;sourceID=14","0")</f>
        <v>0</v>
      </c>
    </row>
    <row r="964" spans="1:7">
      <c r="A964" s="3">
        <v>20</v>
      </c>
      <c r="B964" s="3">
        <v>10</v>
      </c>
      <c r="C964" s="3">
        <v>89</v>
      </c>
      <c r="D964" s="3">
        <v>64</v>
      </c>
      <c r="E964" s="3">
        <v>-137.286</v>
      </c>
      <c r="F964" s="4" t="str">
        <f>HYPERLINK("http://141.218.60.56/~jnz1568/getInfo.php?workbook=20_10.xlsx&amp;sheet=A0&amp;row=964&amp;col=6&amp;number=7441000000&amp;sourceID=14","7441000000")</f>
        <v>7441000000</v>
      </c>
      <c r="G964" s="4" t="str">
        <f>HYPERLINK("http://141.218.60.56/~jnz1568/getInfo.php?workbook=20_10.xlsx&amp;sheet=A0&amp;row=964&amp;col=7&amp;number=0&amp;sourceID=14","0")</f>
        <v>0</v>
      </c>
    </row>
    <row r="965" spans="1:7">
      <c r="A965" s="3">
        <v>20</v>
      </c>
      <c r="B965" s="3">
        <v>10</v>
      </c>
      <c r="C965" s="3">
        <v>89</v>
      </c>
      <c r="D965" s="3">
        <v>65</v>
      </c>
      <c r="E965" s="3">
        <v>-137.41</v>
      </c>
      <c r="F965" s="4" t="str">
        <f>HYPERLINK("http://141.218.60.56/~jnz1568/getInfo.php?workbook=20_10.xlsx&amp;sheet=A0&amp;row=965&amp;col=6&amp;number=8370000000&amp;sourceID=14","8370000000")</f>
        <v>8370000000</v>
      </c>
      <c r="G965" s="4" t="str">
        <f>HYPERLINK("http://141.218.60.56/~jnz1568/getInfo.php?workbook=20_10.xlsx&amp;sheet=A0&amp;row=965&amp;col=7&amp;number=0&amp;sourceID=14","0")</f>
        <v>0</v>
      </c>
    </row>
    <row r="966" spans="1:7">
      <c r="A966" s="3">
        <v>20</v>
      </c>
      <c r="B966" s="3">
        <v>10</v>
      </c>
      <c r="C966" s="3">
        <v>89</v>
      </c>
      <c r="D966" s="3">
        <v>66</v>
      </c>
      <c r="E966" s="3">
        <v>-137.438</v>
      </c>
      <c r="F966" s="4" t="str">
        <f>HYPERLINK("http://141.218.60.56/~jnz1568/getInfo.php?workbook=20_10.xlsx&amp;sheet=A0&amp;row=966&amp;col=6&amp;number=9281000000&amp;sourceID=14","9281000000")</f>
        <v>9281000000</v>
      </c>
      <c r="G966" s="4" t="str">
        <f>HYPERLINK("http://141.218.60.56/~jnz1568/getInfo.php?workbook=20_10.xlsx&amp;sheet=A0&amp;row=966&amp;col=7&amp;number=0&amp;sourceID=14","0")</f>
        <v>0</v>
      </c>
    </row>
    <row r="967" spans="1:7">
      <c r="A967" s="3">
        <v>20</v>
      </c>
      <c r="B967" s="3">
        <v>10</v>
      </c>
      <c r="C967" s="3">
        <v>89</v>
      </c>
      <c r="D967" s="3">
        <v>68</v>
      </c>
      <c r="E967" s="3">
        <v>-138.197</v>
      </c>
      <c r="F967" s="4" t="str">
        <f>HYPERLINK("http://141.218.60.56/~jnz1568/getInfo.php?workbook=20_10.xlsx&amp;sheet=A0&amp;row=967&amp;col=6&amp;number=96520000000&amp;sourceID=14","96520000000")</f>
        <v>96520000000</v>
      </c>
      <c r="G967" s="4" t="str">
        <f>HYPERLINK("http://141.218.60.56/~jnz1568/getInfo.php?workbook=20_10.xlsx&amp;sheet=A0&amp;row=967&amp;col=7&amp;number=0&amp;sourceID=14","0")</f>
        <v>0</v>
      </c>
    </row>
    <row r="968" spans="1:7">
      <c r="A968" s="3">
        <v>20</v>
      </c>
      <c r="B968" s="3">
        <v>10</v>
      </c>
      <c r="C968" s="3">
        <v>89</v>
      </c>
      <c r="D968" s="3">
        <v>69</v>
      </c>
      <c r="E968" s="3">
        <v>-138.286</v>
      </c>
      <c r="F968" s="4" t="str">
        <f>HYPERLINK("http://141.218.60.56/~jnz1568/getInfo.php?workbook=20_10.xlsx&amp;sheet=A0&amp;row=968&amp;col=6&amp;number=659900000&amp;sourceID=14","659900000")</f>
        <v>659900000</v>
      </c>
      <c r="G968" s="4" t="str">
        <f>HYPERLINK("http://141.218.60.56/~jnz1568/getInfo.php?workbook=20_10.xlsx&amp;sheet=A0&amp;row=968&amp;col=7&amp;number=0&amp;sourceID=14","0")</f>
        <v>0</v>
      </c>
    </row>
    <row r="969" spans="1:7">
      <c r="A969" s="3">
        <v>20</v>
      </c>
      <c r="B969" s="3">
        <v>10</v>
      </c>
      <c r="C969" s="3">
        <v>89</v>
      </c>
      <c r="D969" s="3">
        <v>71</v>
      </c>
      <c r="E969" s="3">
        <v>-142.038</v>
      </c>
      <c r="F969" s="4" t="str">
        <f>HYPERLINK("http://141.218.60.56/~jnz1568/getInfo.php?workbook=20_10.xlsx&amp;sheet=A0&amp;row=969&amp;col=6&amp;number=115600000000&amp;sourceID=14","115600000000")</f>
        <v>115600000000</v>
      </c>
      <c r="G969" s="4" t="str">
        <f>HYPERLINK("http://141.218.60.56/~jnz1568/getInfo.php?workbook=20_10.xlsx&amp;sheet=A0&amp;row=969&amp;col=7&amp;number=0&amp;sourceID=14","0")</f>
        <v>0</v>
      </c>
    </row>
    <row r="970" spans="1:7">
      <c r="A970" s="3">
        <v>20</v>
      </c>
      <c r="B970" s="3">
        <v>10</v>
      </c>
      <c r="C970" s="3">
        <v>89</v>
      </c>
      <c r="D970" s="3">
        <v>72</v>
      </c>
      <c r="E970" s="3">
        <v>-143.047</v>
      </c>
      <c r="F970" s="4" t="str">
        <f>HYPERLINK("http://141.218.60.56/~jnz1568/getInfo.php?workbook=20_10.xlsx&amp;sheet=A0&amp;row=970&amp;col=6&amp;number=2192000000&amp;sourceID=14","2192000000")</f>
        <v>2192000000</v>
      </c>
      <c r="G970" s="4" t="str">
        <f>HYPERLINK("http://141.218.60.56/~jnz1568/getInfo.php?workbook=20_10.xlsx&amp;sheet=A0&amp;row=970&amp;col=7&amp;number=0&amp;sourceID=14","0")</f>
        <v>0</v>
      </c>
    </row>
    <row r="971" spans="1:7">
      <c r="A971" s="3">
        <v>20</v>
      </c>
      <c r="B971" s="3">
        <v>10</v>
      </c>
      <c r="C971" s="3">
        <v>89</v>
      </c>
      <c r="D971" s="3">
        <v>73</v>
      </c>
      <c r="E971" s="3">
        <v>-143.083</v>
      </c>
      <c r="F971" s="4" t="str">
        <f>HYPERLINK("http://141.218.60.56/~jnz1568/getInfo.php?workbook=20_10.xlsx&amp;sheet=A0&amp;row=971&amp;col=6&amp;number=1281000000&amp;sourceID=14","1281000000")</f>
        <v>1281000000</v>
      </c>
      <c r="G971" s="4" t="str">
        <f>HYPERLINK("http://141.218.60.56/~jnz1568/getInfo.php?workbook=20_10.xlsx&amp;sheet=A0&amp;row=971&amp;col=7&amp;number=0&amp;sourceID=14","0")</f>
        <v>0</v>
      </c>
    </row>
    <row r="972" spans="1:7">
      <c r="A972" s="3">
        <v>20</v>
      </c>
      <c r="B972" s="3">
        <v>10</v>
      </c>
      <c r="C972" s="3">
        <v>89</v>
      </c>
      <c r="D972" s="3">
        <v>74</v>
      </c>
      <c r="E972" s="3">
        <v>-143.09</v>
      </c>
      <c r="F972" s="4" t="str">
        <f>HYPERLINK("http://141.218.60.56/~jnz1568/getInfo.php?workbook=20_10.xlsx&amp;sheet=A0&amp;row=972&amp;col=6&amp;number=13930000000&amp;sourceID=14","13930000000")</f>
        <v>13930000000</v>
      </c>
      <c r="G972" s="4" t="str">
        <f>HYPERLINK("http://141.218.60.56/~jnz1568/getInfo.php?workbook=20_10.xlsx&amp;sheet=A0&amp;row=972&amp;col=7&amp;number=0&amp;sourceID=14","0")</f>
        <v>0</v>
      </c>
    </row>
    <row r="973" spans="1:7">
      <c r="A973" s="3">
        <v>20</v>
      </c>
      <c r="B973" s="3">
        <v>10</v>
      </c>
      <c r="C973" s="3">
        <v>89</v>
      </c>
      <c r="D973" s="3">
        <v>75</v>
      </c>
      <c r="E973" s="3">
        <v>-143.134</v>
      </c>
      <c r="F973" s="4" t="str">
        <f>HYPERLINK("http://141.218.60.56/~jnz1568/getInfo.php?workbook=20_10.xlsx&amp;sheet=A0&amp;row=973&amp;col=6&amp;number=7033000000&amp;sourceID=14","7033000000")</f>
        <v>7033000000</v>
      </c>
      <c r="G973" s="4" t="str">
        <f>HYPERLINK("http://141.218.60.56/~jnz1568/getInfo.php?workbook=20_10.xlsx&amp;sheet=A0&amp;row=973&amp;col=7&amp;number=0&amp;sourceID=14","0")</f>
        <v>0</v>
      </c>
    </row>
    <row r="974" spans="1:7">
      <c r="A974" s="3">
        <v>20</v>
      </c>
      <c r="B974" s="3">
        <v>10</v>
      </c>
      <c r="C974" s="3">
        <v>89</v>
      </c>
      <c r="D974" s="3">
        <v>85</v>
      </c>
      <c r="E974" s="3">
        <v>-4093</v>
      </c>
      <c r="F974" s="4" t="str">
        <f>HYPERLINK("http://141.218.60.56/~jnz1568/getInfo.php?workbook=20_10.xlsx&amp;sheet=A0&amp;row=974&amp;col=6&amp;number=26440000&amp;sourceID=14","26440000")</f>
        <v>26440000</v>
      </c>
      <c r="G974" s="4" t="str">
        <f>HYPERLINK("http://141.218.60.56/~jnz1568/getInfo.php?workbook=20_10.xlsx&amp;sheet=A0&amp;row=974&amp;col=7&amp;number=0&amp;sourceID=14","0")</f>
        <v>0</v>
      </c>
    </row>
  </sheetData>
  <mergeCells count="1">
    <mergeCell ref="A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763"/>
  <sheetViews>
    <sheetView workbookViewId="0"/>
  </sheetViews>
  <sheetFormatPr defaultRowHeight="15"/>
  <cols>
    <col min="1" max="1" width="3.7109375" customWidth="1"/>
    <col min="2" max="2" width="3.7109375" customWidth="1"/>
    <col min="3" max="3" width="2.7109375" customWidth="1"/>
    <col min="4" max="4" width="3.7109375" customWidth="1"/>
    <col min="5" max="5" width="3.7109375" customWidth="1"/>
    <col min="6" max="6" width="9.7109375" customWidth="1"/>
    <col min="7" max="7" width="9.7109375" customWidth="1"/>
  </cols>
  <sheetData>
    <row r="1" spans="1:7">
      <c r="A1" s="1" t="s">
        <v>42</v>
      </c>
      <c r="B1" s="1"/>
      <c r="C1" s="1"/>
      <c r="D1" s="1"/>
      <c r="E1" s="1"/>
      <c r="F1" s="1"/>
      <c r="G1" s="1"/>
    </row>
    <row r="2" spans="1:7">
      <c r="A2" s="2"/>
      <c r="B2" s="2"/>
      <c r="C2" s="2"/>
      <c r="D2" s="2"/>
      <c r="E2" s="2"/>
      <c r="F2" s="2" t="s">
        <v>1</v>
      </c>
      <c r="G2" s="2" t="s">
        <v>1</v>
      </c>
    </row>
    <row r="3" spans="1:7">
      <c r="A3" s="2" t="s">
        <v>2</v>
      </c>
      <c r="B3" s="2" t="s">
        <v>3</v>
      </c>
      <c r="C3" s="2" t="s">
        <v>38</v>
      </c>
      <c r="D3" s="2" t="s">
        <v>4</v>
      </c>
      <c r="E3" s="2" t="s">
        <v>43</v>
      </c>
      <c r="F3" s="2" t="s">
        <v>44</v>
      </c>
      <c r="G3" s="2" t="s">
        <v>45</v>
      </c>
    </row>
    <row r="4" spans="1:7">
      <c r="A4" s="3">
        <v>20</v>
      </c>
      <c r="B4" s="3">
        <v>10</v>
      </c>
      <c r="C4" s="3">
        <v>1</v>
      </c>
      <c r="D4" s="3">
        <v>2</v>
      </c>
      <c r="E4" s="3">
        <v>1</v>
      </c>
      <c r="F4" s="4" t="str">
        <f>HYPERLINK("http://141.218.60.56/~jnz1568/getInfo.php?workbook=20_10.xlsx&amp;sheet=U0&amp;row=4&amp;col=6&amp;number=3&amp;sourceID=14","3")</f>
        <v>3</v>
      </c>
      <c r="G4" s="4" t="str">
        <f>HYPERLINK("http://141.218.60.56/~jnz1568/getInfo.php?workbook=20_10.xlsx&amp;sheet=U0&amp;row=4&amp;col=7&amp;number=0.00323&amp;sourceID=14","0.00323")</f>
        <v>0.00323</v>
      </c>
    </row>
    <row r="5" spans="1:7">
      <c r="A5" s="3"/>
      <c r="B5" s="3"/>
      <c r="C5" s="3"/>
      <c r="D5" s="3"/>
      <c r="E5" s="3">
        <v>2</v>
      </c>
      <c r="F5" s="4" t="str">
        <f>HYPERLINK("http://141.218.60.56/~jnz1568/getInfo.php?workbook=20_10.xlsx&amp;sheet=U0&amp;row=5&amp;col=6&amp;number=3.1&amp;sourceID=14","3.1")</f>
        <v>3.1</v>
      </c>
      <c r="G5" s="4" t="str">
        <f>HYPERLINK("http://141.218.60.56/~jnz1568/getInfo.php?workbook=20_10.xlsx&amp;sheet=U0&amp;row=5&amp;col=7&amp;number=0.00323&amp;sourceID=14","0.00323")</f>
        <v>0.00323</v>
      </c>
    </row>
    <row r="6" spans="1:7">
      <c r="A6" s="3"/>
      <c r="B6" s="3"/>
      <c r="C6" s="3"/>
      <c r="D6" s="3"/>
      <c r="E6" s="3">
        <v>3</v>
      </c>
      <c r="F6" s="4" t="str">
        <f>HYPERLINK("http://141.218.60.56/~jnz1568/getInfo.php?workbook=20_10.xlsx&amp;sheet=U0&amp;row=6&amp;col=6&amp;number=3.2&amp;sourceID=14","3.2")</f>
        <v>3.2</v>
      </c>
      <c r="G6" s="4" t="str">
        <f>HYPERLINK("http://141.218.60.56/~jnz1568/getInfo.php?workbook=20_10.xlsx&amp;sheet=U0&amp;row=6&amp;col=7&amp;number=0.00323&amp;sourceID=14","0.00323")</f>
        <v>0.00323</v>
      </c>
    </row>
    <row r="7" spans="1:7">
      <c r="A7" s="3"/>
      <c r="B7" s="3"/>
      <c r="C7" s="3"/>
      <c r="D7" s="3"/>
      <c r="E7" s="3">
        <v>4</v>
      </c>
      <c r="F7" s="4" t="str">
        <f>HYPERLINK("http://141.218.60.56/~jnz1568/getInfo.php?workbook=20_10.xlsx&amp;sheet=U0&amp;row=7&amp;col=6&amp;number=3.3&amp;sourceID=14","3.3")</f>
        <v>3.3</v>
      </c>
      <c r="G7" s="4" t="str">
        <f>HYPERLINK("http://141.218.60.56/~jnz1568/getInfo.php?workbook=20_10.xlsx&amp;sheet=U0&amp;row=7&amp;col=7&amp;number=0.00323&amp;sourceID=14","0.00323")</f>
        <v>0.00323</v>
      </c>
    </row>
    <row r="8" spans="1:7">
      <c r="A8" s="3"/>
      <c r="B8" s="3"/>
      <c r="C8" s="3"/>
      <c r="D8" s="3"/>
      <c r="E8" s="3">
        <v>5</v>
      </c>
      <c r="F8" s="4" t="str">
        <f>HYPERLINK("http://141.218.60.56/~jnz1568/getInfo.php?workbook=20_10.xlsx&amp;sheet=U0&amp;row=8&amp;col=6&amp;number=3.4&amp;sourceID=14","3.4")</f>
        <v>3.4</v>
      </c>
      <c r="G8" s="4" t="str">
        <f>HYPERLINK("http://141.218.60.56/~jnz1568/getInfo.php?workbook=20_10.xlsx&amp;sheet=U0&amp;row=8&amp;col=7&amp;number=0.00323&amp;sourceID=14","0.00323")</f>
        <v>0.00323</v>
      </c>
    </row>
    <row r="9" spans="1:7">
      <c r="A9" s="3"/>
      <c r="B9" s="3"/>
      <c r="C9" s="3"/>
      <c r="D9" s="3"/>
      <c r="E9" s="3">
        <v>6</v>
      </c>
      <c r="F9" s="4" t="str">
        <f>HYPERLINK("http://141.218.60.56/~jnz1568/getInfo.php?workbook=20_10.xlsx&amp;sheet=U0&amp;row=9&amp;col=6&amp;number=3.5&amp;sourceID=14","3.5")</f>
        <v>3.5</v>
      </c>
      <c r="G9" s="4" t="str">
        <f>HYPERLINK("http://141.218.60.56/~jnz1568/getInfo.php?workbook=20_10.xlsx&amp;sheet=U0&amp;row=9&amp;col=7&amp;number=0.00323&amp;sourceID=14","0.00323")</f>
        <v>0.00323</v>
      </c>
    </row>
    <row r="10" spans="1:7">
      <c r="A10" s="3"/>
      <c r="B10" s="3"/>
      <c r="C10" s="3"/>
      <c r="D10" s="3"/>
      <c r="E10" s="3">
        <v>7</v>
      </c>
      <c r="F10" s="4" t="str">
        <f>HYPERLINK("http://141.218.60.56/~jnz1568/getInfo.php?workbook=20_10.xlsx&amp;sheet=U0&amp;row=10&amp;col=6&amp;number=3.6&amp;sourceID=14","3.6")</f>
        <v>3.6</v>
      </c>
      <c r="G10" s="4" t="str">
        <f>HYPERLINK("http://141.218.60.56/~jnz1568/getInfo.php?workbook=20_10.xlsx&amp;sheet=U0&amp;row=10&amp;col=7&amp;number=0.00323&amp;sourceID=14","0.00323")</f>
        <v>0.00323</v>
      </c>
    </row>
    <row r="11" spans="1:7">
      <c r="A11" s="3"/>
      <c r="B11" s="3"/>
      <c r="C11" s="3"/>
      <c r="D11" s="3"/>
      <c r="E11" s="3">
        <v>8</v>
      </c>
      <c r="F11" s="4" t="str">
        <f>HYPERLINK("http://141.218.60.56/~jnz1568/getInfo.php?workbook=20_10.xlsx&amp;sheet=U0&amp;row=11&amp;col=6&amp;number=3.7&amp;sourceID=14","3.7")</f>
        <v>3.7</v>
      </c>
      <c r="G11" s="4" t="str">
        <f>HYPERLINK("http://141.218.60.56/~jnz1568/getInfo.php?workbook=20_10.xlsx&amp;sheet=U0&amp;row=11&amp;col=7&amp;number=0.00323&amp;sourceID=14","0.00323")</f>
        <v>0.00323</v>
      </c>
    </row>
    <row r="12" spans="1:7">
      <c r="A12" s="3"/>
      <c r="B12" s="3"/>
      <c r="C12" s="3"/>
      <c r="D12" s="3"/>
      <c r="E12" s="3">
        <v>9</v>
      </c>
      <c r="F12" s="4" t="str">
        <f>HYPERLINK("http://141.218.60.56/~jnz1568/getInfo.php?workbook=20_10.xlsx&amp;sheet=U0&amp;row=12&amp;col=6&amp;number=3.8&amp;sourceID=14","3.8")</f>
        <v>3.8</v>
      </c>
      <c r="G12" s="4" t="str">
        <f>HYPERLINK("http://141.218.60.56/~jnz1568/getInfo.php?workbook=20_10.xlsx&amp;sheet=U0&amp;row=12&amp;col=7&amp;number=0.00323&amp;sourceID=14","0.00323")</f>
        <v>0.00323</v>
      </c>
    </row>
    <row r="13" spans="1:7">
      <c r="A13" s="3"/>
      <c r="B13" s="3"/>
      <c r="C13" s="3"/>
      <c r="D13" s="3"/>
      <c r="E13" s="3">
        <v>10</v>
      </c>
      <c r="F13" s="4" t="str">
        <f>HYPERLINK("http://141.218.60.56/~jnz1568/getInfo.php?workbook=20_10.xlsx&amp;sheet=U0&amp;row=13&amp;col=6&amp;number=3.9&amp;sourceID=14","3.9")</f>
        <v>3.9</v>
      </c>
      <c r="G13" s="4" t="str">
        <f>HYPERLINK("http://141.218.60.56/~jnz1568/getInfo.php?workbook=20_10.xlsx&amp;sheet=U0&amp;row=13&amp;col=7&amp;number=0.00323&amp;sourceID=14","0.00323")</f>
        <v>0.00323</v>
      </c>
    </row>
    <row r="14" spans="1:7">
      <c r="A14" s="3"/>
      <c r="B14" s="3"/>
      <c r="C14" s="3"/>
      <c r="D14" s="3"/>
      <c r="E14" s="3">
        <v>11</v>
      </c>
      <c r="F14" s="4" t="str">
        <f>HYPERLINK("http://141.218.60.56/~jnz1568/getInfo.php?workbook=20_10.xlsx&amp;sheet=U0&amp;row=14&amp;col=6&amp;number=4&amp;sourceID=14","4")</f>
        <v>4</v>
      </c>
      <c r="G14" s="4" t="str">
        <f>HYPERLINK("http://141.218.60.56/~jnz1568/getInfo.php?workbook=20_10.xlsx&amp;sheet=U0&amp;row=14&amp;col=7&amp;number=0.00323&amp;sourceID=14","0.00323")</f>
        <v>0.00323</v>
      </c>
    </row>
    <row r="15" spans="1:7">
      <c r="A15" s="3"/>
      <c r="B15" s="3"/>
      <c r="C15" s="3"/>
      <c r="D15" s="3"/>
      <c r="E15" s="3">
        <v>12</v>
      </c>
      <c r="F15" s="4" t="str">
        <f>HYPERLINK("http://141.218.60.56/~jnz1568/getInfo.php?workbook=20_10.xlsx&amp;sheet=U0&amp;row=15&amp;col=6&amp;number=4.1&amp;sourceID=14","4.1")</f>
        <v>4.1</v>
      </c>
      <c r="G15" s="4" t="str">
        <f>HYPERLINK("http://141.218.60.56/~jnz1568/getInfo.php?workbook=20_10.xlsx&amp;sheet=U0&amp;row=15&amp;col=7&amp;number=0.00323&amp;sourceID=14","0.00323")</f>
        <v>0.00323</v>
      </c>
    </row>
    <row r="16" spans="1:7">
      <c r="A16" s="3"/>
      <c r="B16" s="3"/>
      <c r="C16" s="3"/>
      <c r="D16" s="3"/>
      <c r="E16" s="3">
        <v>13</v>
      </c>
      <c r="F16" s="4" t="str">
        <f>HYPERLINK("http://141.218.60.56/~jnz1568/getInfo.php?workbook=20_10.xlsx&amp;sheet=U0&amp;row=16&amp;col=6&amp;number=4.2&amp;sourceID=14","4.2")</f>
        <v>4.2</v>
      </c>
      <c r="G16" s="4" t="str">
        <f>HYPERLINK("http://141.218.60.56/~jnz1568/getInfo.php?workbook=20_10.xlsx&amp;sheet=U0&amp;row=16&amp;col=7&amp;number=0.00322&amp;sourceID=14","0.00322")</f>
        <v>0.00322</v>
      </c>
    </row>
    <row r="17" spans="1:7">
      <c r="A17" s="3"/>
      <c r="B17" s="3"/>
      <c r="C17" s="3"/>
      <c r="D17" s="3"/>
      <c r="E17" s="3">
        <v>14</v>
      </c>
      <c r="F17" s="4" t="str">
        <f>HYPERLINK("http://141.218.60.56/~jnz1568/getInfo.php?workbook=20_10.xlsx&amp;sheet=U0&amp;row=17&amp;col=6&amp;number=4.3&amp;sourceID=14","4.3")</f>
        <v>4.3</v>
      </c>
      <c r="G17" s="4" t="str">
        <f>HYPERLINK("http://141.218.60.56/~jnz1568/getInfo.php?workbook=20_10.xlsx&amp;sheet=U0&amp;row=17&amp;col=7&amp;number=0.00322&amp;sourceID=14","0.00322")</f>
        <v>0.00322</v>
      </c>
    </row>
    <row r="18" spans="1:7">
      <c r="A18" s="3"/>
      <c r="B18" s="3"/>
      <c r="C18" s="3"/>
      <c r="D18" s="3"/>
      <c r="E18" s="3">
        <v>15</v>
      </c>
      <c r="F18" s="4" t="str">
        <f>HYPERLINK("http://141.218.60.56/~jnz1568/getInfo.php?workbook=20_10.xlsx&amp;sheet=U0&amp;row=18&amp;col=6&amp;number=4.4&amp;sourceID=14","4.4")</f>
        <v>4.4</v>
      </c>
      <c r="G18" s="4" t="str">
        <f>HYPERLINK("http://141.218.60.56/~jnz1568/getInfo.php?workbook=20_10.xlsx&amp;sheet=U0&amp;row=18&amp;col=7&amp;number=0.00322&amp;sourceID=14","0.00322")</f>
        <v>0.00322</v>
      </c>
    </row>
    <row r="19" spans="1:7">
      <c r="A19" s="3"/>
      <c r="B19" s="3"/>
      <c r="C19" s="3"/>
      <c r="D19" s="3"/>
      <c r="E19" s="3">
        <v>16</v>
      </c>
      <c r="F19" s="4" t="str">
        <f>HYPERLINK("http://141.218.60.56/~jnz1568/getInfo.php?workbook=20_10.xlsx&amp;sheet=U0&amp;row=19&amp;col=6&amp;number=4.5&amp;sourceID=14","4.5")</f>
        <v>4.5</v>
      </c>
      <c r="G19" s="4" t="str">
        <f>HYPERLINK("http://141.218.60.56/~jnz1568/getInfo.php?workbook=20_10.xlsx&amp;sheet=U0&amp;row=19&amp;col=7&amp;number=0.00321&amp;sourceID=14","0.00321")</f>
        <v>0.00321</v>
      </c>
    </row>
    <row r="20" spans="1:7">
      <c r="A20" s="3"/>
      <c r="B20" s="3"/>
      <c r="C20" s="3"/>
      <c r="D20" s="3"/>
      <c r="E20" s="3">
        <v>17</v>
      </c>
      <c r="F20" s="4" t="str">
        <f>HYPERLINK("http://141.218.60.56/~jnz1568/getInfo.php?workbook=20_10.xlsx&amp;sheet=U0&amp;row=20&amp;col=6&amp;number=4.6&amp;sourceID=14","4.6")</f>
        <v>4.6</v>
      </c>
      <c r="G20" s="4" t="str">
        <f>HYPERLINK("http://141.218.60.56/~jnz1568/getInfo.php?workbook=20_10.xlsx&amp;sheet=U0&amp;row=20&amp;col=7&amp;number=0.00321&amp;sourceID=14","0.00321")</f>
        <v>0.00321</v>
      </c>
    </row>
    <row r="21" spans="1:7">
      <c r="A21" s="3"/>
      <c r="B21" s="3"/>
      <c r="C21" s="3"/>
      <c r="D21" s="3"/>
      <c r="E21" s="3">
        <v>18</v>
      </c>
      <c r="F21" s="4" t="str">
        <f>HYPERLINK("http://141.218.60.56/~jnz1568/getInfo.php?workbook=20_10.xlsx&amp;sheet=U0&amp;row=21&amp;col=6&amp;number=4.7&amp;sourceID=14","4.7")</f>
        <v>4.7</v>
      </c>
      <c r="G21" s="4" t="str">
        <f>HYPERLINK("http://141.218.60.56/~jnz1568/getInfo.php?workbook=20_10.xlsx&amp;sheet=U0&amp;row=21&amp;col=7&amp;number=0.0032&amp;sourceID=14","0.0032")</f>
        <v>0.0032</v>
      </c>
    </row>
    <row r="22" spans="1:7">
      <c r="A22" s="3"/>
      <c r="B22" s="3"/>
      <c r="C22" s="3"/>
      <c r="D22" s="3"/>
      <c r="E22" s="3">
        <v>19</v>
      </c>
      <c r="F22" s="4" t="str">
        <f>HYPERLINK("http://141.218.60.56/~jnz1568/getInfo.php?workbook=20_10.xlsx&amp;sheet=U0&amp;row=22&amp;col=6&amp;number=4.8&amp;sourceID=14","4.8")</f>
        <v>4.8</v>
      </c>
      <c r="G22" s="4" t="str">
        <f>HYPERLINK("http://141.218.60.56/~jnz1568/getInfo.php?workbook=20_10.xlsx&amp;sheet=U0&amp;row=22&amp;col=7&amp;number=0.0032&amp;sourceID=14","0.0032")</f>
        <v>0.0032</v>
      </c>
    </row>
    <row r="23" spans="1:7">
      <c r="A23" s="3"/>
      <c r="B23" s="3"/>
      <c r="C23" s="3"/>
      <c r="D23" s="3"/>
      <c r="E23" s="3">
        <v>20</v>
      </c>
      <c r="F23" s="4" t="str">
        <f>HYPERLINK("http://141.218.60.56/~jnz1568/getInfo.php?workbook=20_10.xlsx&amp;sheet=U0&amp;row=23&amp;col=6&amp;number=4.9&amp;sourceID=14","4.9")</f>
        <v>4.9</v>
      </c>
      <c r="G23" s="4" t="str">
        <f>HYPERLINK("http://141.218.60.56/~jnz1568/getInfo.php?workbook=20_10.xlsx&amp;sheet=U0&amp;row=23&amp;col=7&amp;number=0.00319&amp;sourceID=14","0.00319")</f>
        <v>0.00319</v>
      </c>
    </row>
    <row r="24" spans="1:7">
      <c r="A24" s="3">
        <v>20</v>
      </c>
      <c r="B24" s="3">
        <v>10</v>
      </c>
      <c r="C24" s="3">
        <v>1</v>
      </c>
      <c r="D24" s="3">
        <v>3</v>
      </c>
      <c r="E24" s="3">
        <v>1</v>
      </c>
      <c r="F24" s="4" t="str">
        <f>HYPERLINK("http://141.218.60.56/~jnz1568/getInfo.php?workbook=20_10.xlsx&amp;sheet=U0&amp;row=24&amp;col=6&amp;number=3&amp;sourceID=14","3")</f>
        <v>3</v>
      </c>
      <c r="G24" s="4" t="str">
        <f>HYPERLINK("http://141.218.60.56/~jnz1568/getInfo.php?workbook=20_10.xlsx&amp;sheet=U0&amp;row=24&amp;col=7&amp;number=0.00455&amp;sourceID=14","0.00455")</f>
        <v>0.00455</v>
      </c>
    </row>
    <row r="25" spans="1:7">
      <c r="A25" s="3"/>
      <c r="B25" s="3"/>
      <c r="C25" s="3"/>
      <c r="D25" s="3"/>
      <c r="E25" s="3">
        <v>2</v>
      </c>
      <c r="F25" s="4" t="str">
        <f>HYPERLINK("http://141.218.60.56/~jnz1568/getInfo.php?workbook=20_10.xlsx&amp;sheet=U0&amp;row=25&amp;col=6&amp;number=3.1&amp;sourceID=14","3.1")</f>
        <v>3.1</v>
      </c>
      <c r="G25" s="4" t="str">
        <f>HYPERLINK("http://141.218.60.56/~jnz1568/getInfo.php?workbook=20_10.xlsx&amp;sheet=U0&amp;row=25&amp;col=7&amp;number=0.00455&amp;sourceID=14","0.00455")</f>
        <v>0.00455</v>
      </c>
    </row>
    <row r="26" spans="1:7">
      <c r="A26" s="3"/>
      <c r="B26" s="3"/>
      <c r="C26" s="3"/>
      <c r="D26" s="3"/>
      <c r="E26" s="3">
        <v>3</v>
      </c>
      <c r="F26" s="4" t="str">
        <f>HYPERLINK("http://141.218.60.56/~jnz1568/getInfo.php?workbook=20_10.xlsx&amp;sheet=U0&amp;row=26&amp;col=6&amp;number=3.2&amp;sourceID=14","3.2")</f>
        <v>3.2</v>
      </c>
      <c r="G26" s="4" t="str">
        <f>HYPERLINK("http://141.218.60.56/~jnz1568/getInfo.php?workbook=20_10.xlsx&amp;sheet=U0&amp;row=26&amp;col=7&amp;number=0.00455&amp;sourceID=14","0.00455")</f>
        <v>0.00455</v>
      </c>
    </row>
    <row r="27" spans="1:7">
      <c r="A27" s="3"/>
      <c r="B27" s="3"/>
      <c r="C27" s="3"/>
      <c r="D27" s="3"/>
      <c r="E27" s="3">
        <v>4</v>
      </c>
      <c r="F27" s="4" t="str">
        <f>HYPERLINK("http://141.218.60.56/~jnz1568/getInfo.php?workbook=20_10.xlsx&amp;sheet=U0&amp;row=27&amp;col=6&amp;number=3.3&amp;sourceID=14","3.3")</f>
        <v>3.3</v>
      </c>
      <c r="G27" s="4" t="str">
        <f>HYPERLINK("http://141.218.60.56/~jnz1568/getInfo.php?workbook=20_10.xlsx&amp;sheet=U0&amp;row=27&amp;col=7&amp;number=0.00455&amp;sourceID=14","0.00455")</f>
        <v>0.00455</v>
      </c>
    </row>
    <row r="28" spans="1:7">
      <c r="A28" s="3"/>
      <c r="B28" s="3"/>
      <c r="C28" s="3"/>
      <c r="D28" s="3"/>
      <c r="E28" s="3">
        <v>5</v>
      </c>
      <c r="F28" s="4" t="str">
        <f>HYPERLINK("http://141.218.60.56/~jnz1568/getInfo.php?workbook=20_10.xlsx&amp;sheet=U0&amp;row=28&amp;col=6&amp;number=3.4&amp;sourceID=14","3.4")</f>
        <v>3.4</v>
      </c>
      <c r="G28" s="4" t="str">
        <f>HYPERLINK("http://141.218.60.56/~jnz1568/getInfo.php?workbook=20_10.xlsx&amp;sheet=U0&amp;row=28&amp;col=7&amp;number=0.00455&amp;sourceID=14","0.00455")</f>
        <v>0.00455</v>
      </c>
    </row>
    <row r="29" spans="1:7">
      <c r="A29" s="3"/>
      <c r="B29" s="3"/>
      <c r="C29" s="3"/>
      <c r="D29" s="3"/>
      <c r="E29" s="3">
        <v>6</v>
      </c>
      <c r="F29" s="4" t="str">
        <f>HYPERLINK("http://141.218.60.56/~jnz1568/getInfo.php?workbook=20_10.xlsx&amp;sheet=U0&amp;row=29&amp;col=6&amp;number=3.5&amp;sourceID=14","3.5")</f>
        <v>3.5</v>
      </c>
      <c r="G29" s="4" t="str">
        <f>HYPERLINK("http://141.218.60.56/~jnz1568/getInfo.php?workbook=20_10.xlsx&amp;sheet=U0&amp;row=29&amp;col=7&amp;number=0.00455&amp;sourceID=14","0.00455")</f>
        <v>0.00455</v>
      </c>
    </row>
    <row r="30" spans="1:7">
      <c r="A30" s="3"/>
      <c r="B30" s="3"/>
      <c r="C30" s="3"/>
      <c r="D30" s="3"/>
      <c r="E30" s="3">
        <v>7</v>
      </c>
      <c r="F30" s="4" t="str">
        <f>HYPERLINK("http://141.218.60.56/~jnz1568/getInfo.php?workbook=20_10.xlsx&amp;sheet=U0&amp;row=30&amp;col=6&amp;number=3.6&amp;sourceID=14","3.6")</f>
        <v>3.6</v>
      </c>
      <c r="G30" s="4" t="str">
        <f>HYPERLINK("http://141.218.60.56/~jnz1568/getInfo.php?workbook=20_10.xlsx&amp;sheet=U0&amp;row=30&amp;col=7&amp;number=0.00455&amp;sourceID=14","0.00455")</f>
        <v>0.00455</v>
      </c>
    </row>
    <row r="31" spans="1:7">
      <c r="A31" s="3"/>
      <c r="B31" s="3"/>
      <c r="C31" s="3"/>
      <c r="D31" s="3"/>
      <c r="E31" s="3">
        <v>8</v>
      </c>
      <c r="F31" s="4" t="str">
        <f>HYPERLINK("http://141.218.60.56/~jnz1568/getInfo.php?workbook=20_10.xlsx&amp;sheet=U0&amp;row=31&amp;col=6&amp;number=3.7&amp;sourceID=14","3.7")</f>
        <v>3.7</v>
      </c>
      <c r="G31" s="4" t="str">
        <f>HYPERLINK("http://141.218.60.56/~jnz1568/getInfo.php?workbook=20_10.xlsx&amp;sheet=U0&amp;row=31&amp;col=7&amp;number=0.00455&amp;sourceID=14","0.00455")</f>
        <v>0.00455</v>
      </c>
    </row>
    <row r="32" spans="1:7">
      <c r="A32" s="3"/>
      <c r="B32" s="3"/>
      <c r="C32" s="3"/>
      <c r="D32" s="3"/>
      <c r="E32" s="3">
        <v>9</v>
      </c>
      <c r="F32" s="4" t="str">
        <f>HYPERLINK("http://141.218.60.56/~jnz1568/getInfo.php?workbook=20_10.xlsx&amp;sheet=U0&amp;row=32&amp;col=6&amp;number=3.8&amp;sourceID=14","3.8")</f>
        <v>3.8</v>
      </c>
      <c r="G32" s="4" t="str">
        <f>HYPERLINK("http://141.218.60.56/~jnz1568/getInfo.php?workbook=20_10.xlsx&amp;sheet=U0&amp;row=32&amp;col=7&amp;number=0.00455&amp;sourceID=14","0.00455")</f>
        <v>0.00455</v>
      </c>
    </row>
    <row r="33" spans="1:7">
      <c r="A33" s="3"/>
      <c r="B33" s="3"/>
      <c r="C33" s="3"/>
      <c r="D33" s="3"/>
      <c r="E33" s="3">
        <v>10</v>
      </c>
      <c r="F33" s="4" t="str">
        <f>HYPERLINK("http://141.218.60.56/~jnz1568/getInfo.php?workbook=20_10.xlsx&amp;sheet=U0&amp;row=33&amp;col=6&amp;number=3.9&amp;sourceID=14","3.9")</f>
        <v>3.9</v>
      </c>
      <c r="G33" s="4" t="str">
        <f>HYPERLINK("http://141.218.60.56/~jnz1568/getInfo.php?workbook=20_10.xlsx&amp;sheet=U0&amp;row=33&amp;col=7&amp;number=0.00455&amp;sourceID=14","0.00455")</f>
        <v>0.00455</v>
      </c>
    </row>
    <row r="34" spans="1:7">
      <c r="A34" s="3"/>
      <c r="B34" s="3"/>
      <c r="C34" s="3"/>
      <c r="D34" s="3"/>
      <c r="E34" s="3">
        <v>11</v>
      </c>
      <c r="F34" s="4" t="str">
        <f>HYPERLINK("http://141.218.60.56/~jnz1568/getInfo.php?workbook=20_10.xlsx&amp;sheet=U0&amp;row=34&amp;col=6&amp;number=4&amp;sourceID=14","4")</f>
        <v>4</v>
      </c>
      <c r="G34" s="4" t="str">
        <f>HYPERLINK("http://141.218.60.56/~jnz1568/getInfo.php?workbook=20_10.xlsx&amp;sheet=U0&amp;row=34&amp;col=7&amp;number=0.00455&amp;sourceID=14","0.00455")</f>
        <v>0.00455</v>
      </c>
    </row>
    <row r="35" spans="1:7">
      <c r="A35" s="3"/>
      <c r="B35" s="3"/>
      <c r="C35" s="3"/>
      <c r="D35" s="3"/>
      <c r="E35" s="3">
        <v>12</v>
      </c>
      <c r="F35" s="4" t="str">
        <f>HYPERLINK("http://141.218.60.56/~jnz1568/getInfo.php?workbook=20_10.xlsx&amp;sheet=U0&amp;row=35&amp;col=6&amp;number=4.1&amp;sourceID=14","4.1")</f>
        <v>4.1</v>
      </c>
      <c r="G35" s="4" t="str">
        <f>HYPERLINK("http://141.218.60.56/~jnz1568/getInfo.php?workbook=20_10.xlsx&amp;sheet=U0&amp;row=35&amp;col=7&amp;number=0.00456&amp;sourceID=14","0.00456")</f>
        <v>0.00456</v>
      </c>
    </row>
    <row r="36" spans="1:7">
      <c r="A36" s="3"/>
      <c r="B36" s="3"/>
      <c r="C36" s="3"/>
      <c r="D36" s="3"/>
      <c r="E36" s="3">
        <v>13</v>
      </c>
      <c r="F36" s="4" t="str">
        <f>HYPERLINK("http://141.218.60.56/~jnz1568/getInfo.php?workbook=20_10.xlsx&amp;sheet=U0&amp;row=36&amp;col=6&amp;number=4.2&amp;sourceID=14","4.2")</f>
        <v>4.2</v>
      </c>
      <c r="G36" s="4" t="str">
        <f>HYPERLINK("http://141.218.60.56/~jnz1568/getInfo.php?workbook=20_10.xlsx&amp;sheet=U0&amp;row=36&amp;col=7&amp;number=0.00456&amp;sourceID=14","0.00456")</f>
        <v>0.00456</v>
      </c>
    </row>
    <row r="37" spans="1:7">
      <c r="A37" s="3"/>
      <c r="B37" s="3"/>
      <c r="C37" s="3"/>
      <c r="D37" s="3"/>
      <c r="E37" s="3">
        <v>14</v>
      </c>
      <c r="F37" s="4" t="str">
        <f>HYPERLINK("http://141.218.60.56/~jnz1568/getInfo.php?workbook=20_10.xlsx&amp;sheet=U0&amp;row=37&amp;col=6&amp;number=4.3&amp;sourceID=14","4.3")</f>
        <v>4.3</v>
      </c>
      <c r="G37" s="4" t="str">
        <f>HYPERLINK("http://141.218.60.56/~jnz1568/getInfo.php?workbook=20_10.xlsx&amp;sheet=U0&amp;row=37&amp;col=7&amp;number=0.00456&amp;sourceID=14","0.00456")</f>
        <v>0.00456</v>
      </c>
    </row>
    <row r="38" spans="1:7">
      <c r="A38" s="3"/>
      <c r="B38" s="3"/>
      <c r="C38" s="3"/>
      <c r="D38" s="3"/>
      <c r="E38" s="3">
        <v>15</v>
      </c>
      <c r="F38" s="4" t="str">
        <f>HYPERLINK("http://141.218.60.56/~jnz1568/getInfo.php?workbook=20_10.xlsx&amp;sheet=U0&amp;row=38&amp;col=6&amp;number=4.4&amp;sourceID=14","4.4")</f>
        <v>4.4</v>
      </c>
      <c r="G38" s="4" t="str">
        <f>HYPERLINK("http://141.218.60.56/~jnz1568/getInfo.php?workbook=20_10.xlsx&amp;sheet=U0&amp;row=38&amp;col=7&amp;number=0.00457&amp;sourceID=14","0.00457")</f>
        <v>0.00457</v>
      </c>
    </row>
    <row r="39" spans="1:7">
      <c r="A39" s="3"/>
      <c r="B39" s="3"/>
      <c r="C39" s="3"/>
      <c r="D39" s="3"/>
      <c r="E39" s="3">
        <v>16</v>
      </c>
      <c r="F39" s="4" t="str">
        <f>HYPERLINK("http://141.218.60.56/~jnz1568/getInfo.php?workbook=20_10.xlsx&amp;sheet=U0&amp;row=39&amp;col=6&amp;number=4.5&amp;sourceID=14","4.5")</f>
        <v>4.5</v>
      </c>
      <c r="G39" s="4" t="str">
        <f>HYPERLINK("http://141.218.60.56/~jnz1568/getInfo.php?workbook=20_10.xlsx&amp;sheet=U0&amp;row=39&amp;col=7&amp;number=0.00457&amp;sourceID=14","0.00457")</f>
        <v>0.00457</v>
      </c>
    </row>
    <row r="40" spans="1:7">
      <c r="A40" s="3"/>
      <c r="B40" s="3"/>
      <c r="C40" s="3"/>
      <c r="D40" s="3"/>
      <c r="E40" s="3">
        <v>17</v>
      </c>
      <c r="F40" s="4" t="str">
        <f>HYPERLINK("http://141.218.60.56/~jnz1568/getInfo.php?workbook=20_10.xlsx&amp;sheet=U0&amp;row=40&amp;col=6&amp;number=4.6&amp;sourceID=14","4.6")</f>
        <v>4.6</v>
      </c>
      <c r="G40" s="4" t="str">
        <f>HYPERLINK("http://141.218.60.56/~jnz1568/getInfo.php?workbook=20_10.xlsx&amp;sheet=U0&amp;row=40&amp;col=7&amp;number=0.00458&amp;sourceID=14","0.00458")</f>
        <v>0.00458</v>
      </c>
    </row>
    <row r="41" spans="1:7">
      <c r="A41" s="3"/>
      <c r="B41" s="3"/>
      <c r="C41" s="3"/>
      <c r="D41" s="3"/>
      <c r="E41" s="3">
        <v>18</v>
      </c>
      <c r="F41" s="4" t="str">
        <f>HYPERLINK("http://141.218.60.56/~jnz1568/getInfo.php?workbook=20_10.xlsx&amp;sheet=U0&amp;row=41&amp;col=6&amp;number=4.7&amp;sourceID=14","4.7")</f>
        <v>4.7</v>
      </c>
      <c r="G41" s="4" t="str">
        <f>HYPERLINK("http://141.218.60.56/~jnz1568/getInfo.php?workbook=20_10.xlsx&amp;sheet=U0&amp;row=41&amp;col=7&amp;number=0.00459&amp;sourceID=14","0.00459")</f>
        <v>0.00459</v>
      </c>
    </row>
    <row r="42" spans="1:7">
      <c r="A42" s="3"/>
      <c r="B42" s="3"/>
      <c r="C42" s="3"/>
      <c r="D42" s="3"/>
      <c r="E42" s="3">
        <v>19</v>
      </c>
      <c r="F42" s="4" t="str">
        <f>HYPERLINK("http://141.218.60.56/~jnz1568/getInfo.php?workbook=20_10.xlsx&amp;sheet=U0&amp;row=42&amp;col=6&amp;number=4.8&amp;sourceID=14","4.8")</f>
        <v>4.8</v>
      </c>
      <c r="G42" s="4" t="str">
        <f>HYPERLINK("http://141.218.60.56/~jnz1568/getInfo.php?workbook=20_10.xlsx&amp;sheet=U0&amp;row=42&amp;col=7&amp;number=0.00459&amp;sourceID=14","0.00459")</f>
        <v>0.00459</v>
      </c>
    </row>
    <row r="43" spans="1:7">
      <c r="A43" s="3"/>
      <c r="B43" s="3"/>
      <c r="C43" s="3"/>
      <c r="D43" s="3"/>
      <c r="E43" s="3">
        <v>20</v>
      </c>
      <c r="F43" s="4" t="str">
        <f>HYPERLINK("http://141.218.60.56/~jnz1568/getInfo.php?workbook=20_10.xlsx&amp;sheet=U0&amp;row=43&amp;col=6&amp;number=4.9&amp;sourceID=14","4.9")</f>
        <v>4.9</v>
      </c>
      <c r="G43" s="4" t="str">
        <f>HYPERLINK("http://141.218.60.56/~jnz1568/getInfo.php?workbook=20_10.xlsx&amp;sheet=U0&amp;row=43&amp;col=7&amp;number=0.00461&amp;sourceID=14","0.00461")</f>
        <v>0.00461</v>
      </c>
    </row>
    <row r="44" spans="1:7">
      <c r="A44" s="3">
        <v>20</v>
      </c>
      <c r="B44" s="3">
        <v>10</v>
      </c>
      <c r="C44" s="3">
        <v>1</v>
      </c>
      <c r="D44" s="3">
        <v>4</v>
      </c>
      <c r="E44" s="3">
        <v>1</v>
      </c>
      <c r="F44" s="4" t="str">
        <f>HYPERLINK("http://141.218.60.56/~jnz1568/getInfo.php?workbook=20_10.xlsx&amp;sheet=U0&amp;row=44&amp;col=6&amp;number=3&amp;sourceID=14","3")</f>
        <v>3</v>
      </c>
      <c r="G44" s="4" t="str">
        <f>HYPERLINK("http://141.218.60.56/~jnz1568/getInfo.php?workbook=20_10.xlsx&amp;sheet=U0&amp;row=44&amp;col=7&amp;number=0.000646&amp;sourceID=14","0.000646")</f>
        <v>0.000646</v>
      </c>
    </row>
    <row r="45" spans="1:7">
      <c r="A45" s="3"/>
      <c r="B45" s="3"/>
      <c r="C45" s="3"/>
      <c r="D45" s="3"/>
      <c r="E45" s="3">
        <v>2</v>
      </c>
      <c r="F45" s="4" t="str">
        <f>HYPERLINK("http://141.218.60.56/~jnz1568/getInfo.php?workbook=20_10.xlsx&amp;sheet=U0&amp;row=45&amp;col=6&amp;number=3.1&amp;sourceID=14","3.1")</f>
        <v>3.1</v>
      </c>
      <c r="G45" s="4" t="str">
        <f>HYPERLINK("http://141.218.60.56/~jnz1568/getInfo.php?workbook=20_10.xlsx&amp;sheet=U0&amp;row=45&amp;col=7&amp;number=0.000646&amp;sourceID=14","0.000646")</f>
        <v>0.000646</v>
      </c>
    </row>
    <row r="46" spans="1:7">
      <c r="A46" s="3"/>
      <c r="B46" s="3"/>
      <c r="C46" s="3"/>
      <c r="D46" s="3"/>
      <c r="E46" s="3">
        <v>3</v>
      </c>
      <c r="F46" s="4" t="str">
        <f>HYPERLINK("http://141.218.60.56/~jnz1568/getInfo.php?workbook=20_10.xlsx&amp;sheet=U0&amp;row=46&amp;col=6&amp;number=3.2&amp;sourceID=14","3.2")</f>
        <v>3.2</v>
      </c>
      <c r="G46" s="4" t="str">
        <f>HYPERLINK("http://141.218.60.56/~jnz1568/getInfo.php?workbook=20_10.xlsx&amp;sheet=U0&amp;row=46&amp;col=7&amp;number=0.000646&amp;sourceID=14","0.000646")</f>
        <v>0.000646</v>
      </c>
    </row>
    <row r="47" spans="1:7">
      <c r="A47" s="3"/>
      <c r="B47" s="3"/>
      <c r="C47" s="3"/>
      <c r="D47" s="3"/>
      <c r="E47" s="3">
        <v>4</v>
      </c>
      <c r="F47" s="4" t="str">
        <f>HYPERLINK("http://141.218.60.56/~jnz1568/getInfo.php?workbook=20_10.xlsx&amp;sheet=U0&amp;row=47&amp;col=6&amp;number=3.3&amp;sourceID=14","3.3")</f>
        <v>3.3</v>
      </c>
      <c r="G47" s="4" t="str">
        <f>HYPERLINK("http://141.218.60.56/~jnz1568/getInfo.php?workbook=20_10.xlsx&amp;sheet=U0&amp;row=47&amp;col=7&amp;number=0.000646&amp;sourceID=14","0.000646")</f>
        <v>0.000646</v>
      </c>
    </row>
    <row r="48" spans="1:7">
      <c r="A48" s="3"/>
      <c r="B48" s="3"/>
      <c r="C48" s="3"/>
      <c r="D48" s="3"/>
      <c r="E48" s="3">
        <v>5</v>
      </c>
      <c r="F48" s="4" t="str">
        <f>HYPERLINK("http://141.218.60.56/~jnz1568/getInfo.php?workbook=20_10.xlsx&amp;sheet=U0&amp;row=48&amp;col=6&amp;number=3.4&amp;sourceID=14","3.4")</f>
        <v>3.4</v>
      </c>
      <c r="G48" s="4" t="str">
        <f>HYPERLINK("http://141.218.60.56/~jnz1568/getInfo.php?workbook=20_10.xlsx&amp;sheet=U0&amp;row=48&amp;col=7&amp;number=0.000646&amp;sourceID=14","0.000646")</f>
        <v>0.000646</v>
      </c>
    </row>
    <row r="49" spans="1:7">
      <c r="A49" s="3"/>
      <c r="B49" s="3"/>
      <c r="C49" s="3"/>
      <c r="D49" s="3"/>
      <c r="E49" s="3">
        <v>6</v>
      </c>
      <c r="F49" s="4" t="str">
        <f>HYPERLINK("http://141.218.60.56/~jnz1568/getInfo.php?workbook=20_10.xlsx&amp;sheet=U0&amp;row=49&amp;col=6&amp;number=3.5&amp;sourceID=14","3.5")</f>
        <v>3.5</v>
      </c>
      <c r="G49" s="4" t="str">
        <f>HYPERLINK("http://141.218.60.56/~jnz1568/getInfo.php?workbook=20_10.xlsx&amp;sheet=U0&amp;row=49&amp;col=7&amp;number=0.000646&amp;sourceID=14","0.000646")</f>
        <v>0.000646</v>
      </c>
    </row>
    <row r="50" spans="1:7">
      <c r="A50" s="3"/>
      <c r="B50" s="3"/>
      <c r="C50" s="3"/>
      <c r="D50" s="3"/>
      <c r="E50" s="3">
        <v>7</v>
      </c>
      <c r="F50" s="4" t="str">
        <f>HYPERLINK("http://141.218.60.56/~jnz1568/getInfo.php?workbook=20_10.xlsx&amp;sheet=U0&amp;row=50&amp;col=6&amp;number=3.6&amp;sourceID=14","3.6")</f>
        <v>3.6</v>
      </c>
      <c r="G50" s="4" t="str">
        <f>HYPERLINK("http://141.218.60.56/~jnz1568/getInfo.php?workbook=20_10.xlsx&amp;sheet=U0&amp;row=50&amp;col=7&amp;number=0.000646&amp;sourceID=14","0.000646")</f>
        <v>0.000646</v>
      </c>
    </row>
    <row r="51" spans="1:7">
      <c r="A51" s="3"/>
      <c r="B51" s="3"/>
      <c r="C51" s="3"/>
      <c r="D51" s="3"/>
      <c r="E51" s="3">
        <v>8</v>
      </c>
      <c r="F51" s="4" t="str">
        <f>HYPERLINK("http://141.218.60.56/~jnz1568/getInfo.php?workbook=20_10.xlsx&amp;sheet=U0&amp;row=51&amp;col=6&amp;number=3.7&amp;sourceID=14","3.7")</f>
        <v>3.7</v>
      </c>
      <c r="G51" s="4" t="str">
        <f>HYPERLINK("http://141.218.60.56/~jnz1568/getInfo.php?workbook=20_10.xlsx&amp;sheet=U0&amp;row=51&amp;col=7&amp;number=0.000646&amp;sourceID=14","0.000646")</f>
        <v>0.000646</v>
      </c>
    </row>
    <row r="52" spans="1:7">
      <c r="A52" s="3"/>
      <c r="B52" s="3"/>
      <c r="C52" s="3"/>
      <c r="D52" s="3"/>
      <c r="E52" s="3">
        <v>9</v>
      </c>
      <c r="F52" s="4" t="str">
        <f>HYPERLINK("http://141.218.60.56/~jnz1568/getInfo.php?workbook=20_10.xlsx&amp;sheet=U0&amp;row=52&amp;col=6&amp;number=3.8&amp;sourceID=14","3.8")</f>
        <v>3.8</v>
      </c>
      <c r="G52" s="4" t="str">
        <f>HYPERLINK("http://141.218.60.56/~jnz1568/getInfo.php?workbook=20_10.xlsx&amp;sheet=U0&amp;row=52&amp;col=7&amp;number=0.000645&amp;sourceID=14","0.000645")</f>
        <v>0.000645</v>
      </c>
    </row>
    <row r="53" spans="1:7">
      <c r="A53" s="3"/>
      <c r="B53" s="3"/>
      <c r="C53" s="3"/>
      <c r="D53" s="3"/>
      <c r="E53" s="3">
        <v>10</v>
      </c>
      <c r="F53" s="4" t="str">
        <f>HYPERLINK("http://141.218.60.56/~jnz1568/getInfo.php?workbook=20_10.xlsx&amp;sheet=U0&amp;row=53&amp;col=6&amp;number=3.9&amp;sourceID=14","3.9")</f>
        <v>3.9</v>
      </c>
      <c r="G53" s="4" t="str">
        <f>HYPERLINK("http://141.218.60.56/~jnz1568/getInfo.php?workbook=20_10.xlsx&amp;sheet=U0&amp;row=53&amp;col=7&amp;number=0.000645&amp;sourceID=14","0.000645")</f>
        <v>0.000645</v>
      </c>
    </row>
    <row r="54" spans="1:7">
      <c r="A54" s="3"/>
      <c r="B54" s="3"/>
      <c r="C54" s="3"/>
      <c r="D54" s="3"/>
      <c r="E54" s="3">
        <v>11</v>
      </c>
      <c r="F54" s="4" t="str">
        <f>HYPERLINK("http://141.218.60.56/~jnz1568/getInfo.php?workbook=20_10.xlsx&amp;sheet=U0&amp;row=54&amp;col=6&amp;number=4&amp;sourceID=14","4")</f>
        <v>4</v>
      </c>
      <c r="G54" s="4" t="str">
        <f>HYPERLINK("http://141.218.60.56/~jnz1568/getInfo.php?workbook=20_10.xlsx&amp;sheet=U0&amp;row=54&amp;col=7&amp;number=0.000645&amp;sourceID=14","0.000645")</f>
        <v>0.000645</v>
      </c>
    </row>
    <row r="55" spans="1:7">
      <c r="A55" s="3"/>
      <c r="B55" s="3"/>
      <c r="C55" s="3"/>
      <c r="D55" s="3"/>
      <c r="E55" s="3">
        <v>12</v>
      </c>
      <c r="F55" s="4" t="str">
        <f>HYPERLINK("http://141.218.60.56/~jnz1568/getInfo.php?workbook=20_10.xlsx&amp;sheet=U0&amp;row=55&amp;col=6&amp;number=4.1&amp;sourceID=14","4.1")</f>
        <v>4.1</v>
      </c>
      <c r="G55" s="4" t="str">
        <f>HYPERLINK("http://141.218.60.56/~jnz1568/getInfo.php?workbook=20_10.xlsx&amp;sheet=U0&amp;row=55&amp;col=7&amp;number=0.000645&amp;sourceID=14","0.000645")</f>
        <v>0.000645</v>
      </c>
    </row>
    <row r="56" spans="1:7">
      <c r="A56" s="3"/>
      <c r="B56" s="3"/>
      <c r="C56" s="3"/>
      <c r="D56" s="3"/>
      <c r="E56" s="3">
        <v>13</v>
      </c>
      <c r="F56" s="4" t="str">
        <f>HYPERLINK("http://141.218.60.56/~jnz1568/getInfo.php?workbook=20_10.xlsx&amp;sheet=U0&amp;row=56&amp;col=6&amp;number=4.2&amp;sourceID=14","4.2")</f>
        <v>4.2</v>
      </c>
      <c r="G56" s="4" t="str">
        <f>HYPERLINK("http://141.218.60.56/~jnz1568/getInfo.php?workbook=20_10.xlsx&amp;sheet=U0&amp;row=56&amp;col=7&amp;number=0.000644&amp;sourceID=14","0.000644")</f>
        <v>0.000644</v>
      </c>
    </row>
    <row r="57" spans="1:7">
      <c r="A57" s="3"/>
      <c r="B57" s="3"/>
      <c r="C57" s="3"/>
      <c r="D57" s="3"/>
      <c r="E57" s="3">
        <v>14</v>
      </c>
      <c r="F57" s="4" t="str">
        <f>HYPERLINK("http://141.218.60.56/~jnz1568/getInfo.php?workbook=20_10.xlsx&amp;sheet=U0&amp;row=57&amp;col=6&amp;number=4.3&amp;sourceID=14","4.3")</f>
        <v>4.3</v>
      </c>
      <c r="G57" s="4" t="str">
        <f>HYPERLINK("http://141.218.60.56/~jnz1568/getInfo.php?workbook=20_10.xlsx&amp;sheet=U0&amp;row=57&amp;col=7&amp;number=0.000644&amp;sourceID=14","0.000644")</f>
        <v>0.000644</v>
      </c>
    </row>
    <row r="58" spans="1:7">
      <c r="A58" s="3"/>
      <c r="B58" s="3"/>
      <c r="C58" s="3"/>
      <c r="D58" s="3"/>
      <c r="E58" s="3">
        <v>15</v>
      </c>
      <c r="F58" s="4" t="str">
        <f>HYPERLINK("http://141.218.60.56/~jnz1568/getInfo.php?workbook=20_10.xlsx&amp;sheet=U0&amp;row=58&amp;col=6&amp;number=4.4&amp;sourceID=14","4.4")</f>
        <v>4.4</v>
      </c>
      <c r="G58" s="4" t="str">
        <f>HYPERLINK("http://141.218.60.56/~jnz1568/getInfo.php?workbook=20_10.xlsx&amp;sheet=U0&amp;row=58&amp;col=7&amp;number=0.000643&amp;sourceID=14","0.000643")</f>
        <v>0.000643</v>
      </c>
    </row>
    <row r="59" spans="1:7">
      <c r="A59" s="3"/>
      <c r="B59" s="3"/>
      <c r="C59" s="3"/>
      <c r="D59" s="3"/>
      <c r="E59" s="3">
        <v>16</v>
      </c>
      <c r="F59" s="4" t="str">
        <f>HYPERLINK("http://141.218.60.56/~jnz1568/getInfo.php?workbook=20_10.xlsx&amp;sheet=U0&amp;row=59&amp;col=6&amp;number=4.5&amp;sourceID=14","4.5")</f>
        <v>4.5</v>
      </c>
      <c r="G59" s="4" t="str">
        <f>HYPERLINK("http://141.218.60.56/~jnz1568/getInfo.php?workbook=20_10.xlsx&amp;sheet=U0&amp;row=59&amp;col=7&amp;number=0.000642&amp;sourceID=14","0.000642")</f>
        <v>0.000642</v>
      </c>
    </row>
    <row r="60" spans="1:7">
      <c r="A60" s="3"/>
      <c r="B60" s="3"/>
      <c r="C60" s="3"/>
      <c r="D60" s="3"/>
      <c r="E60" s="3">
        <v>17</v>
      </c>
      <c r="F60" s="4" t="str">
        <f>HYPERLINK("http://141.218.60.56/~jnz1568/getInfo.php?workbook=20_10.xlsx&amp;sheet=U0&amp;row=60&amp;col=6&amp;number=4.6&amp;sourceID=14","4.6")</f>
        <v>4.6</v>
      </c>
      <c r="G60" s="4" t="str">
        <f>HYPERLINK("http://141.218.60.56/~jnz1568/getInfo.php?workbook=20_10.xlsx&amp;sheet=U0&amp;row=60&amp;col=7&amp;number=0.000642&amp;sourceID=14","0.000642")</f>
        <v>0.000642</v>
      </c>
    </row>
    <row r="61" spans="1:7">
      <c r="A61" s="3"/>
      <c r="B61" s="3"/>
      <c r="C61" s="3"/>
      <c r="D61" s="3"/>
      <c r="E61" s="3">
        <v>18</v>
      </c>
      <c r="F61" s="4" t="str">
        <f>HYPERLINK("http://141.218.60.56/~jnz1568/getInfo.php?workbook=20_10.xlsx&amp;sheet=U0&amp;row=61&amp;col=6&amp;number=4.7&amp;sourceID=14","4.7")</f>
        <v>4.7</v>
      </c>
      <c r="G61" s="4" t="str">
        <f>HYPERLINK("http://141.218.60.56/~jnz1568/getInfo.php?workbook=20_10.xlsx&amp;sheet=U0&amp;row=61&amp;col=7&amp;number=0.00064&amp;sourceID=14","0.00064")</f>
        <v>0.00064</v>
      </c>
    </row>
    <row r="62" spans="1:7">
      <c r="A62" s="3"/>
      <c r="B62" s="3"/>
      <c r="C62" s="3"/>
      <c r="D62" s="3"/>
      <c r="E62" s="3">
        <v>19</v>
      </c>
      <c r="F62" s="4" t="str">
        <f>HYPERLINK("http://141.218.60.56/~jnz1568/getInfo.php?workbook=20_10.xlsx&amp;sheet=U0&amp;row=62&amp;col=6&amp;number=4.8&amp;sourceID=14","4.8")</f>
        <v>4.8</v>
      </c>
      <c r="G62" s="4" t="str">
        <f>HYPERLINK("http://141.218.60.56/~jnz1568/getInfo.php?workbook=20_10.xlsx&amp;sheet=U0&amp;row=62&amp;col=7&amp;number=0.000639&amp;sourceID=14","0.000639")</f>
        <v>0.000639</v>
      </c>
    </row>
    <row r="63" spans="1:7">
      <c r="A63" s="3"/>
      <c r="B63" s="3"/>
      <c r="C63" s="3"/>
      <c r="D63" s="3"/>
      <c r="E63" s="3">
        <v>20</v>
      </c>
      <c r="F63" s="4" t="str">
        <f>HYPERLINK("http://141.218.60.56/~jnz1568/getInfo.php?workbook=20_10.xlsx&amp;sheet=U0&amp;row=63&amp;col=6&amp;number=4.9&amp;sourceID=14","4.9")</f>
        <v>4.9</v>
      </c>
      <c r="G63" s="4" t="str">
        <f>HYPERLINK("http://141.218.60.56/~jnz1568/getInfo.php?workbook=20_10.xlsx&amp;sheet=U0&amp;row=63&amp;col=7&amp;number=0.000637&amp;sourceID=14","0.000637")</f>
        <v>0.000637</v>
      </c>
    </row>
    <row r="64" spans="1:7">
      <c r="A64" s="3">
        <v>20</v>
      </c>
      <c r="B64" s="3">
        <v>10</v>
      </c>
      <c r="C64" s="3">
        <v>1</v>
      </c>
      <c r="D64" s="3">
        <v>5</v>
      </c>
      <c r="E64" s="3">
        <v>1</v>
      </c>
      <c r="F64" s="4" t="str">
        <f>HYPERLINK("http://141.218.60.56/~jnz1568/getInfo.php?workbook=20_10.xlsx&amp;sheet=U0&amp;row=64&amp;col=6&amp;number=3&amp;sourceID=14","3")</f>
        <v>3</v>
      </c>
      <c r="G64" s="4" t="str">
        <f>HYPERLINK("http://141.218.60.56/~jnz1568/getInfo.php?workbook=20_10.xlsx&amp;sheet=U0&amp;row=64&amp;col=7&amp;number=0.00569&amp;sourceID=14","0.00569")</f>
        <v>0.00569</v>
      </c>
    </row>
    <row r="65" spans="1:7">
      <c r="A65" s="3"/>
      <c r="B65" s="3"/>
      <c r="C65" s="3"/>
      <c r="D65" s="3"/>
      <c r="E65" s="3">
        <v>2</v>
      </c>
      <c r="F65" s="4" t="str">
        <f>HYPERLINK("http://141.218.60.56/~jnz1568/getInfo.php?workbook=20_10.xlsx&amp;sheet=U0&amp;row=65&amp;col=6&amp;number=3.1&amp;sourceID=14","3.1")</f>
        <v>3.1</v>
      </c>
      <c r="G65" s="4" t="str">
        <f>HYPERLINK("http://141.218.60.56/~jnz1568/getInfo.php?workbook=20_10.xlsx&amp;sheet=U0&amp;row=65&amp;col=7&amp;number=0.00569&amp;sourceID=14","0.00569")</f>
        <v>0.00569</v>
      </c>
    </row>
    <row r="66" spans="1:7">
      <c r="A66" s="3"/>
      <c r="B66" s="3"/>
      <c r="C66" s="3"/>
      <c r="D66" s="3"/>
      <c r="E66" s="3">
        <v>3</v>
      </c>
      <c r="F66" s="4" t="str">
        <f>HYPERLINK("http://141.218.60.56/~jnz1568/getInfo.php?workbook=20_10.xlsx&amp;sheet=U0&amp;row=66&amp;col=6&amp;number=3.2&amp;sourceID=14","3.2")</f>
        <v>3.2</v>
      </c>
      <c r="G66" s="4" t="str">
        <f>HYPERLINK("http://141.218.60.56/~jnz1568/getInfo.php?workbook=20_10.xlsx&amp;sheet=U0&amp;row=66&amp;col=7&amp;number=0.00569&amp;sourceID=14","0.00569")</f>
        <v>0.00569</v>
      </c>
    </row>
    <row r="67" spans="1:7">
      <c r="A67" s="3"/>
      <c r="B67" s="3"/>
      <c r="C67" s="3"/>
      <c r="D67" s="3"/>
      <c r="E67" s="3">
        <v>4</v>
      </c>
      <c r="F67" s="4" t="str">
        <f>HYPERLINK("http://141.218.60.56/~jnz1568/getInfo.php?workbook=20_10.xlsx&amp;sheet=U0&amp;row=67&amp;col=6&amp;number=3.3&amp;sourceID=14","3.3")</f>
        <v>3.3</v>
      </c>
      <c r="G67" s="4" t="str">
        <f>HYPERLINK("http://141.218.60.56/~jnz1568/getInfo.php?workbook=20_10.xlsx&amp;sheet=U0&amp;row=67&amp;col=7&amp;number=0.00569&amp;sourceID=14","0.00569")</f>
        <v>0.00569</v>
      </c>
    </row>
    <row r="68" spans="1:7">
      <c r="A68" s="3"/>
      <c r="B68" s="3"/>
      <c r="C68" s="3"/>
      <c r="D68" s="3"/>
      <c r="E68" s="3">
        <v>5</v>
      </c>
      <c r="F68" s="4" t="str">
        <f>HYPERLINK("http://141.218.60.56/~jnz1568/getInfo.php?workbook=20_10.xlsx&amp;sheet=U0&amp;row=68&amp;col=6&amp;number=3.4&amp;sourceID=14","3.4")</f>
        <v>3.4</v>
      </c>
      <c r="G68" s="4" t="str">
        <f>HYPERLINK("http://141.218.60.56/~jnz1568/getInfo.php?workbook=20_10.xlsx&amp;sheet=U0&amp;row=68&amp;col=7&amp;number=0.00569&amp;sourceID=14","0.00569")</f>
        <v>0.00569</v>
      </c>
    </row>
    <row r="69" spans="1:7">
      <c r="A69" s="3"/>
      <c r="B69" s="3"/>
      <c r="C69" s="3"/>
      <c r="D69" s="3"/>
      <c r="E69" s="3">
        <v>6</v>
      </c>
      <c r="F69" s="4" t="str">
        <f>HYPERLINK("http://141.218.60.56/~jnz1568/getInfo.php?workbook=20_10.xlsx&amp;sheet=U0&amp;row=69&amp;col=6&amp;number=3.5&amp;sourceID=14","3.5")</f>
        <v>3.5</v>
      </c>
      <c r="G69" s="4" t="str">
        <f>HYPERLINK("http://141.218.60.56/~jnz1568/getInfo.php?workbook=20_10.xlsx&amp;sheet=U0&amp;row=69&amp;col=7&amp;number=0.00569&amp;sourceID=14","0.00569")</f>
        <v>0.00569</v>
      </c>
    </row>
    <row r="70" spans="1:7">
      <c r="A70" s="3"/>
      <c r="B70" s="3"/>
      <c r="C70" s="3"/>
      <c r="D70" s="3"/>
      <c r="E70" s="3">
        <v>7</v>
      </c>
      <c r="F70" s="4" t="str">
        <f>HYPERLINK("http://141.218.60.56/~jnz1568/getInfo.php?workbook=20_10.xlsx&amp;sheet=U0&amp;row=70&amp;col=6&amp;number=3.6&amp;sourceID=14","3.6")</f>
        <v>3.6</v>
      </c>
      <c r="G70" s="4" t="str">
        <f>HYPERLINK("http://141.218.60.56/~jnz1568/getInfo.php?workbook=20_10.xlsx&amp;sheet=U0&amp;row=70&amp;col=7&amp;number=0.0057&amp;sourceID=14","0.0057")</f>
        <v>0.0057</v>
      </c>
    </row>
    <row r="71" spans="1:7">
      <c r="A71" s="3"/>
      <c r="B71" s="3"/>
      <c r="C71" s="3"/>
      <c r="D71" s="3"/>
      <c r="E71" s="3">
        <v>8</v>
      </c>
      <c r="F71" s="4" t="str">
        <f>HYPERLINK("http://141.218.60.56/~jnz1568/getInfo.php?workbook=20_10.xlsx&amp;sheet=U0&amp;row=71&amp;col=6&amp;number=3.7&amp;sourceID=14","3.7")</f>
        <v>3.7</v>
      </c>
      <c r="G71" s="4" t="str">
        <f>HYPERLINK("http://141.218.60.56/~jnz1568/getInfo.php?workbook=20_10.xlsx&amp;sheet=U0&amp;row=71&amp;col=7&amp;number=0.0057&amp;sourceID=14","0.0057")</f>
        <v>0.0057</v>
      </c>
    </row>
    <row r="72" spans="1:7">
      <c r="A72" s="3"/>
      <c r="B72" s="3"/>
      <c r="C72" s="3"/>
      <c r="D72" s="3"/>
      <c r="E72" s="3">
        <v>9</v>
      </c>
      <c r="F72" s="4" t="str">
        <f>HYPERLINK("http://141.218.60.56/~jnz1568/getInfo.php?workbook=20_10.xlsx&amp;sheet=U0&amp;row=72&amp;col=6&amp;number=3.8&amp;sourceID=14","3.8")</f>
        <v>3.8</v>
      </c>
      <c r="G72" s="4" t="str">
        <f>HYPERLINK("http://141.218.60.56/~jnz1568/getInfo.php?workbook=20_10.xlsx&amp;sheet=U0&amp;row=72&amp;col=7&amp;number=0.0057&amp;sourceID=14","0.0057")</f>
        <v>0.0057</v>
      </c>
    </row>
    <row r="73" spans="1:7">
      <c r="A73" s="3"/>
      <c r="B73" s="3"/>
      <c r="C73" s="3"/>
      <c r="D73" s="3"/>
      <c r="E73" s="3">
        <v>10</v>
      </c>
      <c r="F73" s="4" t="str">
        <f>HYPERLINK("http://141.218.60.56/~jnz1568/getInfo.php?workbook=20_10.xlsx&amp;sheet=U0&amp;row=73&amp;col=6&amp;number=3.9&amp;sourceID=14","3.9")</f>
        <v>3.9</v>
      </c>
      <c r="G73" s="4" t="str">
        <f>HYPERLINK("http://141.218.60.56/~jnz1568/getInfo.php?workbook=20_10.xlsx&amp;sheet=U0&amp;row=73&amp;col=7&amp;number=0.0057&amp;sourceID=14","0.0057")</f>
        <v>0.0057</v>
      </c>
    </row>
    <row r="74" spans="1:7">
      <c r="A74" s="3"/>
      <c r="B74" s="3"/>
      <c r="C74" s="3"/>
      <c r="D74" s="3"/>
      <c r="E74" s="3">
        <v>11</v>
      </c>
      <c r="F74" s="4" t="str">
        <f>HYPERLINK("http://141.218.60.56/~jnz1568/getInfo.php?workbook=20_10.xlsx&amp;sheet=U0&amp;row=74&amp;col=6&amp;number=4&amp;sourceID=14","4")</f>
        <v>4</v>
      </c>
      <c r="G74" s="4" t="str">
        <f>HYPERLINK("http://141.218.60.56/~jnz1568/getInfo.php?workbook=20_10.xlsx&amp;sheet=U0&amp;row=74&amp;col=7&amp;number=0.0057&amp;sourceID=14","0.0057")</f>
        <v>0.0057</v>
      </c>
    </row>
    <row r="75" spans="1:7">
      <c r="A75" s="3"/>
      <c r="B75" s="3"/>
      <c r="C75" s="3"/>
      <c r="D75" s="3"/>
      <c r="E75" s="3">
        <v>12</v>
      </c>
      <c r="F75" s="4" t="str">
        <f>HYPERLINK("http://141.218.60.56/~jnz1568/getInfo.php?workbook=20_10.xlsx&amp;sheet=U0&amp;row=75&amp;col=6&amp;number=4.1&amp;sourceID=14","4.1")</f>
        <v>4.1</v>
      </c>
      <c r="G75" s="4" t="str">
        <f>HYPERLINK("http://141.218.60.56/~jnz1568/getInfo.php?workbook=20_10.xlsx&amp;sheet=U0&amp;row=75&amp;col=7&amp;number=0.00571&amp;sourceID=14","0.00571")</f>
        <v>0.00571</v>
      </c>
    </row>
    <row r="76" spans="1:7">
      <c r="A76" s="3"/>
      <c r="B76" s="3"/>
      <c r="C76" s="3"/>
      <c r="D76" s="3"/>
      <c r="E76" s="3">
        <v>13</v>
      </c>
      <c r="F76" s="4" t="str">
        <f>HYPERLINK("http://141.218.60.56/~jnz1568/getInfo.php?workbook=20_10.xlsx&amp;sheet=U0&amp;row=76&amp;col=6&amp;number=4.2&amp;sourceID=14","4.2")</f>
        <v>4.2</v>
      </c>
      <c r="G76" s="4" t="str">
        <f>HYPERLINK("http://141.218.60.56/~jnz1568/getInfo.php?workbook=20_10.xlsx&amp;sheet=U0&amp;row=76&amp;col=7&amp;number=0.00571&amp;sourceID=14","0.00571")</f>
        <v>0.00571</v>
      </c>
    </row>
    <row r="77" spans="1:7">
      <c r="A77" s="3"/>
      <c r="B77" s="3"/>
      <c r="C77" s="3"/>
      <c r="D77" s="3"/>
      <c r="E77" s="3">
        <v>14</v>
      </c>
      <c r="F77" s="4" t="str">
        <f>HYPERLINK("http://141.218.60.56/~jnz1568/getInfo.php?workbook=20_10.xlsx&amp;sheet=U0&amp;row=77&amp;col=6&amp;number=4.3&amp;sourceID=14","4.3")</f>
        <v>4.3</v>
      </c>
      <c r="G77" s="4" t="str">
        <f>HYPERLINK("http://141.218.60.56/~jnz1568/getInfo.php?workbook=20_10.xlsx&amp;sheet=U0&amp;row=77&amp;col=7&amp;number=0.00571&amp;sourceID=14","0.00571")</f>
        <v>0.00571</v>
      </c>
    </row>
    <row r="78" spans="1:7">
      <c r="A78" s="3"/>
      <c r="B78" s="3"/>
      <c r="C78" s="3"/>
      <c r="D78" s="3"/>
      <c r="E78" s="3">
        <v>15</v>
      </c>
      <c r="F78" s="4" t="str">
        <f>HYPERLINK("http://141.218.60.56/~jnz1568/getInfo.php?workbook=20_10.xlsx&amp;sheet=U0&amp;row=78&amp;col=6&amp;number=4.4&amp;sourceID=14","4.4")</f>
        <v>4.4</v>
      </c>
      <c r="G78" s="4" t="str">
        <f>HYPERLINK("http://141.218.60.56/~jnz1568/getInfo.php?workbook=20_10.xlsx&amp;sheet=U0&amp;row=78&amp;col=7&amp;number=0.00572&amp;sourceID=14","0.00572")</f>
        <v>0.00572</v>
      </c>
    </row>
    <row r="79" spans="1:7">
      <c r="A79" s="3"/>
      <c r="B79" s="3"/>
      <c r="C79" s="3"/>
      <c r="D79" s="3"/>
      <c r="E79" s="3">
        <v>16</v>
      </c>
      <c r="F79" s="4" t="str">
        <f>HYPERLINK("http://141.218.60.56/~jnz1568/getInfo.php?workbook=20_10.xlsx&amp;sheet=U0&amp;row=79&amp;col=6&amp;number=4.5&amp;sourceID=14","4.5")</f>
        <v>4.5</v>
      </c>
      <c r="G79" s="4" t="str">
        <f>HYPERLINK("http://141.218.60.56/~jnz1568/getInfo.php?workbook=20_10.xlsx&amp;sheet=U0&amp;row=79&amp;col=7&amp;number=0.00573&amp;sourceID=14","0.00573")</f>
        <v>0.00573</v>
      </c>
    </row>
    <row r="80" spans="1:7">
      <c r="A80" s="3"/>
      <c r="B80" s="3"/>
      <c r="C80" s="3"/>
      <c r="D80" s="3"/>
      <c r="E80" s="3">
        <v>17</v>
      </c>
      <c r="F80" s="4" t="str">
        <f>HYPERLINK("http://141.218.60.56/~jnz1568/getInfo.php?workbook=20_10.xlsx&amp;sheet=U0&amp;row=80&amp;col=6&amp;number=4.6&amp;sourceID=14","4.6")</f>
        <v>4.6</v>
      </c>
      <c r="G80" s="4" t="str">
        <f>HYPERLINK("http://141.218.60.56/~jnz1568/getInfo.php?workbook=20_10.xlsx&amp;sheet=U0&amp;row=80&amp;col=7&amp;number=0.00574&amp;sourceID=14","0.00574")</f>
        <v>0.00574</v>
      </c>
    </row>
    <row r="81" spans="1:7">
      <c r="A81" s="3"/>
      <c r="B81" s="3"/>
      <c r="C81" s="3"/>
      <c r="D81" s="3"/>
      <c r="E81" s="3">
        <v>18</v>
      </c>
      <c r="F81" s="4" t="str">
        <f>HYPERLINK("http://141.218.60.56/~jnz1568/getInfo.php?workbook=20_10.xlsx&amp;sheet=U0&amp;row=81&amp;col=6&amp;number=4.7&amp;sourceID=14","4.7")</f>
        <v>4.7</v>
      </c>
      <c r="G81" s="4" t="str">
        <f>HYPERLINK("http://141.218.60.56/~jnz1568/getInfo.php?workbook=20_10.xlsx&amp;sheet=U0&amp;row=81&amp;col=7&amp;number=0.00575&amp;sourceID=14","0.00575")</f>
        <v>0.00575</v>
      </c>
    </row>
    <row r="82" spans="1:7">
      <c r="A82" s="3"/>
      <c r="B82" s="3"/>
      <c r="C82" s="3"/>
      <c r="D82" s="3"/>
      <c r="E82" s="3">
        <v>19</v>
      </c>
      <c r="F82" s="4" t="str">
        <f>HYPERLINK("http://141.218.60.56/~jnz1568/getInfo.php?workbook=20_10.xlsx&amp;sheet=U0&amp;row=82&amp;col=6&amp;number=4.8&amp;sourceID=14","4.8")</f>
        <v>4.8</v>
      </c>
      <c r="G82" s="4" t="str">
        <f>HYPERLINK("http://141.218.60.56/~jnz1568/getInfo.php?workbook=20_10.xlsx&amp;sheet=U0&amp;row=82&amp;col=7&amp;number=0.00576&amp;sourceID=14","0.00576")</f>
        <v>0.00576</v>
      </c>
    </row>
    <row r="83" spans="1:7">
      <c r="A83" s="3"/>
      <c r="B83" s="3"/>
      <c r="C83" s="3"/>
      <c r="D83" s="3"/>
      <c r="E83" s="3">
        <v>20</v>
      </c>
      <c r="F83" s="4" t="str">
        <f>HYPERLINK("http://141.218.60.56/~jnz1568/getInfo.php?workbook=20_10.xlsx&amp;sheet=U0&amp;row=83&amp;col=6&amp;number=4.9&amp;sourceID=14","4.9")</f>
        <v>4.9</v>
      </c>
      <c r="G83" s="4" t="str">
        <f>HYPERLINK("http://141.218.60.56/~jnz1568/getInfo.php?workbook=20_10.xlsx&amp;sheet=U0&amp;row=83&amp;col=7&amp;number=0.00578&amp;sourceID=14","0.00578")</f>
        <v>0.00578</v>
      </c>
    </row>
    <row r="84" spans="1:7">
      <c r="A84" s="3">
        <v>20</v>
      </c>
      <c r="B84" s="3">
        <v>10</v>
      </c>
      <c r="C84" s="3">
        <v>1</v>
      </c>
      <c r="D84" s="3">
        <v>6</v>
      </c>
      <c r="E84" s="3">
        <v>1</v>
      </c>
      <c r="F84" s="4" t="str">
        <f>HYPERLINK("http://141.218.60.56/~jnz1568/getInfo.php?workbook=20_10.xlsx&amp;sheet=U0&amp;row=84&amp;col=6&amp;number=3&amp;sourceID=14","3")</f>
        <v>3</v>
      </c>
      <c r="G84" s="4" t="str">
        <f>HYPERLINK("http://141.218.60.56/~jnz1568/getInfo.php?workbook=20_10.xlsx&amp;sheet=U0&amp;row=84&amp;col=7&amp;number=0.011&amp;sourceID=14","0.011")</f>
        <v>0.011</v>
      </c>
    </row>
    <row r="85" spans="1:7">
      <c r="A85" s="3"/>
      <c r="B85" s="3"/>
      <c r="C85" s="3"/>
      <c r="D85" s="3"/>
      <c r="E85" s="3">
        <v>2</v>
      </c>
      <c r="F85" s="4" t="str">
        <f>HYPERLINK("http://141.218.60.56/~jnz1568/getInfo.php?workbook=20_10.xlsx&amp;sheet=U0&amp;row=85&amp;col=6&amp;number=3.1&amp;sourceID=14","3.1")</f>
        <v>3.1</v>
      </c>
      <c r="G85" s="4" t="str">
        <f>HYPERLINK("http://141.218.60.56/~jnz1568/getInfo.php?workbook=20_10.xlsx&amp;sheet=U0&amp;row=85&amp;col=7&amp;number=0.011&amp;sourceID=14","0.011")</f>
        <v>0.011</v>
      </c>
    </row>
    <row r="86" spans="1:7">
      <c r="A86" s="3"/>
      <c r="B86" s="3"/>
      <c r="C86" s="3"/>
      <c r="D86" s="3"/>
      <c r="E86" s="3">
        <v>3</v>
      </c>
      <c r="F86" s="4" t="str">
        <f>HYPERLINK("http://141.218.60.56/~jnz1568/getInfo.php?workbook=20_10.xlsx&amp;sheet=U0&amp;row=86&amp;col=6&amp;number=3.2&amp;sourceID=14","3.2")</f>
        <v>3.2</v>
      </c>
      <c r="G86" s="4" t="str">
        <f>HYPERLINK("http://141.218.60.56/~jnz1568/getInfo.php?workbook=20_10.xlsx&amp;sheet=U0&amp;row=86&amp;col=7&amp;number=0.011&amp;sourceID=14","0.011")</f>
        <v>0.011</v>
      </c>
    </row>
    <row r="87" spans="1:7">
      <c r="A87" s="3"/>
      <c r="B87" s="3"/>
      <c r="C87" s="3"/>
      <c r="D87" s="3"/>
      <c r="E87" s="3">
        <v>4</v>
      </c>
      <c r="F87" s="4" t="str">
        <f>HYPERLINK("http://141.218.60.56/~jnz1568/getInfo.php?workbook=20_10.xlsx&amp;sheet=U0&amp;row=87&amp;col=6&amp;number=3.3&amp;sourceID=14","3.3")</f>
        <v>3.3</v>
      </c>
      <c r="G87" s="4" t="str">
        <f>HYPERLINK("http://141.218.60.56/~jnz1568/getInfo.php?workbook=20_10.xlsx&amp;sheet=U0&amp;row=87&amp;col=7&amp;number=0.011&amp;sourceID=14","0.011")</f>
        <v>0.011</v>
      </c>
    </row>
    <row r="88" spans="1:7">
      <c r="A88" s="3"/>
      <c r="B88" s="3"/>
      <c r="C88" s="3"/>
      <c r="D88" s="3"/>
      <c r="E88" s="3">
        <v>5</v>
      </c>
      <c r="F88" s="4" t="str">
        <f>HYPERLINK("http://141.218.60.56/~jnz1568/getInfo.php?workbook=20_10.xlsx&amp;sheet=U0&amp;row=88&amp;col=6&amp;number=3.4&amp;sourceID=14","3.4")</f>
        <v>3.4</v>
      </c>
      <c r="G88" s="4" t="str">
        <f>HYPERLINK("http://141.218.60.56/~jnz1568/getInfo.php?workbook=20_10.xlsx&amp;sheet=U0&amp;row=88&amp;col=7&amp;number=0.011&amp;sourceID=14","0.011")</f>
        <v>0.011</v>
      </c>
    </row>
    <row r="89" spans="1:7">
      <c r="A89" s="3"/>
      <c r="B89" s="3"/>
      <c r="C89" s="3"/>
      <c r="D89" s="3"/>
      <c r="E89" s="3">
        <v>6</v>
      </c>
      <c r="F89" s="4" t="str">
        <f>HYPERLINK("http://141.218.60.56/~jnz1568/getInfo.php?workbook=20_10.xlsx&amp;sheet=U0&amp;row=89&amp;col=6&amp;number=3.5&amp;sourceID=14","3.5")</f>
        <v>3.5</v>
      </c>
      <c r="G89" s="4" t="str">
        <f>HYPERLINK("http://141.218.60.56/~jnz1568/getInfo.php?workbook=20_10.xlsx&amp;sheet=U0&amp;row=89&amp;col=7&amp;number=0.011&amp;sourceID=14","0.011")</f>
        <v>0.011</v>
      </c>
    </row>
    <row r="90" spans="1:7">
      <c r="A90" s="3"/>
      <c r="B90" s="3"/>
      <c r="C90" s="3"/>
      <c r="D90" s="3"/>
      <c r="E90" s="3">
        <v>7</v>
      </c>
      <c r="F90" s="4" t="str">
        <f>HYPERLINK("http://141.218.60.56/~jnz1568/getInfo.php?workbook=20_10.xlsx&amp;sheet=U0&amp;row=90&amp;col=6&amp;number=3.6&amp;sourceID=14","3.6")</f>
        <v>3.6</v>
      </c>
      <c r="G90" s="4" t="str">
        <f>HYPERLINK("http://141.218.60.56/~jnz1568/getInfo.php?workbook=20_10.xlsx&amp;sheet=U0&amp;row=90&amp;col=7&amp;number=0.011&amp;sourceID=14","0.011")</f>
        <v>0.011</v>
      </c>
    </row>
    <row r="91" spans="1:7">
      <c r="A91" s="3"/>
      <c r="B91" s="3"/>
      <c r="C91" s="3"/>
      <c r="D91" s="3"/>
      <c r="E91" s="3">
        <v>8</v>
      </c>
      <c r="F91" s="4" t="str">
        <f>HYPERLINK("http://141.218.60.56/~jnz1568/getInfo.php?workbook=20_10.xlsx&amp;sheet=U0&amp;row=91&amp;col=6&amp;number=3.7&amp;sourceID=14","3.7")</f>
        <v>3.7</v>
      </c>
      <c r="G91" s="4" t="str">
        <f>HYPERLINK("http://141.218.60.56/~jnz1568/getInfo.php?workbook=20_10.xlsx&amp;sheet=U0&amp;row=91&amp;col=7&amp;number=0.0109&amp;sourceID=14","0.0109")</f>
        <v>0.0109</v>
      </c>
    </row>
    <row r="92" spans="1:7">
      <c r="A92" s="3"/>
      <c r="B92" s="3"/>
      <c r="C92" s="3"/>
      <c r="D92" s="3"/>
      <c r="E92" s="3">
        <v>9</v>
      </c>
      <c r="F92" s="4" t="str">
        <f>HYPERLINK("http://141.218.60.56/~jnz1568/getInfo.php?workbook=20_10.xlsx&amp;sheet=U0&amp;row=92&amp;col=6&amp;number=3.8&amp;sourceID=14","3.8")</f>
        <v>3.8</v>
      </c>
      <c r="G92" s="4" t="str">
        <f>HYPERLINK("http://141.218.60.56/~jnz1568/getInfo.php?workbook=20_10.xlsx&amp;sheet=U0&amp;row=92&amp;col=7&amp;number=0.0109&amp;sourceID=14","0.0109")</f>
        <v>0.0109</v>
      </c>
    </row>
    <row r="93" spans="1:7">
      <c r="A93" s="3"/>
      <c r="B93" s="3"/>
      <c r="C93" s="3"/>
      <c r="D93" s="3"/>
      <c r="E93" s="3">
        <v>10</v>
      </c>
      <c r="F93" s="4" t="str">
        <f>HYPERLINK("http://141.218.60.56/~jnz1568/getInfo.php?workbook=20_10.xlsx&amp;sheet=U0&amp;row=93&amp;col=6&amp;number=3.9&amp;sourceID=14","3.9")</f>
        <v>3.9</v>
      </c>
      <c r="G93" s="4" t="str">
        <f>HYPERLINK("http://141.218.60.56/~jnz1568/getInfo.php?workbook=20_10.xlsx&amp;sheet=U0&amp;row=93&amp;col=7&amp;number=0.0109&amp;sourceID=14","0.0109")</f>
        <v>0.0109</v>
      </c>
    </row>
    <row r="94" spans="1:7">
      <c r="A94" s="3"/>
      <c r="B94" s="3"/>
      <c r="C94" s="3"/>
      <c r="D94" s="3"/>
      <c r="E94" s="3">
        <v>11</v>
      </c>
      <c r="F94" s="4" t="str">
        <f>HYPERLINK("http://141.218.60.56/~jnz1568/getInfo.php?workbook=20_10.xlsx&amp;sheet=U0&amp;row=94&amp;col=6&amp;number=4&amp;sourceID=14","4")</f>
        <v>4</v>
      </c>
      <c r="G94" s="4" t="str">
        <f>HYPERLINK("http://141.218.60.56/~jnz1568/getInfo.php?workbook=20_10.xlsx&amp;sheet=U0&amp;row=94&amp;col=7&amp;number=0.0109&amp;sourceID=14","0.0109")</f>
        <v>0.0109</v>
      </c>
    </row>
    <row r="95" spans="1:7">
      <c r="A95" s="3"/>
      <c r="B95" s="3"/>
      <c r="C95" s="3"/>
      <c r="D95" s="3"/>
      <c r="E95" s="3">
        <v>12</v>
      </c>
      <c r="F95" s="4" t="str">
        <f>HYPERLINK("http://141.218.60.56/~jnz1568/getInfo.php?workbook=20_10.xlsx&amp;sheet=U0&amp;row=95&amp;col=6&amp;number=4.1&amp;sourceID=14","4.1")</f>
        <v>4.1</v>
      </c>
      <c r="G95" s="4" t="str">
        <f>HYPERLINK("http://141.218.60.56/~jnz1568/getInfo.php?workbook=20_10.xlsx&amp;sheet=U0&amp;row=95&amp;col=7&amp;number=0.0109&amp;sourceID=14","0.0109")</f>
        <v>0.0109</v>
      </c>
    </row>
    <row r="96" spans="1:7">
      <c r="A96" s="3"/>
      <c r="B96" s="3"/>
      <c r="C96" s="3"/>
      <c r="D96" s="3"/>
      <c r="E96" s="3">
        <v>13</v>
      </c>
      <c r="F96" s="4" t="str">
        <f>HYPERLINK("http://141.218.60.56/~jnz1568/getInfo.php?workbook=20_10.xlsx&amp;sheet=U0&amp;row=96&amp;col=6&amp;number=4.2&amp;sourceID=14","4.2")</f>
        <v>4.2</v>
      </c>
      <c r="G96" s="4" t="str">
        <f>HYPERLINK("http://141.218.60.56/~jnz1568/getInfo.php?workbook=20_10.xlsx&amp;sheet=U0&amp;row=96&amp;col=7&amp;number=0.0109&amp;sourceID=14","0.0109")</f>
        <v>0.0109</v>
      </c>
    </row>
    <row r="97" spans="1:7">
      <c r="A97" s="3"/>
      <c r="B97" s="3"/>
      <c r="C97" s="3"/>
      <c r="D97" s="3"/>
      <c r="E97" s="3">
        <v>14</v>
      </c>
      <c r="F97" s="4" t="str">
        <f>HYPERLINK("http://141.218.60.56/~jnz1568/getInfo.php?workbook=20_10.xlsx&amp;sheet=U0&amp;row=97&amp;col=6&amp;number=4.3&amp;sourceID=14","4.3")</f>
        <v>4.3</v>
      </c>
      <c r="G97" s="4" t="str">
        <f>HYPERLINK("http://141.218.60.56/~jnz1568/getInfo.php?workbook=20_10.xlsx&amp;sheet=U0&amp;row=97&amp;col=7&amp;number=0.0109&amp;sourceID=14","0.0109")</f>
        <v>0.0109</v>
      </c>
    </row>
    <row r="98" spans="1:7">
      <c r="A98" s="3"/>
      <c r="B98" s="3"/>
      <c r="C98" s="3"/>
      <c r="D98" s="3"/>
      <c r="E98" s="3">
        <v>15</v>
      </c>
      <c r="F98" s="4" t="str">
        <f>HYPERLINK("http://141.218.60.56/~jnz1568/getInfo.php?workbook=20_10.xlsx&amp;sheet=U0&amp;row=98&amp;col=6&amp;number=4.4&amp;sourceID=14","4.4")</f>
        <v>4.4</v>
      </c>
      <c r="G98" s="4" t="str">
        <f>HYPERLINK("http://141.218.60.56/~jnz1568/getInfo.php?workbook=20_10.xlsx&amp;sheet=U0&amp;row=98&amp;col=7&amp;number=0.0109&amp;sourceID=14","0.0109")</f>
        <v>0.0109</v>
      </c>
    </row>
    <row r="99" spans="1:7">
      <c r="A99" s="3"/>
      <c r="B99" s="3"/>
      <c r="C99" s="3"/>
      <c r="D99" s="3"/>
      <c r="E99" s="3">
        <v>16</v>
      </c>
      <c r="F99" s="4" t="str">
        <f>HYPERLINK("http://141.218.60.56/~jnz1568/getInfo.php?workbook=20_10.xlsx&amp;sheet=U0&amp;row=99&amp;col=6&amp;number=4.5&amp;sourceID=14","4.5")</f>
        <v>4.5</v>
      </c>
      <c r="G99" s="4" t="str">
        <f>HYPERLINK("http://141.218.60.56/~jnz1568/getInfo.php?workbook=20_10.xlsx&amp;sheet=U0&amp;row=99&amp;col=7&amp;number=0.0109&amp;sourceID=14","0.0109")</f>
        <v>0.0109</v>
      </c>
    </row>
    <row r="100" spans="1:7">
      <c r="A100" s="3"/>
      <c r="B100" s="3"/>
      <c r="C100" s="3"/>
      <c r="D100" s="3"/>
      <c r="E100" s="3">
        <v>17</v>
      </c>
      <c r="F100" s="4" t="str">
        <f>HYPERLINK("http://141.218.60.56/~jnz1568/getInfo.php?workbook=20_10.xlsx&amp;sheet=U0&amp;row=100&amp;col=6&amp;number=4.6&amp;sourceID=14","4.6")</f>
        <v>4.6</v>
      </c>
      <c r="G100" s="4" t="str">
        <f>HYPERLINK("http://141.218.60.56/~jnz1568/getInfo.php?workbook=20_10.xlsx&amp;sheet=U0&amp;row=100&amp;col=7&amp;number=0.0109&amp;sourceID=14","0.0109")</f>
        <v>0.0109</v>
      </c>
    </row>
    <row r="101" spans="1:7">
      <c r="A101" s="3"/>
      <c r="B101" s="3"/>
      <c r="C101" s="3"/>
      <c r="D101" s="3"/>
      <c r="E101" s="3">
        <v>18</v>
      </c>
      <c r="F101" s="4" t="str">
        <f>HYPERLINK("http://141.218.60.56/~jnz1568/getInfo.php?workbook=20_10.xlsx&amp;sheet=U0&amp;row=101&amp;col=6&amp;number=4.7&amp;sourceID=14","4.7")</f>
        <v>4.7</v>
      </c>
      <c r="G101" s="4" t="str">
        <f>HYPERLINK("http://141.218.60.56/~jnz1568/getInfo.php?workbook=20_10.xlsx&amp;sheet=U0&amp;row=101&amp;col=7&amp;number=0.0109&amp;sourceID=14","0.0109")</f>
        <v>0.0109</v>
      </c>
    </row>
    <row r="102" spans="1:7">
      <c r="A102" s="3"/>
      <c r="B102" s="3"/>
      <c r="C102" s="3"/>
      <c r="D102" s="3"/>
      <c r="E102" s="3">
        <v>19</v>
      </c>
      <c r="F102" s="4" t="str">
        <f>HYPERLINK("http://141.218.60.56/~jnz1568/getInfo.php?workbook=20_10.xlsx&amp;sheet=U0&amp;row=102&amp;col=6&amp;number=4.8&amp;sourceID=14","4.8")</f>
        <v>4.8</v>
      </c>
      <c r="G102" s="4" t="str">
        <f>HYPERLINK("http://141.218.60.56/~jnz1568/getInfo.php?workbook=20_10.xlsx&amp;sheet=U0&amp;row=102&amp;col=7&amp;number=0.0108&amp;sourceID=14","0.0108")</f>
        <v>0.0108</v>
      </c>
    </row>
    <row r="103" spans="1:7">
      <c r="A103" s="3"/>
      <c r="B103" s="3"/>
      <c r="C103" s="3"/>
      <c r="D103" s="3"/>
      <c r="E103" s="3">
        <v>20</v>
      </c>
      <c r="F103" s="4" t="str">
        <f>HYPERLINK("http://141.218.60.56/~jnz1568/getInfo.php?workbook=20_10.xlsx&amp;sheet=U0&amp;row=103&amp;col=6&amp;number=4.9&amp;sourceID=14","4.9")</f>
        <v>4.9</v>
      </c>
      <c r="G103" s="4" t="str">
        <f>HYPERLINK("http://141.218.60.56/~jnz1568/getInfo.php?workbook=20_10.xlsx&amp;sheet=U0&amp;row=103&amp;col=7&amp;number=0.0108&amp;sourceID=14","0.0108")</f>
        <v>0.0108</v>
      </c>
    </row>
    <row r="104" spans="1:7">
      <c r="A104" s="3">
        <v>20</v>
      </c>
      <c r="B104" s="3">
        <v>10</v>
      </c>
      <c r="C104" s="3">
        <v>1</v>
      </c>
      <c r="D104" s="3">
        <v>7</v>
      </c>
      <c r="E104" s="3">
        <v>1</v>
      </c>
      <c r="F104" s="4" t="str">
        <f>HYPERLINK("http://141.218.60.56/~jnz1568/getInfo.php?workbook=20_10.xlsx&amp;sheet=U0&amp;row=104&amp;col=6&amp;number=3&amp;sourceID=14","3")</f>
        <v>3</v>
      </c>
      <c r="G104" s="4" t="str">
        <f>HYPERLINK("http://141.218.60.56/~jnz1568/getInfo.php?workbook=20_10.xlsx&amp;sheet=U0&amp;row=104&amp;col=7&amp;number=0.00813&amp;sourceID=14","0.00813")</f>
        <v>0.00813</v>
      </c>
    </row>
    <row r="105" spans="1:7">
      <c r="A105" s="3"/>
      <c r="B105" s="3"/>
      <c r="C105" s="3"/>
      <c r="D105" s="3"/>
      <c r="E105" s="3">
        <v>2</v>
      </c>
      <c r="F105" s="4" t="str">
        <f>HYPERLINK("http://141.218.60.56/~jnz1568/getInfo.php?workbook=20_10.xlsx&amp;sheet=U0&amp;row=105&amp;col=6&amp;number=3.1&amp;sourceID=14","3.1")</f>
        <v>3.1</v>
      </c>
      <c r="G105" s="4" t="str">
        <f>HYPERLINK("http://141.218.60.56/~jnz1568/getInfo.php?workbook=20_10.xlsx&amp;sheet=U0&amp;row=105&amp;col=7&amp;number=0.00813&amp;sourceID=14","0.00813")</f>
        <v>0.00813</v>
      </c>
    </row>
    <row r="106" spans="1:7">
      <c r="A106" s="3"/>
      <c r="B106" s="3"/>
      <c r="C106" s="3"/>
      <c r="D106" s="3"/>
      <c r="E106" s="3">
        <v>3</v>
      </c>
      <c r="F106" s="4" t="str">
        <f>HYPERLINK("http://141.218.60.56/~jnz1568/getInfo.php?workbook=20_10.xlsx&amp;sheet=U0&amp;row=106&amp;col=6&amp;number=3.2&amp;sourceID=14","3.2")</f>
        <v>3.2</v>
      </c>
      <c r="G106" s="4" t="str">
        <f>HYPERLINK("http://141.218.60.56/~jnz1568/getInfo.php?workbook=20_10.xlsx&amp;sheet=U0&amp;row=106&amp;col=7&amp;number=0.00813&amp;sourceID=14","0.00813")</f>
        <v>0.00813</v>
      </c>
    </row>
    <row r="107" spans="1:7">
      <c r="A107" s="3"/>
      <c r="B107" s="3"/>
      <c r="C107" s="3"/>
      <c r="D107" s="3"/>
      <c r="E107" s="3">
        <v>4</v>
      </c>
      <c r="F107" s="4" t="str">
        <f>HYPERLINK("http://141.218.60.56/~jnz1568/getInfo.php?workbook=20_10.xlsx&amp;sheet=U0&amp;row=107&amp;col=6&amp;number=3.3&amp;sourceID=14","3.3")</f>
        <v>3.3</v>
      </c>
      <c r="G107" s="4" t="str">
        <f>HYPERLINK("http://141.218.60.56/~jnz1568/getInfo.php?workbook=20_10.xlsx&amp;sheet=U0&amp;row=107&amp;col=7&amp;number=0.00813&amp;sourceID=14","0.00813")</f>
        <v>0.00813</v>
      </c>
    </row>
    <row r="108" spans="1:7">
      <c r="A108" s="3"/>
      <c r="B108" s="3"/>
      <c r="C108" s="3"/>
      <c r="D108" s="3"/>
      <c r="E108" s="3">
        <v>5</v>
      </c>
      <c r="F108" s="4" t="str">
        <f>HYPERLINK("http://141.218.60.56/~jnz1568/getInfo.php?workbook=20_10.xlsx&amp;sheet=U0&amp;row=108&amp;col=6&amp;number=3.4&amp;sourceID=14","3.4")</f>
        <v>3.4</v>
      </c>
      <c r="G108" s="4" t="str">
        <f>HYPERLINK("http://141.218.60.56/~jnz1568/getInfo.php?workbook=20_10.xlsx&amp;sheet=U0&amp;row=108&amp;col=7&amp;number=0.00813&amp;sourceID=14","0.00813")</f>
        <v>0.00813</v>
      </c>
    </row>
    <row r="109" spans="1:7">
      <c r="A109" s="3"/>
      <c r="B109" s="3"/>
      <c r="C109" s="3"/>
      <c r="D109" s="3"/>
      <c r="E109" s="3">
        <v>6</v>
      </c>
      <c r="F109" s="4" t="str">
        <f>HYPERLINK("http://141.218.60.56/~jnz1568/getInfo.php?workbook=20_10.xlsx&amp;sheet=U0&amp;row=109&amp;col=6&amp;number=3.5&amp;sourceID=14","3.5")</f>
        <v>3.5</v>
      </c>
      <c r="G109" s="4" t="str">
        <f>HYPERLINK("http://141.218.60.56/~jnz1568/getInfo.php?workbook=20_10.xlsx&amp;sheet=U0&amp;row=109&amp;col=7&amp;number=0.00812&amp;sourceID=14","0.00812")</f>
        <v>0.00812</v>
      </c>
    </row>
    <row r="110" spans="1:7">
      <c r="A110" s="3"/>
      <c r="B110" s="3"/>
      <c r="C110" s="3"/>
      <c r="D110" s="3"/>
      <c r="E110" s="3">
        <v>7</v>
      </c>
      <c r="F110" s="4" t="str">
        <f>HYPERLINK("http://141.218.60.56/~jnz1568/getInfo.php?workbook=20_10.xlsx&amp;sheet=U0&amp;row=110&amp;col=6&amp;number=3.6&amp;sourceID=14","3.6")</f>
        <v>3.6</v>
      </c>
      <c r="G110" s="4" t="str">
        <f>HYPERLINK("http://141.218.60.56/~jnz1568/getInfo.php?workbook=20_10.xlsx&amp;sheet=U0&amp;row=110&amp;col=7&amp;number=0.00812&amp;sourceID=14","0.00812")</f>
        <v>0.00812</v>
      </c>
    </row>
    <row r="111" spans="1:7">
      <c r="A111" s="3"/>
      <c r="B111" s="3"/>
      <c r="C111" s="3"/>
      <c r="D111" s="3"/>
      <c r="E111" s="3">
        <v>8</v>
      </c>
      <c r="F111" s="4" t="str">
        <f>HYPERLINK("http://141.218.60.56/~jnz1568/getInfo.php?workbook=20_10.xlsx&amp;sheet=U0&amp;row=111&amp;col=6&amp;number=3.7&amp;sourceID=14","3.7")</f>
        <v>3.7</v>
      </c>
      <c r="G111" s="4" t="str">
        <f>HYPERLINK("http://141.218.60.56/~jnz1568/getInfo.php?workbook=20_10.xlsx&amp;sheet=U0&amp;row=111&amp;col=7&amp;number=0.00812&amp;sourceID=14","0.00812")</f>
        <v>0.00812</v>
      </c>
    </row>
    <row r="112" spans="1:7">
      <c r="A112" s="3"/>
      <c r="B112" s="3"/>
      <c r="C112" s="3"/>
      <c r="D112" s="3"/>
      <c r="E112" s="3">
        <v>9</v>
      </c>
      <c r="F112" s="4" t="str">
        <f>HYPERLINK("http://141.218.60.56/~jnz1568/getInfo.php?workbook=20_10.xlsx&amp;sheet=U0&amp;row=112&amp;col=6&amp;number=3.8&amp;sourceID=14","3.8")</f>
        <v>3.8</v>
      </c>
      <c r="G112" s="4" t="str">
        <f>HYPERLINK("http://141.218.60.56/~jnz1568/getInfo.php?workbook=20_10.xlsx&amp;sheet=U0&amp;row=112&amp;col=7&amp;number=0.00812&amp;sourceID=14","0.00812")</f>
        <v>0.00812</v>
      </c>
    </row>
    <row r="113" spans="1:7">
      <c r="A113" s="3"/>
      <c r="B113" s="3"/>
      <c r="C113" s="3"/>
      <c r="D113" s="3"/>
      <c r="E113" s="3">
        <v>10</v>
      </c>
      <c r="F113" s="4" t="str">
        <f>HYPERLINK("http://141.218.60.56/~jnz1568/getInfo.php?workbook=20_10.xlsx&amp;sheet=U0&amp;row=113&amp;col=6&amp;number=3.9&amp;sourceID=14","3.9")</f>
        <v>3.9</v>
      </c>
      <c r="G113" s="4" t="str">
        <f>HYPERLINK("http://141.218.60.56/~jnz1568/getInfo.php?workbook=20_10.xlsx&amp;sheet=U0&amp;row=113&amp;col=7&amp;number=0.00812&amp;sourceID=14","0.00812")</f>
        <v>0.00812</v>
      </c>
    </row>
    <row r="114" spans="1:7">
      <c r="A114" s="3"/>
      <c r="B114" s="3"/>
      <c r="C114" s="3"/>
      <c r="D114" s="3"/>
      <c r="E114" s="3">
        <v>11</v>
      </c>
      <c r="F114" s="4" t="str">
        <f>HYPERLINK("http://141.218.60.56/~jnz1568/getInfo.php?workbook=20_10.xlsx&amp;sheet=U0&amp;row=114&amp;col=6&amp;number=4&amp;sourceID=14","4")</f>
        <v>4</v>
      </c>
      <c r="G114" s="4" t="str">
        <f>HYPERLINK("http://141.218.60.56/~jnz1568/getInfo.php?workbook=20_10.xlsx&amp;sheet=U0&amp;row=114&amp;col=7&amp;number=0.00812&amp;sourceID=14","0.00812")</f>
        <v>0.00812</v>
      </c>
    </row>
    <row r="115" spans="1:7">
      <c r="A115" s="3"/>
      <c r="B115" s="3"/>
      <c r="C115" s="3"/>
      <c r="D115" s="3"/>
      <c r="E115" s="3">
        <v>12</v>
      </c>
      <c r="F115" s="4" t="str">
        <f>HYPERLINK("http://141.218.60.56/~jnz1568/getInfo.php?workbook=20_10.xlsx&amp;sheet=U0&amp;row=115&amp;col=6&amp;number=4.1&amp;sourceID=14","4.1")</f>
        <v>4.1</v>
      </c>
      <c r="G115" s="4" t="str">
        <f>HYPERLINK("http://141.218.60.56/~jnz1568/getInfo.php?workbook=20_10.xlsx&amp;sheet=U0&amp;row=115&amp;col=7&amp;number=0.00812&amp;sourceID=14","0.00812")</f>
        <v>0.00812</v>
      </c>
    </row>
    <row r="116" spans="1:7">
      <c r="A116" s="3"/>
      <c r="B116" s="3"/>
      <c r="C116" s="3"/>
      <c r="D116" s="3"/>
      <c r="E116" s="3">
        <v>13</v>
      </c>
      <c r="F116" s="4" t="str">
        <f>HYPERLINK("http://141.218.60.56/~jnz1568/getInfo.php?workbook=20_10.xlsx&amp;sheet=U0&amp;row=116&amp;col=6&amp;number=4.2&amp;sourceID=14","4.2")</f>
        <v>4.2</v>
      </c>
      <c r="G116" s="4" t="str">
        <f>HYPERLINK("http://141.218.60.56/~jnz1568/getInfo.php?workbook=20_10.xlsx&amp;sheet=U0&amp;row=116&amp;col=7&amp;number=0.00812&amp;sourceID=14","0.00812")</f>
        <v>0.00812</v>
      </c>
    </row>
    <row r="117" spans="1:7">
      <c r="A117" s="3"/>
      <c r="B117" s="3"/>
      <c r="C117" s="3"/>
      <c r="D117" s="3"/>
      <c r="E117" s="3">
        <v>14</v>
      </c>
      <c r="F117" s="4" t="str">
        <f>HYPERLINK("http://141.218.60.56/~jnz1568/getInfo.php?workbook=20_10.xlsx&amp;sheet=U0&amp;row=117&amp;col=6&amp;number=4.3&amp;sourceID=14","4.3")</f>
        <v>4.3</v>
      </c>
      <c r="G117" s="4" t="str">
        <f>HYPERLINK("http://141.218.60.56/~jnz1568/getInfo.php?workbook=20_10.xlsx&amp;sheet=U0&amp;row=117&amp;col=7&amp;number=0.00811&amp;sourceID=14","0.00811")</f>
        <v>0.00811</v>
      </c>
    </row>
    <row r="118" spans="1:7">
      <c r="A118" s="3"/>
      <c r="B118" s="3"/>
      <c r="C118" s="3"/>
      <c r="D118" s="3"/>
      <c r="E118" s="3">
        <v>15</v>
      </c>
      <c r="F118" s="4" t="str">
        <f>HYPERLINK("http://141.218.60.56/~jnz1568/getInfo.php?workbook=20_10.xlsx&amp;sheet=U0&amp;row=118&amp;col=6&amp;number=4.4&amp;sourceID=14","4.4")</f>
        <v>4.4</v>
      </c>
      <c r="G118" s="4" t="str">
        <f>HYPERLINK("http://141.218.60.56/~jnz1568/getInfo.php?workbook=20_10.xlsx&amp;sheet=U0&amp;row=118&amp;col=7&amp;number=0.00811&amp;sourceID=14","0.00811")</f>
        <v>0.00811</v>
      </c>
    </row>
    <row r="119" spans="1:7">
      <c r="A119" s="3"/>
      <c r="B119" s="3"/>
      <c r="C119" s="3"/>
      <c r="D119" s="3"/>
      <c r="E119" s="3">
        <v>16</v>
      </c>
      <c r="F119" s="4" t="str">
        <f>HYPERLINK("http://141.218.60.56/~jnz1568/getInfo.php?workbook=20_10.xlsx&amp;sheet=U0&amp;row=119&amp;col=6&amp;number=4.5&amp;sourceID=14","4.5")</f>
        <v>4.5</v>
      </c>
      <c r="G119" s="4" t="str">
        <f>HYPERLINK("http://141.218.60.56/~jnz1568/getInfo.php?workbook=20_10.xlsx&amp;sheet=U0&amp;row=119&amp;col=7&amp;number=0.0081&amp;sourceID=14","0.0081")</f>
        <v>0.0081</v>
      </c>
    </row>
    <row r="120" spans="1:7">
      <c r="A120" s="3"/>
      <c r="B120" s="3"/>
      <c r="C120" s="3"/>
      <c r="D120" s="3"/>
      <c r="E120" s="3">
        <v>17</v>
      </c>
      <c r="F120" s="4" t="str">
        <f>HYPERLINK("http://141.218.60.56/~jnz1568/getInfo.php?workbook=20_10.xlsx&amp;sheet=U0&amp;row=120&amp;col=6&amp;number=4.6&amp;sourceID=14","4.6")</f>
        <v>4.6</v>
      </c>
      <c r="G120" s="4" t="str">
        <f>HYPERLINK("http://141.218.60.56/~jnz1568/getInfo.php?workbook=20_10.xlsx&amp;sheet=U0&amp;row=120&amp;col=7&amp;number=0.0081&amp;sourceID=14","0.0081")</f>
        <v>0.0081</v>
      </c>
    </row>
    <row r="121" spans="1:7">
      <c r="A121" s="3"/>
      <c r="B121" s="3"/>
      <c r="C121" s="3"/>
      <c r="D121" s="3"/>
      <c r="E121" s="3">
        <v>18</v>
      </c>
      <c r="F121" s="4" t="str">
        <f>HYPERLINK("http://141.218.60.56/~jnz1568/getInfo.php?workbook=20_10.xlsx&amp;sheet=U0&amp;row=121&amp;col=6&amp;number=4.7&amp;sourceID=14","4.7")</f>
        <v>4.7</v>
      </c>
      <c r="G121" s="4" t="str">
        <f>HYPERLINK("http://141.218.60.56/~jnz1568/getInfo.php?workbook=20_10.xlsx&amp;sheet=U0&amp;row=121&amp;col=7&amp;number=0.00809&amp;sourceID=14","0.00809")</f>
        <v>0.00809</v>
      </c>
    </row>
    <row r="122" spans="1:7">
      <c r="A122" s="3"/>
      <c r="B122" s="3"/>
      <c r="C122" s="3"/>
      <c r="D122" s="3"/>
      <c r="E122" s="3">
        <v>19</v>
      </c>
      <c r="F122" s="4" t="str">
        <f>HYPERLINK("http://141.218.60.56/~jnz1568/getInfo.php?workbook=20_10.xlsx&amp;sheet=U0&amp;row=122&amp;col=6&amp;number=4.8&amp;sourceID=14","4.8")</f>
        <v>4.8</v>
      </c>
      <c r="G122" s="4" t="str">
        <f>HYPERLINK("http://141.218.60.56/~jnz1568/getInfo.php?workbook=20_10.xlsx&amp;sheet=U0&amp;row=122&amp;col=7&amp;number=0.00808&amp;sourceID=14","0.00808")</f>
        <v>0.00808</v>
      </c>
    </row>
    <row r="123" spans="1:7">
      <c r="A123" s="3"/>
      <c r="B123" s="3"/>
      <c r="C123" s="3"/>
      <c r="D123" s="3"/>
      <c r="E123" s="3">
        <v>20</v>
      </c>
      <c r="F123" s="4" t="str">
        <f>HYPERLINK("http://141.218.60.56/~jnz1568/getInfo.php?workbook=20_10.xlsx&amp;sheet=U0&amp;row=123&amp;col=6&amp;number=4.9&amp;sourceID=14","4.9")</f>
        <v>4.9</v>
      </c>
      <c r="G123" s="4" t="str">
        <f>HYPERLINK("http://141.218.60.56/~jnz1568/getInfo.php?workbook=20_10.xlsx&amp;sheet=U0&amp;row=123&amp;col=7&amp;number=0.00807&amp;sourceID=14","0.00807")</f>
        <v>0.00807</v>
      </c>
    </row>
    <row r="124" spans="1:7">
      <c r="A124" s="3">
        <v>20</v>
      </c>
      <c r="B124" s="3">
        <v>10</v>
      </c>
      <c r="C124" s="3">
        <v>1</v>
      </c>
      <c r="D124" s="3">
        <v>8</v>
      </c>
      <c r="E124" s="3">
        <v>1</v>
      </c>
      <c r="F124" s="4" t="str">
        <f>HYPERLINK("http://141.218.60.56/~jnz1568/getInfo.php?workbook=20_10.xlsx&amp;sheet=U0&amp;row=124&amp;col=6&amp;number=3&amp;sourceID=14","3")</f>
        <v>3</v>
      </c>
      <c r="G124" s="4" t="str">
        <f>HYPERLINK("http://141.218.60.56/~jnz1568/getInfo.php?workbook=20_10.xlsx&amp;sheet=U0&amp;row=124&amp;col=7&amp;number=0.0108&amp;sourceID=14","0.0108")</f>
        <v>0.0108</v>
      </c>
    </row>
    <row r="125" spans="1:7">
      <c r="A125" s="3"/>
      <c r="B125" s="3"/>
      <c r="C125" s="3"/>
      <c r="D125" s="3"/>
      <c r="E125" s="3">
        <v>2</v>
      </c>
      <c r="F125" s="4" t="str">
        <f>HYPERLINK("http://141.218.60.56/~jnz1568/getInfo.php?workbook=20_10.xlsx&amp;sheet=U0&amp;row=125&amp;col=6&amp;number=3.1&amp;sourceID=14","3.1")</f>
        <v>3.1</v>
      </c>
      <c r="G125" s="4" t="str">
        <f>HYPERLINK("http://141.218.60.56/~jnz1568/getInfo.php?workbook=20_10.xlsx&amp;sheet=U0&amp;row=125&amp;col=7&amp;number=0.0108&amp;sourceID=14","0.0108")</f>
        <v>0.0108</v>
      </c>
    </row>
    <row r="126" spans="1:7">
      <c r="A126" s="3"/>
      <c r="B126" s="3"/>
      <c r="C126" s="3"/>
      <c r="D126" s="3"/>
      <c r="E126" s="3">
        <v>3</v>
      </c>
      <c r="F126" s="4" t="str">
        <f>HYPERLINK("http://141.218.60.56/~jnz1568/getInfo.php?workbook=20_10.xlsx&amp;sheet=U0&amp;row=126&amp;col=6&amp;number=3.2&amp;sourceID=14","3.2")</f>
        <v>3.2</v>
      </c>
      <c r="G126" s="4" t="str">
        <f>HYPERLINK("http://141.218.60.56/~jnz1568/getInfo.php?workbook=20_10.xlsx&amp;sheet=U0&amp;row=126&amp;col=7&amp;number=0.0108&amp;sourceID=14","0.0108")</f>
        <v>0.0108</v>
      </c>
    </row>
    <row r="127" spans="1:7">
      <c r="A127" s="3"/>
      <c r="B127" s="3"/>
      <c r="C127" s="3"/>
      <c r="D127" s="3"/>
      <c r="E127" s="3">
        <v>4</v>
      </c>
      <c r="F127" s="4" t="str">
        <f>HYPERLINK("http://141.218.60.56/~jnz1568/getInfo.php?workbook=20_10.xlsx&amp;sheet=U0&amp;row=127&amp;col=6&amp;number=3.3&amp;sourceID=14","3.3")</f>
        <v>3.3</v>
      </c>
      <c r="G127" s="4" t="str">
        <f>HYPERLINK("http://141.218.60.56/~jnz1568/getInfo.php?workbook=20_10.xlsx&amp;sheet=U0&amp;row=127&amp;col=7&amp;number=0.0108&amp;sourceID=14","0.0108")</f>
        <v>0.0108</v>
      </c>
    </row>
    <row r="128" spans="1:7">
      <c r="A128" s="3"/>
      <c r="B128" s="3"/>
      <c r="C128" s="3"/>
      <c r="D128" s="3"/>
      <c r="E128" s="3">
        <v>5</v>
      </c>
      <c r="F128" s="4" t="str">
        <f>HYPERLINK("http://141.218.60.56/~jnz1568/getInfo.php?workbook=20_10.xlsx&amp;sheet=U0&amp;row=128&amp;col=6&amp;number=3.4&amp;sourceID=14","3.4")</f>
        <v>3.4</v>
      </c>
      <c r="G128" s="4" t="str">
        <f>HYPERLINK("http://141.218.60.56/~jnz1568/getInfo.php?workbook=20_10.xlsx&amp;sheet=U0&amp;row=128&amp;col=7&amp;number=0.0108&amp;sourceID=14","0.0108")</f>
        <v>0.0108</v>
      </c>
    </row>
    <row r="129" spans="1:7">
      <c r="A129" s="3"/>
      <c r="B129" s="3"/>
      <c r="C129" s="3"/>
      <c r="D129" s="3"/>
      <c r="E129" s="3">
        <v>6</v>
      </c>
      <c r="F129" s="4" t="str">
        <f>HYPERLINK("http://141.218.60.56/~jnz1568/getInfo.php?workbook=20_10.xlsx&amp;sheet=U0&amp;row=129&amp;col=6&amp;number=3.5&amp;sourceID=14","3.5")</f>
        <v>3.5</v>
      </c>
      <c r="G129" s="4" t="str">
        <f>HYPERLINK("http://141.218.60.56/~jnz1568/getInfo.php?workbook=20_10.xlsx&amp;sheet=U0&amp;row=129&amp;col=7&amp;number=0.0108&amp;sourceID=14","0.0108")</f>
        <v>0.0108</v>
      </c>
    </row>
    <row r="130" spans="1:7">
      <c r="A130" s="3"/>
      <c r="B130" s="3"/>
      <c r="C130" s="3"/>
      <c r="D130" s="3"/>
      <c r="E130" s="3">
        <v>7</v>
      </c>
      <c r="F130" s="4" t="str">
        <f>HYPERLINK("http://141.218.60.56/~jnz1568/getInfo.php?workbook=20_10.xlsx&amp;sheet=U0&amp;row=130&amp;col=6&amp;number=3.6&amp;sourceID=14","3.6")</f>
        <v>3.6</v>
      </c>
      <c r="G130" s="4" t="str">
        <f>HYPERLINK("http://141.218.60.56/~jnz1568/getInfo.php?workbook=20_10.xlsx&amp;sheet=U0&amp;row=130&amp;col=7&amp;number=0.0108&amp;sourceID=14","0.0108")</f>
        <v>0.0108</v>
      </c>
    </row>
    <row r="131" spans="1:7">
      <c r="A131" s="3"/>
      <c r="B131" s="3"/>
      <c r="C131" s="3"/>
      <c r="D131" s="3"/>
      <c r="E131" s="3">
        <v>8</v>
      </c>
      <c r="F131" s="4" t="str">
        <f>HYPERLINK("http://141.218.60.56/~jnz1568/getInfo.php?workbook=20_10.xlsx&amp;sheet=U0&amp;row=131&amp;col=6&amp;number=3.7&amp;sourceID=14","3.7")</f>
        <v>3.7</v>
      </c>
      <c r="G131" s="4" t="str">
        <f>HYPERLINK("http://141.218.60.56/~jnz1568/getInfo.php?workbook=20_10.xlsx&amp;sheet=U0&amp;row=131&amp;col=7&amp;number=0.0108&amp;sourceID=14","0.0108")</f>
        <v>0.0108</v>
      </c>
    </row>
    <row r="132" spans="1:7">
      <c r="A132" s="3"/>
      <c r="B132" s="3"/>
      <c r="C132" s="3"/>
      <c r="D132" s="3"/>
      <c r="E132" s="3">
        <v>9</v>
      </c>
      <c r="F132" s="4" t="str">
        <f>HYPERLINK("http://141.218.60.56/~jnz1568/getInfo.php?workbook=20_10.xlsx&amp;sheet=U0&amp;row=132&amp;col=6&amp;number=3.8&amp;sourceID=14","3.8")</f>
        <v>3.8</v>
      </c>
      <c r="G132" s="4" t="str">
        <f>HYPERLINK("http://141.218.60.56/~jnz1568/getInfo.php?workbook=20_10.xlsx&amp;sheet=U0&amp;row=132&amp;col=7&amp;number=0.0108&amp;sourceID=14","0.0108")</f>
        <v>0.0108</v>
      </c>
    </row>
    <row r="133" spans="1:7">
      <c r="A133" s="3"/>
      <c r="B133" s="3"/>
      <c r="C133" s="3"/>
      <c r="D133" s="3"/>
      <c r="E133" s="3">
        <v>10</v>
      </c>
      <c r="F133" s="4" t="str">
        <f>HYPERLINK("http://141.218.60.56/~jnz1568/getInfo.php?workbook=20_10.xlsx&amp;sheet=U0&amp;row=133&amp;col=6&amp;number=3.9&amp;sourceID=14","3.9")</f>
        <v>3.9</v>
      </c>
      <c r="G133" s="4" t="str">
        <f>HYPERLINK("http://141.218.60.56/~jnz1568/getInfo.php?workbook=20_10.xlsx&amp;sheet=U0&amp;row=133&amp;col=7&amp;number=0.0108&amp;sourceID=14","0.0108")</f>
        <v>0.0108</v>
      </c>
    </row>
    <row r="134" spans="1:7">
      <c r="A134" s="3"/>
      <c r="B134" s="3"/>
      <c r="C134" s="3"/>
      <c r="D134" s="3"/>
      <c r="E134" s="3">
        <v>11</v>
      </c>
      <c r="F134" s="4" t="str">
        <f>HYPERLINK("http://141.218.60.56/~jnz1568/getInfo.php?workbook=20_10.xlsx&amp;sheet=U0&amp;row=134&amp;col=6&amp;number=4&amp;sourceID=14","4")</f>
        <v>4</v>
      </c>
      <c r="G134" s="4" t="str">
        <f>HYPERLINK("http://141.218.60.56/~jnz1568/getInfo.php?workbook=20_10.xlsx&amp;sheet=U0&amp;row=134&amp;col=7&amp;number=0.0108&amp;sourceID=14","0.0108")</f>
        <v>0.0108</v>
      </c>
    </row>
    <row r="135" spans="1:7">
      <c r="A135" s="3"/>
      <c r="B135" s="3"/>
      <c r="C135" s="3"/>
      <c r="D135" s="3"/>
      <c r="E135" s="3">
        <v>12</v>
      </c>
      <c r="F135" s="4" t="str">
        <f>HYPERLINK("http://141.218.60.56/~jnz1568/getInfo.php?workbook=20_10.xlsx&amp;sheet=U0&amp;row=135&amp;col=6&amp;number=4.1&amp;sourceID=14","4.1")</f>
        <v>4.1</v>
      </c>
      <c r="G135" s="4" t="str">
        <f>HYPERLINK("http://141.218.60.56/~jnz1568/getInfo.php?workbook=20_10.xlsx&amp;sheet=U0&amp;row=135&amp;col=7&amp;number=0.0108&amp;sourceID=14","0.0108")</f>
        <v>0.0108</v>
      </c>
    </row>
    <row r="136" spans="1:7">
      <c r="A136" s="3"/>
      <c r="B136" s="3"/>
      <c r="C136" s="3"/>
      <c r="D136" s="3"/>
      <c r="E136" s="3">
        <v>13</v>
      </c>
      <c r="F136" s="4" t="str">
        <f>HYPERLINK("http://141.218.60.56/~jnz1568/getInfo.php?workbook=20_10.xlsx&amp;sheet=U0&amp;row=136&amp;col=6&amp;number=4.2&amp;sourceID=14","4.2")</f>
        <v>4.2</v>
      </c>
      <c r="G136" s="4" t="str">
        <f>HYPERLINK("http://141.218.60.56/~jnz1568/getInfo.php?workbook=20_10.xlsx&amp;sheet=U0&amp;row=136&amp;col=7&amp;number=0.0108&amp;sourceID=14","0.0108")</f>
        <v>0.0108</v>
      </c>
    </row>
    <row r="137" spans="1:7">
      <c r="A137" s="3"/>
      <c r="B137" s="3"/>
      <c r="C137" s="3"/>
      <c r="D137" s="3"/>
      <c r="E137" s="3">
        <v>14</v>
      </c>
      <c r="F137" s="4" t="str">
        <f>HYPERLINK("http://141.218.60.56/~jnz1568/getInfo.php?workbook=20_10.xlsx&amp;sheet=U0&amp;row=137&amp;col=6&amp;number=4.3&amp;sourceID=14","4.3")</f>
        <v>4.3</v>
      </c>
      <c r="G137" s="4" t="str">
        <f>HYPERLINK("http://141.218.60.56/~jnz1568/getInfo.php?workbook=20_10.xlsx&amp;sheet=U0&amp;row=137&amp;col=7&amp;number=0.0108&amp;sourceID=14","0.0108")</f>
        <v>0.0108</v>
      </c>
    </row>
    <row r="138" spans="1:7">
      <c r="A138" s="3"/>
      <c r="B138" s="3"/>
      <c r="C138" s="3"/>
      <c r="D138" s="3"/>
      <c r="E138" s="3">
        <v>15</v>
      </c>
      <c r="F138" s="4" t="str">
        <f>HYPERLINK("http://141.218.60.56/~jnz1568/getInfo.php?workbook=20_10.xlsx&amp;sheet=U0&amp;row=138&amp;col=6&amp;number=4.4&amp;sourceID=14","4.4")</f>
        <v>4.4</v>
      </c>
      <c r="G138" s="4" t="str">
        <f>HYPERLINK("http://141.218.60.56/~jnz1568/getInfo.php?workbook=20_10.xlsx&amp;sheet=U0&amp;row=138&amp;col=7&amp;number=0.0108&amp;sourceID=14","0.0108")</f>
        <v>0.0108</v>
      </c>
    </row>
    <row r="139" spans="1:7">
      <c r="A139" s="3"/>
      <c r="B139" s="3"/>
      <c r="C139" s="3"/>
      <c r="D139" s="3"/>
      <c r="E139" s="3">
        <v>16</v>
      </c>
      <c r="F139" s="4" t="str">
        <f>HYPERLINK("http://141.218.60.56/~jnz1568/getInfo.php?workbook=20_10.xlsx&amp;sheet=U0&amp;row=139&amp;col=6&amp;number=4.5&amp;sourceID=14","4.5")</f>
        <v>4.5</v>
      </c>
      <c r="G139" s="4" t="str">
        <f>HYPERLINK("http://141.218.60.56/~jnz1568/getInfo.php?workbook=20_10.xlsx&amp;sheet=U0&amp;row=139&amp;col=7&amp;number=0.0108&amp;sourceID=14","0.0108")</f>
        <v>0.0108</v>
      </c>
    </row>
    <row r="140" spans="1:7">
      <c r="A140" s="3"/>
      <c r="B140" s="3"/>
      <c r="C140" s="3"/>
      <c r="D140" s="3"/>
      <c r="E140" s="3">
        <v>17</v>
      </c>
      <c r="F140" s="4" t="str">
        <f>HYPERLINK("http://141.218.60.56/~jnz1568/getInfo.php?workbook=20_10.xlsx&amp;sheet=U0&amp;row=140&amp;col=6&amp;number=4.6&amp;sourceID=14","4.6")</f>
        <v>4.6</v>
      </c>
      <c r="G140" s="4" t="str">
        <f>HYPERLINK("http://141.218.60.56/~jnz1568/getInfo.php?workbook=20_10.xlsx&amp;sheet=U0&amp;row=140&amp;col=7&amp;number=0.0108&amp;sourceID=14","0.0108")</f>
        <v>0.0108</v>
      </c>
    </row>
    <row r="141" spans="1:7">
      <c r="A141" s="3"/>
      <c r="B141" s="3"/>
      <c r="C141" s="3"/>
      <c r="D141" s="3"/>
      <c r="E141" s="3">
        <v>18</v>
      </c>
      <c r="F141" s="4" t="str">
        <f>HYPERLINK("http://141.218.60.56/~jnz1568/getInfo.php?workbook=20_10.xlsx&amp;sheet=U0&amp;row=141&amp;col=6&amp;number=4.7&amp;sourceID=14","4.7")</f>
        <v>4.7</v>
      </c>
      <c r="G141" s="4" t="str">
        <f>HYPERLINK("http://141.218.60.56/~jnz1568/getInfo.php?workbook=20_10.xlsx&amp;sheet=U0&amp;row=141&amp;col=7&amp;number=0.0107&amp;sourceID=14","0.0107")</f>
        <v>0.0107</v>
      </c>
    </row>
    <row r="142" spans="1:7">
      <c r="A142" s="3"/>
      <c r="B142" s="3"/>
      <c r="C142" s="3"/>
      <c r="D142" s="3"/>
      <c r="E142" s="3">
        <v>19</v>
      </c>
      <c r="F142" s="4" t="str">
        <f>HYPERLINK("http://141.218.60.56/~jnz1568/getInfo.php?workbook=20_10.xlsx&amp;sheet=U0&amp;row=142&amp;col=6&amp;number=4.8&amp;sourceID=14","4.8")</f>
        <v>4.8</v>
      </c>
      <c r="G142" s="4" t="str">
        <f>HYPERLINK("http://141.218.60.56/~jnz1568/getInfo.php?workbook=20_10.xlsx&amp;sheet=U0&amp;row=142&amp;col=7&amp;number=0.0107&amp;sourceID=14","0.0107")</f>
        <v>0.0107</v>
      </c>
    </row>
    <row r="143" spans="1:7">
      <c r="A143" s="3"/>
      <c r="B143" s="3"/>
      <c r="C143" s="3"/>
      <c r="D143" s="3"/>
      <c r="E143" s="3">
        <v>20</v>
      </c>
      <c r="F143" s="4" t="str">
        <f>HYPERLINK("http://141.218.60.56/~jnz1568/getInfo.php?workbook=20_10.xlsx&amp;sheet=U0&amp;row=143&amp;col=6&amp;number=4.9&amp;sourceID=14","4.9")</f>
        <v>4.9</v>
      </c>
      <c r="G143" s="4" t="str">
        <f>HYPERLINK("http://141.218.60.56/~jnz1568/getInfo.php?workbook=20_10.xlsx&amp;sheet=U0&amp;row=143&amp;col=7&amp;number=0.0107&amp;sourceID=14","0.0107")</f>
        <v>0.0107</v>
      </c>
    </row>
    <row r="144" spans="1:7">
      <c r="A144" s="3">
        <v>20</v>
      </c>
      <c r="B144" s="3">
        <v>10</v>
      </c>
      <c r="C144" s="3">
        <v>1</v>
      </c>
      <c r="D144" s="3">
        <v>9</v>
      </c>
      <c r="E144" s="3">
        <v>1</v>
      </c>
      <c r="F144" s="4" t="str">
        <f>HYPERLINK("http://141.218.60.56/~jnz1568/getInfo.php?workbook=20_10.xlsx&amp;sheet=U0&amp;row=144&amp;col=6&amp;number=3&amp;sourceID=14","3")</f>
        <v>3</v>
      </c>
      <c r="G144" s="4" t="str">
        <f>HYPERLINK("http://141.218.60.56/~jnz1568/getInfo.php?workbook=20_10.xlsx&amp;sheet=U0&amp;row=144&amp;col=7&amp;number=0.00664&amp;sourceID=14","0.00664")</f>
        <v>0.00664</v>
      </c>
    </row>
    <row r="145" spans="1:7">
      <c r="A145" s="3"/>
      <c r="B145" s="3"/>
      <c r="C145" s="3"/>
      <c r="D145" s="3"/>
      <c r="E145" s="3">
        <v>2</v>
      </c>
      <c r="F145" s="4" t="str">
        <f>HYPERLINK("http://141.218.60.56/~jnz1568/getInfo.php?workbook=20_10.xlsx&amp;sheet=U0&amp;row=145&amp;col=6&amp;number=3.1&amp;sourceID=14","3.1")</f>
        <v>3.1</v>
      </c>
      <c r="G145" s="4" t="str">
        <f>HYPERLINK("http://141.218.60.56/~jnz1568/getInfo.php?workbook=20_10.xlsx&amp;sheet=U0&amp;row=145&amp;col=7&amp;number=0.00664&amp;sourceID=14","0.00664")</f>
        <v>0.00664</v>
      </c>
    </row>
    <row r="146" spans="1:7">
      <c r="A146" s="3"/>
      <c r="B146" s="3"/>
      <c r="C146" s="3"/>
      <c r="D146" s="3"/>
      <c r="E146" s="3">
        <v>3</v>
      </c>
      <c r="F146" s="4" t="str">
        <f>HYPERLINK("http://141.218.60.56/~jnz1568/getInfo.php?workbook=20_10.xlsx&amp;sheet=U0&amp;row=146&amp;col=6&amp;number=3.2&amp;sourceID=14","3.2")</f>
        <v>3.2</v>
      </c>
      <c r="G146" s="4" t="str">
        <f>HYPERLINK("http://141.218.60.56/~jnz1568/getInfo.php?workbook=20_10.xlsx&amp;sheet=U0&amp;row=146&amp;col=7&amp;number=0.00664&amp;sourceID=14","0.00664")</f>
        <v>0.00664</v>
      </c>
    </row>
    <row r="147" spans="1:7">
      <c r="A147" s="3"/>
      <c r="B147" s="3"/>
      <c r="C147" s="3"/>
      <c r="D147" s="3"/>
      <c r="E147" s="3">
        <v>4</v>
      </c>
      <c r="F147" s="4" t="str">
        <f>HYPERLINK("http://141.218.60.56/~jnz1568/getInfo.php?workbook=20_10.xlsx&amp;sheet=U0&amp;row=147&amp;col=6&amp;number=3.3&amp;sourceID=14","3.3")</f>
        <v>3.3</v>
      </c>
      <c r="G147" s="4" t="str">
        <f>HYPERLINK("http://141.218.60.56/~jnz1568/getInfo.php?workbook=20_10.xlsx&amp;sheet=U0&amp;row=147&amp;col=7&amp;number=0.00664&amp;sourceID=14","0.00664")</f>
        <v>0.00664</v>
      </c>
    </row>
    <row r="148" spans="1:7">
      <c r="A148" s="3"/>
      <c r="B148" s="3"/>
      <c r="C148" s="3"/>
      <c r="D148" s="3"/>
      <c r="E148" s="3">
        <v>5</v>
      </c>
      <c r="F148" s="4" t="str">
        <f>HYPERLINK("http://141.218.60.56/~jnz1568/getInfo.php?workbook=20_10.xlsx&amp;sheet=U0&amp;row=148&amp;col=6&amp;number=3.4&amp;sourceID=14","3.4")</f>
        <v>3.4</v>
      </c>
      <c r="G148" s="4" t="str">
        <f>HYPERLINK("http://141.218.60.56/~jnz1568/getInfo.php?workbook=20_10.xlsx&amp;sheet=U0&amp;row=148&amp;col=7&amp;number=0.00664&amp;sourceID=14","0.00664")</f>
        <v>0.00664</v>
      </c>
    </row>
    <row r="149" spans="1:7">
      <c r="A149" s="3"/>
      <c r="B149" s="3"/>
      <c r="C149" s="3"/>
      <c r="D149" s="3"/>
      <c r="E149" s="3">
        <v>6</v>
      </c>
      <c r="F149" s="4" t="str">
        <f>HYPERLINK("http://141.218.60.56/~jnz1568/getInfo.php?workbook=20_10.xlsx&amp;sheet=U0&amp;row=149&amp;col=6&amp;number=3.5&amp;sourceID=14","3.5")</f>
        <v>3.5</v>
      </c>
      <c r="G149" s="4" t="str">
        <f>HYPERLINK("http://141.218.60.56/~jnz1568/getInfo.php?workbook=20_10.xlsx&amp;sheet=U0&amp;row=149&amp;col=7&amp;number=0.00664&amp;sourceID=14","0.00664")</f>
        <v>0.00664</v>
      </c>
    </row>
    <row r="150" spans="1:7">
      <c r="A150" s="3"/>
      <c r="B150" s="3"/>
      <c r="C150" s="3"/>
      <c r="D150" s="3"/>
      <c r="E150" s="3">
        <v>7</v>
      </c>
      <c r="F150" s="4" t="str">
        <f>HYPERLINK("http://141.218.60.56/~jnz1568/getInfo.php?workbook=20_10.xlsx&amp;sheet=U0&amp;row=150&amp;col=6&amp;number=3.6&amp;sourceID=14","3.6")</f>
        <v>3.6</v>
      </c>
      <c r="G150" s="4" t="str">
        <f>HYPERLINK("http://141.218.60.56/~jnz1568/getInfo.php?workbook=20_10.xlsx&amp;sheet=U0&amp;row=150&amp;col=7&amp;number=0.00664&amp;sourceID=14","0.00664")</f>
        <v>0.00664</v>
      </c>
    </row>
    <row r="151" spans="1:7">
      <c r="A151" s="3"/>
      <c r="B151" s="3"/>
      <c r="C151" s="3"/>
      <c r="D151" s="3"/>
      <c r="E151" s="3">
        <v>8</v>
      </c>
      <c r="F151" s="4" t="str">
        <f>HYPERLINK("http://141.218.60.56/~jnz1568/getInfo.php?workbook=20_10.xlsx&amp;sheet=U0&amp;row=151&amp;col=6&amp;number=3.7&amp;sourceID=14","3.7")</f>
        <v>3.7</v>
      </c>
      <c r="G151" s="4" t="str">
        <f>HYPERLINK("http://141.218.60.56/~jnz1568/getInfo.php?workbook=20_10.xlsx&amp;sheet=U0&amp;row=151&amp;col=7&amp;number=0.00664&amp;sourceID=14","0.00664")</f>
        <v>0.00664</v>
      </c>
    </row>
    <row r="152" spans="1:7">
      <c r="A152" s="3"/>
      <c r="B152" s="3"/>
      <c r="C152" s="3"/>
      <c r="D152" s="3"/>
      <c r="E152" s="3">
        <v>9</v>
      </c>
      <c r="F152" s="4" t="str">
        <f>HYPERLINK("http://141.218.60.56/~jnz1568/getInfo.php?workbook=20_10.xlsx&amp;sheet=U0&amp;row=152&amp;col=6&amp;number=3.8&amp;sourceID=14","3.8")</f>
        <v>3.8</v>
      </c>
      <c r="G152" s="4" t="str">
        <f>HYPERLINK("http://141.218.60.56/~jnz1568/getInfo.php?workbook=20_10.xlsx&amp;sheet=U0&amp;row=152&amp;col=7&amp;number=0.00664&amp;sourceID=14","0.00664")</f>
        <v>0.00664</v>
      </c>
    </row>
    <row r="153" spans="1:7">
      <c r="A153" s="3"/>
      <c r="B153" s="3"/>
      <c r="C153" s="3"/>
      <c r="D153" s="3"/>
      <c r="E153" s="3">
        <v>10</v>
      </c>
      <c r="F153" s="4" t="str">
        <f>HYPERLINK("http://141.218.60.56/~jnz1568/getInfo.php?workbook=20_10.xlsx&amp;sheet=U0&amp;row=153&amp;col=6&amp;number=3.9&amp;sourceID=14","3.9")</f>
        <v>3.9</v>
      </c>
      <c r="G153" s="4" t="str">
        <f>HYPERLINK("http://141.218.60.56/~jnz1568/getInfo.php?workbook=20_10.xlsx&amp;sheet=U0&amp;row=153&amp;col=7&amp;number=0.00664&amp;sourceID=14","0.00664")</f>
        <v>0.00664</v>
      </c>
    </row>
    <row r="154" spans="1:7">
      <c r="A154" s="3"/>
      <c r="B154" s="3"/>
      <c r="C154" s="3"/>
      <c r="D154" s="3"/>
      <c r="E154" s="3">
        <v>11</v>
      </c>
      <c r="F154" s="4" t="str">
        <f>HYPERLINK("http://141.218.60.56/~jnz1568/getInfo.php?workbook=20_10.xlsx&amp;sheet=U0&amp;row=154&amp;col=6&amp;number=4&amp;sourceID=14","4")</f>
        <v>4</v>
      </c>
      <c r="G154" s="4" t="str">
        <f>HYPERLINK("http://141.218.60.56/~jnz1568/getInfo.php?workbook=20_10.xlsx&amp;sheet=U0&amp;row=154&amp;col=7&amp;number=0.00664&amp;sourceID=14","0.00664")</f>
        <v>0.00664</v>
      </c>
    </row>
    <row r="155" spans="1:7">
      <c r="A155" s="3"/>
      <c r="B155" s="3"/>
      <c r="C155" s="3"/>
      <c r="D155" s="3"/>
      <c r="E155" s="3">
        <v>12</v>
      </c>
      <c r="F155" s="4" t="str">
        <f>HYPERLINK("http://141.218.60.56/~jnz1568/getInfo.php?workbook=20_10.xlsx&amp;sheet=U0&amp;row=155&amp;col=6&amp;number=4.1&amp;sourceID=14","4.1")</f>
        <v>4.1</v>
      </c>
      <c r="G155" s="4" t="str">
        <f>HYPERLINK("http://141.218.60.56/~jnz1568/getInfo.php?workbook=20_10.xlsx&amp;sheet=U0&amp;row=155&amp;col=7&amp;number=0.00664&amp;sourceID=14","0.00664")</f>
        <v>0.00664</v>
      </c>
    </row>
    <row r="156" spans="1:7">
      <c r="A156" s="3"/>
      <c r="B156" s="3"/>
      <c r="C156" s="3"/>
      <c r="D156" s="3"/>
      <c r="E156" s="3">
        <v>13</v>
      </c>
      <c r="F156" s="4" t="str">
        <f>HYPERLINK("http://141.218.60.56/~jnz1568/getInfo.php?workbook=20_10.xlsx&amp;sheet=U0&amp;row=156&amp;col=6&amp;number=4.2&amp;sourceID=14","4.2")</f>
        <v>4.2</v>
      </c>
      <c r="G156" s="4" t="str">
        <f>HYPERLINK("http://141.218.60.56/~jnz1568/getInfo.php?workbook=20_10.xlsx&amp;sheet=U0&amp;row=156&amp;col=7&amp;number=0.00664&amp;sourceID=14","0.00664")</f>
        <v>0.00664</v>
      </c>
    </row>
    <row r="157" spans="1:7">
      <c r="A157" s="3"/>
      <c r="B157" s="3"/>
      <c r="C157" s="3"/>
      <c r="D157" s="3"/>
      <c r="E157" s="3">
        <v>14</v>
      </c>
      <c r="F157" s="4" t="str">
        <f>HYPERLINK("http://141.218.60.56/~jnz1568/getInfo.php?workbook=20_10.xlsx&amp;sheet=U0&amp;row=157&amp;col=6&amp;number=4.3&amp;sourceID=14","4.3")</f>
        <v>4.3</v>
      </c>
      <c r="G157" s="4" t="str">
        <f>HYPERLINK("http://141.218.60.56/~jnz1568/getInfo.php?workbook=20_10.xlsx&amp;sheet=U0&amp;row=157&amp;col=7&amp;number=0.00664&amp;sourceID=14","0.00664")</f>
        <v>0.00664</v>
      </c>
    </row>
    <row r="158" spans="1:7">
      <c r="A158" s="3"/>
      <c r="B158" s="3"/>
      <c r="C158" s="3"/>
      <c r="D158" s="3"/>
      <c r="E158" s="3">
        <v>15</v>
      </c>
      <c r="F158" s="4" t="str">
        <f>HYPERLINK("http://141.218.60.56/~jnz1568/getInfo.php?workbook=20_10.xlsx&amp;sheet=U0&amp;row=158&amp;col=6&amp;number=4.4&amp;sourceID=14","4.4")</f>
        <v>4.4</v>
      </c>
      <c r="G158" s="4" t="str">
        <f>HYPERLINK("http://141.218.60.56/~jnz1568/getInfo.php?workbook=20_10.xlsx&amp;sheet=U0&amp;row=158&amp;col=7&amp;number=0.00664&amp;sourceID=14","0.00664")</f>
        <v>0.00664</v>
      </c>
    </row>
    <row r="159" spans="1:7">
      <c r="A159" s="3"/>
      <c r="B159" s="3"/>
      <c r="C159" s="3"/>
      <c r="D159" s="3"/>
      <c r="E159" s="3">
        <v>16</v>
      </c>
      <c r="F159" s="4" t="str">
        <f>HYPERLINK("http://141.218.60.56/~jnz1568/getInfo.php?workbook=20_10.xlsx&amp;sheet=U0&amp;row=159&amp;col=6&amp;number=4.5&amp;sourceID=14","4.5")</f>
        <v>4.5</v>
      </c>
      <c r="G159" s="4" t="str">
        <f>HYPERLINK("http://141.218.60.56/~jnz1568/getInfo.php?workbook=20_10.xlsx&amp;sheet=U0&amp;row=159&amp;col=7&amp;number=0.00664&amp;sourceID=14","0.00664")</f>
        <v>0.00664</v>
      </c>
    </row>
    <row r="160" spans="1:7">
      <c r="A160" s="3"/>
      <c r="B160" s="3"/>
      <c r="C160" s="3"/>
      <c r="D160" s="3"/>
      <c r="E160" s="3">
        <v>17</v>
      </c>
      <c r="F160" s="4" t="str">
        <f>HYPERLINK("http://141.218.60.56/~jnz1568/getInfo.php?workbook=20_10.xlsx&amp;sheet=U0&amp;row=160&amp;col=6&amp;number=4.6&amp;sourceID=14","4.6")</f>
        <v>4.6</v>
      </c>
      <c r="G160" s="4" t="str">
        <f>HYPERLINK("http://141.218.60.56/~jnz1568/getInfo.php?workbook=20_10.xlsx&amp;sheet=U0&amp;row=160&amp;col=7&amp;number=0.00663&amp;sourceID=14","0.00663")</f>
        <v>0.00663</v>
      </c>
    </row>
    <row r="161" spans="1:7">
      <c r="A161" s="3"/>
      <c r="B161" s="3"/>
      <c r="C161" s="3"/>
      <c r="D161" s="3"/>
      <c r="E161" s="3">
        <v>18</v>
      </c>
      <c r="F161" s="4" t="str">
        <f>HYPERLINK("http://141.218.60.56/~jnz1568/getInfo.php?workbook=20_10.xlsx&amp;sheet=U0&amp;row=161&amp;col=6&amp;number=4.7&amp;sourceID=14","4.7")</f>
        <v>4.7</v>
      </c>
      <c r="G161" s="4" t="str">
        <f>HYPERLINK("http://141.218.60.56/~jnz1568/getInfo.php?workbook=20_10.xlsx&amp;sheet=U0&amp;row=161&amp;col=7&amp;number=0.00663&amp;sourceID=14","0.00663")</f>
        <v>0.00663</v>
      </c>
    </row>
    <row r="162" spans="1:7">
      <c r="A162" s="3"/>
      <c r="B162" s="3"/>
      <c r="C162" s="3"/>
      <c r="D162" s="3"/>
      <c r="E162" s="3">
        <v>19</v>
      </c>
      <c r="F162" s="4" t="str">
        <f>HYPERLINK("http://141.218.60.56/~jnz1568/getInfo.php?workbook=20_10.xlsx&amp;sheet=U0&amp;row=162&amp;col=6&amp;number=4.8&amp;sourceID=14","4.8")</f>
        <v>4.8</v>
      </c>
      <c r="G162" s="4" t="str">
        <f>HYPERLINK("http://141.218.60.56/~jnz1568/getInfo.php?workbook=20_10.xlsx&amp;sheet=U0&amp;row=162&amp;col=7&amp;number=0.00663&amp;sourceID=14","0.00663")</f>
        <v>0.00663</v>
      </c>
    </row>
    <row r="163" spans="1:7">
      <c r="A163" s="3"/>
      <c r="B163" s="3"/>
      <c r="C163" s="3"/>
      <c r="D163" s="3"/>
      <c r="E163" s="3">
        <v>20</v>
      </c>
      <c r="F163" s="4" t="str">
        <f>HYPERLINK("http://141.218.60.56/~jnz1568/getInfo.php?workbook=20_10.xlsx&amp;sheet=U0&amp;row=163&amp;col=6&amp;number=4.9&amp;sourceID=14","4.9")</f>
        <v>4.9</v>
      </c>
      <c r="G163" s="4" t="str">
        <f>HYPERLINK("http://141.218.60.56/~jnz1568/getInfo.php?workbook=20_10.xlsx&amp;sheet=U0&amp;row=163&amp;col=7&amp;number=0.00663&amp;sourceID=14","0.00663")</f>
        <v>0.00663</v>
      </c>
    </row>
    <row r="164" spans="1:7">
      <c r="A164" s="3">
        <v>20</v>
      </c>
      <c r="B164" s="3">
        <v>10</v>
      </c>
      <c r="C164" s="3">
        <v>1</v>
      </c>
      <c r="D164" s="3">
        <v>10</v>
      </c>
      <c r="E164" s="3">
        <v>1</v>
      </c>
      <c r="F164" s="4" t="str">
        <f>HYPERLINK("http://141.218.60.56/~jnz1568/getInfo.php?workbook=20_10.xlsx&amp;sheet=U0&amp;row=164&amp;col=6&amp;number=3&amp;sourceID=14","3")</f>
        <v>3</v>
      </c>
      <c r="G164" s="4" t="str">
        <f>HYPERLINK("http://141.218.60.56/~jnz1568/getInfo.php?workbook=20_10.xlsx&amp;sheet=U0&amp;row=164&amp;col=7&amp;number=0.00362&amp;sourceID=14","0.00362")</f>
        <v>0.00362</v>
      </c>
    </row>
    <row r="165" spans="1:7">
      <c r="A165" s="3"/>
      <c r="B165" s="3"/>
      <c r="C165" s="3"/>
      <c r="D165" s="3"/>
      <c r="E165" s="3">
        <v>2</v>
      </c>
      <c r="F165" s="4" t="str">
        <f>HYPERLINK("http://141.218.60.56/~jnz1568/getInfo.php?workbook=20_10.xlsx&amp;sheet=U0&amp;row=165&amp;col=6&amp;number=3.1&amp;sourceID=14","3.1")</f>
        <v>3.1</v>
      </c>
      <c r="G165" s="4" t="str">
        <f>HYPERLINK("http://141.218.60.56/~jnz1568/getInfo.php?workbook=20_10.xlsx&amp;sheet=U0&amp;row=165&amp;col=7&amp;number=0.00362&amp;sourceID=14","0.00362")</f>
        <v>0.00362</v>
      </c>
    </row>
    <row r="166" spans="1:7">
      <c r="A166" s="3"/>
      <c r="B166" s="3"/>
      <c r="C166" s="3"/>
      <c r="D166" s="3"/>
      <c r="E166" s="3">
        <v>3</v>
      </c>
      <c r="F166" s="4" t="str">
        <f>HYPERLINK("http://141.218.60.56/~jnz1568/getInfo.php?workbook=20_10.xlsx&amp;sheet=U0&amp;row=166&amp;col=6&amp;number=3.2&amp;sourceID=14","3.2")</f>
        <v>3.2</v>
      </c>
      <c r="G166" s="4" t="str">
        <f>HYPERLINK("http://141.218.60.56/~jnz1568/getInfo.php?workbook=20_10.xlsx&amp;sheet=U0&amp;row=166&amp;col=7&amp;number=0.00362&amp;sourceID=14","0.00362")</f>
        <v>0.00362</v>
      </c>
    </row>
    <row r="167" spans="1:7">
      <c r="A167" s="3"/>
      <c r="B167" s="3"/>
      <c r="C167" s="3"/>
      <c r="D167" s="3"/>
      <c r="E167" s="3">
        <v>4</v>
      </c>
      <c r="F167" s="4" t="str">
        <f>HYPERLINK("http://141.218.60.56/~jnz1568/getInfo.php?workbook=20_10.xlsx&amp;sheet=U0&amp;row=167&amp;col=6&amp;number=3.3&amp;sourceID=14","3.3")</f>
        <v>3.3</v>
      </c>
      <c r="G167" s="4" t="str">
        <f>HYPERLINK("http://141.218.60.56/~jnz1568/getInfo.php?workbook=20_10.xlsx&amp;sheet=U0&amp;row=167&amp;col=7&amp;number=0.00362&amp;sourceID=14","0.00362")</f>
        <v>0.00362</v>
      </c>
    </row>
    <row r="168" spans="1:7">
      <c r="A168" s="3"/>
      <c r="B168" s="3"/>
      <c r="C168" s="3"/>
      <c r="D168" s="3"/>
      <c r="E168" s="3">
        <v>5</v>
      </c>
      <c r="F168" s="4" t="str">
        <f>HYPERLINK("http://141.218.60.56/~jnz1568/getInfo.php?workbook=20_10.xlsx&amp;sheet=U0&amp;row=168&amp;col=6&amp;number=3.4&amp;sourceID=14","3.4")</f>
        <v>3.4</v>
      </c>
      <c r="G168" s="4" t="str">
        <f>HYPERLINK("http://141.218.60.56/~jnz1568/getInfo.php?workbook=20_10.xlsx&amp;sheet=U0&amp;row=168&amp;col=7&amp;number=0.00362&amp;sourceID=14","0.00362")</f>
        <v>0.00362</v>
      </c>
    </row>
    <row r="169" spans="1:7">
      <c r="A169" s="3"/>
      <c r="B169" s="3"/>
      <c r="C169" s="3"/>
      <c r="D169" s="3"/>
      <c r="E169" s="3">
        <v>6</v>
      </c>
      <c r="F169" s="4" t="str">
        <f>HYPERLINK("http://141.218.60.56/~jnz1568/getInfo.php?workbook=20_10.xlsx&amp;sheet=U0&amp;row=169&amp;col=6&amp;number=3.5&amp;sourceID=14","3.5")</f>
        <v>3.5</v>
      </c>
      <c r="G169" s="4" t="str">
        <f>HYPERLINK("http://141.218.60.56/~jnz1568/getInfo.php?workbook=20_10.xlsx&amp;sheet=U0&amp;row=169&amp;col=7&amp;number=0.00362&amp;sourceID=14","0.00362")</f>
        <v>0.00362</v>
      </c>
    </row>
    <row r="170" spans="1:7">
      <c r="A170" s="3"/>
      <c r="B170" s="3"/>
      <c r="C170" s="3"/>
      <c r="D170" s="3"/>
      <c r="E170" s="3">
        <v>7</v>
      </c>
      <c r="F170" s="4" t="str">
        <f>HYPERLINK("http://141.218.60.56/~jnz1568/getInfo.php?workbook=20_10.xlsx&amp;sheet=U0&amp;row=170&amp;col=6&amp;number=3.6&amp;sourceID=14","3.6")</f>
        <v>3.6</v>
      </c>
      <c r="G170" s="4" t="str">
        <f>HYPERLINK("http://141.218.60.56/~jnz1568/getInfo.php?workbook=20_10.xlsx&amp;sheet=U0&amp;row=170&amp;col=7&amp;number=0.00362&amp;sourceID=14","0.00362")</f>
        <v>0.00362</v>
      </c>
    </row>
    <row r="171" spans="1:7">
      <c r="A171" s="3"/>
      <c r="B171" s="3"/>
      <c r="C171" s="3"/>
      <c r="D171" s="3"/>
      <c r="E171" s="3">
        <v>8</v>
      </c>
      <c r="F171" s="4" t="str">
        <f>HYPERLINK("http://141.218.60.56/~jnz1568/getInfo.php?workbook=20_10.xlsx&amp;sheet=U0&amp;row=171&amp;col=6&amp;number=3.7&amp;sourceID=14","3.7")</f>
        <v>3.7</v>
      </c>
      <c r="G171" s="4" t="str">
        <f>HYPERLINK("http://141.218.60.56/~jnz1568/getInfo.php?workbook=20_10.xlsx&amp;sheet=U0&amp;row=171&amp;col=7&amp;number=0.00362&amp;sourceID=14","0.00362")</f>
        <v>0.00362</v>
      </c>
    </row>
    <row r="172" spans="1:7">
      <c r="A172" s="3"/>
      <c r="B172" s="3"/>
      <c r="C172" s="3"/>
      <c r="D172" s="3"/>
      <c r="E172" s="3">
        <v>9</v>
      </c>
      <c r="F172" s="4" t="str">
        <f>HYPERLINK("http://141.218.60.56/~jnz1568/getInfo.php?workbook=20_10.xlsx&amp;sheet=U0&amp;row=172&amp;col=6&amp;number=3.8&amp;sourceID=14","3.8")</f>
        <v>3.8</v>
      </c>
      <c r="G172" s="4" t="str">
        <f>HYPERLINK("http://141.218.60.56/~jnz1568/getInfo.php?workbook=20_10.xlsx&amp;sheet=U0&amp;row=172&amp;col=7&amp;number=0.00362&amp;sourceID=14","0.00362")</f>
        <v>0.00362</v>
      </c>
    </row>
    <row r="173" spans="1:7">
      <c r="A173" s="3"/>
      <c r="B173" s="3"/>
      <c r="C173" s="3"/>
      <c r="D173" s="3"/>
      <c r="E173" s="3">
        <v>10</v>
      </c>
      <c r="F173" s="4" t="str">
        <f>HYPERLINK("http://141.218.60.56/~jnz1568/getInfo.php?workbook=20_10.xlsx&amp;sheet=U0&amp;row=173&amp;col=6&amp;number=3.9&amp;sourceID=14","3.9")</f>
        <v>3.9</v>
      </c>
      <c r="G173" s="4" t="str">
        <f>HYPERLINK("http://141.218.60.56/~jnz1568/getInfo.php?workbook=20_10.xlsx&amp;sheet=U0&amp;row=173&amp;col=7&amp;number=0.00362&amp;sourceID=14","0.00362")</f>
        <v>0.00362</v>
      </c>
    </row>
    <row r="174" spans="1:7">
      <c r="A174" s="3"/>
      <c r="B174" s="3"/>
      <c r="C174" s="3"/>
      <c r="D174" s="3"/>
      <c r="E174" s="3">
        <v>11</v>
      </c>
      <c r="F174" s="4" t="str">
        <f>HYPERLINK("http://141.218.60.56/~jnz1568/getInfo.php?workbook=20_10.xlsx&amp;sheet=U0&amp;row=174&amp;col=6&amp;number=4&amp;sourceID=14","4")</f>
        <v>4</v>
      </c>
      <c r="G174" s="4" t="str">
        <f>HYPERLINK("http://141.218.60.56/~jnz1568/getInfo.php?workbook=20_10.xlsx&amp;sheet=U0&amp;row=174&amp;col=7&amp;number=0.00361&amp;sourceID=14","0.00361")</f>
        <v>0.00361</v>
      </c>
    </row>
    <row r="175" spans="1:7">
      <c r="A175" s="3"/>
      <c r="B175" s="3"/>
      <c r="C175" s="3"/>
      <c r="D175" s="3"/>
      <c r="E175" s="3">
        <v>12</v>
      </c>
      <c r="F175" s="4" t="str">
        <f>HYPERLINK("http://141.218.60.56/~jnz1568/getInfo.php?workbook=20_10.xlsx&amp;sheet=U0&amp;row=175&amp;col=6&amp;number=4.1&amp;sourceID=14","4.1")</f>
        <v>4.1</v>
      </c>
      <c r="G175" s="4" t="str">
        <f>HYPERLINK("http://141.218.60.56/~jnz1568/getInfo.php?workbook=20_10.xlsx&amp;sheet=U0&amp;row=175&amp;col=7&amp;number=0.00361&amp;sourceID=14","0.00361")</f>
        <v>0.00361</v>
      </c>
    </row>
    <row r="176" spans="1:7">
      <c r="A176" s="3"/>
      <c r="B176" s="3"/>
      <c r="C176" s="3"/>
      <c r="D176" s="3"/>
      <c r="E176" s="3">
        <v>13</v>
      </c>
      <c r="F176" s="4" t="str">
        <f>HYPERLINK("http://141.218.60.56/~jnz1568/getInfo.php?workbook=20_10.xlsx&amp;sheet=U0&amp;row=176&amp;col=6&amp;number=4.2&amp;sourceID=14","4.2")</f>
        <v>4.2</v>
      </c>
      <c r="G176" s="4" t="str">
        <f>HYPERLINK("http://141.218.60.56/~jnz1568/getInfo.php?workbook=20_10.xlsx&amp;sheet=U0&amp;row=176&amp;col=7&amp;number=0.00361&amp;sourceID=14","0.00361")</f>
        <v>0.00361</v>
      </c>
    </row>
    <row r="177" spans="1:7">
      <c r="A177" s="3"/>
      <c r="B177" s="3"/>
      <c r="C177" s="3"/>
      <c r="D177" s="3"/>
      <c r="E177" s="3">
        <v>14</v>
      </c>
      <c r="F177" s="4" t="str">
        <f>HYPERLINK("http://141.218.60.56/~jnz1568/getInfo.php?workbook=20_10.xlsx&amp;sheet=U0&amp;row=177&amp;col=6&amp;number=4.3&amp;sourceID=14","4.3")</f>
        <v>4.3</v>
      </c>
      <c r="G177" s="4" t="str">
        <f>HYPERLINK("http://141.218.60.56/~jnz1568/getInfo.php?workbook=20_10.xlsx&amp;sheet=U0&amp;row=177&amp;col=7&amp;number=0.00361&amp;sourceID=14","0.00361")</f>
        <v>0.00361</v>
      </c>
    </row>
    <row r="178" spans="1:7">
      <c r="A178" s="3"/>
      <c r="B178" s="3"/>
      <c r="C178" s="3"/>
      <c r="D178" s="3"/>
      <c r="E178" s="3">
        <v>15</v>
      </c>
      <c r="F178" s="4" t="str">
        <f>HYPERLINK("http://141.218.60.56/~jnz1568/getInfo.php?workbook=20_10.xlsx&amp;sheet=U0&amp;row=178&amp;col=6&amp;number=4.4&amp;sourceID=14","4.4")</f>
        <v>4.4</v>
      </c>
      <c r="G178" s="4" t="str">
        <f>HYPERLINK("http://141.218.60.56/~jnz1568/getInfo.php?workbook=20_10.xlsx&amp;sheet=U0&amp;row=178&amp;col=7&amp;number=0.0036&amp;sourceID=14","0.0036")</f>
        <v>0.0036</v>
      </c>
    </row>
    <row r="179" spans="1:7">
      <c r="A179" s="3"/>
      <c r="B179" s="3"/>
      <c r="C179" s="3"/>
      <c r="D179" s="3"/>
      <c r="E179" s="3">
        <v>16</v>
      </c>
      <c r="F179" s="4" t="str">
        <f>HYPERLINK("http://141.218.60.56/~jnz1568/getInfo.php?workbook=20_10.xlsx&amp;sheet=U0&amp;row=179&amp;col=6&amp;number=4.5&amp;sourceID=14","4.5")</f>
        <v>4.5</v>
      </c>
      <c r="G179" s="4" t="str">
        <f>HYPERLINK("http://141.218.60.56/~jnz1568/getInfo.php?workbook=20_10.xlsx&amp;sheet=U0&amp;row=179&amp;col=7&amp;number=0.0036&amp;sourceID=14","0.0036")</f>
        <v>0.0036</v>
      </c>
    </row>
    <row r="180" spans="1:7">
      <c r="A180" s="3"/>
      <c r="B180" s="3"/>
      <c r="C180" s="3"/>
      <c r="D180" s="3"/>
      <c r="E180" s="3">
        <v>17</v>
      </c>
      <c r="F180" s="4" t="str">
        <f>HYPERLINK("http://141.218.60.56/~jnz1568/getInfo.php?workbook=20_10.xlsx&amp;sheet=U0&amp;row=180&amp;col=6&amp;number=4.6&amp;sourceID=14","4.6")</f>
        <v>4.6</v>
      </c>
      <c r="G180" s="4" t="str">
        <f>HYPERLINK("http://141.218.60.56/~jnz1568/getInfo.php?workbook=20_10.xlsx&amp;sheet=U0&amp;row=180&amp;col=7&amp;number=0.00359&amp;sourceID=14","0.00359")</f>
        <v>0.00359</v>
      </c>
    </row>
    <row r="181" spans="1:7">
      <c r="A181" s="3"/>
      <c r="B181" s="3"/>
      <c r="C181" s="3"/>
      <c r="D181" s="3"/>
      <c r="E181" s="3">
        <v>18</v>
      </c>
      <c r="F181" s="4" t="str">
        <f>HYPERLINK("http://141.218.60.56/~jnz1568/getInfo.php?workbook=20_10.xlsx&amp;sheet=U0&amp;row=181&amp;col=6&amp;number=4.7&amp;sourceID=14","4.7")</f>
        <v>4.7</v>
      </c>
      <c r="G181" s="4" t="str">
        <f>HYPERLINK("http://141.218.60.56/~jnz1568/getInfo.php?workbook=20_10.xlsx&amp;sheet=U0&amp;row=181&amp;col=7&amp;number=0.00358&amp;sourceID=14","0.00358")</f>
        <v>0.00358</v>
      </c>
    </row>
    <row r="182" spans="1:7">
      <c r="A182" s="3"/>
      <c r="B182" s="3"/>
      <c r="C182" s="3"/>
      <c r="D182" s="3"/>
      <c r="E182" s="3">
        <v>19</v>
      </c>
      <c r="F182" s="4" t="str">
        <f>HYPERLINK("http://141.218.60.56/~jnz1568/getInfo.php?workbook=20_10.xlsx&amp;sheet=U0&amp;row=182&amp;col=6&amp;number=4.8&amp;sourceID=14","4.8")</f>
        <v>4.8</v>
      </c>
      <c r="G182" s="4" t="str">
        <f>HYPERLINK("http://141.218.60.56/~jnz1568/getInfo.php?workbook=20_10.xlsx&amp;sheet=U0&amp;row=182&amp;col=7&amp;number=0.00357&amp;sourceID=14","0.00357")</f>
        <v>0.00357</v>
      </c>
    </row>
    <row r="183" spans="1:7">
      <c r="A183" s="3"/>
      <c r="B183" s="3"/>
      <c r="C183" s="3"/>
      <c r="D183" s="3"/>
      <c r="E183" s="3">
        <v>20</v>
      </c>
      <c r="F183" s="4" t="str">
        <f>HYPERLINK("http://141.218.60.56/~jnz1568/getInfo.php?workbook=20_10.xlsx&amp;sheet=U0&amp;row=183&amp;col=6&amp;number=4.9&amp;sourceID=14","4.9")</f>
        <v>4.9</v>
      </c>
      <c r="G183" s="4" t="str">
        <f>HYPERLINK("http://141.218.60.56/~jnz1568/getInfo.php?workbook=20_10.xlsx&amp;sheet=U0&amp;row=183&amp;col=7&amp;number=0.00356&amp;sourceID=14","0.00356")</f>
        <v>0.00356</v>
      </c>
    </row>
    <row r="184" spans="1:7">
      <c r="A184" s="3">
        <v>20</v>
      </c>
      <c r="B184" s="3">
        <v>10</v>
      </c>
      <c r="C184" s="3">
        <v>1</v>
      </c>
      <c r="D184" s="3">
        <v>11</v>
      </c>
      <c r="E184" s="3">
        <v>1</v>
      </c>
      <c r="F184" s="4" t="str">
        <f>HYPERLINK("http://141.218.60.56/~jnz1568/getInfo.php?workbook=20_10.xlsx&amp;sheet=U0&amp;row=184&amp;col=6&amp;number=3&amp;sourceID=14","3")</f>
        <v>3</v>
      </c>
      <c r="G184" s="4" t="str">
        <f>HYPERLINK("http://141.218.60.56/~jnz1568/getInfo.php?workbook=20_10.xlsx&amp;sheet=U0&amp;row=184&amp;col=7&amp;number=0.00389&amp;sourceID=14","0.00389")</f>
        <v>0.00389</v>
      </c>
    </row>
    <row r="185" spans="1:7">
      <c r="A185" s="3"/>
      <c r="B185" s="3"/>
      <c r="C185" s="3"/>
      <c r="D185" s="3"/>
      <c r="E185" s="3">
        <v>2</v>
      </c>
      <c r="F185" s="4" t="str">
        <f>HYPERLINK("http://141.218.60.56/~jnz1568/getInfo.php?workbook=20_10.xlsx&amp;sheet=U0&amp;row=185&amp;col=6&amp;number=3.1&amp;sourceID=14","3.1")</f>
        <v>3.1</v>
      </c>
      <c r="G185" s="4" t="str">
        <f>HYPERLINK("http://141.218.60.56/~jnz1568/getInfo.php?workbook=20_10.xlsx&amp;sheet=U0&amp;row=185&amp;col=7&amp;number=0.00388&amp;sourceID=14","0.00388")</f>
        <v>0.00388</v>
      </c>
    </row>
    <row r="186" spans="1:7">
      <c r="A186" s="3"/>
      <c r="B186" s="3"/>
      <c r="C186" s="3"/>
      <c r="D186" s="3"/>
      <c r="E186" s="3">
        <v>3</v>
      </c>
      <c r="F186" s="4" t="str">
        <f>HYPERLINK("http://141.218.60.56/~jnz1568/getInfo.php?workbook=20_10.xlsx&amp;sheet=U0&amp;row=186&amp;col=6&amp;number=3.2&amp;sourceID=14","3.2")</f>
        <v>3.2</v>
      </c>
      <c r="G186" s="4" t="str">
        <f>HYPERLINK("http://141.218.60.56/~jnz1568/getInfo.php?workbook=20_10.xlsx&amp;sheet=U0&amp;row=186&amp;col=7&amp;number=0.00388&amp;sourceID=14","0.00388")</f>
        <v>0.00388</v>
      </c>
    </row>
    <row r="187" spans="1:7">
      <c r="A187" s="3"/>
      <c r="B187" s="3"/>
      <c r="C187" s="3"/>
      <c r="D187" s="3"/>
      <c r="E187" s="3">
        <v>4</v>
      </c>
      <c r="F187" s="4" t="str">
        <f>HYPERLINK("http://141.218.60.56/~jnz1568/getInfo.php?workbook=20_10.xlsx&amp;sheet=U0&amp;row=187&amp;col=6&amp;number=3.3&amp;sourceID=14","3.3")</f>
        <v>3.3</v>
      </c>
      <c r="G187" s="4" t="str">
        <f>HYPERLINK("http://141.218.60.56/~jnz1568/getInfo.php?workbook=20_10.xlsx&amp;sheet=U0&amp;row=187&amp;col=7&amp;number=0.00388&amp;sourceID=14","0.00388")</f>
        <v>0.00388</v>
      </c>
    </row>
    <row r="188" spans="1:7">
      <c r="A188" s="3"/>
      <c r="B188" s="3"/>
      <c r="C188" s="3"/>
      <c r="D188" s="3"/>
      <c r="E188" s="3">
        <v>5</v>
      </c>
      <c r="F188" s="4" t="str">
        <f>HYPERLINK("http://141.218.60.56/~jnz1568/getInfo.php?workbook=20_10.xlsx&amp;sheet=U0&amp;row=188&amp;col=6&amp;number=3.4&amp;sourceID=14","3.4")</f>
        <v>3.4</v>
      </c>
      <c r="G188" s="4" t="str">
        <f>HYPERLINK("http://141.218.60.56/~jnz1568/getInfo.php?workbook=20_10.xlsx&amp;sheet=U0&amp;row=188&amp;col=7&amp;number=0.00388&amp;sourceID=14","0.00388")</f>
        <v>0.00388</v>
      </c>
    </row>
    <row r="189" spans="1:7">
      <c r="A189" s="3"/>
      <c r="B189" s="3"/>
      <c r="C189" s="3"/>
      <c r="D189" s="3"/>
      <c r="E189" s="3">
        <v>6</v>
      </c>
      <c r="F189" s="4" t="str">
        <f>HYPERLINK("http://141.218.60.56/~jnz1568/getInfo.php?workbook=20_10.xlsx&amp;sheet=U0&amp;row=189&amp;col=6&amp;number=3.5&amp;sourceID=14","3.5")</f>
        <v>3.5</v>
      </c>
      <c r="G189" s="4" t="str">
        <f>HYPERLINK("http://141.218.60.56/~jnz1568/getInfo.php?workbook=20_10.xlsx&amp;sheet=U0&amp;row=189&amp;col=7&amp;number=0.00388&amp;sourceID=14","0.00388")</f>
        <v>0.00388</v>
      </c>
    </row>
    <row r="190" spans="1:7">
      <c r="A190" s="3"/>
      <c r="B190" s="3"/>
      <c r="C190" s="3"/>
      <c r="D190" s="3"/>
      <c r="E190" s="3">
        <v>7</v>
      </c>
      <c r="F190" s="4" t="str">
        <f>HYPERLINK("http://141.218.60.56/~jnz1568/getInfo.php?workbook=20_10.xlsx&amp;sheet=U0&amp;row=190&amp;col=6&amp;number=3.6&amp;sourceID=14","3.6")</f>
        <v>3.6</v>
      </c>
      <c r="G190" s="4" t="str">
        <f>HYPERLINK("http://141.218.60.56/~jnz1568/getInfo.php?workbook=20_10.xlsx&amp;sheet=U0&amp;row=190&amp;col=7&amp;number=0.00388&amp;sourceID=14","0.00388")</f>
        <v>0.00388</v>
      </c>
    </row>
    <row r="191" spans="1:7">
      <c r="A191" s="3"/>
      <c r="B191" s="3"/>
      <c r="C191" s="3"/>
      <c r="D191" s="3"/>
      <c r="E191" s="3">
        <v>8</v>
      </c>
      <c r="F191" s="4" t="str">
        <f>HYPERLINK("http://141.218.60.56/~jnz1568/getInfo.php?workbook=20_10.xlsx&amp;sheet=U0&amp;row=191&amp;col=6&amp;number=3.7&amp;sourceID=14","3.7")</f>
        <v>3.7</v>
      </c>
      <c r="G191" s="4" t="str">
        <f>HYPERLINK("http://141.218.60.56/~jnz1568/getInfo.php?workbook=20_10.xlsx&amp;sheet=U0&amp;row=191&amp;col=7&amp;number=0.00388&amp;sourceID=14","0.00388")</f>
        <v>0.00388</v>
      </c>
    </row>
    <row r="192" spans="1:7">
      <c r="A192" s="3"/>
      <c r="B192" s="3"/>
      <c r="C192" s="3"/>
      <c r="D192" s="3"/>
      <c r="E192" s="3">
        <v>9</v>
      </c>
      <c r="F192" s="4" t="str">
        <f>HYPERLINK("http://141.218.60.56/~jnz1568/getInfo.php?workbook=20_10.xlsx&amp;sheet=U0&amp;row=192&amp;col=6&amp;number=3.8&amp;sourceID=14","3.8")</f>
        <v>3.8</v>
      </c>
      <c r="G192" s="4" t="str">
        <f>HYPERLINK("http://141.218.60.56/~jnz1568/getInfo.php?workbook=20_10.xlsx&amp;sheet=U0&amp;row=192&amp;col=7&amp;number=0.00388&amp;sourceID=14","0.00388")</f>
        <v>0.00388</v>
      </c>
    </row>
    <row r="193" spans="1:7">
      <c r="A193" s="3"/>
      <c r="B193" s="3"/>
      <c r="C193" s="3"/>
      <c r="D193" s="3"/>
      <c r="E193" s="3">
        <v>10</v>
      </c>
      <c r="F193" s="4" t="str">
        <f>HYPERLINK("http://141.218.60.56/~jnz1568/getInfo.php?workbook=20_10.xlsx&amp;sheet=U0&amp;row=193&amp;col=6&amp;number=3.9&amp;sourceID=14","3.9")</f>
        <v>3.9</v>
      </c>
      <c r="G193" s="4" t="str">
        <f>HYPERLINK("http://141.218.60.56/~jnz1568/getInfo.php?workbook=20_10.xlsx&amp;sheet=U0&amp;row=193&amp;col=7&amp;number=0.00388&amp;sourceID=14","0.00388")</f>
        <v>0.00388</v>
      </c>
    </row>
    <row r="194" spans="1:7">
      <c r="A194" s="3"/>
      <c r="B194" s="3"/>
      <c r="C194" s="3"/>
      <c r="D194" s="3"/>
      <c r="E194" s="3">
        <v>11</v>
      </c>
      <c r="F194" s="4" t="str">
        <f>HYPERLINK("http://141.218.60.56/~jnz1568/getInfo.php?workbook=20_10.xlsx&amp;sheet=U0&amp;row=194&amp;col=6&amp;number=4&amp;sourceID=14","4")</f>
        <v>4</v>
      </c>
      <c r="G194" s="4" t="str">
        <f>HYPERLINK("http://141.218.60.56/~jnz1568/getInfo.php?workbook=20_10.xlsx&amp;sheet=U0&amp;row=194&amp;col=7&amp;number=0.00388&amp;sourceID=14","0.00388")</f>
        <v>0.00388</v>
      </c>
    </row>
    <row r="195" spans="1:7">
      <c r="A195" s="3"/>
      <c r="B195" s="3"/>
      <c r="C195" s="3"/>
      <c r="D195" s="3"/>
      <c r="E195" s="3">
        <v>12</v>
      </c>
      <c r="F195" s="4" t="str">
        <f>HYPERLINK("http://141.218.60.56/~jnz1568/getInfo.php?workbook=20_10.xlsx&amp;sheet=U0&amp;row=195&amp;col=6&amp;number=4.1&amp;sourceID=14","4.1")</f>
        <v>4.1</v>
      </c>
      <c r="G195" s="4" t="str">
        <f>HYPERLINK("http://141.218.60.56/~jnz1568/getInfo.php?workbook=20_10.xlsx&amp;sheet=U0&amp;row=195&amp;col=7&amp;number=0.00388&amp;sourceID=14","0.00388")</f>
        <v>0.00388</v>
      </c>
    </row>
    <row r="196" spans="1:7">
      <c r="A196" s="3"/>
      <c r="B196" s="3"/>
      <c r="C196" s="3"/>
      <c r="D196" s="3"/>
      <c r="E196" s="3">
        <v>13</v>
      </c>
      <c r="F196" s="4" t="str">
        <f>HYPERLINK("http://141.218.60.56/~jnz1568/getInfo.php?workbook=20_10.xlsx&amp;sheet=U0&amp;row=196&amp;col=6&amp;number=4.2&amp;sourceID=14","4.2")</f>
        <v>4.2</v>
      </c>
      <c r="G196" s="4" t="str">
        <f>HYPERLINK("http://141.218.60.56/~jnz1568/getInfo.php?workbook=20_10.xlsx&amp;sheet=U0&amp;row=196&amp;col=7&amp;number=0.00387&amp;sourceID=14","0.00387")</f>
        <v>0.00387</v>
      </c>
    </row>
    <row r="197" spans="1:7">
      <c r="A197" s="3"/>
      <c r="B197" s="3"/>
      <c r="C197" s="3"/>
      <c r="D197" s="3"/>
      <c r="E197" s="3">
        <v>14</v>
      </c>
      <c r="F197" s="4" t="str">
        <f>HYPERLINK("http://141.218.60.56/~jnz1568/getInfo.php?workbook=20_10.xlsx&amp;sheet=U0&amp;row=197&amp;col=6&amp;number=4.3&amp;sourceID=14","4.3")</f>
        <v>4.3</v>
      </c>
      <c r="G197" s="4" t="str">
        <f>HYPERLINK("http://141.218.60.56/~jnz1568/getInfo.php?workbook=20_10.xlsx&amp;sheet=U0&amp;row=197&amp;col=7&amp;number=0.00387&amp;sourceID=14","0.00387")</f>
        <v>0.00387</v>
      </c>
    </row>
    <row r="198" spans="1:7">
      <c r="A198" s="3"/>
      <c r="B198" s="3"/>
      <c r="C198" s="3"/>
      <c r="D198" s="3"/>
      <c r="E198" s="3">
        <v>15</v>
      </c>
      <c r="F198" s="4" t="str">
        <f>HYPERLINK("http://141.218.60.56/~jnz1568/getInfo.php?workbook=20_10.xlsx&amp;sheet=U0&amp;row=198&amp;col=6&amp;number=4.4&amp;sourceID=14","4.4")</f>
        <v>4.4</v>
      </c>
      <c r="G198" s="4" t="str">
        <f>HYPERLINK("http://141.218.60.56/~jnz1568/getInfo.php?workbook=20_10.xlsx&amp;sheet=U0&amp;row=198&amp;col=7&amp;number=0.00386&amp;sourceID=14","0.00386")</f>
        <v>0.00386</v>
      </c>
    </row>
    <row r="199" spans="1:7">
      <c r="A199" s="3"/>
      <c r="B199" s="3"/>
      <c r="C199" s="3"/>
      <c r="D199" s="3"/>
      <c r="E199" s="3">
        <v>16</v>
      </c>
      <c r="F199" s="4" t="str">
        <f>HYPERLINK("http://141.218.60.56/~jnz1568/getInfo.php?workbook=20_10.xlsx&amp;sheet=U0&amp;row=199&amp;col=6&amp;number=4.5&amp;sourceID=14","4.5")</f>
        <v>4.5</v>
      </c>
      <c r="G199" s="4" t="str">
        <f>HYPERLINK("http://141.218.60.56/~jnz1568/getInfo.php?workbook=20_10.xlsx&amp;sheet=U0&amp;row=199&amp;col=7&amp;number=0.00386&amp;sourceID=14","0.00386")</f>
        <v>0.00386</v>
      </c>
    </row>
    <row r="200" spans="1:7">
      <c r="A200" s="3"/>
      <c r="B200" s="3"/>
      <c r="C200" s="3"/>
      <c r="D200" s="3"/>
      <c r="E200" s="3">
        <v>17</v>
      </c>
      <c r="F200" s="4" t="str">
        <f>HYPERLINK("http://141.218.60.56/~jnz1568/getInfo.php?workbook=20_10.xlsx&amp;sheet=U0&amp;row=200&amp;col=6&amp;number=4.6&amp;sourceID=14","4.6")</f>
        <v>4.6</v>
      </c>
      <c r="G200" s="4" t="str">
        <f>HYPERLINK("http://141.218.60.56/~jnz1568/getInfo.php?workbook=20_10.xlsx&amp;sheet=U0&amp;row=200&amp;col=7&amp;number=0.00385&amp;sourceID=14","0.00385")</f>
        <v>0.00385</v>
      </c>
    </row>
    <row r="201" spans="1:7">
      <c r="A201" s="3"/>
      <c r="B201" s="3"/>
      <c r="C201" s="3"/>
      <c r="D201" s="3"/>
      <c r="E201" s="3">
        <v>18</v>
      </c>
      <c r="F201" s="4" t="str">
        <f>HYPERLINK("http://141.218.60.56/~jnz1568/getInfo.php?workbook=20_10.xlsx&amp;sheet=U0&amp;row=201&amp;col=6&amp;number=4.7&amp;sourceID=14","4.7")</f>
        <v>4.7</v>
      </c>
      <c r="G201" s="4" t="str">
        <f>HYPERLINK("http://141.218.60.56/~jnz1568/getInfo.php?workbook=20_10.xlsx&amp;sheet=U0&amp;row=201&amp;col=7&amp;number=0.00384&amp;sourceID=14","0.00384")</f>
        <v>0.00384</v>
      </c>
    </row>
    <row r="202" spans="1:7">
      <c r="A202" s="3"/>
      <c r="B202" s="3"/>
      <c r="C202" s="3"/>
      <c r="D202" s="3"/>
      <c r="E202" s="3">
        <v>19</v>
      </c>
      <c r="F202" s="4" t="str">
        <f>HYPERLINK("http://141.218.60.56/~jnz1568/getInfo.php?workbook=20_10.xlsx&amp;sheet=U0&amp;row=202&amp;col=6&amp;number=4.8&amp;sourceID=14","4.8")</f>
        <v>4.8</v>
      </c>
      <c r="G202" s="4" t="str">
        <f>HYPERLINK("http://141.218.60.56/~jnz1568/getInfo.php?workbook=20_10.xlsx&amp;sheet=U0&amp;row=202&amp;col=7&amp;number=0.00383&amp;sourceID=14","0.00383")</f>
        <v>0.00383</v>
      </c>
    </row>
    <row r="203" spans="1:7">
      <c r="A203" s="3"/>
      <c r="B203" s="3"/>
      <c r="C203" s="3"/>
      <c r="D203" s="3"/>
      <c r="E203" s="3">
        <v>20</v>
      </c>
      <c r="F203" s="4" t="str">
        <f>HYPERLINK("http://141.218.60.56/~jnz1568/getInfo.php?workbook=20_10.xlsx&amp;sheet=U0&amp;row=203&amp;col=6&amp;number=4.9&amp;sourceID=14","4.9")</f>
        <v>4.9</v>
      </c>
      <c r="G203" s="4" t="str">
        <f>HYPERLINK("http://141.218.60.56/~jnz1568/getInfo.php?workbook=20_10.xlsx&amp;sheet=U0&amp;row=203&amp;col=7&amp;number=0.00382&amp;sourceID=14","0.00382")</f>
        <v>0.00382</v>
      </c>
    </row>
    <row r="204" spans="1:7">
      <c r="A204" s="3">
        <v>20</v>
      </c>
      <c r="B204" s="3">
        <v>10</v>
      </c>
      <c r="C204" s="3">
        <v>1</v>
      </c>
      <c r="D204" s="3">
        <v>12</v>
      </c>
      <c r="E204" s="3">
        <v>1</v>
      </c>
      <c r="F204" s="4" t="str">
        <f>HYPERLINK("http://141.218.60.56/~jnz1568/getInfo.php?workbook=20_10.xlsx&amp;sheet=U0&amp;row=204&amp;col=6&amp;number=3&amp;sourceID=14","3")</f>
        <v>3</v>
      </c>
      <c r="G204" s="4" t="str">
        <f>HYPERLINK("http://141.218.60.56/~jnz1568/getInfo.php?workbook=20_10.xlsx&amp;sheet=U0&amp;row=204&amp;col=7&amp;number=0.00235&amp;sourceID=14","0.00235")</f>
        <v>0.00235</v>
      </c>
    </row>
    <row r="205" spans="1:7">
      <c r="A205" s="3"/>
      <c r="B205" s="3"/>
      <c r="C205" s="3"/>
      <c r="D205" s="3"/>
      <c r="E205" s="3">
        <v>2</v>
      </c>
      <c r="F205" s="4" t="str">
        <f>HYPERLINK("http://141.218.60.56/~jnz1568/getInfo.php?workbook=20_10.xlsx&amp;sheet=U0&amp;row=205&amp;col=6&amp;number=3.1&amp;sourceID=14","3.1")</f>
        <v>3.1</v>
      </c>
      <c r="G205" s="4" t="str">
        <f>HYPERLINK("http://141.218.60.56/~jnz1568/getInfo.php?workbook=20_10.xlsx&amp;sheet=U0&amp;row=205&amp;col=7&amp;number=0.00235&amp;sourceID=14","0.00235")</f>
        <v>0.00235</v>
      </c>
    </row>
    <row r="206" spans="1:7">
      <c r="A206" s="3"/>
      <c r="B206" s="3"/>
      <c r="C206" s="3"/>
      <c r="D206" s="3"/>
      <c r="E206" s="3">
        <v>3</v>
      </c>
      <c r="F206" s="4" t="str">
        <f>HYPERLINK("http://141.218.60.56/~jnz1568/getInfo.php?workbook=20_10.xlsx&amp;sheet=U0&amp;row=206&amp;col=6&amp;number=3.2&amp;sourceID=14","3.2")</f>
        <v>3.2</v>
      </c>
      <c r="G206" s="4" t="str">
        <f>HYPERLINK("http://141.218.60.56/~jnz1568/getInfo.php?workbook=20_10.xlsx&amp;sheet=U0&amp;row=206&amp;col=7&amp;number=0.00235&amp;sourceID=14","0.00235")</f>
        <v>0.00235</v>
      </c>
    </row>
    <row r="207" spans="1:7">
      <c r="A207" s="3"/>
      <c r="B207" s="3"/>
      <c r="C207" s="3"/>
      <c r="D207" s="3"/>
      <c r="E207" s="3">
        <v>4</v>
      </c>
      <c r="F207" s="4" t="str">
        <f>HYPERLINK("http://141.218.60.56/~jnz1568/getInfo.php?workbook=20_10.xlsx&amp;sheet=U0&amp;row=207&amp;col=6&amp;number=3.3&amp;sourceID=14","3.3")</f>
        <v>3.3</v>
      </c>
      <c r="G207" s="4" t="str">
        <f>HYPERLINK("http://141.218.60.56/~jnz1568/getInfo.php?workbook=20_10.xlsx&amp;sheet=U0&amp;row=207&amp;col=7&amp;number=0.00235&amp;sourceID=14","0.00235")</f>
        <v>0.00235</v>
      </c>
    </row>
    <row r="208" spans="1:7">
      <c r="A208" s="3"/>
      <c r="B208" s="3"/>
      <c r="C208" s="3"/>
      <c r="D208" s="3"/>
      <c r="E208" s="3">
        <v>5</v>
      </c>
      <c r="F208" s="4" t="str">
        <f>HYPERLINK("http://141.218.60.56/~jnz1568/getInfo.php?workbook=20_10.xlsx&amp;sheet=U0&amp;row=208&amp;col=6&amp;number=3.4&amp;sourceID=14","3.4")</f>
        <v>3.4</v>
      </c>
      <c r="G208" s="4" t="str">
        <f>HYPERLINK("http://141.218.60.56/~jnz1568/getInfo.php?workbook=20_10.xlsx&amp;sheet=U0&amp;row=208&amp;col=7&amp;number=0.00235&amp;sourceID=14","0.00235")</f>
        <v>0.00235</v>
      </c>
    </row>
    <row r="209" spans="1:7">
      <c r="A209" s="3"/>
      <c r="B209" s="3"/>
      <c r="C209" s="3"/>
      <c r="D209" s="3"/>
      <c r="E209" s="3">
        <v>6</v>
      </c>
      <c r="F209" s="4" t="str">
        <f>HYPERLINK("http://141.218.60.56/~jnz1568/getInfo.php?workbook=20_10.xlsx&amp;sheet=U0&amp;row=209&amp;col=6&amp;number=3.5&amp;sourceID=14","3.5")</f>
        <v>3.5</v>
      </c>
      <c r="G209" s="4" t="str">
        <f>HYPERLINK("http://141.218.60.56/~jnz1568/getInfo.php?workbook=20_10.xlsx&amp;sheet=U0&amp;row=209&amp;col=7&amp;number=0.00235&amp;sourceID=14","0.00235")</f>
        <v>0.00235</v>
      </c>
    </row>
    <row r="210" spans="1:7">
      <c r="A210" s="3"/>
      <c r="B210" s="3"/>
      <c r="C210" s="3"/>
      <c r="D210" s="3"/>
      <c r="E210" s="3">
        <v>7</v>
      </c>
      <c r="F210" s="4" t="str">
        <f>HYPERLINK("http://141.218.60.56/~jnz1568/getInfo.php?workbook=20_10.xlsx&amp;sheet=U0&amp;row=210&amp;col=6&amp;number=3.6&amp;sourceID=14","3.6")</f>
        <v>3.6</v>
      </c>
      <c r="G210" s="4" t="str">
        <f>HYPERLINK("http://141.218.60.56/~jnz1568/getInfo.php?workbook=20_10.xlsx&amp;sheet=U0&amp;row=210&amp;col=7&amp;number=0.00235&amp;sourceID=14","0.00235")</f>
        <v>0.00235</v>
      </c>
    </row>
    <row r="211" spans="1:7">
      <c r="A211" s="3"/>
      <c r="B211" s="3"/>
      <c r="C211" s="3"/>
      <c r="D211" s="3"/>
      <c r="E211" s="3">
        <v>8</v>
      </c>
      <c r="F211" s="4" t="str">
        <f>HYPERLINK("http://141.218.60.56/~jnz1568/getInfo.php?workbook=20_10.xlsx&amp;sheet=U0&amp;row=211&amp;col=6&amp;number=3.7&amp;sourceID=14","3.7")</f>
        <v>3.7</v>
      </c>
      <c r="G211" s="4" t="str">
        <f>HYPERLINK("http://141.218.60.56/~jnz1568/getInfo.php?workbook=20_10.xlsx&amp;sheet=U0&amp;row=211&amp;col=7&amp;number=0.00235&amp;sourceID=14","0.00235")</f>
        <v>0.00235</v>
      </c>
    </row>
    <row r="212" spans="1:7">
      <c r="A212" s="3"/>
      <c r="B212" s="3"/>
      <c r="C212" s="3"/>
      <c r="D212" s="3"/>
      <c r="E212" s="3">
        <v>9</v>
      </c>
      <c r="F212" s="4" t="str">
        <f>HYPERLINK("http://141.218.60.56/~jnz1568/getInfo.php?workbook=20_10.xlsx&amp;sheet=U0&amp;row=212&amp;col=6&amp;number=3.8&amp;sourceID=14","3.8")</f>
        <v>3.8</v>
      </c>
      <c r="G212" s="4" t="str">
        <f>HYPERLINK("http://141.218.60.56/~jnz1568/getInfo.php?workbook=20_10.xlsx&amp;sheet=U0&amp;row=212&amp;col=7&amp;number=0.00235&amp;sourceID=14","0.00235")</f>
        <v>0.00235</v>
      </c>
    </row>
    <row r="213" spans="1:7">
      <c r="A213" s="3"/>
      <c r="B213" s="3"/>
      <c r="C213" s="3"/>
      <c r="D213" s="3"/>
      <c r="E213" s="3">
        <v>10</v>
      </c>
      <c r="F213" s="4" t="str">
        <f>HYPERLINK("http://141.218.60.56/~jnz1568/getInfo.php?workbook=20_10.xlsx&amp;sheet=U0&amp;row=213&amp;col=6&amp;number=3.9&amp;sourceID=14","3.9")</f>
        <v>3.9</v>
      </c>
      <c r="G213" s="4" t="str">
        <f>HYPERLINK("http://141.218.60.56/~jnz1568/getInfo.php?workbook=20_10.xlsx&amp;sheet=U0&amp;row=213&amp;col=7&amp;number=0.00235&amp;sourceID=14","0.00235")</f>
        <v>0.00235</v>
      </c>
    </row>
    <row r="214" spans="1:7">
      <c r="A214" s="3"/>
      <c r="B214" s="3"/>
      <c r="C214" s="3"/>
      <c r="D214" s="3"/>
      <c r="E214" s="3">
        <v>11</v>
      </c>
      <c r="F214" s="4" t="str">
        <f>HYPERLINK("http://141.218.60.56/~jnz1568/getInfo.php?workbook=20_10.xlsx&amp;sheet=U0&amp;row=214&amp;col=6&amp;number=4&amp;sourceID=14","4")</f>
        <v>4</v>
      </c>
      <c r="G214" s="4" t="str">
        <f>HYPERLINK("http://141.218.60.56/~jnz1568/getInfo.php?workbook=20_10.xlsx&amp;sheet=U0&amp;row=214&amp;col=7&amp;number=0.00235&amp;sourceID=14","0.00235")</f>
        <v>0.00235</v>
      </c>
    </row>
    <row r="215" spans="1:7">
      <c r="A215" s="3"/>
      <c r="B215" s="3"/>
      <c r="C215" s="3"/>
      <c r="D215" s="3"/>
      <c r="E215" s="3">
        <v>12</v>
      </c>
      <c r="F215" s="4" t="str">
        <f>HYPERLINK("http://141.218.60.56/~jnz1568/getInfo.php?workbook=20_10.xlsx&amp;sheet=U0&amp;row=215&amp;col=6&amp;number=4.1&amp;sourceID=14","4.1")</f>
        <v>4.1</v>
      </c>
      <c r="G215" s="4" t="str">
        <f>HYPERLINK("http://141.218.60.56/~jnz1568/getInfo.php?workbook=20_10.xlsx&amp;sheet=U0&amp;row=215&amp;col=7&amp;number=0.00235&amp;sourceID=14","0.00235")</f>
        <v>0.00235</v>
      </c>
    </row>
    <row r="216" spans="1:7">
      <c r="A216" s="3"/>
      <c r="B216" s="3"/>
      <c r="C216" s="3"/>
      <c r="D216" s="3"/>
      <c r="E216" s="3">
        <v>13</v>
      </c>
      <c r="F216" s="4" t="str">
        <f>HYPERLINK("http://141.218.60.56/~jnz1568/getInfo.php?workbook=20_10.xlsx&amp;sheet=U0&amp;row=216&amp;col=6&amp;number=4.2&amp;sourceID=14","4.2")</f>
        <v>4.2</v>
      </c>
      <c r="G216" s="4" t="str">
        <f>HYPERLINK("http://141.218.60.56/~jnz1568/getInfo.php?workbook=20_10.xlsx&amp;sheet=U0&amp;row=216&amp;col=7&amp;number=0.00235&amp;sourceID=14","0.00235")</f>
        <v>0.00235</v>
      </c>
    </row>
    <row r="217" spans="1:7">
      <c r="A217" s="3"/>
      <c r="B217" s="3"/>
      <c r="C217" s="3"/>
      <c r="D217" s="3"/>
      <c r="E217" s="3">
        <v>14</v>
      </c>
      <c r="F217" s="4" t="str">
        <f>HYPERLINK("http://141.218.60.56/~jnz1568/getInfo.php?workbook=20_10.xlsx&amp;sheet=U0&amp;row=217&amp;col=6&amp;number=4.3&amp;sourceID=14","4.3")</f>
        <v>4.3</v>
      </c>
      <c r="G217" s="4" t="str">
        <f>HYPERLINK("http://141.218.60.56/~jnz1568/getInfo.php?workbook=20_10.xlsx&amp;sheet=U0&amp;row=217&amp;col=7&amp;number=0.00235&amp;sourceID=14","0.00235")</f>
        <v>0.00235</v>
      </c>
    </row>
    <row r="218" spans="1:7">
      <c r="A218" s="3"/>
      <c r="B218" s="3"/>
      <c r="C218" s="3"/>
      <c r="D218" s="3"/>
      <c r="E218" s="3">
        <v>15</v>
      </c>
      <c r="F218" s="4" t="str">
        <f>HYPERLINK("http://141.218.60.56/~jnz1568/getInfo.php?workbook=20_10.xlsx&amp;sheet=U0&amp;row=218&amp;col=6&amp;number=4.4&amp;sourceID=14","4.4")</f>
        <v>4.4</v>
      </c>
      <c r="G218" s="4" t="str">
        <f>HYPERLINK("http://141.218.60.56/~jnz1568/getInfo.php?workbook=20_10.xlsx&amp;sheet=U0&amp;row=218&amp;col=7&amp;number=0.00235&amp;sourceID=14","0.00235")</f>
        <v>0.00235</v>
      </c>
    </row>
    <row r="219" spans="1:7">
      <c r="A219" s="3"/>
      <c r="B219" s="3"/>
      <c r="C219" s="3"/>
      <c r="D219" s="3"/>
      <c r="E219" s="3">
        <v>16</v>
      </c>
      <c r="F219" s="4" t="str">
        <f>HYPERLINK("http://141.218.60.56/~jnz1568/getInfo.php?workbook=20_10.xlsx&amp;sheet=U0&amp;row=219&amp;col=6&amp;number=4.5&amp;sourceID=14","4.5")</f>
        <v>4.5</v>
      </c>
      <c r="G219" s="4" t="str">
        <f>HYPERLINK("http://141.218.60.56/~jnz1568/getInfo.php?workbook=20_10.xlsx&amp;sheet=U0&amp;row=219&amp;col=7&amp;number=0.00235&amp;sourceID=14","0.00235")</f>
        <v>0.00235</v>
      </c>
    </row>
    <row r="220" spans="1:7">
      <c r="A220" s="3"/>
      <c r="B220" s="3"/>
      <c r="C220" s="3"/>
      <c r="D220" s="3"/>
      <c r="E220" s="3">
        <v>17</v>
      </c>
      <c r="F220" s="4" t="str">
        <f>HYPERLINK("http://141.218.60.56/~jnz1568/getInfo.php?workbook=20_10.xlsx&amp;sheet=U0&amp;row=220&amp;col=6&amp;number=4.6&amp;sourceID=14","4.6")</f>
        <v>4.6</v>
      </c>
      <c r="G220" s="4" t="str">
        <f>HYPERLINK("http://141.218.60.56/~jnz1568/getInfo.php?workbook=20_10.xlsx&amp;sheet=U0&amp;row=220&amp;col=7&amp;number=0.00234&amp;sourceID=14","0.00234")</f>
        <v>0.00234</v>
      </c>
    </row>
    <row r="221" spans="1:7">
      <c r="A221" s="3"/>
      <c r="B221" s="3"/>
      <c r="C221" s="3"/>
      <c r="D221" s="3"/>
      <c r="E221" s="3">
        <v>18</v>
      </c>
      <c r="F221" s="4" t="str">
        <f>HYPERLINK("http://141.218.60.56/~jnz1568/getInfo.php?workbook=20_10.xlsx&amp;sheet=U0&amp;row=221&amp;col=6&amp;number=4.7&amp;sourceID=14","4.7")</f>
        <v>4.7</v>
      </c>
      <c r="G221" s="4" t="str">
        <f>HYPERLINK("http://141.218.60.56/~jnz1568/getInfo.php?workbook=20_10.xlsx&amp;sheet=U0&amp;row=221&amp;col=7&amp;number=0.00234&amp;sourceID=14","0.00234")</f>
        <v>0.00234</v>
      </c>
    </row>
    <row r="222" spans="1:7">
      <c r="A222" s="3"/>
      <c r="B222" s="3"/>
      <c r="C222" s="3"/>
      <c r="D222" s="3"/>
      <c r="E222" s="3">
        <v>19</v>
      </c>
      <c r="F222" s="4" t="str">
        <f>HYPERLINK("http://141.218.60.56/~jnz1568/getInfo.php?workbook=20_10.xlsx&amp;sheet=U0&amp;row=222&amp;col=6&amp;number=4.8&amp;sourceID=14","4.8")</f>
        <v>4.8</v>
      </c>
      <c r="G222" s="4" t="str">
        <f>HYPERLINK("http://141.218.60.56/~jnz1568/getInfo.php?workbook=20_10.xlsx&amp;sheet=U0&amp;row=222&amp;col=7&amp;number=0.00234&amp;sourceID=14","0.00234")</f>
        <v>0.00234</v>
      </c>
    </row>
    <row r="223" spans="1:7">
      <c r="A223" s="3"/>
      <c r="B223" s="3"/>
      <c r="C223" s="3"/>
      <c r="D223" s="3"/>
      <c r="E223" s="3">
        <v>20</v>
      </c>
      <c r="F223" s="4" t="str">
        <f>HYPERLINK("http://141.218.60.56/~jnz1568/getInfo.php?workbook=20_10.xlsx&amp;sheet=U0&amp;row=223&amp;col=6&amp;number=4.9&amp;sourceID=14","4.9")</f>
        <v>4.9</v>
      </c>
      <c r="G223" s="4" t="str">
        <f>HYPERLINK("http://141.218.60.56/~jnz1568/getInfo.php?workbook=20_10.xlsx&amp;sheet=U0&amp;row=223&amp;col=7&amp;number=0.00234&amp;sourceID=14","0.00234")</f>
        <v>0.00234</v>
      </c>
    </row>
    <row r="224" spans="1:7">
      <c r="A224" s="3">
        <v>20</v>
      </c>
      <c r="B224" s="3">
        <v>10</v>
      </c>
      <c r="C224" s="3">
        <v>1</v>
      </c>
      <c r="D224" s="3">
        <v>13</v>
      </c>
      <c r="E224" s="3">
        <v>1</v>
      </c>
      <c r="F224" s="4" t="str">
        <f>HYPERLINK("http://141.218.60.56/~jnz1568/getInfo.php?workbook=20_10.xlsx&amp;sheet=U0&amp;row=224&amp;col=6&amp;number=3&amp;sourceID=14","3")</f>
        <v>3</v>
      </c>
      <c r="G224" s="4" t="str">
        <f>HYPERLINK("http://141.218.60.56/~jnz1568/getInfo.php?workbook=20_10.xlsx&amp;sheet=U0&amp;row=224&amp;col=7&amp;number=0.00809&amp;sourceID=14","0.00809")</f>
        <v>0.00809</v>
      </c>
    </row>
    <row r="225" spans="1:7">
      <c r="A225" s="3"/>
      <c r="B225" s="3"/>
      <c r="C225" s="3"/>
      <c r="D225" s="3"/>
      <c r="E225" s="3">
        <v>2</v>
      </c>
      <c r="F225" s="4" t="str">
        <f>HYPERLINK("http://141.218.60.56/~jnz1568/getInfo.php?workbook=20_10.xlsx&amp;sheet=U0&amp;row=225&amp;col=6&amp;number=3.1&amp;sourceID=14","3.1")</f>
        <v>3.1</v>
      </c>
      <c r="G225" s="4" t="str">
        <f>HYPERLINK("http://141.218.60.56/~jnz1568/getInfo.php?workbook=20_10.xlsx&amp;sheet=U0&amp;row=225&amp;col=7&amp;number=0.00809&amp;sourceID=14","0.00809")</f>
        <v>0.00809</v>
      </c>
    </row>
    <row r="226" spans="1:7">
      <c r="A226" s="3"/>
      <c r="B226" s="3"/>
      <c r="C226" s="3"/>
      <c r="D226" s="3"/>
      <c r="E226" s="3">
        <v>3</v>
      </c>
      <c r="F226" s="4" t="str">
        <f>HYPERLINK("http://141.218.60.56/~jnz1568/getInfo.php?workbook=20_10.xlsx&amp;sheet=U0&amp;row=226&amp;col=6&amp;number=3.2&amp;sourceID=14","3.2")</f>
        <v>3.2</v>
      </c>
      <c r="G226" s="4" t="str">
        <f>HYPERLINK("http://141.218.60.56/~jnz1568/getInfo.php?workbook=20_10.xlsx&amp;sheet=U0&amp;row=226&amp;col=7&amp;number=0.00809&amp;sourceID=14","0.00809")</f>
        <v>0.00809</v>
      </c>
    </row>
    <row r="227" spans="1:7">
      <c r="A227" s="3"/>
      <c r="B227" s="3"/>
      <c r="C227" s="3"/>
      <c r="D227" s="3"/>
      <c r="E227" s="3">
        <v>4</v>
      </c>
      <c r="F227" s="4" t="str">
        <f>HYPERLINK("http://141.218.60.56/~jnz1568/getInfo.php?workbook=20_10.xlsx&amp;sheet=U0&amp;row=227&amp;col=6&amp;number=3.3&amp;sourceID=14","3.3")</f>
        <v>3.3</v>
      </c>
      <c r="G227" s="4" t="str">
        <f>HYPERLINK("http://141.218.60.56/~jnz1568/getInfo.php?workbook=20_10.xlsx&amp;sheet=U0&amp;row=227&amp;col=7&amp;number=0.00809&amp;sourceID=14","0.00809")</f>
        <v>0.00809</v>
      </c>
    </row>
    <row r="228" spans="1:7">
      <c r="A228" s="3"/>
      <c r="B228" s="3"/>
      <c r="C228" s="3"/>
      <c r="D228" s="3"/>
      <c r="E228" s="3">
        <v>5</v>
      </c>
      <c r="F228" s="4" t="str">
        <f>HYPERLINK("http://141.218.60.56/~jnz1568/getInfo.php?workbook=20_10.xlsx&amp;sheet=U0&amp;row=228&amp;col=6&amp;number=3.4&amp;sourceID=14","3.4")</f>
        <v>3.4</v>
      </c>
      <c r="G228" s="4" t="str">
        <f>HYPERLINK("http://141.218.60.56/~jnz1568/getInfo.php?workbook=20_10.xlsx&amp;sheet=U0&amp;row=228&amp;col=7&amp;number=0.00809&amp;sourceID=14","0.00809")</f>
        <v>0.00809</v>
      </c>
    </row>
    <row r="229" spans="1:7">
      <c r="A229" s="3"/>
      <c r="B229" s="3"/>
      <c r="C229" s="3"/>
      <c r="D229" s="3"/>
      <c r="E229" s="3">
        <v>6</v>
      </c>
      <c r="F229" s="4" t="str">
        <f>HYPERLINK("http://141.218.60.56/~jnz1568/getInfo.php?workbook=20_10.xlsx&amp;sheet=U0&amp;row=229&amp;col=6&amp;number=3.5&amp;sourceID=14","3.5")</f>
        <v>3.5</v>
      </c>
      <c r="G229" s="4" t="str">
        <f>HYPERLINK("http://141.218.60.56/~jnz1568/getInfo.php?workbook=20_10.xlsx&amp;sheet=U0&amp;row=229&amp;col=7&amp;number=0.00809&amp;sourceID=14","0.00809")</f>
        <v>0.00809</v>
      </c>
    </row>
    <row r="230" spans="1:7">
      <c r="A230" s="3"/>
      <c r="B230" s="3"/>
      <c r="C230" s="3"/>
      <c r="D230" s="3"/>
      <c r="E230" s="3">
        <v>7</v>
      </c>
      <c r="F230" s="4" t="str">
        <f>HYPERLINK("http://141.218.60.56/~jnz1568/getInfo.php?workbook=20_10.xlsx&amp;sheet=U0&amp;row=230&amp;col=6&amp;number=3.6&amp;sourceID=14","3.6")</f>
        <v>3.6</v>
      </c>
      <c r="G230" s="4" t="str">
        <f>HYPERLINK("http://141.218.60.56/~jnz1568/getInfo.php?workbook=20_10.xlsx&amp;sheet=U0&amp;row=230&amp;col=7&amp;number=0.00809&amp;sourceID=14","0.00809")</f>
        <v>0.00809</v>
      </c>
    </row>
    <row r="231" spans="1:7">
      <c r="A231" s="3"/>
      <c r="B231" s="3"/>
      <c r="C231" s="3"/>
      <c r="D231" s="3"/>
      <c r="E231" s="3">
        <v>8</v>
      </c>
      <c r="F231" s="4" t="str">
        <f>HYPERLINK("http://141.218.60.56/~jnz1568/getInfo.php?workbook=20_10.xlsx&amp;sheet=U0&amp;row=231&amp;col=6&amp;number=3.7&amp;sourceID=14","3.7")</f>
        <v>3.7</v>
      </c>
      <c r="G231" s="4" t="str">
        <f>HYPERLINK("http://141.218.60.56/~jnz1568/getInfo.php?workbook=20_10.xlsx&amp;sheet=U0&amp;row=231&amp;col=7&amp;number=0.00809&amp;sourceID=14","0.00809")</f>
        <v>0.00809</v>
      </c>
    </row>
    <row r="232" spans="1:7">
      <c r="A232" s="3"/>
      <c r="B232" s="3"/>
      <c r="C232" s="3"/>
      <c r="D232" s="3"/>
      <c r="E232" s="3">
        <v>9</v>
      </c>
      <c r="F232" s="4" t="str">
        <f>HYPERLINK("http://141.218.60.56/~jnz1568/getInfo.php?workbook=20_10.xlsx&amp;sheet=U0&amp;row=232&amp;col=6&amp;number=3.8&amp;sourceID=14","3.8")</f>
        <v>3.8</v>
      </c>
      <c r="G232" s="4" t="str">
        <f>HYPERLINK("http://141.218.60.56/~jnz1568/getInfo.php?workbook=20_10.xlsx&amp;sheet=U0&amp;row=232&amp;col=7&amp;number=0.00809&amp;sourceID=14","0.00809")</f>
        <v>0.00809</v>
      </c>
    </row>
    <row r="233" spans="1:7">
      <c r="A233" s="3"/>
      <c r="B233" s="3"/>
      <c r="C233" s="3"/>
      <c r="D233" s="3"/>
      <c r="E233" s="3">
        <v>10</v>
      </c>
      <c r="F233" s="4" t="str">
        <f>HYPERLINK("http://141.218.60.56/~jnz1568/getInfo.php?workbook=20_10.xlsx&amp;sheet=U0&amp;row=233&amp;col=6&amp;number=3.9&amp;sourceID=14","3.9")</f>
        <v>3.9</v>
      </c>
      <c r="G233" s="4" t="str">
        <f>HYPERLINK("http://141.218.60.56/~jnz1568/getInfo.php?workbook=20_10.xlsx&amp;sheet=U0&amp;row=233&amp;col=7&amp;number=0.00809&amp;sourceID=14","0.00809")</f>
        <v>0.00809</v>
      </c>
    </row>
    <row r="234" spans="1:7">
      <c r="A234" s="3"/>
      <c r="B234" s="3"/>
      <c r="C234" s="3"/>
      <c r="D234" s="3"/>
      <c r="E234" s="3">
        <v>11</v>
      </c>
      <c r="F234" s="4" t="str">
        <f>HYPERLINK("http://141.218.60.56/~jnz1568/getInfo.php?workbook=20_10.xlsx&amp;sheet=U0&amp;row=234&amp;col=6&amp;number=4&amp;sourceID=14","4")</f>
        <v>4</v>
      </c>
      <c r="G234" s="4" t="str">
        <f>HYPERLINK("http://141.218.60.56/~jnz1568/getInfo.php?workbook=20_10.xlsx&amp;sheet=U0&amp;row=234&amp;col=7&amp;number=0.00809&amp;sourceID=14","0.00809")</f>
        <v>0.00809</v>
      </c>
    </row>
    <row r="235" spans="1:7">
      <c r="A235" s="3"/>
      <c r="B235" s="3"/>
      <c r="C235" s="3"/>
      <c r="D235" s="3"/>
      <c r="E235" s="3">
        <v>12</v>
      </c>
      <c r="F235" s="4" t="str">
        <f>HYPERLINK("http://141.218.60.56/~jnz1568/getInfo.php?workbook=20_10.xlsx&amp;sheet=U0&amp;row=235&amp;col=6&amp;number=4.1&amp;sourceID=14","4.1")</f>
        <v>4.1</v>
      </c>
      <c r="G235" s="4" t="str">
        <f>HYPERLINK("http://141.218.60.56/~jnz1568/getInfo.php?workbook=20_10.xlsx&amp;sheet=U0&amp;row=235&amp;col=7&amp;number=0.00809&amp;sourceID=14","0.00809")</f>
        <v>0.00809</v>
      </c>
    </row>
    <row r="236" spans="1:7">
      <c r="A236" s="3"/>
      <c r="B236" s="3"/>
      <c r="C236" s="3"/>
      <c r="D236" s="3"/>
      <c r="E236" s="3">
        <v>13</v>
      </c>
      <c r="F236" s="4" t="str">
        <f>HYPERLINK("http://141.218.60.56/~jnz1568/getInfo.php?workbook=20_10.xlsx&amp;sheet=U0&amp;row=236&amp;col=6&amp;number=4.2&amp;sourceID=14","4.2")</f>
        <v>4.2</v>
      </c>
      <c r="G236" s="4" t="str">
        <f>HYPERLINK("http://141.218.60.56/~jnz1568/getInfo.php?workbook=20_10.xlsx&amp;sheet=U0&amp;row=236&amp;col=7&amp;number=0.00809&amp;sourceID=14","0.00809")</f>
        <v>0.00809</v>
      </c>
    </row>
    <row r="237" spans="1:7">
      <c r="A237" s="3"/>
      <c r="B237" s="3"/>
      <c r="C237" s="3"/>
      <c r="D237" s="3"/>
      <c r="E237" s="3">
        <v>14</v>
      </c>
      <c r="F237" s="4" t="str">
        <f>HYPERLINK("http://141.218.60.56/~jnz1568/getInfo.php?workbook=20_10.xlsx&amp;sheet=U0&amp;row=237&amp;col=6&amp;number=4.3&amp;sourceID=14","4.3")</f>
        <v>4.3</v>
      </c>
      <c r="G237" s="4" t="str">
        <f>HYPERLINK("http://141.218.60.56/~jnz1568/getInfo.php?workbook=20_10.xlsx&amp;sheet=U0&amp;row=237&amp;col=7&amp;number=0.00809&amp;sourceID=14","0.00809")</f>
        <v>0.00809</v>
      </c>
    </row>
    <row r="238" spans="1:7">
      <c r="A238" s="3"/>
      <c r="B238" s="3"/>
      <c r="C238" s="3"/>
      <c r="D238" s="3"/>
      <c r="E238" s="3">
        <v>15</v>
      </c>
      <c r="F238" s="4" t="str">
        <f>HYPERLINK("http://141.218.60.56/~jnz1568/getInfo.php?workbook=20_10.xlsx&amp;sheet=U0&amp;row=238&amp;col=6&amp;number=4.4&amp;sourceID=14","4.4")</f>
        <v>4.4</v>
      </c>
      <c r="G238" s="4" t="str">
        <f>HYPERLINK("http://141.218.60.56/~jnz1568/getInfo.php?workbook=20_10.xlsx&amp;sheet=U0&amp;row=238&amp;col=7&amp;number=0.00809&amp;sourceID=14","0.00809")</f>
        <v>0.00809</v>
      </c>
    </row>
    <row r="239" spans="1:7">
      <c r="A239" s="3"/>
      <c r="B239" s="3"/>
      <c r="C239" s="3"/>
      <c r="D239" s="3"/>
      <c r="E239" s="3">
        <v>16</v>
      </c>
      <c r="F239" s="4" t="str">
        <f>HYPERLINK("http://141.218.60.56/~jnz1568/getInfo.php?workbook=20_10.xlsx&amp;sheet=U0&amp;row=239&amp;col=6&amp;number=4.5&amp;sourceID=14","4.5")</f>
        <v>4.5</v>
      </c>
      <c r="G239" s="4" t="str">
        <f>HYPERLINK("http://141.218.60.56/~jnz1568/getInfo.php?workbook=20_10.xlsx&amp;sheet=U0&amp;row=239&amp;col=7&amp;number=0.00808&amp;sourceID=14","0.00808")</f>
        <v>0.00808</v>
      </c>
    </row>
    <row r="240" spans="1:7">
      <c r="A240" s="3"/>
      <c r="B240" s="3"/>
      <c r="C240" s="3"/>
      <c r="D240" s="3"/>
      <c r="E240" s="3">
        <v>17</v>
      </c>
      <c r="F240" s="4" t="str">
        <f>HYPERLINK("http://141.218.60.56/~jnz1568/getInfo.php?workbook=20_10.xlsx&amp;sheet=U0&amp;row=240&amp;col=6&amp;number=4.6&amp;sourceID=14","4.6")</f>
        <v>4.6</v>
      </c>
      <c r="G240" s="4" t="str">
        <f>HYPERLINK("http://141.218.60.56/~jnz1568/getInfo.php?workbook=20_10.xlsx&amp;sheet=U0&amp;row=240&amp;col=7&amp;number=0.00808&amp;sourceID=14","0.00808")</f>
        <v>0.00808</v>
      </c>
    </row>
    <row r="241" spans="1:7">
      <c r="A241" s="3"/>
      <c r="B241" s="3"/>
      <c r="C241" s="3"/>
      <c r="D241" s="3"/>
      <c r="E241" s="3">
        <v>18</v>
      </c>
      <c r="F241" s="4" t="str">
        <f>HYPERLINK("http://141.218.60.56/~jnz1568/getInfo.php?workbook=20_10.xlsx&amp;sheet=U0&amp;row=241&amp;col=6&amp;number=4.7&amp;sourceID=14","4.7")</f>
        <v>4.7</v>
      </c>
      <c r="G241" s="4" t="str">
        <f>HYPERLINK("http://141.218.60.56/~jnz1568/getInfo.php?workbook=20_10.xlsx&amp;sheet=U0&amp;row=241&amp;col=7&amp;number=0.00808&amp;sourceID=14","0.00808")</f>
        <v>0.00808</v>
      </c>
    </row>
    <row r="242" spans="1:7">
      <c r="A242" s="3"/>
      <c r="B242" s="3"/>
      <c r="C242" s="3"/>
      <c r="D242" s="3"/>
      <c r="E242" s="3">
        <v>19</v>
      </c>
      <c r="F242" s="4" t="str">
        <f>HYPERLINK("http://141.218.60.56/~jnz1568/getInfo.php?workbook=20_10.xlsx&amp;sheet=U0&amp;row=242&amp;col=6&amp;number=4.8&amp;sourceID=14","4.8")</f>
        <v>4.8</v>
      </c>
      <c r="G242" s="4" t="str">
        <f>HYPERLINK("http://141.218.60.56/~jnz1568/getInfo.php?workbook=20_10.xlsx&amp;sheet=U0&amp;row=242&amp;col=7&amp;number=0.00808&amp;sourceID=14","0.00808")</f>
        <v>0.00808</v>
      </c>
    </row>
    <row r="243" spans="1:7">
      <c r="A243" s="3"/>
      <c r="B243" s="3"/>
      <c r="C243" s="3"/>
      <c r="D243" s="3"/>
      <c r="E243" s="3">
        <v>20</v>
      </c>
      <c r="F243" s="4" t="str">
        <f>HYPERLINK("http://141.218.60.56/~jnz1568/getInfo.php?workbook=20_10.xlsx&amp;sheet=U0&amp;row=243&amp;col=6&amp;number=4.9&amp;sourceID=14","4.9")</f>
        <v>4.9</v>
      </c>
      <c r="G243" s="4" t="str">
        <f>HYPERLINK("http://141.218.60.56/~jnz1568/getInfo.php?workbook=20_10.xlsx&amp;sheet=U0&amp;row=243&amp;col=7&amp;number=0.00807&amp;sourceID=14","0.00807")</f>
        <v>0.00807</v>
      </c>
    </row>
    <row r="244" spans="1:7">
      <c r="A244" s="3">
        <v>20</v>
      </c>
      <c r="B244" s="3">
        <v>10</v>
      </c>
      <c r="C244" s="3">
        <v>1</v>
      </c>
      <c r="D244" s="3">
        <v>14</v>
      </c>
      <c r="E244" s="3">
        <v>1</v>
      </c>
      <c r="F244" s="4" t="str">
        <f>HYPERLINK("http://141.218.60.56/~jnz1568/getInfo.php?workbook=20_10.xlsx&amp;sheet=U0&amp;row=244&amp;col=6&amp;number=3&amp;sourceID=14","3")</f>
        <v>3</v>
      </c>
      <c r="G244" s="4" t="str">
        <f>HYPERLINK("http://141.218.60.56/~jnz1568/getInfo.php?workbook=20_10.xlsx&amp;sheet=U0&amp;row=244&amp;col=7&amp;number=0.0035&amp;sourceID=14","0.0035")</f>
        <v>0.0035</v>
      </c>
    </row>
    <row r="245" spans="1:7">
      <c r="A245" s="3"/>
      <c r="B245" s="3"/>
      <c r="C245" s="3"/>
      <c r="D245" s="3"/>
      <c r="E245" s="3">
        <v>2</v>
      </c>
      <c r="F245" s="4" t="str">
        <f>HYPERLINK("http://141.218.60.56/~jnz1568/getInfo.php?workbook=20_10.xlsx&amp;sheet=U0&amp;row=245&amp;col=6&amp;number=3.1&amp;sourceID=14","3.1")</f>
        <v>3.1</v>
      </c>
      <c r="G245" s="4" t="str">
        <f>HYPERLINK("http://141.218.60.56/~jnz1568/getInfo.php?workbook=20_10.xlsx&amp;sheet=U0&amp;row=245&amp;col=7&amp;number=0.0035&amp;sourceID=14","0.0035")</f>
        <v>0.0035</v>
      </c>
    </row>
    <row r="246" spans="1:7">
      <c r="A246" s="3"/>
      <c r="B246" s="3"/>
      <c r="C246" s="3"/>
      <c r="D246" s="3"/>
      <c r="E246" s="3">
        <v>3</v>
      </c>
      <c r="F246" s="4" t="str">
        <f>HYPERLINK("http://141.218.60.56/~jnz1568/getInfo.php?workbook=20_10.xlsx&amp;sheet=U0&amp;row=246&amp;col=6&amp;number=3.2&amp;sourceID=14","3.2")</f>
        <v>3.2</v>
      </c>
      <c r="G246" s="4" t="str">
        <f>HYPERLINK("http://141.218.60.56/~jnz1568/getInfo.php?workbook=20_10.xlsx&amp;sheet=U0&amp;row=246&amp;col=7&amp;number=0.0035&amp;sourceID=14","0.0035")</f>
        <v>0.0035</v>
      </c>
    </row>
    <row r="247" spans="1:7">
      <c r="A247" s="3"/>
      <c r="B247" s="3"/>
      <c r="C247" s="3"/>
      <c r="D247" s="3"/>
      <c r="E247" s="3">
        <v>4</v>
      </c>
      <c r="F247" s="4" t="str">
        <f>HYPERLINK("http://141.218.60.56/~jnz1568/getInfo.php?workbook=20_10.xlsx&amp;sheet=U0&amp;row=247&amp;col=6&amp;number=3.3&amp;sourceID=14","3.3")</f>
        <v>3.3</v>
      </c>
      <c r="G247" s="4" t="str">
        <f>HYPERLINK("http://141.218.60.56/~jnz1568/getInfo.php?workbook=20_10.xlsx&amp;sheet=U0&amp;row=247&amp;col=7&amp;number=0.0035&amp;sourceID=14","0.0035")</f>
        <v>0.0035</v>
      </c>
    </row>
    <row r="248" spans="1:7">
      <c r="A248" s="3"/>
      <c r="B248" s="3"/>
      <c r="C248" s="3"/>
      <c r="D248" s="3"/>
      <c r="E248" s="3">
        <v>5</v>
      </c>
      <c r="F248" s="4" t="str">
        <f>HYPERLINK("http://141.218.60.56/~jnz1568/getInfo.php?workbook=20_10.xlsx&amp;sheet=U0&amp;row=248&amp;col=6&amp;number=3.4&amp;sourceID=14","3.4")</f>
        <v>3.4</v>
      </c>
      <c r="G248" s="4" t="str">
        <f>HYPERLINK("http://141.218.60.56/~jnz1568/getInfo.php?workbook=20_10.xlsx&amp;sheet=U0&amp;row=248&amp;col=7&amp;number=0.0035&amp;sourceID=14","0.0035")</f>
        <v>0.0035</v>
      </c>
    </row>
    <row r="249" spans="1:7">
      <c r="A249" s="3"/>
      <c r="B249" s="3"/>
      <c r="C249" s="3"/>
      <c r="D249" s="3"/>
      <c r="E249" s="3">
        <v>6</v>
      </c>
      <c r="F249" s="4" t="str">
        <f>HYPERLINK("http://141.218.60.56/~jnz1568/getInfo.php?workbook=20_10.xlsx&amp;sheet=U0&amp;row=249&amp;col=6&amp;number=3.5&amp;sourceID=14","3.5")</f>
        <v>3.5</v>
      </c>
      <c r="G249" s="4" t="str">
        <f>HYPERLINK("http://141.218.60.56/~jnz1568/getInfo.php?workbook=20_10.xlsx&amp;sheet=U0&amp;row=249&amp;col=7&amp;number=0.0035&amp;sourceID=14","0.0035")</f>
        <v>0.0035</v>
      </c>
    </row>
    <row r="250" spans="1:7">
      <c r="A250" s="3"/>
      <c r="B250" s="3"/>
      <c r="C250" s="3"/>
      <c r="D250" s="3"/>
      <c r="E250" s="3">
        <v>7</v>
      </c>
      <c r="F250" s="4" t="str">
        <f>HYPERLINK("http://141.218.60.56/~jnz1568/getInfo.php?workbook=20_10.xlsx&amp;sheet=U0&amp;row=250&amp;col=6&amp;number=3.6&amp;sourceID=14","3.6")</f>
        <v>3.6</v>
      </c>
      <c r="G250" s="4" t="str">
        <f>HYPERLINK("http://141.218.60.56/~jnz1568/getInfo.php?workbook=20_10.xlsx&amp;sheet=U0&amp;row=250&amp;col=7&amp;number=0.0035&amp;sourceID=14","0.0035")</f>
        <v>0.0035</v>
      </c>
    </row>
    <row r="251" spans="1:7">
      <c r="A251" s="3"/>
      <c r="B251" s="3"/>
      <c r="C251" s="3"/>
      <c r="D251" s="3"/>
      <c r="E251" s="3">
        <v>8</v>
      </c>
      <c r="F251" s="4" t="str">
        <f>HYPERLINK("http://141.218.60.56/~jnz1568/getInfo.php?workbook=20_10.xlsx&amp;sheet=U0&amp;row=251&amp;col=6&amp;number=3.7&amp;sourceID=14","3.7")</f>
        <v>3.7</v>
      </c>
      <c r="G251" s="4" t="str">
        <f>HYPERLINK("http://141.218.60.56/~jnz1568/getInfo.php?workbook=20_10.xlsx&amp;sheet=U0&amp;row=251&amp;col=7&amp;number=0.0035&amp;sourceID=14","0.0035")</f>
        <v>0.0035</v>
      </c>
    </row>
    <row r="252" spans="1:7">
      <c r="A252" s="3"/>
      <c r="B252" s="3"/>
      <c r="C252" s="3"/>
      <c r="D252" s="3"/>
      <c r="E252" s="3">
        <v>9</v>
      </c>
      <c r="F252" s="4" t="str">
        <f>HYPERLINK("http://141.218.60.56/~jnz1568/getInfo.php?workbook=20_10.xlsx&amp;sheet=U0&amp;row=252&amp;col=6&amp;number=3.8&amp;sourceID=14","3.8")</f>
        <v>3.8</v>
      </c>
      <c r="G252" s="4" t="str">
        <f>HYPERLINK("http://141.218.60.56/~jnz1568/getInfo.php?workbook=20_10.xlsx&amp;sheet=U0&amp;row=252&amp;col=7&amp;number=0.0035&amp;sourceID=14","0.0035")</f>
        <v>0.0035</v>
      </c>
    </row>
    <row r="253" spans="1:7">
      <c r="A253" s="3"/>
      <c r="B253" s="3"/>
      <c r="C253" s="3"/>
      <c r="D253" s="3"/>
      <c r="E253" s="3">
        <v>10</v>
      </c>
      <c r="F253" s="4" t="str">
        <f>HYPERLINK("http://141.218.60.56/~jnz1568/getInfo.php?workbook=20_10.xlsx&amp;sheet=U0&amp;row=253&amp;col=6&amp;number=3.9&amp;sourceID=14","3.9")</f>
        <v>3.9</v>
      </c>
      <c r="G253" s="4" t="str">
        <f>HYPERLINK("http://141.218.60.56/~jnz1568/getInfo.php?workbook=20_10.xlsx&amp;sheet=U0&amp;row=253&amp;col=7&amp;number=0.0035&amp;sourceID=14","0.0035")</f>
        <v>0.0035</v>
      </c>
    </row>
    <row r="254" spans="1:7">
      <c r="A254" s="3"/>
      <c r="B254" s="3"/>
      <c r="C254" s="3"/>
      <c r="D254" s="3"/>
      <c r="E254" s="3">
        <v>11</v>
      </c>
      <c r="F254" s="4" t="str">
        <f>HYPERLINK("http://141.218.60.56/~jnz1568/getInfo.php?workbook=20_10.xlsx&amp;sheet=U0&amp;row=254&amp;col=6&amp;number=4&amp;sourceID=14","4")</f>
        <v>4</v>
      </c>
      <c r="G254" s="4" t="str">
        <f>HYPERLINK("http://141.218.60.56/~jnz1568/getInfo.php?workbook=20_10.xlsx&amp;sheet=U0&amp;row=254&amp;col=7&amp;number=0.0035&amp;sourceID=14","0.0035")</f>
        <v>0.0035</v>
      </c>
    </row>
    <row r="255" spans="1:7">
      <c r="A255" s="3"/>
      <c r="B255" s="3"/>
      <c r="C255" s="3"/>
      <c r="D255" s="3"/>
      <c r="E255" s="3">
        <v>12</v>
      </c>
      <c r="F255" s="4" t="str">
        <f>HYPERLINK("http://141.218.60.56/~jnz1568/getInfo.php?workbook=20_10.xlsx&amp;sheet=U0&amp;row=255&amp;col=6&amp;number=4.1&amp;sourceID=14","4.1")</f>
        <v>4.1</v>
      </c>
      <c r="G255" s="4" t="str">
        <f>HYPERLINK("http://141.218.60.56/~jnz1568/getInfo.php?workbook=20_10.xlsx&amp;sheet=U0&amp;row=255&amp;col=7&amp;number=0.0035&amp;sourceID=14","0.0035")</f>
        <v>0.0035</v>
      </c>
    </row>
    <row r="256" spans="1:7">
      <c r="A256" s="3"/>
      <c r="B256" s="3"/>
      <c r="C256" s="3"/>
      <c r="D256" s="3"/>
      <c r="E256" s="3">
        <v>13</v>
      </c>
      <c r="F256" s="4" t="str">
        <f>HYPERLINK("http://141.218.60.56/~jnz1568/getInfo.php?workbook=20_10.xlsx&amp;sheet=U0&amp;row=256&amp;col=6&amp;number=4.2&amp;sourceID=14","4.2")</f>
        <v>4.2</v>
      </c>
      <c r="G256" s="4" t="str">
        <f>HYPERLINK("http://141.218.60.56/~jnz1568/getInfo.php?workbook=20_10.xlsx&amp;sheet=U0&amp;row=256&amp;col=7&amp;number=0.00349&amp;sourceID=14","0.00349")</f>
        <v>0.00349</v>
      </c>
    </row>
    <row r="257" spans="1:7">
      <c r="A257" s="3"/>
      <c r="B257" s="3"/>
      <c r="C257" s="3"/>
      <c r="D257" s="3"/>
      <c r="E257" s="3">
        <v>14</v>
      </c>
      <c r="F257" s="4" t="str">
        <f>HYPERLINK("http://141.218.60.56/~jnz1568/getInfo.php?workbook=20_10.xlsx&amp;sheet=U0&amp;row=257&amp;col=6&amp;number=4.3&amp;sourceID=14","4.3")</f>
        <v>4.3</v>
      </c>
      <c r="G257" s="4" t="str">
        <f>HYPERLINK("http://141.218.60.56/~jnz1568/getInfo.php?workbook=20_10.xlsx&amp;sheet=U0&amp;row=257&amp;col=7&amp;number=0.00349&amp;sourceID=14","0.00349")</f>
        <v>0.00349</v>
      </c>
    </row>
    <row r="258" spans="1:7">
      <c r="A258" s="3"/>
      <c r="B258" s="3"/>
      <c r="C258" s="3"/>
      <c r="D258" s="3"/>
      <c r="E258" s="3">
        <v>15</v>
      </c>
      <c r="F258" s="4" t="str">
        <f>HYPERLINK("http://141.218.60.56/~jnz1568/getInfo.php?workbook=20_10.xlsx&amp;sheet=U0&amp;row=258&amp;col=6&amp;number=4.4&amp;sourceID=14","4.4")</f>
        <v>4.4</v>
      </c>
      <c r="G258" s="4" t="str">
        <f>HYPERLINK("http://141.218.60.56/~jnz1568/getInfo.php?workbook=20_10.xlsx&amp;sheet=U0&amp;row=258&amp;col=7&amp;number=0.00349&amp;sourceID=14","0.00349")</f>
        <v>0.00349</v>
      </c>
    </row>
    <row r="259" spans="1:7">
      <c r="A259" s="3"/>
      <c r="B259" s="3"/>
      <c r="C259" s="3"/>
      <c r="D259" s="3"/>
      <c r="E259" s="3">
        <v>16</v>
      </c>
      <c r="F259" s="4" t="str">
        <f>HYPERLINK("http://141.218.60.56/~jnz1568/getInfo.php?workbook=20_10.xlsx&amp;sheet=U0&amp;row=259&amp;col=6&amp;number=4.5&amp;sourceID=14","4.5")</f>
        <v>4.5</v>
      </c>
      <c r="G259" s="4" t="str">
        <f>HYPERLINK("http://141.218.60.56/~jnz1568/getInfo.php?workbook=20_10.xlsx&amp;sheet=U0&amp;row=259&amp;col=7&amp;number=0.00348&amp;sourceID=14","0.00348")</f>
        <v>0.00348</v>
      </c>
    </row>
    <row r="260" spans="1:7">
      <c r="A260" s="3"/>
      <c r="B260" s="3"/>
      <c r="C260" s="3"/>
      <c r="D260" s="3"/>
      <c r="E260" s="3">
        <v>17</v>
      </c>
      <c r="F260" s="4" t="str">
        <f>HYPERLINK("http://141.218.60.56/~jnz1568/getInfo.php?workbook=20_10.xlsx&amp;sheet=U0&amp;row=260&amp;col=6&amp;number=4.6&amp;sourceID=14","4.6")</f>
        <v>4.6</v>
      </c>
      <c r="G260" s="4" t="str">
        <f>HYPERLINK("http://141.218.60.56/~jnz1568/getInfo.php?workbook=20_10.xlsx&amp;sheet=U0&amp;row=260&amp;col=7&amp;number=0.00347&amp;sourceID=14","0.00347")</f>
        <v>0.00347</v>
      </c>
    </row>
    <row r="261" spans="1:7">
      <c r="A261" s="3"/>
      <c r="B261" s="3"/>
      <c r="C261" s="3"/>
      <c r="D261" s="3"/>
      <c r="E261" s="3">
        <v>18</v>
      </c>
      <c r="F261" s="4" t="str">
        <f>HYPERLINK("http://141.218.60.56/~jnz1568/getInfo.php?workbook=20_10.xlsx&amp;sheet=U0&amp;row=261&amp;col=6&amp;number=4.7&amp;sourceID=14","4.7")</f>
        <v>4.7</v>
      </c>
      <c r="G261" s="4" t="str">
        <f>HYPERLINK("http://141.218.60.56/~jnz1568/getInfo.php?workbook=20_10.xlsx&amp;sheet=U0&amp;row=261&amp;col=7&amp;number=0.00347&amp;sourceID=14","0.00347")</f>
        <v>0.00347</v>
      </c>
    </row>
    <row r="262" spans="1:7">
      <c r="A262" s="3"/>
      <c r="B262" s="3"/>
      <c r="C262" s="3"/>
      <c r="D262" s="3"/>
      <c r="E262" s="3">
        <v>19</v>
      </c>
      <c r="F262" s="4" t="str">
        <f>HYPERLINK("http://141.218.60.56/~jnz1568/getInfo.php?workbook=20_10.xlsx&amp;sheet=U0&amp;row=262&amp;col=6&amp;number=4.8&amp;sourceID=14","4.8")</f>
        <v>4.8</v>
      </c>
      <c r="G262" s="4" t="str">
        <f>HYPERLINK("http://141.218.60.56/~jnz1568/getInfo.php?workbook=20_10.xlsx&amp;sheet=U0&amp;row=262&amp;col=7&amp;number=0.00346&amp;sourceID=14","0.00346")</f>
        <v>0.00346</v>
      </c>
    </row>
    <row r="263" spans="1:7">
      <c r="A263" s="3"/>
      <c r="B263" s="3"/>
      <c r="C263" s="3"/>
      <c r="D263" s="3"/>
      <c r="E263" s="3">
        <v>20</v>
      </c>
      <c r="F263" s="4" t="str">
        <f>HYPERLINK("http://141.218.60.56/~jnz1568/getInfo.php?workbook=20_10.xlsx&amp;sheet=U0&amp;row=263&amp;col=6&amp;number=4.9&amp;sourceID=14","4.9")</f>
        <v>4.9</v>
      </c>
      <c r="G263" s="4" t="str">
        <f>HYPERLINK("http://141.218.60.56/~jnz1568/getInfo.php?workbook=20_10.xlsx&amp;sheet=U0&amp;row=263&amp;col=7&amp;number=0.00345&amp;sourceID=14","0.00345")</f>
        <v>0.00345</v>
      </c>
    </row>
    <row r="264" spans="1:7">
      <c r="A264" s="3">
        <v>20</v>
      </c>
      <c r="B264" s="3">
        <v>10</v>
      </c>
      <c r="C264" s="3">
        <v>1</v>
      </c>
      <c r="D264" s="3">
        <v>15</v>
      </c>
      <c r="E264" s="3">
        <v>1</v>
      </c>
      <c r="F264" s="4" t="str">
        <f>HYPERLINK("http://141.218.60.56/~jnz1568/getInfo.php?workbook=20_10.xlsx&amp;sheet=U0&amp;row=264&amp;col=6&amp;number=3&amp;sourceID=14","3")</f>
        <v>3</v>
      </c>
      <c r="G264" s="4" t="str">
        <f>HYPERLINK("http://141.218.60.56/~jnz1568/getInfo.php?workbook=20_10.xlsx&amp;sheet=U0&amp;row=264&amp;col=7&amp;number=0.0952&amp;sourceID=14","0.0952")</f>
        <v>0.0952</v>
      </c>
    </row>
    <row r="265" spans="1:7">
      <c r="A265" s="3"/>
      <c r="B265" s="3"/>
      <c r="C265" s="3"/>
      <c r="D265" s="3"/>
      <c r="E265" s="3">
        <v>2</v>
      </c>
      <c r="F265" s="4" t="str">
        <f>HYPERLINK("http://141.218.60.56/~jnz1568/getInfo.php?workbook=20_10.xlsx&amp;sheet=U0&amp;row=265&amp;col=6&amp;number=3.1&amp;sourceID=14","3.1")</f>
        <v>3.1</v>
      </c>
      <c r="G265" s="4" t="str">
        <f>HYPERLINK("http://141.218.60.56/~jnz1568/getInfo.php?workbook=20_10.xlsx&amp;sheet=U0&amp;row=265&amp;col=7&amp;number=0.0952&amp;sourceID=14","0.0952")</f>
        <v>0.0952</v>
      </c>
    </row>
    <row r="266" spans="1:7">
      <c r="A266" s="3"/>
      <c r="B266" s="3"/>
      <c r="C266" s="3"/>
      <c r="D266" s="3"/>
      <c r="E266" s="3">
        <v>3</v>
      </c>
      <c r="F266" s="4" t="str">
        <f>HYPERLINK("http://141.218.60.56/~jnz1568/getInfo.php?workbook=20_10.xlsx&amp;sheet=U0&amp;row=266&amp;col=6&amp;number=3.2&amp;sourceID=14","3.2")</f>
        <v>3.2</v>
      </c>
      <c r="G266" s="4" t="str">
        <f>HYPERLINK("http://141.218.60.56/~jnz1568/getInfo.php?workbook=20_10.xlsx&amp;sheet=U0&amp;row=266&amp;col=7&amp;number=0.0952&amp;sourceID=14","0.0952")</f>
        <v>0.0952</v>
      </c>
    </row>
    <row r="267" spans="1:7">
      <c r="A267" s="3"/>
      <c r="B267" s="3"/>
      <c r="C267" s="3"/>
      <c r="D267" s="3"/>
      <c r="E267" s="3">
        <v>4</v>
      </c>
      <c r="F267" s="4" t="str">
        <f>HYPERLINK("http://141.218.60.56/~jnz1568/getInfo.php?workbook=20_10.xlsx&amp;sheet=U0&amp;row=267&amp;col=6&amp;number=3.3&amp;sourceID=14","3.3")</f>
        <v>3.3</v>
      </c>
      <c r="G267" s="4" t="str">
        <f>HYPERLINK("http://141.218.60.56/~jnz1568/getInfo.php?workbook=20_10.xlsx&amp;sheet=U0&amp;row=267&amp;col=7&amp;number=0.0952&amp;sourceID=14","0.0952")</f>
        <v>0.0952</v>
      </c>
    </row>
    <row r="268" spans="1:7">
      <c r="A268" s="3"/>
      <c r="B268" s="3"/>
      <c r="C268" s="3"/>
      <c r="D268" s="3"/>
      <c r="E268" s="3">
        <v>5</v>
      </c>
      <c r="F268" s="4" t="str">
        <f>HYPERLINK("http://141.218.60.56/~jnz1568/getInfo.php?workbook=20_10.xlsx&amp;sheet=U0&amp;row=268&amp;col=6&amp;number=3.4&amp;sourceID=14","3.4")</f>
        <v>3.4</v>
      </c>
      <c r="G268" s="4" t="str">
        <f>HYPERLINK("http://141.218.60.56/~jnz1568/getInfo.php?workbook=20_10.xlsx&amp;sheet=U0&amp;row=268&amp;col=7&amp;number=0.0952&amp;sourceID=14","0.0952")</f>
        <v>0.0952</v>
      </c>
    </row>
    <row r="269" spans="1:7">
      <c r="A269" s="3"/>
      <c r="B269" s="3"/>
      <c r="C269" s="3"/>
      <c r="D269" s="3"/>
      <c r="E269" s="3">
        <v>6</v>
      </c>
      <c r="F269" s="4" t="str">
        <f>HYPERLINK("http://141.218.60.56/~jnz1568/getInfo.php?workbook=20_10.xlsx&amp;sheet=U0&amp;row=269&amp;col=6&amp;number=3.5&amp;sourceID=14","3.5")</f>
        <v>3.5</v>
      </c>
      <c r="G269" s="4" t="str">
        <f>HYPERLINK("http://141.218.60.56/~jnz1568/getInfo.php?workbook=20_10.xlsx&amp;sheet=U0&amp;row=269&amp;col=7&amp;number=0.0952&amp;sourceID=14","0.0952")</f>
        <v>0.0952</v>
      </c>
    </row>
    <row r="270" spans="1:7">
      <c r="A270" s="3"/>
      <c r="B270" s="3"/>
      <c r="C270" s="3"/>
      <c r="D270" s="3"/>
      <c r="E270" s="3">
        <v>7</v>
      </c>
      <c r="F270" s="4" t="str">
        <f>HYPERLINK("http://141.218.60.56/~jnz1568/getInfo.php?workbook=20_10.xlsx&amp;sheet=U0&amp;row=270&amp;col=6&amp;number=3.6&amp;sourceID=14","3.6")</f>
        <v>3.6</v>
      </c>
      <c r="G270" s="4" t="str">
        <f>HYPERLINK("http://141.218.60.56/~jnz1568/getInfo.php?workbook=20_10.xlsx&amp;sheet=U0&amp;row=270&amp;col=7&amp;number=0.0952&amp;sourceID=14","0.0952")</f>
        <v>0.0952</v>
      </c>
    </row>
    <row r="271" spans="1:7">
      <c r="A271" s="3"/>
      <c r="B271" s="3"/>
      <c r="C271" s="3"/>
      <c r="D271" s="3"/>
      <c r="E271" s="3">
        <v>8</v>
      </c>
      <c r="F271" s="4" t="str">
        <f>HYPERLINK("http://141.218.60.56/~jnz1568/getInfo.php?workbook=20_10.xlsx&amp;sheet=U0&amp;row=271&amp;col=6&amp;number=3.7&amp;sourceID=14","3.7")</f>
        <v>3.7</v>
      </c>
      <c r="G271" s="4" t="str">
        <f>HYPERLINK("http://141.218.60.56/~jnz1568/getInfo.php?workbook=20_10.xlsx&amp;sheet=U0&amp;row=271&amp;col=7&amp;number=0.0952&amp;sourceID=14","0.0952")</f>
        <v>0.0952</v>
      </c>
    </row>
    <row r="272" spans="1:7">
      <c r="A272" s="3"/>
      <c r="B272" s="3"/>
      <c r="C272" s="3"/>
      <c r="D272" s="3"/>
      <c r="E272" s="3">
        <v>9</v>
      </c>
      <c r="F272" s="4" t="str">
        <f>HYPERLINK("http://141.218.60.56/~jnz1568/getInfo.php?workbook=20_10.xlsx&amp;sheet=U0&amp;row=272&amp;col=6&amp;number=3.8&amp;sourceID=14","3.8")</f>
        <v>3.8</v>
      </c>
      <c r="G272" s="4" t="str">
        <f>HYPERLINK("http://141.218.60.56/~jnz1568/getInfo.php?workbook=20_10.xlsx&amp;sheet=U0&amp;row=272&amp;col=7&amp;number=0.0953&amp;sourceID=14","0.0953")</f>
        <v>0.0953</v>
      </c>
    </row>
    <row r="273" spans="1:7">
      <c r="A273" s="3"/>
      <c r="B273" s="3"/>
      <c r="C273" s="3"/>
      <c r="D273" s="3"/>
      <c r="E273" s="3">
        <v>10</v>
      </c>
      <c r="F273" s="4" t="str">
        <f>HYPERLINK("http://141.218.60.56/~jnz1568/getInfo.php?workbook=20_10.xlsx&amp;sheet=U0&amp;row=273&amp;col=6&amp;number=3.9&amp;sourceID=14","3.9")</f>
        <v>3.9</v>
      </c>
      <c r="G273" s="4" t="str">
        <f>HYPERLINK("http://141.218.60.56/~jnz1568/getInfo.php?workbook=20_10.xlsx&amp;sheet=U0&amp;row=273&amp;col=7&amp;number=0.0953&amp;sourceID=14","0.0953")</f>
        <v>0.0953</v>
      </c>
    </row>
    <row r="274" spans="1:7">
      <c r="A274" s="3"/>
      <c r="B274" s="3"/>
      <c r="C274" s="3"/>
      <c r="D274" s="3"/>
      <c r="E274" s="3">
        <v>11</v>
      </c>
      <c r="F274" s="4" t="str">
        <f>HYPERLINK("http://141.218.60.56/~jnz1568/getInfo.php?workbook=20_10.xlsx&amp;sheet=U0&amp;row=274&amp;col=6&amp;number=4&amp;sourceID=14","4")</f>
        <v>4</v>
      </c>
      <c r="G274" s="4" t="str">
        <f>HYPERLINK("http://141.218.60.56/~jnz1568/getInfo.php?workbook=20_10.xlsx&amp;sheet=U0&amp;row=274&amp;col=7&amp;number=0.0953&amp;sourceID=14","0.0953")</f>
        <v>0.0953</v>
      </c>
    </row>
    <row r="275" spans="1:7">
      <c r="A275" s="3"/>
      <c r="B275" s="3"/>
      <c r="C275" s="3"/>
      <c r="D275" s="3"/>
      <c r="E275" s="3">
        <v>12</v>
      </c>
      <c r="F275" s="4" t="str">
        <f>HYPERLINK("http://141.218.60.56/~jnz1568/getInfo.php?workbook=20_10.xlsx&amp;sheet=U0&amp;row=275&amp;col=6&amp;number=4.1&amp;sourceID=14","4.1")</f>
        <v>4.1</v>
      </c>
      <c r="G275" s="4" t="str">
        <f>HYPERLINK("http://141.218.60.56/~jnz1568/getInfo.php?workbook=20_10.xlsx&amp;sheet=U0&amp;row=275&amp;col=7&amp;number=0.0953&amp;sourceID=14","0.0953")</f>
        <v>0.0953</v>
      </c>
    </row>
    <row r="276" spans="1:7">
      <c r="A276" s="3"/>
      <c r="B276" s="3"/>
      <c r="C276" s="3"/>
      <c r="D276" s="3"/>
      <c r="E276" s="3">
        <v>13</v>
      </c>
      <c r="F276" s="4" t="str">
        <f>HYPERLINK("http://141.218.60.56/~jnz1568/getInfo.php?workbook=20_10.xlsx&amp;sheet=U0&amp;row=276&amp;col=6&amp;number=4.2&amp;sourceID=14","4.2")</f>
        <v>4.2</v>
      </c>
      <c r="G276" s="4" t="str">
        <f>HYPERLINK("http://141.218.60.56/~jnz1568/getInfo.php?workbook=20_10.xlsx&amp;sheet=U0&amp;row=276&amp;col=7&amp;number=0.0953&amp;sourceID=14","0.0953")</f>
        <v>0.0953</v>
      </c>
    </row>
    <row r="277" spans="1:7">
      <c r="A277" s="3"/>
      <c r="B277" s="3"/>
      <c r="C277" s="3"/>
      <c r="D277" s="3"/>
      <c r="E277" s="3">
        <v>14</v>
      </c>
      <c r="F277" s="4" t="str">
        <f>HYPERLINK("http://141.218.60.56/~jnz1568/getInfo.php?workbook=20_10.xlsx&amp;sheet=U0&amp;row=277&amp;col=6&amp;number=4.3&amp;sourceID=14","4.3")</f>
        <v>4.3</v>
      </c>
      <c r="G277" s="4" t="str">
        <f>HYPERLINK("http://141.218.60.56/~jnz1568/getInfo.php?workbook=20_10.xlsx&amp;sheet=U0&amp;row=277&amp;col=7&amp;number=0.0953&amp;sourceID=14","0.0953")</f>
        <v>0.0953</v>
      </c>
    </row>
    <row r="278" spans="1:7">
      <c r="A278" s="3"/>
      <c r="B278" s="3"/>
      <c r="C278" s="3"/>
      <c r="D278" s="3"/>
      <c r="E278" s="3">
        <v>15</v>
      </c>
      <c r="F278" s="4" t="str">
        <f>HYPERLINK("http://141.218.60.56/~jnz1568/getInfo.php?workbook=20_10.xlsx&amp;sheet=U0&amp;row=278&amp;col=6&amp;number=4.4&amp;sourceID=14","4.4")</f>
        <v>4.4</v>
      </c>
      <c r="G278" s="4" t="str">
        <f>HYPERLINK("http://141.218.60.56/~jnz1568/getInfo.php?workbook=20_10.xlsx&amp;sheet=U0&amp;row=278&amp;col=7&amp;number=0.0953&amp;sourceID=14","0.0953")</f>
        <v>0.0953</v>
      </c>
    </row>
    <row r="279" spans="1:7">
      <c r="A279" s="3"/>
      <c r="B279" s="3"/>
      <c r="C279" s="3"/>
      <c r="D279" s="3"/>
      <c r="E279" s="3">
        <v>16</v>
      </c>
      <c r="F279" s="4" t="str">
        <f>HYPERLINK("http://141.218.60.56/~jnz1568/getInfo.php?workbook=20_10.xlsx&amp;sheet=U0&amp;row=279&amp;col=6&amp;number=4.5&amp;sourceID=14","4.5")</f>
        <v>4.5</v>
      </c>
      <c r="G279" s="4" t="str">
        <f>HYPERLINK("http://141.218.60.56/~jnz1568/getInfo.php?workbook=20_10.xlsx&amp;sheet=U0&amp;row=279&amp;col=7&amp;number=0.0953&amp;sourceID=14","0.0953")</f>
        <v>0.0953</v>
      </c>
    </row>
    <row r="280" spans="1:7">
      <c r="A280" s="3"/>
      <c r="B280" s="3"/>
      <c r="C280" s="3"/>
      <c r="D280" s="3"/>
      <c r="E280" s="3">
        <v>17</v>
      </c>
      <c r="F280" s="4" t="str">
        <f>HYPERLINK("http://141.218.60.56/~jnz1568/getInfo.php?workbook=20_10.xlsx&amp;sheet=U0&amp;row=280&amp;col=6&amp;number=4.6&amp;sourceID=14","4.6")</f>
        <v>4.6</v>
      </c>
      <c r="G280" s="4" t="str">
        <f>HYPERLINK("http://141.218.60.56/~jnz1568/getInfo.php?workbook=20_10.xlsx&amp;sheet=U0&amp;row=280&amp;col=7&amp;number=0.0954&amp;sourceID=14","0.0954")</f>
        <v>0.0954</v>
      </c>
    </row>
    <row r="281" spans="1:7">
      <c r="A281" s="3"/>
      <c r="B281" s="3"/>
      <c r="C281" s="3"/>
      <c r="D281" s="3"/>
      <c r="E281" s="3">
        <v>18</v>
      </c>
      <c r="F281" s="4" t="str">
        <f>HYPERLINK("http://141.218.60.56/~jnz1568/getInfo.php?workbook=20_10.xlsx&amp;sheet=U0&amp;row=281&amp;col=6&amp;number=4.7&amp;sourceID=14","4.7")</f>
        <v>4.7</v>
      </c>
      <c r="G281" s="4" t="str">
        <f>HYPERLINK("http://141.218.60.56/~jnz1568/getInfo.php?workbook=20_10.xlsx&amp;sheet=U0&amp;row=281&amp;col=7&amp;number=0.0954&amp;sourceID=14","0.0954")</f>
        <v>0.0954</v>
      </c>
    </row>
    <row r="282" spans="1:7">
      <c r="A282" s="3"/>
      <c r="B282" s="3"/>
      <c r="C282" s="3"/>
      <c r="D282" s="3"/>
      <c r="E282" s="3">
        <v>19</v>
      </c>
      <c r="F282" s="4" t="str">
        <f>HYPERLINK("http://141.218.60.56/~jnz1568/getInfo.php?workbook=20_10.xlsx&amp;sheet=U0&amp;row=282&amp;col=6&amp;number=4.8&amp;sourceID=14","4.8")</f>
        <v>4.8</v>
      </c>
      <c r="G282" s="4" t="str">
        <f>HYPERLINK("http://141.218.60.56/~jnz1568/getInfo.php?workbook=20_10.xlsx&amp;sheet=U0&amp;row=282&amp;col=7&amp;number=0.0954&amp;sourceID=14","0.0954")</f>
        <v>0.0954</v>
      </c>
    </row>
    <row r="283" spans="1:7">
      <c r="A283" s="3"/>
      <c r="B283" s="3"/>
      <c r="C283" s="3"/>
      <c r="D283" s="3"/>
      <c r="E283" s="3">
        <v>20</v>
      </c>
      <c r="F283" s="4" t="str">
        <f>HYPERLINK("http://141.218.60.56/~jnz1568/getInfo.php?workbook=20_10.xlsx&amp;sheet=U0&amp;row=283&amp;col=6&amp;number=4.9&amp;sourceID=14","4.9")</f>
        <v>4.9</v>
      </c>
      <c r="G283" s="4" t="str">
        <f>HYPERLINK("http://141.218.60.56/~jnz1568/getInfo.php?workbook=20_10.xlsx&amp;sheet=U0&amp;row=283&amp;col=7&amp;number=0.0955&amp;sourceID=14","0.0955")</f>
        <v>0.0955</v>
      </c>
    </row>
    <row r="284" spans="1:7">
      <c r="A284" s="3">
        <v>20</v>
      </c>
      <c r="B284" s="3">
        <v>10</v>
      </c>
      <c r="C284" s="3">
        <v>1</v>
      </c>
      <c r="D284" s="3">
        <v>16</v>
      </c>
      <c r="E284" s="3">
        <v>1</v>
      </c>
      <c r="F284" s="4" t="str">
        <f>HYPERLINK("http://141.218.60.56/~jnz1568/getInfo.php?workbook=20_10.xlsx&amp;sheet=U0&amp;row=284&amp;col=6&amp;number=3&amp;sourceID=14","3")</f>
        <v>3</v>
      </c>
      <c r="G284" s="4" t="str">
        <f>HYPERLINK("http://141.218.60.56/~jnz1568/getInfo.php?workbook=20_10.xlsx&amp;sheet=U0&amp;row=284&amp;col=7&amp;number=0.00453&amp;sourceID=14","0.00453")</f>
        <v>0.00453</v>
      </c>
    </row>
    <row r="285" spans="1:7">
      <c r="A285" s="3"/>
      <c r="B285" s="3"/>
      <c r="C285" s="3"/>
      <c r="D285" s="3"/>
      <c r="E285" s="3">
        <v>2</v>
      </c>
      <c r="F285" s="4" t="str">
        <f>HYPERLINK("http://141.218.60.56/~jnz1568/getInfo.php?workbook=20_10.xlsx&amp;sheet=U0&amp;row=285&amp;col=6&amp;number=3.1&amp;sourceID=14","3.1")</f>
        <v>3.1</v>
      </c>
      <c r="G285" s="4" t="str">
        <f>HYPERLINK("http://141.218.60.56/~jnz1568/getInfo.php?workbook=20_10.xlsx&amp;sheet=U0&amp;row=285&amp;col=7&amp;number=0.00453&amp;sourceID=14","0.00453")</f>
        <v>0.00453</v>
      </c>
    </row>
    <row r="286" spans="1:7">
      <c r="A286" s="3"/>
      <c r="B286" s="3"/>
      <c r="C286" s="3"/>
      <c r="D286" s="3"/>
      <c r="E286" s="3">
        <v>3</v>
      </c>
      <c r="F286" s="4" t="str">
        <f>HYPERLINK("http://141.218.60.56/~jnz1568/getInfo.php?workbook=20_10.xlsx&amp;sheet=U0&amp;row=286&amp;col=6&amp;number=3.2&amp;sourceID=14","3.2")</f>
        <v>3.2</v>
      </c>
      <c r="G286" s="4" t="str">
        <f>HYPERLINK("http://141.218.60.56/~jnz1568/getInfo.php?workbook=20_10.xlsx&amp;sheet=U0&amp;row=286&amp;col=7&amp;number=0.00453&amp;sourceID=14","0.00453")</f>
        <v>0.00453</v>
      </c>
    </row>
    <row r="287" spans="1:7">
      <c r="A287" s="3"/>
      <c r="B287" s="3"/>
      <c r="C287" s="3"/>
      <c r="D287" s="3"/>
      <c r="E287" s="3">
        <v>4</v>
      </c>
      <c r="F287" s="4" t="str">
        <f>HYPERLINK("http://141.218.60.56/~jnz1568/getInfo.php?workbook=20_10.xlsx&amp;sheet=U0&amp;row=287&amp;col=6&amp;number=3.3&amp;sourceID=14","3.3")</f>
        <v>3.3</v>
      </c>
      <c r="G287" s="4" t="str">
        <f>HYPERLINK("http://141.218.60.56/~jnz1568/getInfo.php?workbook=20_10.xlsx&amp;sheet=U0&amp;row=287&amp;col=7&amp;number=0.00453&amp;sourceID=14","0.00453")</f>
        <v>0.00453</v>
      </c>
    </row>
    <row r="288" spans="1:7">
      <c r="A288" s="3"/>
      <c r="B288" s="3"/>
      <c r="C288" s="3"/>
      <c r="D288" s="3"/>
      <c r="E288" s="3">
        <v>5</v>
      </c>
      <c r="F288" s="4" t="str">
        <f>HYPERLINK("http://141.218.60.56/~jnz1568/getInfo.php?workbook=20_10.xlsx&amp;sheet=U0&amp;row=288&amp;col=6&amp;number=3.4&amp;sourceID=14","3.4")</f>
        <v>3.4</v>
      </c>
      <c r="G288" s="4" t="str">
        <f>HYPERLINK("http://141.218.60.56/~jnz1568/getInfo.php?workbook=20_10.xlsx&amp;sheet=U0&amp;row=288&amp;col=7&amp;number=0.00453&amp;sourceID=14","0.00453")</f>
        <v>0.00453</v>
      </c>
    </row>
    <row r="289" spans="1:7">
      <c r="A289" s="3"/>
      <c r="B289" s="3"/>
      <c r="C289" s="3"/>
      <c r="D289" s="3"/>
      <c r="E289" s="3">
        <v>6</v>
      </c>
      <c r="F289" s="4" t="str">
        <f>HYPERLINK("http://141.218.60.56/~jnz1568/getInfo.php?workbook=20_10.xlsx&amp;sheet=U0&amp;row=289&amp;col=6&amp;number=3.5&amp;sourceID=14","3.5")</f>
        <v>3.5</v>
      </c>
      <c r="G289" s="4" t="str">
        <f>HYPERLINK("http://141.218.60.56/~jnz1568/getInfo.php?workbook=20_10.xlsx&amp;sheet=U0&amp;row=289&amp;col=7&amp;number=0.00453&amp;sourceID=14","0.00453")</f>
        <v>0.00453</v>
      </c>
    </row>
    <row r="290" spans="1:7">
      <c r="A290" s="3"/>
      <c r="B290" s="3"/>
      <c r="C290" s="3"/>
      <c r="D290" s="3"/>
      <c r="E290" s="3">
        <v>7</v>
      </c>
      <c r="F290" s="4" t="str">
        <f>HYPERLINK("http://141.218.60.56/~jnz1568/getInfo.php?workbook=20_10.xlsx&amp;sheet=U0&amp;row=290&amp;col=6&amp;number=3.6&amp;sourceID=14","3.6")</f>
        <v>3.6</v>
      </c>
      <c r="G290" s="4" t="str">
        <f>HYPERLINK("http://141.218.60.56/~jnz1568/getInfo.php?workbook=20_10.xlsx&amp;sheet=U0&amp;row=290&amp;col=7&amp;number=0.00453&amp;sourceID=14","0.00453")</f>
        <v>0.00453</v>
      </c>
    </row>
    <row r="291" spans="1:7">
      <c r="A291" s="3"/>
      <c r="B291" s="3"/>
      <c r="C291" s="3"/>
      <c r="D291" s="3"/>
      <c r="E291" s="3">
        <v>8</v>
      </c>
      <c r="F291" s="4" t="str">
        <f>HYPERLINK("http://141.218.60.56/~jnz1568/getInfo.php?workbook=20_10.xlsx&amp;sheet=U0&amp;row=291&amp;col=6&amp;number=3.7&amp;sourceID=14","3.7")</f>
        <v>3.7</v>
      </c>
      <c r="G291" s="4" t="str">
        <f>HYPERLINK("http://141.218.60.56/~jnz1568/getInfo.php?workbook=20_10.xlsx&amp;sheet=U0&amp;row=291&amp;col=7&amp;number=0.00453&amp;sourceID=14","0.00453")</f>
        <v>0.00453</v>
      </c>
    </row>
    <row r="292" spans="1:7">
      <c r="A292" s="3"/>
      <c r="B292" s="3"/>
      <c r="C292" s="3"/>
      <c r="D292" s="3"/>
      <c r="E292" s="3">
        <v>9</v>
      </c>
      <c r="F292" s="4" t="str">
        <f>HYPERLINK("http://141.218.60.56/~jnz1568/getInfo.php?workbook=20_10.xlsx&amp;sheet=U0&amp;row=292&amp;col=6&amp;number=3.8&amp;sourceID=14","3.8")</f>
        <v>3.8</v>
      </c>
      <c r="G292" s="4" t="str">
        <f>HYPERLINK("http://141.218.60.56/~jnz1568/getInfo.php?workbook=20_10.xlsx&amp;sheet=U0&amp;row=292&amp;col=7&amp;number=0.00453&amp;sourceID=14","0.00453")</f>
        <v>0.00453</v>
      </c>
    </row>
    <row r="293" spans="1:7">
      <c r="A293" s="3"/>
      <c r="B293" s="3"/>
      <c r="C293" s="3"/>
      <c r="D293" s="3"/>
      <c r="E293" s="3">
        <v>10</v>
      </c>
      <c r="F293" s="4" t="str">
        <f>HYPERLINK("http://141.218.60.56/~jnz1568/getInfo.php?workbook=20_10.xlsx&amp;sheet=U0&amp;row=293&amp;col=6&amp;number=3.9&amp;sourceID=14","3.9")</f>
        <v>3.9</v>
      </c>
      <c r="G293" s="4" t="str">
        <f>HYPERLINK("http://141.218.60.56/~jnz1568/getInfo.php?workbook=20_10.xlsx&amp;sheet=U0&amp;row=293&amp;col=7&amp;number=0.00452&amp;sourceID=14","0.00452")</f>
        <v>0.00452</v>
      </c>
    </row>
    <row r="294" spans="1:7">
      <c r="A294" s="3"/>
      <c r="B294" s="3"/>
      <c r="C294" s="3"/>
      <c r="D294" s="3"/>
      <c r="E294" s="3">
        <v>11</v>
      </c>
      <c r="F294" s="4" t="str">
        <f>HYPERLINK("http://141.218.60.56/~jnz1568/getInfo.php?workbook=20_10.xlsx&amp;sheet=U0&amp;row=294&amp;col=6&amp;number=4&amp;sourceID=14","4")</f>
        <v>4</v>
      </c>
      <c r="G294" s="4" t="str">
        <f>HYPERLINK("http://141.218.60.56/~jnz1568/getInfo.php?workbook=20_10.xlsx&amp;sheet=U0&amp;row=294&amp;col=7&amp;number=0.00452&amp;sourceID=14","0.00452")</f>
        <v>0.00452</v>
      </c>
    </row>
    <row r="295" spans="1:7">
      <c r="A295" s="3"/>
      <c r="B295" s="3"/>
      <c r="C295" s="3"/>
      <c r="D295" s="3"/>
      <c r="E295" s="3">
        <v>12</v>
      </c>
      <c r="F295" s="4" t="str">
        <f>HYPERLINK("http://141.218.60.56/~jnz1568/getInfo.php?workbook=20_10.xlsx&amp;sheet=U0&amp;row=295&amp;col=6&amp;number=4.1&amp;sourceID=14","4.1")</f>
        <v>4.1</v>
      </c>
      <c r="G295" s="4" t="str">
        <f>HYPERLINK("http://141.218.60.56/~jnz1568/getInfo.php?workbook=20_10.xlsx&amp;sheet=U0&amp;row=295&amp;col=7&amp;number=0.00452&amp;sourceID=14","0.00452")</f>
        <v>0.00452</v>
      </c>
    </row>
    <row r="296" spans="1:7">
      <c r="A296" s="3"/>
      <c r="B296" s="3"/>
      <c r="C296" s="3"/>
      <c r="D296" s="3"/>
      <c r="E296" s="3">
        <v>13</v>
      </c>
      <c r="F296" s="4" t="str">
        <f>HYPERLINK("http://141.218.60.56/~jnz1568/getInfo.php?workbook=20_10.xlsx&amp;sheet=U0&amp;row=296&amp;col=6&amp;number=4.2&amp;sourceID=14","4.2")</f>
        <v>4.2</v>
      </c>
      <c r="G296" s="4" t="str">
        <f>HYPERLINK("http://141.218.60.56/~jnz1568/getInfo.php?workbook=20_10.xlsx&amp;sheet=U0&amp;row=296&amp;col=7&amp;number=0.00452&amp;sourceID=14","0.00452")</f>
        <v>0.00452</v>
      </c>
    </row>
    <row r="297" spans="1:7">
      <c r="A297" s="3"/>
      <c r="B297" s="3"/>
      <c r="C297" s="3"/>
      <c r="D297" s="3"/>
      <c r="E297" s="3">
        <v>14</v>
      </c>
      <c r="F297" s="4" t="str">
        <f>HYPERLINK("http://141.218.60.56/~jnz1568/getInfo.php?workbook=20_10.xlsx&amp;sheet=U0&amp;row=297&amp;col=6&amp;number=4.3&amp;sourceID=14","4.3")</f>
        <v>4.3</v>
      </c>
      <c r="G297" s="4" t="str">
        <f>HYPERLINK("http://141.218.60.56/~jnz1568/getInfo.php?workbook=20_10.xlsx&amp;sheet=U0&amp;row=297&amp;col=7&amp;number=0.00451&amp;sourceID=14","0.00451")</f>
        <v>0.00451</v>
      </c>
    </row>
    <row r="298" spans="1:7">
      <c r="A298" s="3"/>
      <c r="B298" s="3"/>
      <c r="C298" s="3"/>
      <c r="D298" s="3"/>
      <c r="E298" s="3">
        <v>15</v>
      </c>
      <c r="F298" s="4" t="str">
        <f>HYPERLINK("http://141.218.60.56/~jnz1568/getInfo.php?workbook=20_10.xlsx&amp;sheet=U0&amp;row=298&amp;col=6&amp;number=4.4&amp;sourceID=14","4.4")</f>
        <v>4.4</v>
      </c>
      <c r="G298" s="4" t="str">
        <f>HYPERLINK("http://141.218.60.56/~jnz1568/getInfo.php?workbook=20_10.xlsx&amp;sheet=U0&amp;row=298&amp;col=7&amp;number=0.00451&amp;sourceID=14","0.00451")</f>
        <v>0.00451</v>
      </c>
    </row>
    <row r="299" spans="1:7">
      <c r="A299" s="3"/>
      <c r="B299" s="3"/>
      <c r="C299" s="3"/>
      <c r="D299" s="3"/>
      <c r="E299" s="3">
        <v>16</v>
      </c>
      <c r="F299" s="4" t="str">
        <f>HYPERLINK("http://141.218.60.56/~jnz1568/getInfo.php?workbook=20_10.xlsx&amp;sheet=U0&amp;row=299&amp;col=6&amp;number=4.5&amp;sourceID=14","4.5")</f>
        <v>4.5</v>
      </c>
      <c r="G299" s="4" t="str">
        <f>HYPERLINK("http://141.218.60.56/~jnz1568/getInfo.php?workbook=20_10.xlsx&amp;sheet=U0&amp;row=299&amp;col=7&amp;number=0.0045&amp;sourceID=14","0.0045")</f>
        <v>0.0045</v>
      </c>
    </row>
    <row r="300" spans="1:7">
      <c r="A300" s="3"/>
      <c r="B300" s="3"/>
      <c r="C300" s="3"/>
      <c r="D300" s="3"/>
      <c r="E300" s="3">
        <v>17</v>
      </c>
      <c r="F300" s="4" t="str">
        <f>HYPERLINK("http://141.218.60.56/~jnz1568/getInfo.php?workbook=20_10.xlsx&amp;sheet=U0&amp;row=300&amp;col=6&amp;number=4.6&amp;sourceID=14","4.6")</f>
        <v>4.6</v>
      </c>
      <c r="G300" s="4" t="str">
        <f>HYPERLINK("http://141.218.60.56/~jnz1568/getInfo.php?workbook=20_10.xlsx&amp;sheet=U0&amp;row=300&amp;col=7&amp;number=0.0045&amp;sourceID=14","0.0045")</f>
        <v>0.0045</v>
      </c>
    </row>
    <row r="301" spans="1:7">
      <c r="A301" s="3"/>
      <c r="B301" s="3"/>
      <c r="C301" s="3"/>
      <c r="D301" s="3"/>
      <c r="E301" s="3">
        <v>18</v>
      </c>
      <c r="F301" s="4" t="str">
        <f>HYPERLINK("http://141.218.60.56/~jnz1568/getInfo.php?workbook=20_10.xlsx&amp;sheet=U0&amp;row=301&amp;col=6&amp;number=4.7&amp;sourceID=14","4.7")</f>
        <v>4.7</v>
      </c>
      <c r="G301" s="4" t="str">
        <f>HYPERLINK("http://141.218.60.56/~jnz1568/getInfo.php?workbook=20_10.xlsx&amp;sheet=U0&amp;row=301&amp;col=7&amp;number=0.00449&amp;sourceID=14","0.00449")</f>
        <v>0.00449</v>
      </c>
    </row>
    <row r="302" spans="1:7">
      <c r="A302" s="3"/>
      <c r="B302" s="3"/>
      <c r="C302" s="3"/>
      <c r="D302" s="3"/>
      <c r="E302" s="3">
        <v>19</v>
      </c>
      <c r="F302" s="4" t="str">
        <f>HYPERLINK("http://141.218.60.56/~jnz1568/getInfo.php?workbook=20_10.xlsx&amp;sheet=U0&amp;row=302&amp;col=6&amp;number=4.8&amp;sourceID=14","4.8")</f>
        <v>4.8</v>
      </c>
      <c r="G302" s="4" t="str">
        <f>HYPERLINK("http://141.218.60.56/~jnz1568/getInfo.php?workbook=20_10.xlsx&amp;sheet=U0&amp;row=302&amp;col=7&amp;number=0.00447&amp;sourceID=14","0.00447")</f>
        <v>0.00447</v>
      </c>
    </row>
    <row r="303" spans="1:7">
      <c r="A303" s="3"/>
      <c r="B303" s="3"/>
      <c r="C303" s="3"/>
      <c r="D303" s="3"/>
      <c r="E303" s="3">
        <v>20</v>
      </c>
      <c r="F303" s="4" t="str">
        <f>HYPERLINK("http://141.218.60.56/~jnz1568/getInfo.php?workbook=20_10.xlsx&amp;sheet=U0&amp;row=303&amp;col=6&amp;number=4.9&amp;sourceID=14","4.9")</f>
        <v>4.9</v>
      </c>
      <c r="G303" s="4" t="str">
        <f>HYPERLINK("http://141.218.60.56/~jnz1568/getInfo.php?workbook=20_10.xlsx&amp;sheet=U0&amp;row=303&amp;col=7&amp;number=0.00446&amp;sourceID=14","0.00446")</f>
        <v>0.00446</v>
      </c>
    </row>
    <row r="304" spans="1:7">
      <c r="A304" s="3">
        <v>20</v>
      </c>
      <c r="B304" s="3">
        <v>10</v>
      </c>
      <c r="C304" s="3">
        <v>1</v>
      </c>
      <c r="D304" s="3">
        <v>17</v>
      </c>
      <c r="E304" s="3">
        <v>1</v>
      </c>
      <c r="F304" s="4" t="str">
        <f>HYPERLINK("http://141.218.60.56/~jnz1568/getInfo.php?workbook=20_10.xlsx&amp;sheet=U0&amp;row=304&amp;col=6&amp;number=3&amp;sourceID=14","3")</f>
        <v>3</v>
      </c>
      <c r="G304" s="4" t="str">
        <f>HYPERLINK("http://141.218.60.56/~jnz1568/getInfo.php?workbook=20_10.xlsx&amp;sheet=U0&amp;row=304&amp;col=7&amp;number=0.0135&amp;sourceID=14","0.0135")</f>
        <v>0.0135</v>
      </c>
    </row>
    <row r="305" spans="1:7">
      <c r="A305" s="3"/>
      <c r="B305" s="3"/>
      <c r="C305" s="3"/>
      <c r="D305" s="3"/>
      <c r="E305" s="3">
        <v>2</v>
      </c>
      <c r="F305" s="4" t="str">
        <f>HYPERLINK("http://141.218.60.56/~jnz1568/getInfo.php?workbook=20_10.xlsx&amp;sheet=U0&amp;row=305&amp;col=6&amp;number=3.1&amp;sourceID=14","3.1")</f>
        <v>3.1</v>
      </c>
      <c r="G305" s="4" t="str">
        <f>HYPERLINK("http://141.218.60.56/~jnz1568/getInfo.php?workbook=20_10.xlsx&amp;sheet=U0&amp;row=305&amp;col=7&amp;number=0.0135&amp;sourceID=14","0.0135")</f>
        <v>0.0135</v>
      </c>
    </row>
    <row r="306" spans="1:7">
      <c r="A306" s="3"/>
      <c r="B306" s="3"/>
      <c r="C306" s="3"/>
      <c r="D306" s="3"/>
      <c r="E306" s="3">
        <v>3</v>
      </c>
      <c r="F306" s="4" t="str">
        <f>HYPERLINK("http://141.218.60.56/~jnz1568/getInfo.php?workbook=20_10.xlsx&amp;sheet=U0&amp;row=306&amp;col=6&amp;number=3.2&amp;sourceID=14","3.2")</f>
        <v>3.2</v>
      </c>
      <c r="G306" s="4" t="str">
        <f>HYPERLINK("http://141.218.60.56/~jnz1568/getInfo.php?workbook=20_10.xlsx&amp;sheet=U0&amp;row=306&amp;col=7&amp;number=0.0135&amp;sourceID=14","0.0135")</f>
        <v>0.0135</v>
      </c>
    </row>
    <row r="307" spans="1:7">
      <c r="A307" s="3"/>
      <c r="B307" s="3"/>
      <c r="C307" s="3"/>
      <c r="D307" s="3"/>
      <c r="E307" s="3">
        <v>4</v>
      </c>
      <c r="F307" s="4" t="str">
        <f>HYPERLINK("http://141.218.60.56/~jnz1568/getInfo.php?workbook=20_10.xlsx&amp;sheet=U0&amp;row=307&amp;col=6&amp;number=3.3&amp;sourceID=14","3.3")</f>
        <v>3.3</v>
      </c>
      <c r="G307" s="4" t="str">
        <f>HYPERLINK("http://141.218.60.56/~jnz1568/getInfo.php?workbook=20_10.xlsx&amp;sheet=U0&amp;row=307&amp;col=7&amp;number=0.0135&amp;sourceID=14","0.0135")</f>
        <v>0.0135</v>
      </c>
    </row>
    <row r="308" spans="1:7">
      <c r="A308" s="3"/>
      <c r="B308" s="3"/>
      <c r="C308" s="3"/>
      <c r="D308" s="3"/>
      <c r="E308" s="3">
        <v>5</v>
      </c>
      <c r="F308" s="4" t="str">
        <f>HYPERLINK("http://141.218.60.56/~jnz1568/getInfo.php?workbook=20_10.xlsx&amp;sheet=U0&amp;row=308&amp;col=6&amp;number=3.4&amp;sourceID=14","3.4")</f>
        <v>3.4</v>
      </c>
      <c r="G308" s="4" t="str">
        <f>HYPERLINK("http://141.218.60.56/~jnz1568/getInfo.php?workbook=20_10.xlsx&amp;sheet=U0&amp;row=308&amp;col=7&amp;number=0.0135&amp;sourceID=14","0.0135")</f>
        <v>0.0135</v>
      </c>
    </row>
    <row r="309" spans="1:7">
      <c r="A309" s="3"/>
      <c r="B309" s="3"/>
      <c r="C309" s="3"/>
      <c r="D309" s="3"/>
      <c r="E309" s="3">
        <v>6</v>
      </c>
      <c r="F309" s="4" t="str">
        <f>HYPERLINK("http://141.218.60.56/~jnz1568/getInfo.php?workbook=20_10.xlsx&amp;sheet=U0&amp;row=309&amp;col=6&amp;number=3.5&amp;sourceID=14","3.5")</f>
        <v>3.5</v>
      </c>
      <c r="G309" s="4" t="str">
        <f>HYPERLINK("http://141.218.60.56/~jnz1568/getInfo.php?workbook=20_10.xlsx&amp;sheet=U0&amp;row=309&amp;col=7&amp;number=0.0135&amp;sourceID=14","0.0135")</f>
        <v>0.0135</v>
      </c>
    </row>
    <row r="310" spans="1:7">
      <c r="A310" s="3"/>
      <c r="B310" s="3"/>
      <c r="C310" s="3"/>
      <c r="D310" s="3"/>
      <c r="E310" s="3">
        <v>7</v>
      </c>
      <c r="F310" s="4" t="str">
        <f>HYPERLINK("http://141.218.60.56/~jnz1568/getInfo.php?workbook=20_10.xlsx&amp;sheet=U0&amp;row=310&amp;col=6&amp;number=3.6&amp;sourceID=14","3.6")</f>
        <v>3.6</v>
      </c>
      <c r="G310" s="4" t="str">
        <f>HYPERLINK("http://141.218.60.56/~jnz1568/getInfo.php?workbook=20_10.xlsx&amp;sheet=U0&amp;row=310&amp;col=7&amp;number=0.0135&amp;sourceID=14","0.0135")</f>
        <v>0.0135</v>
      </c>
    </row>
    <row r="311" spans="1:7">
      <c r="A311" s="3"/>
      <c r="B311" s="3"/>
      <c r="C311" s="3"/>
      <c r="D311" s="3"/>
      <c r="E311" s="3">
        <v>8</v>
      </c>
      <c r="F311" s="4" t="str">
        <f>HYPERLINK("http://141.218.60.56/~jnz1568/getInfo.php?workbook=20_10.xlsx&amp;sheet=U0&amp;row=311&amp;col=6&amp;number=3.7&amp;sourceID=14","3.7")</f>
        <v>3.7</v>
      </c>
      <c r="G311" s="4" t="str">
        <f>HYPERLINK("http://141.218.60.56/~jnz1568/getInfo.php?workbook=20_10.xlsx&amp;sheet=U0&amp;row=311&amp;col=7&amp;number=0.0135&amp;sourceID=14","0.0135")</f>
        <v>0.0135</v>
      </c>
    </row>
    <row r="312" spans="1:7">
      <c r="A312" s="3"/>
      <c r="B312" s="3"/>
      <c r="C312" s="3"/>
      <c r="D312" s="3"/>
      <c r="E312" s="3">
        <v>9</v>
      </c>
      <c r="F312" s="4" t="str">
        <f>HYPERLINK("http://141.218.60.56/~jnz1568/getInfo.php?workbook=20_10.xlsx&amp;sheet=U0&amp;row=312&amp;col=6&amp;number=3.8&amp;sourceID=14","3.8")</f>
        <v>3.8</v>
      </c>
      <c r="G312" s="4" t="str">
        <f>HYPERLINK("http://141.218.60.56/~jnz1568/getInfo.php?workbook=20_10.xlsx&amp;sheet=U0&amp;row=312&amp;col=7&amp;number=0.0135&amp;sourceID=14","0.0135")</f>
        <v>0.0135</v>
      </c>
    </row>
    <row r="313" spans="1:7">
      <c r="A313" s="3"/>
      <c r="B313" s="3"/>
      <c r="C313" s="3"/>
      <c r="D313" s="3"/>
      <c r="E313" s="3">
        <v>10</v>
      </c>
      <c r="F313" s="4" t="str">
        <f>HYPERLINK("http://141.218.60.56/~jnz1568/getInfo.php?workbook=20_10.xlsx&amp;sheet=U0&amp;row=313&amp;col=6&amp;number=3.9&amp;sourceID=14","3.9")</f>
        <v>3.9</v>
      </c>
      <c r="G313" s="4" t="str">
        <f>HYPERLINK("http://141.218.60.56/~jnz1568/getInfo.php?workbook=20_10.xlsx&amp;sheet=U0&amp;row=313&amp;col=7&amp;number=0.0135&amp;sourceID=14","0.0135")</f>
        <v>0.0135</v>
      </c>
    </row>
    <row r="314" spans="1:7">
      <c r="A314" s="3"/>
      <c r="B314" s="3"/>
      <c r="C314" s="3"/>
      <c r="D314" s="3"/>
      <c r="E314" s="3">
        <v>11</v>
      </c>
      <c r="F314" s="4" t="str">
        <f>HYPERLINK("http://141.218.60.56/~jnz1568/getInfo.php?workbook=20_10.xlsx&amp;sheet=U0&amp;row=314&amp;col=6&amp;number=4&amp;sourceID=14","4")</f>
        <v>4</v>
      </c>
      <c r="G314" s="4" t="str">
        <f>HYPERLINK("http://141.218.60.56/~jnz1568/getInfo.php?workbook=20_10.xlsx&amp;sheet=U0&amp;row=314&amp;col=7&amp;number=0.0135&amp;sourceID=14","0.0135")</f>
        <v>0.0135</v>
      </c>
    </row>
    <row r="315" spans="1:7">
      <c r="A315" s="3"/>
      <c r="B315" s="3"/>
      <c r="C315" s="3"/>
      <c r="D315" s="3"/>
      <c r="E315" s="3">
        <v>12</v>
      </c>
      <c r="F315" s="4" t="str">
        <f>HYPERLINK("http://141.218.60.56/~jnz1568/getInfo.php?workbook=20_10.xlsx&amp;sheet=U0&amp;row=315&amp;col=6&amp;number=4.1&amp;sourceID=14","4.1")</f>
        <v>4.1</v>
      </c>
      <c r="G315" s="4" t="str">
        <f>HYPERLINK("http://141.218.60.56/~jnz1568/getInfo.php?workbook=20_10.xlsx&amp;sheet=U0&amp;row=315&amp;col=7&amp;number=0.0135&amp;sourceID=14","0.0135")</f>
        <v>0.0135</v>
      </c>
    </row>
    <row r="316" spans="1:7">
      <c r="A316" s="3"/>
      <c r="B316" s="3"/>
      <c r="C316" s="3"/>
      <c r="D316" s="3"/>
      <c r="E316" s="3">
        <v>13</v>
      </c>
      <c r="F316" s="4" t="str">
        <f>HYPERLINK("http://141.218.60.56/~jnz1568/getInfo.php?workbook=20_10.xlsx&amp;sheet=U0&amp;row=316&amp;col=6&amp;number=4.2&amp;sourceID=14","4.2")</f>
        <v>4.2</v>
      </c>
      <c r="G316" s="4" t="str">
        <f>HYPERLINK("http://141.218.60.56/~jnz1568/getInfo.php?workbook=20_10.xlsx&amp;sheet=U0&amp;row=316&amp;col=7&amp;number=0.0135&amp;sourceID=14","0.0135")</f>
        <v>0.0135</v>
      </c>
    </row>
    <row r="317" spans="1:7">
      <c r="A317" s="3"/>
      <c r="B317" s="3"/>
      <c r="C317" s="3"/>
      <c r="D317" s="3"/>
      <c r="E317" s="3">
        <v>14</v>
      </c>
      <c r="F317" s="4" t="str">
        <f>HYPERLINK("http://141.218.60.56/~jnz1568/getInfo.php?workbook=20_10.xlsx&amp;sheet=U0&amp;row=317&amp;col=6&amp;number=4.3&amp;sourceID=14","4.3")</f>
        <v>4.3</v>
      </c>
      <c r="G317" s="4" t="str">
        <f>HYPERLINK("http://141.218.60.56/~jnz1568/getInfo.php?workbook=20_10.xlsx&amp;sheet=U0&amp;row=317&amp;col=7&amp;number=0.0135&amp;sourceID=14","0.0135")</f>
        <v>0.0135</v>
      </c>
    </row>
    <row r="318" spans="1:7">
      <c r="A318" s="3"/>
      <c r="B318" s="3"/>
      <c r="C318" s="3"/>
      <c r="D318" s="3"/>
      <c r="E318" s="3">
        <v>15</v>
      </c>
      <c r="F318" s="4" t="str">
        <f>HYPERLINK("http://141.218.60.56/~jnz1568/getInfo.php?workbook=20_10.xlsx&amp;sheet=U0&amp;row=318&amp;col=6&amp;number=4.4&amp;sourceID=14","4.4")</f>
        <v>4.4</v>
      </c>
      <c r="G318" s="4" t="str">
        <f>HYPERLINK("http://141.218.60.56/~jnz1568/getInfo.php?workbook=20_10.xlsx&amp;sheet=U0&amp;row=318&amp;col=7&amp;number=0.0135&amp;sourceID=14","0.0135")</f>
        <v>0.0135</v>
      </c>
    </row>
    <row r="319" spans="1:7">
      <c r="A319" s="3"/>
      <c r="B319" s="3"/>
      <c r="C319" s="3"/>
      <c r="D319" s="3"/>
      <c r="E319" s="3">
        <v>16</v>
      </c>
      <c r="F319" s="4" t="str">
        <f>HYPERLINK("http://141.218.60.56/~jnz1568/getInfo.php?workbook=20_10.xlsx&amp;sheet=U0&amp;row=319&amp;col=6&amp;number=4.5&amp;sourceID=14","4.5")</f>
        <v>4.5</v>
      </c>
      <c r="G319" s="4" t="str">
        <f>HYPERLINK("http://141.218.60.56/~jnz1568/getInfo.php?workbook=20_10.xlsx&amp;sheet=U0&amp;row=319&amp;col=7&amp;number=0.0135&amp;sourceID=14","0.0135")</f>
        <v>0.0135</v>
      </c>
    </row>
    <row r="320" spans="1:7">
      <c r="A320" s="3"/>
      <c r="B320" s="3"/>
      <c r="C320" s="3"/>
      <c r="D320" s="3"/>
      <c r="E320" s="3">
        <v>17</v>
      </c>
      <c r="F320" s="4" t="str">
        <f>HYPERLINK("http://141.218.60.56/~jnz1568/getInfo.php?workbook=20_10.xlsx&amp;sheet=U0&amp;row=320&amp;col=6&amp;number=4.6&amp;sourceID=14","4.6")</f>
        <v>4.6</v>
      </c>
      <c r="G320" s="4" t="str">
        <f>HYPERLINK("http://141.218.60.56/~jnz1568/getInfo.php?workbook=20_10.xlsx&amp;sheet=U0&amp;row=320&amp;col=7&amp;number=0.0135&amp;sourceID=14","0.0135")</f>
        <v>0.0135</v>
      </c>
    </row>
    <row r="321" spans="1:7">
      <c r="A321" s="3"/>
      <c r="B321" s="3"/>
      <c r="C321" s="3"/>
      <c r="D321" s="3"/>
      <c r="E321" s="3">
        <v>18</v>
      </c>
      <c r="F321" s="4" t="str">
        <f>HYPERLINK("http://141.218.60.56/~jnz1568/getInfo.php?workbook=20_10.xlsx&amp;sheet=U0&amp;row=321&amp;col=6&amp;number=4.7&amp;sourceID=14","4.7")</f>
        <v>4.7</v>
      </c>
      <c r="G321" s="4" t="str">
        <f>HYPERLINK("http://141.218.60.56/~jnz1568/getInfo.php?workbook=20_10.xlsx&amp;sheet=U0&amp;row=321&amp;col=7&amp;number=0.0134&amp;sourceID=14","0.0134")</f>
        <v>0.0134</v>
      </c>
    </row>
    <row r="322" spans="1:7">
      <c r="A322" s="3"/>
      <c r="B322" s="3"/>
      <c r="C322" s="3"/>
      <c r="D322" s="3"/>
      <c r="E322" s="3">
        <v>19</v>
      </c>
      <c r="F322" s="4" t="str">
        <f>HYPERLINK("http://141.218.60.56/~jnz1568/getInfo.php?workbook=20_10.xlsx&amp;sheet=U0&amp;row=322&amp;col=6&amp;number=4.8&amp;sourceID=14","4.8")</f>
        <v>4.8</v>
      </c>
      <c r="G322" s="4" t="str">
        <f>HYPERLINK("http://141.218.60.56/~jnz1568/getInfo.php?workbook=20_10.xlsx&amp;sheet=U0&amp;row=322&amp;col=7&amp;number=0.0134&amp;sourceID=14","0.0134")</f>
        <v>0.0134</v>
      </c>
    </row>
    <row r="323" spans="1:7">
      <c r="A323" s="3"/>
      <c r="B323" s="3"/>
      <c r="C323" s="3"/>
      <c r="D323" s="3"/>
      <c r="E323" s="3">
        <v>20</v>
      </c>
      <c r="F323" s="4" t="str">
        <f>HYPERLINK("http://141.218.60.56/~jnz1568/getInfo.php?workbook=20_10.xlsx&amp;sheet=U0&amp;row=323&amp;col=6&amp;number=4.9&amp;sourceID=14","4.9")</f>
        <v>4.9</v>
      </c>
      <c r="G323" s="4" t="str">
        <f>HYPERLINK("http://141.218.60.56/~jnz1568/getInfo.php?workbook=20_10.xlsx&amp;sheet=U0&amp;row=323&amp;col=7&amp;number=0.0134&amp;sourceID=14","0.0134")</f>
        <v>0.0134</v>
      </c>
    </row>
    <row r="324" spans="1:7">
      <c r="A324" s="3">
        <v>20</v>
      </c>
      <c r="B324" s="3">
        <v>10</v>
      </c>
      <c r="C324" s="3">
        <v>1</v>
      </c>
      <c r="D324" s="3">
        <v>18</v>
      </c>
      <c r="E324" s="3">
        <v>1</v>
      </c>
      <c r="F324" s="4" t="str">
        <f>HYPERLINK("http://141.218.60.56/~jnz1568/getInfo.php?workbook=20_10.xlsx&amp;sheet=U0&amp;row=324&amp;col=6&amp;number=3&amp;sourceID=14","3")</f>
        <v>3</v>
      </c>
      <c r="G324" s="4" t="str">
        <f>HYPERLINK("http://141.218.60.56/~jnz1568/getInfo.php?workbook=20_10.xlsx&amp;sheet=U0&amp;row=324&amp;col=7&amp;number=0.0197&amp;sourceID=14","0.0197")</f>
        <v>0.0197</v>
      </c>
    </row>
    <row r="325" spans="1:7">
      <c r="A325" s="3"/>
      <c r="B325" s="3"/>
      <c r="C325" s="3"/>
      <c r="D325" s="3"/>
      <c r="E325" s="3">
        <v>2</v>
      </c>
      <c r="F325" s="4" t="str">
        <f>HYPERLINK("http://141.218.60.56/~jnz1568/getInfo.php?workbook=20_10.xlsx&amp;sheet=U0&amp;row=325&amp;col=6&amp;number=3.1&amp;sourceID=14","3.1")</f>
        <v>3.1</v>
      </c>
      <c r="G325" s="4" t="str">
        <f>HYPERLINK("http://141.218.60.56/~jnz1568/getInfo.php?workbook=20_10.xlsx&amp;sheet=U0&amp;row=325&amp;col=7&amp;number=0.0197&amp;sourceID=14","0.0197")</f>
        <v>0.0197</v>
      </c>
    </row>
    <row r="326" spans="1:7">
      <c r="A326" s="3"/>
      <c r="B326" s="3"/>
      <c r="C326" s="3"/>
      <c r="D326" s="3"/>
      <c r="E326" s="3">
        <v>3</v>
      </c>
      <c r="F326" s="4" t="str">
        <f>HYPERLINK("http://141.218.60.56/~jnz1568/getInfo.php?workbook=20_10.xlsx&amp;sheet=U0&amp;row=326&amp;col=6&amp;number=3.2&amp;sourceID=14","3.2")</f>
        <v>3.2</v>
      </c>
      <c r="G326" s="4" t="str">
        <f>HYPERLINK("http://141.218.60.56/~jnz1568/getInfo.php?workbook=20_10.xlsx&amp;sheet=U0&amp;row=326&amp;col=7&amp;number=0.0197&amp;sourceID=14","0.0197")</f>
        <v>0.0197</v>
      </c>
    </row>
    <row r="327" spans="1:7">
      <c r="A327" s="3"/>
      <c r="B327" s="3"/>
      <c r="C327" s="3"/>
      <c r="D327" s="3"/>
      <c r="E327" s="3">
        <v>4</v>
      </c>
      <c r="F327" s="4" t="str">
        <f>HYPERLINK("http://141.218.60.56/~jnz1568/getInfo.php?workbook=20_10.xlsx&amp;sheet=U0&amp;row=327&amp;col=6&amp;number=3.3&amp;sourceID=14","3.3")</f>
        <v>3.3</v>
      </c>
      <c r="G327" s="4" t="str">
        <f>HYPERLINK("http://141.218.60.56/~jnz1568/getInfo.php?workbook=20_10.xlsx&amp;sheet=U0&amp;row=327&amp;col=7&amp;number=0.0197&amp;sourceID=14","0.0197")</f>
        <v>0.0197</v>
      </c>
    </row>
    <row r="328" spans="1:7">
      <c r="A328" s="3"/>
      <c r="B328" s="3"/>
      <c r="C328" s="3"/>
      <c r="D328" s="3"/>
      <c r="E328" s="3">
        <v>5</v>
      </c>
      <c r="F328" s="4" t="str">
        <f>HYPERLINK("http://141.218.60.56/~jnz1568/getInfo.php?workbook=20_10.xlsx&amp;sheet=U0&amp;row=328&amp;col=6&amp;number=3.4&amp;sourceID=14","3.4")</f>
        <v>3.4</v>
      </c>
      <c r="G328" s="4" t="str">
        <f>HYPERLINK("http://141.218.60.56/~jnz1568/getInfo.php?workbook=20_10.xlsx&amp;sheet=U0&amp;row=328&amp;col=7&amp;number=0.0197&amp;sourceID=14","0.0197")</f>
        <v>0.0197</v>
      </c>
    </row>
    <row r="329" spans="1:7">
      <c r="A329" s="3"/>
      <c r="B329" s="3"/>
      <c r="C329" s="3"/>
      <c r="D329" s="3"/>
      <c r="E329" s="3">
        <v>6</v>
      </c>
      <c r="F329" s="4" t="str">
        <f>HYPERLINK("http://141.218.60.56/~jnz1568/getInfo.php?workbook=20_10.xlsx&amp;sheet=U0&amp;row=329&amp;col=6&amp;number=3.5&amp;sourceID=14","3.5")</f>
        <v>3.5</v>
      </c>
      <c r="G329" s="4" t="str">
        <f>HYPERLINK("http://141.218.60.56/~jnz1568/getInfo.php?workbook=20_10.xlsx&amp;sheet=U0&amp;row=329&amp;col=7&amp;number=0.0197&amp;sourceID=14","0.0197")</f>
        <v>0.0197</v>
      </c>
    </row>
    <row r="330" spans="1:7">
      <c r="A330" s="3"/>
      <c r="B330" s="3"/>
      <c r="C330" s="3"/>
      <c r="D330" s="3"/>
      <c r="E330" s="3">
        <v>7</v>
      </c>
      <c r="F330" s="4" t="str">
        <f>HYPERLINK("http://141.218.60.56/~jnz1568/getInfo.php?workbook=20_10.xlsx&amp;sheet=U0&amp;row=330&amp;col=6&amp;number=3.6&amp;sourceID=14","3.6")</f>
        <v>3.6</v>
      </c>
      <c r="G330" s="4" t="str">
        <f>HYPERLINK("http://141.218.60.56/~jnz1568/getInfo.php?workbook=20_10.xlsx&amp;sheet=U0&amp;row=330&amp;col=7&amp;number=0.0197&amp;sourceID=14","0.0197")</f>
        <v>0.0197</v>
      </c>
    </row>
    <row r="331" spans="1:7">
      <c r="A331" s="3"/>
      <c r="B331" s="3"/>
      <c r="C331" s="3"/>
      <c r="D331" s="3"/>
      <c r="E331" s="3">
        <v>8</v>
      </c>
      <c r="F331" s="4" t="str">
        <f>HYPERLINK("http://141.218.60.56/~jnz1568/getInfo.php?workbook=20_10.xlsx&amp;sheet=U0&amp;row=331&amp;col=6&amp;number=3.7&amp;sourceID=14","3.7")</f>
        <v>3.7</v>
      </c>
      <c r="G331" s="4" t="str">
        <f>HYPERLINK("http://141.218.60.56/~jnz1568/getInfo.php?workbook=20_10.xlsx&amp;sheet=U0&amp;row=331&amp;col=7&amp;number=0.0197&amp;sourceID=14","0.0197")</f>
        <v>0.0197</v>
      </c>
    </row>
    <row r="332" spans="1:7">
      <c r="A332" s="3"/>
      <c r="B332" s="3"/>
      <c r="C332" s="3"/>
      <c r="D332" s="3"/>
      <c r="E332" s="3">
        <v>9</v>
      </c>
      <c r="F332" s="4" t="str">
        <f>HYPERLINK("http://141.218.60.56/~jnz1568/getInfo.php?workbook=20_10.xlsx&amp;sheet=U0&amp;row=332&amp;col=6&amp;number=3.8&amp;sourceID=14","3.8")</f>
        <v>3.8</v>
      </c>
      <c r="G332" s="4" t="str">
        <f>HYPERLINK("http://141.218.60.56/~jnz1568/getInfo.php?workbook=20_10.xlsx&amp;sheet=U0&amp;row=332&amp;col=7&amp;number=0.0197&amp;sourceID=14","0.0197")</f>
        <v>0.0197</v>
      </c>
    </row>
    <row r="333" spans="1:7">
      <c r="A333" s="3"/>
      <c r="B333" s="3"/>
      <c r="C333" s="3"/>
      <c r="D333" s="3"/>
      <c r="E333" s="3">
        <v>10</v>
      </c>
      <c r="F333" s="4" t="str">
        <f>HYPERLINK("http://141.218.60.56/~jnz1568/getInfo.php?workbook=20_10.xlsx&amp;sheet=U0&amp;row=333&amp;col=6&amp;number=3.9&amp;sourceID=14","3.9")</f>
        <v>3.9</v>
      </c>
      <c r="G333" s="4" t="str">
        <f>HYPERLINK("http://141.218.60.56/~jnz1568/getInfo.php?workbook=20_10.xlsx&amp;sheet=U0&amp;row=333&amp;col=7&amp;number=0.0197&amp;sourceID=14","0.0197")</f>
        <v>0.0197</v>
      </c>
    </row>
    <row r="334" spans="1:7">
      <c r="A334" s="3"/>
      <c r="B334" s="3"/>
      <c r="C334" s="3"/>
      <c r="D334" s="3"/>
      <c r="E334" s="3">
        <v>11</v>
      </c>
      <c r="F334" s="4" t="str">
        <f>HYPERLINK("http://141.218.60.56/~jnz1568/getInfo.php?workbook=20_10.xlsx&amp;sheet=U0&amp;row=334&amp;col=6&amp;number=4&amp;sourceID=14","4")</f>
        <v>4</v>
      </c>
      <c r="G334" s="4" t="str">
        <f>HYPERLINK("http://141.218.60.56/~jnz1568/getInfo.php?workbook=20_10.xlsx&amp;sheet=U0&amp;row=334&amp;col=7&amp;number=0.0197&amp;sourceID=14","0.0197")</f>
        <v>0.0197</v>
      </c>
    </row>
    <row r="335" spans="1:7">
      <c r="A335" s="3"/>
      <c r="B335" s="3"/>
      <c r="C335" s="3"/>
      <c r="D335" s="3"/>
      <c r="E335" s="3">
        <v>12</v>
      </c>
      <c r="F335" s="4" t="str">
        <f>HYPERLINK("http://141.218.60.56/~jnz1568/getInfo.php?workbook=20_10.xlsx&amp;sheet=U0&amp;row=335&amp;col=6&amp;number=4.1&amp;sourceID=14","4.1")</f>
        <v>4.1</v>
      </c>
      <c r="G335" s="4" t="str">
        <f>HYPERLINK("http://141.218.60.56/~jnz1568/getInfo.php?workbook=20_10.xlsx&amp;sheet=U0&amp;row=335&amp;col=7&amp;number=0.0197&amp;sourceID=14","0.0197")</f>
        <v>0.0197</v>
      </c>
    </row>
    <row r="336" spans="1:7">
      <c r="A336" s="3"/>
      <c r="B336" s="3"/>
      <c r="C336" s="3"/>
      <c r="D336" s="3"/>
      <c r="E336" s="3">
        <v>13</v>
      </c>
      <c r="F336" s="4" t="str">
        <f>HYPERLINK("http://141.218.60.56/~jnz1568/getInfo.php?workbook=20_10.xlsx&amp;sheet=U0&amp;row=336&amp;col=6&amp;number=4.2&amp;sourceID=14","4.2")</f>
        <v>4.2</v>
      </c>
      <c r="G336" s="4" t="str">
        <f>HYPERLINK("http://141.218.60.56/~jnz1568/getInfo.php?workbook=20_10.xlsx&amp;sheet=U0&amp;row=336&amp;col=7&amp;number=0.0197&amp;sourceID=14","0.0197")</f>
        <v>0.0197</v>
      </c>
    </row>
    <row r="337" spans="1:7">
      <c r="A337" s="3"/>
      <c r="B337" s="3"/>
      <c r="C337" s="3"/>
      <c r="D337" s="3"/>
      <c r="E337" s="3">
        <v>14</v>
      </c>
      <c r="F337" s="4" t="str">
        <f>HYPERLINK("http://141.218.60.56/~jnz1568/getInfo.php?workbook=20_10.xlsx&amp;sheet=U0&amp;row=337&amp;col=6&amp;number=4.3&amp;sourceID=14","4.3")</f>
        <v>4.3</v>
      </c>
      <c r="G337" s="4" t="str">
        <f>HYPERLINK("http://141.218.60.56/~jnz1568/getInfo.php?workbook=20_10.xlsx&amp;sheet=U0&amp;row=337&amp;col=7&amp;number=0.0197&amp;sourceID=14","0.0197")</f>
        <v>0.0197</v>
      </c>
    </row>
    <row r="338" spans="1:7">
      <c r="A338" s="3"/>
      <c r="B338" s="3"/>
      <c r="C338" s="3"/>
      <c r="D338" s="3"/>
      <c r="E338" s="3">
        <v>15</v>
      </c>
      <c r="F338" s="4" t="str">
        <f>HYPERLINK("http://141.218.60.56/~jnz1568/getInfo.php?workbook=20_10.xlsx&amp;sheet=U0&amp;row=338&amp;col=6&amp;number=4.4&amp;sourceID=14","4.4")</f>
        <v>4.4</v>
      </c>
      <c r="G338" s="4" t="str">
        <f>HYPERLINK("http://141.218.60.56/~jnz1568/getInfo.php?workbook=20_10.xlsx&amp;sheet=U0&amp;row=338&amp;col=7&amp;number=0.0196&amp;sourceID=14","0.0196")</f>
        <v>0.0196</v>
      </c>
    </row>
    <row r="339" spans="1:7">
      <c r="A339" s="3"/>
      <c r="B339" s="3"/>
      <c r="C339" s="3"/>
      <c r="D339" s="3"/>
      <c r="E339" s="3">
        <v>16</v>
      </c>
      <c r="F339" s="4" t="str">
        <f>HYPERLINK("http://141.218.60.56/~jnz1568/getInfo.php?workbook=20_10.xlsx&amp;sheet=U0&amp;row=339&amp;col=6&amp;number=4.5&amp;sourceID=14","4.5")</f>
        <v>4.5</v>
      </c>
      <c r="G339" s="4" t="str">
        <f>HYPERLINK("http://141.218.60.56/~jnz1568/getInfo.php?workbook=20_10.xlsx&amp;sheet=U0&amp;row=339&amp;col=7&amp;number=0.0196&amp;sourceID=14","0.0196")</f>
        <v>0.0196</v>
      </c>
    </row>
    <row r="340" spans="1:7">
      <c r="A340" s="3"/>
      <c r="B340" s="3"/>
      <c r="C340" s="3"/>
      <c r="D340" s="3"/>
      <c r="E340" s="3">
        <v>17</v>
      </c>
      <c r="F340" s="4" t="str">
        <f>HYPERLINK("http://141.218.60.56/~jnz1568/getInfo.php?workbook=20_10.xlsx&amp;sheet=U0&amp;row=340&amp;col=6&amp;number=4.6&amp;sourceID=14","4.6")</f>
        <v>4.6</v>
      </c>
      <c r="G340" s="4" t="str">
        <f>HYPERLINK("http://141.218.60.56/~jnz1568/getInfo.php?workbook=20_10.xlsx&amp;sheet=U0&amp;row=340&amp;col=7&amp;number=0.0196&amp;sourceID=14","0.0196")</f>
        <v>0.0196</v>
      </c>
    </row>
    <row r="341" spans="1:7">
      <c r="A341" s="3"/>
      <c r="B341" s="3"/>
      <c r="C341" s="3"/>
      <c r="D341" s="3"/>
      <c r="E341" s="3">
        <v>18</v>
      </c>
      <c r="F341" s="4" t="str">
        <f>HYPERLINK("http://141.218.60.56/~jnz1568/getInfo.php?workbook=20_10.xlsx&amp;sheet=U0&amp;row=341&amp;col=6&amp;number=4.7&amp;sourceID=14","4.7")</f>
        <v>4.7</v>
      </c>
      <c r="G341" s="4" t="str">
        <f>HYPERLINK("http://141.218.60.56/~jnz1568/getInfo.php?workbook=20_10.xlsx&amp;sheet=U0&amp;row=341&amp;col=7&amp;number=0.0195&amp;sourceID=14","0.0195")</f>
        <v>0.0195</v>
      </c>
    </row>
    <row r="342" spans="1:7">
      <c r="A342" s="3"/>
      <c r="B342" s="3"/>
      <c r="C342" s="3"/>
      <c r="D342" s="3"/>
      <c r="E342" s="3">
        <v>19</v>
      </c>
      <c r="F342" s="4" t="str">
        <f>HYPERLINK("http://141.218.60.56/~jnz1568/getInfo.php?workbook=20_10.xlsx&amp;sheet=U0&amp;row=342&amp;col=6&amp;number=4.8&amp;sourceID=14","4.8")</f>
        <v>4.8</v>
      </c>
      <c r="G342" s="4" t="str">
        <f>HYPERLINK("http://141.218.60.56/~jnz1568/getInfo.php?workbook=20_10.xlsx&amp;sheet=U0&amp;row=342&amp;col=7&amp;number=0.0195&amp;sourceID=14","0.0195")</f>
        <v>0.0195</v>
      </c>
    </row>
    <row r="343" spans="1:7">
      <c r="A343" s="3"/>
      <c r="B343" s="3"/>
      <c r="C343" s="3"/>
      <c r="D343" s="3"/>
      <c r="E343" s="3">
        <v>20</v>
      </c>
      <c r="F343" s="4" t="str">
        <f>HYPERLINK("http://141.218.60.56/~jnz1568/getInfo.php?workbook=20_10.xlsx&amp;sheet=U0&amp;row=343&amp;col=6&amp;number=4.9&amp;sourceID=14","4.9")</f>
        <v>4.9</v>
      </c>
      <c r="G343" s="4" t="str">
        <f>HYPERLINK("http://141.218.60.56/~jnz1568/getInfo.php?workbook=20_10.xlsx&amp;sheet=U0&amp;row=343&amp;col=7&amp;number=0.0194&amp;sourceID=14","0.0194")</f>
        <v>0.0194</v>
      </c>
    </row>
    <row r="344" spans="1:7">
      <c r="A344" s="3">
        <v>20</v>
      </c>
      <c r="B344" s="3">
        <v>10</v>
      </c>
      <c r="C344" s="3">
        <v>1</v>
      </c>
      <c r="D344" s="3">
        <v>19</v>
      </c>
      <c r="E344" s="3">
        <v>1</v>
      </c>
      <c r="F344" s="4" t="str">
        <f>HYPERLINK("http://141.218.60.56/~jnz1568/getInfo.php?workbook=20_10.xlsx&amp;sheet=U0&amp;row=344&amp;col=6&amp;number=3&amp;sourceID=14","3")</f>
        <v>3</v>
      </c>
      <c r="G344" s="4" t="str">
        <f>HYPERLINK("http://141.218.60.56/~jnz1568/getInfo.php?workbook=20_10.xlsx&amp;sheet=U0&amp;row=344&amp;col=7&amp;number=0.0153&amp;sourceID=14","0.0153")</f>
        <v>0.0153</v>
      </c>
    </row>
    <row r="345" spans="1:7">
      <c r="A345" s="3"/>
      <c r="B345" s="3"/>
      <c r="C345" s="3"/>
      <c r="D345" s="3"/>
      <c r="E345" s="3">
        <v>2</v>
      </c>
      <c r="F345" s="4" t="str">
        <f>HYPERLINK("http://141.218.60.56/~jnz1568/getInfo.php?workbook=20_10.xlsx&amp;sheet=U0&amp;row=345&amp;col=6&amp;number=3.1&amp;sourceID=14","3.1")</f>
        <v>3.1</v>
      </c>
      <c r="G345" s="4" t="str">
        <f>HYPERLINK("http://141.218.60.56/~jnz1568/getInfo.php?workbook=20_10.xlsx&amp;sheet=U0&amp;row=345&amp;col=7&amp;number=0.0153&amp;sourceID=14","0.0153")</f>
        <v>0.0153</v>
      </c>
    </row>
    <row r="346" spans="1:7">
      <c r="A346" s="3"/>
      <c r="B346" s="3"/>
      <c r="C346" s="3"/>
      <c r="D346" s="3"/>
      <c r="E346" s="3">
        <v>3</v>
      </c>
      <c r="F346" s="4" t="str">
        <f>HYPERLINK("http://141.218.60.56/~jnz1568/getInfo.php?workbook=20_10.xlsx&amp;sheet=U0&amp;row=346&amp;col=6&amp;number=3.2&amp;sourceID=14","3.2")</f>
        <v>3.2</v>
      </c>
      <c r="G346" s="4" t="str">
        <f>HYPERLINK("http://141.218.60.56/~jnz1568/getInfo.php?workbook=20_10.xlsx&amp;sheet=U0&amp;row=346&amp;col=7&amp;number=0.0153&amp;sourceID=14","0.0153")</f>
        <v>0.0153</v>
      </c>
    </row>
    <row r="347" spans="1:7">
      <c r="A347" s="3"/>
      <c r="B347" s="3"/>
      <c r="C347" s="3"/>
      <c r="D347" s="3"/>
      <c r="E347" s="3">
        <v>4</v>
      </c>
      <c r="F347" s="4" t="str">
        <f>HYPERLINK("http://141.218.60.56/~jnz1568/getInfo.php?workbook=20_10.xlsx&amp;sheet=U0&amp;row=347&amp;col=6&amp;number=3.3&amp;sourceID=14","3.3")</f>
        <v>3.3</v>
      </c>
      <c r="G347" s="4" t="str">
        <f>HYPERLINK("http://141.218.60.56/~jnz1568/getInfo.php?workbook=20_10.xlsx&amp;sheet=U0&amp;row=347&amp;col=7&amp;number=0.0153&amp;sourceID=14","0.0153")</f>
        <v>0.0153</v>
      </c>
    </row>
    <row r="348" spans="1:7">
      <c r="A348" s="3"/>
      <c r="B348" s="3"/>
      <c r="C348" s="3"/>
      <c r="D348" s="3"/>
      <c r="E348" s="3">
        <v>5</v>
      </c>
      <c r="F348" s="4" t="str">
        <f>HYPERLINK("http://141.218.60.56/~jnz1568/getInfo.php?workbook=20_10.xlsx&amp;sheet=U0&amp;row=348&amp;col=6&amp;number=3.4&amp;sourceID=14","3.4")</f>
        <v>3.4</v>
      </c>
      <c r="G348" s="4" t="str">
        <f>HYPERLINK("http://141.218.60.56/~jnz1568/getInfo.php?workbook=20_10.xlsx&amp;sheet=U0&amp;row=348&amp;col=7&amp;number=0.0153&amp;sourceID=14","0.0153")</f>
        <v>0.0153</v>
      </c>
    </row>
    <row r="349" spans="1:7">
      <c r="A349" s="3"/>
      <c r="B349" s="3"/>
      <c r="C349" s="3"/>
      <c r="D349" s="3"/>
      <c r="E349" s="3">
        <v>6</v>
      </c>
      <c r="F349" s="4" t="str">
        <f>HYPERLINK("http://141.218.60.56/~jnz1568/getInfo.php?workbook=20_10.xlsx&amp;sheet=U0&amp;row=349&amp;col=6&amp;number=3.5&amp;sourceID=14","3.5")</f>
        <v>3.5</v>
      </c>
      <c r="G349" s="4" t="str">
        <f>HYPERLINK("http://141.218.60.56/~jnz1568/getInfo.php?workbook=20_10.xlsx&amp;sheet=U0&amp;row=349&amp;col=7&amp;number=0.0153&amp;sourceID=14","0.0153")</f>
        <v>0.0153</v>
      </c>
    </row>
    <row r="350" spans="1:7">
      <c r="A350" s="3"/>
      <c r="B350" s="3"/>
      <c r="C350" s="3"/>
      <c r="D350" s="3"/>
      <c r="E350" s="3">
        <v>7</v>
      </c>
      <c r="F350" s="4" t="str">
        <f>HYPERLINK("http://141.218.60.56/~jnz1568/getInfo.php?workbook=20_10.xlsx&amp;sheet=U0&amp;row=350&amp;col=6&amp;number=3.6&amp;sourceID=14","3.6")</f>
        <v>3.6</v>
      </c>
      <c r="G350" s="4" t="str">
        <f>HYPERLINK("http://141.218.60.56/~jnz1568/getInfo.php?workbook=20_10.xlsx&amp;sheet=U0&amp;row=350&amp;col=7&amp;number=0.0153&amp;sourceID=14","0.0153")</f>
        <v>0.0153</v>
      </c>
    </row>
    <row r="351" spans="1:7">
      <c r="A351" s="3"/>
      <c r="B351" s="3"/>
      <c r="C351" s="3"/>
      <c r="D351" s="3"/>
      <c r="E351" s="3">
        <v>8</v>
      </c>
      <c r="F351" s="4" t="str">
        <f>HYPERLINK("http://141.218.60.56/~jnz1568/getInfo.php?workbook=20_10.xlsx&amp;sheet=U0&amp;row=351&amp;col=6&amp;number=3.7&amp;sourceID=14","3.7")</f>
        <v>3.7</v>
      </c>
      <c r="G351" s="4" t="str">
        <f>HYPERLINK("http://141.218.60.56/~jnz1568/getInfo.php?workbook=20_10.xlsx&amp;sheet=U0&amp;row=351&amp;col=7&amp;number=0.0153&amp;sourceID=14","0.0153")</f>
        <v>0.0153</v>
      </c>
    </row>
    <row r="352" spans="1:7">
      <c r="A352" s="3"/>
      <c r="B352" s="3"/>
      <c r="C352" s="3"/>
      <c r="D352" s="3"/>
      <c r="E352" s="3">
        <v>9</v>
      </c>
      <c r="F352" s="4" t="str">
        <f>HYPERLINK("http://141.218.60.56/~jnz1568/getInfo.php?workbook=20_10.xlsx&amp;sheet=U0&amp;row=352&amp;col=6&amp;number=3.8&amp;sourceID=14","3.8")</f>
        <v>3.8</v>
      </c>
      <c r="G352" s="4" t="str">
        <f>HYPERLINK("http://141.218.60.56/~jnz1568/getInfo.php?workbook=20_10.xlsx&amp;sheet=U0&amp;row=352&amp;col=7&amp;number=0.0152&amp;sourceID=14","0.0152")</f>
        <v>0.0152</v>
      </c>
    </row>
    <row r="353" spans="1:7">
      <c r="A353" s="3"/>
      <c r="B353" s="3"/>
      <c r="C353" s="3"/>
      <c r="D353" s="3"/>
      <c r="E353" s="3">
        <v>10</v>
      </c>
      <c r="F353" s="4" t="str">
        <f>HYPERLINK("http://141.218.60.56/~jnz1568/getInfo.php?workbook=20_10.xlsx&amp;sheet=U0&amp;row=353&amp;col=6&amp;number=3.9&amp;sourceID=14","3.9")</f>
        <v>3.9</v>
      </c>
      <c r="G353" s="4" t="str">
        <f>HYPERLINK("http://141.218.60.56/~jnz1568/getInfo.php?workbook=20_10.xlsx&amp;sheet=U0&amp;row=353&amp;col=7&amp;number=0.0152&amp;sourceID=14","0.0152")</f>
        <v>0.0152</v>
      </c>
    </row>
    <row r="354" spans="1:7">
      <c r="A354" s="3"/>
      <c r="B354" s="3"/>
      <c r="C354" s="3"/>
      <c r="D354" s="3"/>
      <c r="E354" s="3">
        <v>11</v>
      </c>
      <c r="F354" s="4" t="str">
        <f>HYPERLINK("http://141.218.60.56/~jnz1568/getInfo.php?workbook=20_10.xlsx&amp;sheet=U0&amp;row=354&amp;col=6&amp;number=4&amp;sourceID=14","4")</f>
        <v>4</v>
      </c>
      <c r="G354" s="4" t="str">
        <f>HYPERLINK("http://141.218.60.56/~jnz1568/getInfo.php?workbook=20_10.xlsx&amp;sheet=U0&amp;row=354&amp;col=7&amp;number=0.0152&amp;sourceID=14","0.0152")</f>
        <v>0.0152</v>
      </c>
    </row>
    <row r="355" spans="1:7">
      <c r="A355" s="3"/>
      <c r="B355" s="3"/>
      <c r="C355" s="3"/>
      <c r="D355" s="3"/>
      <c r="E355" s="3">
        <v>12</v>
      </c>
      <c r="F355" s="4" t="str">
        <f>HYPERLINK("http://141.218.60.56/~jnz1568/getInfo.php?workbook=20_10.xlsx&amp;sheet=U0&amp;row=355&amp;col=6&amp;number=4.1&amp;sourceID=14","4.1")</f>
        <v>4.1</v>
      </c>
      <c r="G355" s="4" t="str">
        <f>HYPERLINK("http://141.218.60.56/~jnz1568/getInfo.php?workbook=20_10.xlsx&amp;sheet=U0&amp;row=355&amp;col=7&amp;number=0.0152&amp;sourceID=14","0.0152")</f>
        <v>0.0152</v>
      </c>
    </row>
    <row r="356" spans="1:7">
      <c r="A356" s="3"/>
      <c r="B356" s="3"/>
      <c r="C356" s="3"/>
      <c r="D356" s="3"/>
      <c r="E356" s="3">
        <v>13</v>
      </c>
      <c r="F356" s="4" t="str">
        <f>HYPERLINK("http://141.218.60.56/~jnz1568/getInfo.php?workbook=20_10.xlsx&amp;sheet=U0&amp;row=356&amp;col=6&amp;number=4.2&amp;sourceID=14","4.2")</f>
        <v>4.2</v>
      </c>
      <c r="G356" s="4" t="str">
        <f>HYPERLINK("http://141.218.60.56/~jnz1568/getInfo.php?workbook=20_10.xlsx&amp;sheet=U0&amp;row=356&amp;col=7&amp;number=0.0152&amp;sourceID=14","0.0152")</f>
        <v>0.0152</v>
      </c>
    </row>
    <row r="357" spans="1:7">
      <c r="A357" s="3"/>
      <c r="B357" s="3"/>
      <c r="C357" s="3"/>
      <c r="D357" s="3"/>
      <c r="E357" s="3">
        <v>14</v>
      </c>
      <c r="F357" s="4" t="str">
        <f>HYPERLINK("http://141.218.60.56/~jnz1568/getInfo.php?workbook=20_10.xlsx&amp;sheet=U0&amp;row=357&amp;col=6&amp;number=4.3&amp;sourceID=14","4.3")</f>
        <v>4.3</v>
      </c>
      <c r="G357" s="4" t="str">
        <f>HYPERLINK("http://141.218.60.56/~jnz1568/getInfo.php?workbook=20_10.xlsx&amp;sheet=U0&amp;row=357&amp;col=7&amp;number=0.0152&amp;sourceID=14","0.0152")</f>
        <v>0.0152</v>
      </c>
    </row>
    <row r="358" spans="1:7">
      <c r="A358" s="3"/>
      <c r="B358" s="3"/>
      <c r="C358" s="3"/>
      <c r="D358" s="3"/>
      <c r="E358" s="3">
        <v>15</v>
      </c>
      <c r="F358" s="4" t="str">
        <f>HYPERLINK("http://141.218.60.56/~jnz1568/getInfo.php?workbook=20_10.xlsx&amp;sheet=U0&amp;row=358&amp;col=6&amp;number=4.4&amp;sourceID=14","4.4")</f>
        <v>4.4</v>
      </c>
      <c r="G358" s="4" t="str">
        <f>HYPERLINK("http://141.218.60.56/~jnz1568/getInfo.php?workbook=20_10.xlsx&amp;sheet=U0&amp;row=358&amp;col=7&amp;number=0.0152&amp;sourceID=14","0.0152")</f>
        <v>0.0152</v>
      </c>
    </row>
    <row r="359" spans="1:7">
      <c r="A359" s="3"/>
      <c r="B359" s="3"/>
      <c r="C359" s="3"/>
      <c r="D359" s="3"/>
      <c r="E359" s="3">
        <v>16</v>
      </c>
      <c r="F359" s="4" t="str">
        <f>HYPERLINK("http://141.218.60.56/~jnz1568/getInfo.php?workbook=20_10.xlsx&amp;sheet=U0&amp;row=359&amp;col=6&amp;number=4.5&amp;sourceID=14","4.5")</f>
        <v>4.5</v>
      </c>
      <c r="G359" s="4" t="str">
        <f>HYPERLINK("http://141.218.60.56/~jnz1568/getInfo.php?workbook=20_10.xlsx&amp;sheet=U0&amp;row=359&amp;col=7&amp;number=0.0152&amp;sourceID=14","0.0152")</f>
        <v>0.0152</v>
      </c>
    </row>
    <row r="360" spans="1:7">
      <c r="A360" s="3"/>
      <c r="B360" s="3"/>
      <c r="C360" s="3"/>
      <c r="D360" s="3"/>
      <c r="E360" s="3">
        <v>17</v>
      </c>
      <c r="F360" s="4" t="str">
        <f>HYPERLINK("http://141.218.60.56/~jnz1568/getInfo.php?workbook=20_10.xlsx&amp;sheet=U0&amp;row=360&amp;col=6&amp;number=4.6&amp;sourceID=14","4.6")</f>
        <v>4.6</v>
      </c>
      <c r="G360" s="4" t="str">
        <f>HYPERLINK("http://141.218.60.56/~jnz1568/getInfo.php?workbook=20_10.xlsx&amp;sheet=U0&amp;row=360&amp;col=7&amp;number=0.0151&amp;sourceID=14","0.0151")</f>
        <v>0.0151</v>
      </c>
    </row>
    <row r="361" spans="1:7">
      <c r="A361" s="3"/>
      <c r="B361" s="3"/>
      <c r="C361" s="3"/>
      <c r="D361" s="3"/>
      <c r="E361" s="3">
        <v>18</v>
      </c>
      <c r="F361" s="4" t="str">
        <f>HYPERLINK("http://141.218.60.56/~jnz1568/getInfo.php?workbook=20_10.xlsx&amp;sheet=U0&amp;row=361&amp;col=6&amp;number=4.7&amp;sourceID=14","4.7")</f>
        <v>4.7</v>
      </c>
      <c r="G361" s="4" t="str">
        <f>HYPERLINK("http://141.218.60.56/~jnz1568/getInfo.php?workbook=20_10.xlsx&amp;sheet=U0&amp;row=361&amp;col=7&amp;number=0.0151&amp;sourceID=14","0.0151")</f>
        <v>0.0151</v>
      </c>
    </row>
    <row r="362" spans="1:7">
      <c r="A362" s="3"/>
      <c r="B362" s="3"/>
      <c r="C362" s="3"/>
      <c r="D362" s="3"/>
      <c r="E362" s="3">
        <v>19</v>
      </c>
      <c r="F362" s="4" t="str">
        <f>HYPERLINK("http://141.218.60.56/~jnz1568/getInfo.php?workbook=20_10.xlsx&amp;sheet=U0&amp;row=362&amp;col=6&amp;number=4.8&amp;sourceID=14","4.8")</f>
        <v>4.8</v>
      </c>
      <c r="G362" s="4" t="str">
        <f>HYPERLINK("http://141.218.60.56/~jnz1568/getInfo.php?workbook=20_10.xlsx&amp;sheet=U0&amp;row=362&amp;col=7&amp;number=0.0151&amp;sourceID=14","0.0151")</f>
        <v>0.0151</v>
      </c>
    </row>
    <row r="363" spans="1:7">
      <c r="A363" s="3"/>
      <c r="B363" s="3"/>
      <c r="C363" s="3"/>
      <c r="D363" s="3"/>
      <c r="E363" s="3">
        <v>20</v>
      </c>
      <c r="F363" s="4" t="str">
        <f>HYPERLINK("http://141.218.60.56/~jnz1568/getInfo.php?workbook=20_10.xlsx&amp;sheet=U0&amp;row=363&amp;col=6&amp;number=4.9&amp;sourceID=14","4.9")</f>
        <v>4.9</v>
      </c>
      <c r="G363" s="4" t="str">
        <f>HYPERLINK("http://141.218.60.56/~jnz1568/getInfo.php?workbook=20_10.xlsx&amp;sheet=U0&amp;row=363&amp;col=7&amp;number=0.015&amp;sourceID=14","0.015")</f>
        <v>0.015</v>
      </c>
    </row>
    <row r="364" spans="1:7">
      <c r="A364" s="3">
        <v>20</v>
      </c>
      <c r="B364" s="3">
        <v>10</v>
      </c>
      <c r="C364" s="3">
        <v>1</v>
      </c>
      <c r="D364" s="3">
        <v>20</v>
      </c>
      <c r="E364" s="3">
        <v>1</v>
      </c>
      <c r="F364" s="4" t="str">
        <f>HYPERLINK("http://141.218.60.56/~jnz1568/getInfo.php?workbook=20_10.xlsx&amp;sheet=U0&amp;row=364&amp;col=6&amp;number=3&amp;sourceID=14","3")</f>
        <v>3</v>
      </c>
      <c r="G364" s="4" t="str">
        <f>HYPERLINK("http://141.218.60.56/~jnz1568/getInfo.php?workbook=20_10.xlsx&amp;sheet=U0&amp;row=364&amp;col=7&amp;number=0.0101&amp;sourceID=14","0.0101")</f>
        <v>0.0101</v>
      </c>
    </row>
    <row r="365" spans="1:7">
      <c r="A365" s="3"/>
      <c r="B365" s="3"/>
      <c r="C365" s="3"/>
      <c r="D365" s="3"/>
      <c r="E365" s="3">
        <v>2</v>
      </c>
      <c r="F365" s="4" t="str">
        <f>HYPERLINK("http://141.218.60.56/~jnz1568/getInfo.php?workbook=20_10.xlsx&amp;sheet=U0&amp;row=365&amp;col=6&amp;number=3.1&amp;sourceID=14","3.1")</f>
        <v>3.1</v>
      </c>
      <c r="G365" s="4" t="str">
        <f>HYPERLINK("http://141.218.60.56/~jnz1568/getInfo.php?workbook=20_10.xlsx&amp;sheet=U0&amp;row=365&amp;col=7&amp;number=0.0101&amp;sourceID=14","0.0101")</f>
        <v>0.0101</v>
      </c>
    </row>
    <row r="366" spans="1:7">
      <c r="A366" s="3"/>
      <c r="B366" s="3"/>
      <c r="C366" s="3"/>
      <c r="D366" s="3"/>
      <c r="E366" s="3">
        <v>3</v>
      </c>
      <c r="F366" s="4" t="str">
        <f>HYPERLINK("http://141.218.60.56/~jnz1568/getInfo.php?workbook=20_10.xlsx&amp;sheet=U0&amp;row=366&amp;col=6&amp;number=3.2&amp;sourceID=14","3.2")</f>
        <v>3.2</v>
      </c>
      <c r="G366" s="4" t="str">
        <f>HYPERLINK("http://141.218.60.56/~jnz1568/getInfo.php?workbook=20_10.xlsx&amp;sheet=U0&amp;row=366&amp;col=7&amp;number=0.0101&amp;sourceID=14","0.0101")</f>
        <v>0.0101</v>
      </c>
    </row>
    <row r="367" spans="1:7">
      <c r="A367" s="3"/>
      <c r="B367" s="3"/>
      <c r="C367" s="3"/>
      <c r="D367" s="3"/>
      <c r="E367" s="3">
        <v>4</v>
      </c>
      <c r="F367" s="4" t="str">
        <f>HYPERLINK("http://141.218.60.56/~jnz1568/getInfo.php?workbook=20_10.xlsx&amp;sheet=U0&amp;row=367&amp;col=6&amp;number=3.3&amp;sourceID=14","3.3")</f>
        <v>3.3</v>
      </c>
      <c r="G367" s="4" t="str">
        <f>HYPERLINK("http://141.218.60.56/~jnz1568/getInfo.php?workbook=20_10.xlsx&amp;sheet=U0&amp;row=367&amp;col=7&amp;number=0.0101&amp;sourceID=14","0.0101")</f>
        <v>0.0101</v>
      </c>
    </row>
    <row r="368" spans="1:7">
      <c r="A368" s="3"/>
      <c r="B368" s="3"/>
      <c r="C368" s="3"/>
      <c r="D368" s="3"/>
      <c r="E368" s="3">
        <v>5</v>
      </c>
      <c r="F368" s="4" t="str">
        <f>HYPERLINK("http://141.218.60.56/~jnz1568/getInfo.php?workbook=20_10.xlsx&amp;sheet=U0&amp;row=368&amp;col=6&amp;number=3.4&amp;sourceID=14","3.4")</f>
        <v>3.4</v>
      </c>
      <c r="G368" s="4" t="str">
        <f>HYPERLINK("http://141.218.60.56/~jnz1568/getInfo.php?workbook=20_10.xlsx&amp;sheet=U0&amp;row=368&amp;col=7&amp;number=0.0101&amp;sourceID=14","0.0101")</f>
        <v>0.0101</v>
      </c>
    </row>
    <row r="369" spans="1:7">
      <c r="A369" s="3"/>
      <c r="B369" s="3"/>
      <c r="C369" s="3"/>
      <c r="D369" s="3"/>
      <c r="E369" s="3">
        <v>6</v>
      </c>
      <c r="F369" s="4" t="str">
        <f>HYPERLINK("http://141.218.60.56/~jnz1568/getInfo.php?workbook=20_10.xlsx&amp;sheet=U0&amp;row=369&amp;col=6&amp;number=3.5&amp;sourceID=14","3.5")</f>
        <v>3.5</v>
      </c>
      <c r="G369" s="4" t="str">
        <f>HYPERLINK("http://141.218.60.56/~jnz1568/getInfo.php?workbook=20_10.xlsx&amp;sheet=U0&amp;row=369&amp;col=7&amp;number=0.0101&amp;sourceID=14","0.0101")</f>
        <v>0.0101</v>
      </c>
    </row>
    <row r="370" spans="1:7">
      <c r="A370" s="3"/>
      <c r="B370" s="3"/>
      <c r="C370" s="3"/>
      <c r="D370" s="3"/>
      <c r="E370" s="3">
        <v>7</v>
      </c>
      <c r="F370" s="4" t="str">
        <f>HYPERLINK("http://141.218.60.56/~jnz1568/getInfo.php?workbook=20_10.xlsx&amp;sheet=U0&amp;row=370&amp;col=6&amp;number=3.6&amp;sourceID=14","3.6")</f>
        <v>3.6</v>
      </c>
      <c r="G370" s="4" t="str">
        <f>HYPERLINK("http://141.218.60.56/~jnz1568/getInfo.php?workbook=20_10.xlsx&amp;sheet=U0&amp;row=370&amp;col=7&amp;number=0.0101&amp;sourceID=14","0.0101")</f>
        <v>0.0101</v>
      </c>
    </row>
    <row r="371" spans="1:7">
      <c r="A371" s="3"/>
      <c r="B371" s="3"/>
      <c r="C371" s="3"/>
      <c r="D371" s="3"/>
      <c r="E371" s="3">
        <v>8</v>
      </c>
      <c r="F371" s="4" t="str">
        <f>HYPERLINK("http://141.218.60.56/~jnz1568/getInfo.php?workbook=20_10.xlsx&amp;sheet=U0&amp;row=371&amp;col=6&amp;number=3.7&amp;sourceID=14","3.7")</f>
        <v>3.7</v>
      </c>
      <c r="G371" s="4" t="str">
        <f>HYPERLINK("http://141.218.60.56/~jnz1568/getInfo.php?workbook=20_10.xlsx&amp;sheet=U0&amp;row=371&amp;col=7&amp;number=0.0101&amp;sourceID=14","0.0101")</f>
        <v>0.0101</v>
      </c>
    </row>
    <row r="372" spans="1:7">
      <c r="A372" s="3"/>
      <c r="B372" s="3"/>
      <c r="C372" s="3"/>
      <c r="D372" s="3"/>
      <c r="E372" s="3">
        <v>9</v>
      </c>
      <c r="F372" s="4" t="str">
        <f>HYPERLINK("http://141.218.60.56/~jnz1568/getInfo.php?workbook=20_10.xlsx&amp;sheet=U0&amp;row=372&amp;col=6&amp;number=3.8&amp;sourceID=14","3.8")</f>
        <v>3.8</v>
      </c>
      <c r="G372" s="4" t="str">
        <f>HYPERLINK("http://141.218.60.56/~jnz1568/getInfo.php?workbook=20_10.xlsx&amp;sheet=U0&amp;row=372&amp;col=7&amp;number=0.0101&amp;sourceID=14","0.0101")</f>
        <v>0.0101</v>
      </c>
    </row>
    <row r="373" spans="1:7">
      <c r="A373" s="3"/>
      <c r="B373" s="3"/>
      <c r="C373" s="3"/>
      <c r="D373" s="3"/>
      <c r="E373" s="3">
        <v>10</v>
      </c>
      <c r="F373" s="4" t="str">
        <f>HYPERLINK("http://141.218.60.56/~jnz1568/getInfo.php?workbook=20_10.xlsx&amp;sheet=U0&amp;row=373&amp;col=6&amp;number=3.9&amp;sourceID=14","3.9")</f>
        <v>3.9</v>
      </c>
      <c r="G373" s="4" t="str">
        <f>HYPERLINK("http://141.218.60.56/~jnz1568/getInfo.php?workbook=20_10.xlsx&amp;sheet=U0&amp;row=373&amp;col=7&amp;number=0.0101&amp;sourceID=14","0.0101")</f>
        <v>0.0101</v>
      </c>
    </row>
    <row r="374" spans="1:7">
      <c r="A374" s="3"/>
      <c r="B374" s="3"/>
      <c r="C374" s="3"/>
      <c r="D374" s="3"/>
      <c r="E374" s="3">
        <v>11</v>
      </c>
      <c r="F374" s="4" t="str">
        <f>HYPERLINK("http://141.218.60.56/~jnz1568/getInfo.php?workbook=20_10.xlsx&amp;sheet=U0&amp;row=374&amp;col=6&amp;number=4&amp;sourceID=14","4")</f>
        <v>4</v>
      </c>
      <c r="G374" s="4" t="str">
        <f>HYPERLINK("http://141.218.60.56/~jnz1568/getInfo.php?workbook=20_10.xlsx&amp;sheet=U0&amp;row=374&amp;col=7&amp;number=0.0101&amp;sourceID=14","0.0101")</f>
        <v>0.0101</v>
      </c>
    </row>
    <row r="375" spans="1:7">
      <c r="A375" s="3"/>
      <c r="B375" s="3"/>
      <c r="C375" s="3"/>
      <c r="D375" s="3"/>
      <c r="E375" s="3">
        <v>12</v>
      </c>
      <c r="F375" s="4" t="str">
        <f>HYPERLINK("http://141.218.60.56/~jnz1568/getInfo.php?workbook=20_10.xlsx&amp;sheet=U0&amp;row=375&amp;col=6&amp;number=4.1&amp;sourceID=14","4.1")</f>
        <v>4.1</v>
      </c>
      <c r="G375" s="4" t="str">
        <f>HYPERLINK("http://141.218.60.56/~jnz1568/getInfo.php?workbook=20_10.xlsx&amp;sheet=U0&amp;row=375&amp;col=7&amp;number=0.0101&amp;sourceID=14","0.0101")</f>
        <v>0.0101</v>
      </c>
    </row>
    <row r="376" spans="1:7">
      <c r="A376" s="3"/>
      <c r="B376" s="3"/>
      <c r="C376" s="3"/>
      <c r="D376" s="3"/>
      <c r="E376" s="3">
        <v>13</v>
      </c>
      <c r="F376" s="4" t="str">
        <f>HYPERLINK("http://141.218.60.56/~jnz1568/getInfo.php?workbook=20_10.xlsx&amp;sheet=U0&amp;row=376&amp;col=6&amp;number=4.2&amp;sourceID=14","4.2")</f>
        <v>4.2</v>
      </c>
      <c r="G376" s="4" t="str">
        <f>HYPERLINK("http://141.218.60.56/~jnz1568/getInfo.php?workbook=20_10.xlsx&amp;sheet=U0&amp;row=376&amp;col=7&amp;number=0.0101&amp;sourceID=14","0.0101")</f>
        <v>0.0101</v>
      </c>
    </row>
    <row r="377" spans="1:7">
      <c r="A377" s="3"/>
      <c r="B377" s="3"/>
      <c r="C377" s="3"/>
      <c r="D377" s="3"/>
      <c r="E377" s="3">
        <v>14</v>
      </c>
      <c r="F377" s="4" t="str">
        <f>HYPERLINK("http://141.218.60.56/~jnz1568/getInfo.php?workbook=20_10.xlsx&amp;sheet=U0&amp;row=377&amp;col=6&amp;number=4.3&amp;sourceID=14","4.3")</f>
        <v>4.3</v>
      </c>
      <c r="G377" s="4" t="str">
        <f>HYPERLINK("http://141.218.60.56/~jnz1568/getInfo.php?workbook=20_10.xlsx&amp;sheet=U0&amp;row=377&amp;col=7&amp;number=0.0101&amp;sourceID=14","0.0101")</f>
        <v>0.0101</v>
      </c>
    </row>
    <row r="378" spans="1:7">
      <c r="A378" s="3"/>
      <c r="B378" s="3"/>
      <c r="C378" s="3"/>
      <c r="D378" s="3"/>
      <c r="E378" s="3">
        <v>15</v>
      </c>
      <c r="F378" s="4" t="str">
        <f>HYPERLINK("http://141.218.60.56/~jnz1568/getInfo.php?workbook=20_10.xlsx&amp;sheet=U0&amp;row=378&amp;col=6&amp;number=4.4&amp;sourceID=14","4.4")</f>
        <v>4.4</v>
      </c>
      <c r="G378" s="4" t="str">
        <f>HYPERLINK("http://141.218.60.56/~jnz1568/getInfo.php?workbook=20_10.xlsx&amp;sheet=U0&amp;row=378&amp;col=7&amp;number=0.0101&amp;sourceID=14","0.0101")</f>
        <v>0.0101</v>
      </c>
    </row>
    <row r="379" spans="1:7">
      <c r="A379" s="3"/>
      <c r="B379" s="3"/>
      <c r="C379" s="3"/>
      <c r="D379" s="3"/>
      <c r="E379" s="3">
        <v>16</v>
      </c>
      <c r="F379" s="4" t="str">
        <f>HYPERLINK("http://141.218.60.56/~jnz1568/getInfo.php?workbook=20_10.xlsx&amp;sheet=U0&amp;row=379&amp;col=6&amp;number=4.5&amp;sourceID=14","4.5")</f>
        <v>4.5</v>
      </c>
      <c r="G379" s="4" t="str">
        <f>HYPERLINK("http://141.218.60.56/~jnz1568/getInfo.php?workbook=20_10.xlsx&amp;sheet=U0&amp;row=379&amp;col=7&amp;number=0.0101&amp;sourceID=14","0.0101")</f>
        <v>0.0101</v>
      </c>
    </row>
    <row r="380" spans="1:7">
      <c r="A380" s="3"/>
      <c r="B380" s="3"/>
      <c r="C380" s="3"/>
      <c r="D380" s="3"/>
      <c r="E380" s="3">
        <v>17</v>
      </c>
      <c r="F380" s="4" t="str">
        <f>HYPERLINK("http://141.218.60.56/~jnz1568/getInfo.php?workbook=20_10.xlsx&amp;sheet=U0&amp;row=380&amp;col=6&amp;number=4.6&amp;sourceID=14","4.6")</f>
        <v>4.6</v>
      </c>
      <c r="G380" s="4" t="str">
        <f>HYPERLINK("http://141.218.60.56/~jnz1568/getInfo.php?workbook=20_10.xlsx&amp;sheet=U0&amp;row=380&amp;col=7&amp;number=0.01&amp;sourceID=14","0.01")</f>
        <v>0.01</v>
      </c>
    </row>
    <row r="381" spans="1:7">
      <c r="A381" s="3"/>
      <c r="B381" s="3"/>
      <c r="C381" s="3"/>
      <c r="D381" s="3"/>
      <c r="E381" s="3">
        <v>18</v>
      </c>
      <c r="F381" s="4" t="str">
        <f>HYPERLINK("http://141.218.60.56/~jnz1568/getInfo.php?workbook=20_10.xlsx&amp;sheet=U0&amp;row=381&amp;col=6&amp;number=4.7&amp;sourceID=14","4.7")</f>
        <v>4.7</v>
      </c>
      <c r="G381" s="4" t="str">
        <f>HYPERLINK("http://141.218.60.56/~jnz1568/getInfo.php?workbook=20_10.xlsx&amp;sheet=U0&amp;row=381&amp;col=7&amp;number=0.01&amp;sourceID=14","0.01")</f>
        <v>0.01</v>
      </c>
    </row>
    <row r="382" spans="1:7">
      <c r="A382" s="3"/>
      <c r="B382" s="3"/>
      <c r="C382" s="3"/>
      <c r="D382" s="3"/>
      <c r="E382" s="3">
        <v>19</v>
      </c>
      <c r="F382" s="4" t="str">
        <f>HYPERLINK("http://141.218.60.56/~jnz1568/getInfo.php?workbook=20_10.xlsx&amp;sheet=U0&amp;row=382&amp;col=6&amp;number=4.8&amp;sourceID=14","4.8")</f>
        <v>4.8</v>
      </c>
      <c r="G382" s="4" t="str">
        <f>HYPERLINK("http://141.218.60.56/~jnz1568/getInfo.php?workbook=20_10.xlsx&amp;sheet=U0&amp;row=382&amp;col=7&amp;number=0.01&amp;sourceID=14","0.01")</f>
        <v>0.01</v>
      </c>
    </row>
    <row r="383" spans="1:7">
      <c r="A383" s="3"/>
      <c r="B383" s="3"/>
      <c r="C383" s="3"/>
      <c r="D383" s="3"/>
      <c r="E383" s="3">
        <v>20</v>
      </c>
      <c r="F383" s="4" t="str">
        <f>HYPERLINK("http://141.218.60.56/~jnz1568/getInfo.php?workbook=20_10.xlsx&amp;sheet=U0&amp;row=383&amp;col=6&amp;number=4.9&amp;sourceID=14","4.9")</f>
        <v>4.9</v>
      </c>
      <c r="G383" s="4" t="str">
        <f>HYPERLINK("http://141.218.60.56/~jnz1568/getInfo.php?workbook=20_10.xlsx&amp;sheet=U0&amp;row=383&amp;col=7&amp;number=0.00997&amp;sourceID=14","0.00997")</f>
        <v>0.00997</v>
      </c>
    </row>
    <row r="384" spans="1:7">
      <c r="A384" s="3">
        <v>20</v>
      </c>
      <c r="B384" s="3">
        <v>10</v>
      </c>
      <c r="C384" s="3">
        <v>1</v>
      </c>
      <c r="D384" s="3">
        <v>21</v>
      </c>
      <c r="E384" s="3">
        <v>1</v>
      </c>
      <c r="F384" s="4" t="str">
        <f>HYPERLINK("http://141.218.60.56/~jnz1568/getInfo.php?workbook=20_10.xlsx&amp;sheet=U0&amp;row=384&amp;col=6&amp;number=3&amp;sourceID=14","3")</f>
        <v>3</v>
      </c>
      <c r="G384" s="4" t="str">
        <f>HYPERLINK("http://141.218.60.56/~jnz1568/getInfo.php?workbook=20_10.xlsx&amp;sheet=U0&amp;row=384&amp;col=7&amp;number=0.00652&amp;sourceID=14","0.00652")</f>
        <v>0.00652</v>
      </c>
    </row>
    <row r="385" spans="1:7">
      <c r="A385" s="3"/>
      <c r="B385" s="3"/>
      <c r="C385" s="3"/>
      <c r="D385" s="3"/>
      <c r="E385" s="3">
        <v>2</v>
      </c>
      <c r="F385" s="4" t="str">
        <f>HYPERLINK("http://141.218.60.56/~jnz1568/getInfo.php?workbook=20_10.xlsx&amp;sheet=U0&amp;row=385&amp;col=6&amp;number=3.1&amp;sourceID=14","3.1")</f>
        <v>3.1</v>
      </c>
      <c r="G385" s="4" t="str">
        <f>HYPERLINK("http://141.218.60.56/~jnz1568/getInfo.php?workbook=20_10.xlsx&amp;sheet=U0&amp;row=385&amp;col=7&amp;number=0.00652&amp;sourceID=14","0.00652")</f>
        <v>0.00652</v>
      </c>
    </row>
    <row r="386" spans="1:7">
      <c r="A386" s="3"/>
      <c r="B386" s="3"/>
      <c r="C386" s="3"/>
      <c r="D386" s="3"/>
      <c r="E386" s="3">
        <v>3</v>
      </c>
      <c r="F386" s="4" t="str">
        <f>HYPERLINK("http://141.218.60.56/~jnz1568/getInfo.php?workbook=20_10.xlsx&amp;sheet=U0&amp;row=386&amp;col=6&amp;number=3.2&amp;sourceID=14","3.2")</f>
        <v>3.2</v>
      </c>
      <c r="G386" s="4" t="str">
        <f>HYPERLINK("http://141.218.60.56/~jnz1568/getInfo.php?workbook=20_10.xlsx&amp;sheet=U0&amp;row=386&amp;col=7&amp;number=0.00652&amp;sourceID=14","0.00652")</f>
        <v>0.00652</v>
      </c>
    </row>
    <row r="387" spans="1:7">
      <c r="A387" s="3"/>
      <c r="B387" s="3"/>
      <c r="C387" s="3"/>
      <c r="D387" s="3"/>
      <c r="E387" s="3">
        <v>4</v>
      </c>
      <c r="F387" s="4" t="str">
        <f>HYPERLINK("http://141.218.60.56/~jnz1568/getInfo.php?workbook=20_10.xlsx&amp;sheet=U0&amp;row=387&amp;col=6&amp;number=3.3&amp;sourceID=14","3.3")</f>
        <v>3.3</v>
      </c>
      <c r="G387" s="4" t="str">
        <f>HYPERLINK("http://141.218.60.56/~jnz1568/getInfo.php?workbook=20_10.xlsx&amp;sheet=U0&amp;row=387&amp;col=7&amp;number=0.00652&amp;sourceID=14","0.00652")</f>
        <v>0.00652</v>
      </c>
    </row>
    <row r="388" spans="1:7">
      <c r="A388" s="3"/>
      <c r="B388" s="3"/>
      <c r="C388" s="3"/>
      <c r="D388" s="3"/>
      <c r="E388" s="3">
        <v>5</v>
      </c>
      <c r="F388" s="4" t="str">
        <f>HYPERLINK("http://141.218.60.56/~jnz1568/getInfo.php?workbook=20_10.xlsx&amp;sheet=U0&amp;row=388&amp;col=6&amp;number=3.4&amp;sourceID=14","3.4")</f>
        <v>3.4</v>
      </c>
      <c r="G388" s="4" t="str">
        <f>HYPERLINK("http://141.218.60.56/~jnz1568/getInfo.php?workbook=20_10.xlsx&amp;sheet=U0&amp;row=388&amp;col=7&amp;number=0.00652&amp;sourceID=14","0.00652")</f>
        <v>0.00652</v>
      </c>
    </row>
    <row r="389" spans="1:7">
      <c r="A389" s="3"/>
      <c r="B389" s="3"/>
      <c r="C389" s="3"/>
      <c r="D389" s="3"/>
      <c r="E389" s="3">
        <v>6</v>
      </c>
      <c r="F389" s="4" t="str">
        <f>HYPERLINK("http://141.218.60.56/~jnz1568/getInfo.php?workbook=20_10.xlsx&amp;sheet=U0&amp;row=389&amp;col=6&amp;number=3.5&amp;sourceID=14","3.5")</f>
        <v>3.5</v>
      </c>
      <c r="G389" s="4" t="str">
        <f>HYPERLINK("http://141.218.60.56/~jnz1568/getInfo.php?workbook=20_10.xlsx&amp;sheet=U0&amp;row=389&amp;col=7&amp;number=0.00652&amp;sourceID=14","0.00652")</f>
        <v>0.00652</v>
      </c>
    </row>
    <row r="390" spans="1:7">
      <c r="A390" s="3"/>
      <c r="B390" s="3"/>
      <c r="C390" s="3"/>
      <c r="D390" s="3"/>
      <c r="E390" s="3">
        <v>7</v>
      </c>
      <c r="F390" s="4" t="str">
        <f>HYPERLINK("http://141.218.60.56/~jnz1568/getInfo.php?workbook=20_10.xlsx&amp;sheet=U0&amp;row=390&amp;col=6&amp;number=3.6&amp;sourceID=14","3.6")</f>
        <v>3.6</v>
      </c>
      <c r="G390" s="4" t="str">
        <f>HYPERLINK("http://141.218.60.56/~jnz1568/getInfo.php?workbook=20_10.xlsx&amp;sheet=U0&amp;row=390&amp;col=7&amp;number=0.00651&amp;sourceID=14","0.00651")</f>
        <v>0.00651</v>
      </c>
    </row>
    <row r="391" spans="1:7">
      <c r="A391" s="3"/>
      <c r="B391" s="3"/>
      <c r="C391" s="3"/>
      <c r="D391" s="3"/>
      <c r="E391" s="3">
        <v>8</v>
      </c>
      <c r="F391" s="4" t="str">
        <f>HYPERLINK("http://141.218.60.56/~jnz1568/getInfo.php?workbook=20_10.xlsx&amp;sheet=U0&amp;row=391&amp;col=6&amp;number=3.7&amp;sourceID=14","3.7")</f>
        <v>3.7</v>
      </c>
      <c r="G391" s="4" t="str">
        <f>HYPERLINK("http://141.218.60.56/~jnz1568/getInfo.php?workbook=20_10.xlsx&amp;sheet=U0&amp;row=391&amp;col=7&amp;number=0.00651&amp;sourceID=14","0.00651")</f>
        <v>0.00651</v>
      </c>
    </row>
    <row r="392" spans="1:7">
      <c r="A392" s="3"/>
      <c r="B392" s="3"/>
      <c r="C392" s="3"/>
      <c r="D392" s="3"/>
      <c r="E392" s="3">
        <v>9</v>
      </c>
      <c r="F392" s="4" t="str">
        <f>HYPERLINK("http://141.218.60.56/~jnz1568/getInfo.php?workbook=20_10.xlsx&amp;sheet=U0&amp;row=392&amp;col=6&amp;number=3.8&amp;sourceID=14","3.8")</f>
        <v>3.8</v>
      </c>
      <c r="G392" s="4" t="str">
        <f>HYPERLINK("http://141.218.60.56/~jnz1568/getInfo.php?workbook=20_10.xlsx&amp;sheet=U0&amp;row=392&amp;col=7&amp;number=0.00651&amp;sourceID=14","0.00651")</f>
        <v>0.00651</v>
      </c>
    </row>
    <row r="393" spans="1:7">
      <c r="A393" s="3"/>
      <c r="B393" s="3"/>
      <c r="C393" s="3"/>
      <c r="D393" s="3"/>
      <c r="E393" s="3">
        <v>10</v>
      </c>
      <c r="F393" s="4" t="str">
        <f>HYPERLINK("http://141.218.60.56/~jnz1568/getInfo.php?workbook=20_10.xlsx&amp;sheet=U0&amp;row=393&amp;col=6&amp;number=3.9&amp;sourceID=14","3.9")</f>
        <v>3.9</v>
      </c>
      <c r="G393" s="4" t="str">
        <f>HYPERLINK("http://141.218.60.56/~jnz1568/getInfo.php?workbook=20_10.xlsx&amp;sheet=U0&amp;row=393&amp;col=7&amp;number=0.00651&amp;sourceID=14","0.00651")</f>
        <v>0.00651</v>
      </c>
    </row>
    <row r="394" spans="1:7">
      <c r="A394" s="3"/>
      <c r="B394" s="3"/>
      <c r="C394" s="3"/>
      <c r="D394" s="3"/>
      <c r="E394" s="3">
        <v>11</v>
      </c>
      <c r="F394" s="4" t="str">
        <f>HYPERLINK("http://141.218.60.56/~jnz1568/getInfo.php?workbook=20_10.xlsx&amp;sheet=U0&amp;row=394&amp;col=6&amp;number=4&amp;sourceID=14","4")</f>
        <v>4</v>
      </c>
      <c r="G394" s="4" t="str">
        <f>HYPERLINK("http://141.218.60.56/~jnz1568/getInfo.php?workbook=20_10.xlsx&amp;sheet=U0&amp;row=394&amp;col=7&amp;number=0.0065&amp;sourceID=14","0.0065")</f>
        <v>0.0065</v>
      </c>
    </row>
    <row r="395" spans="1:7">
      <c r="A395" s="3"/>
      <c r="B395" s="3"/>
      <c r="C395" s="3"/>
      <c r="D395" s="3"/>
      <c r="E395" s="3">
        <v>12</v>
      </c>
      <c r="F395" s="4" t="str">
        <f>HYPERLINK("http://141.218.60.56/~jnz1568/getInfo.php?workbook=20_10.xlsx&amp;sheet=U0&amp;row=395&amp;col=6&amp;number=4.1&amp;sourceID=14","4.1")</f>
        <v>4.1</v>
      </c>
      <c r="G395" s="4" t="str">
        <f>HYPERLINK("http://141.218.60.56/~jnz1568/getInfo.php?workbook=20_10.xlsx&amp;sheet=U0&amp;row=395&amp;col=7&amp;number=0.0065&amp;sourceID=14","0.0065")</f>
        <v>0.0065</v>
      </c>
    </row>
    <row r="396" spans="1:7">
      <c r="A396" s="3"/>
      <c r="B396" s="3"/>
      <c r="C396" s="3"/>
      <c r="D396" s="3"/>
      <c r="E396" s="3">
        <v>13</v>
      </c>
      <c r="F396" s="4" t="str">
        <f>HYPERLINK("http://141.218.60.56/~jnz1568/getInfo.php?workbook=20_10.xlsx&amp;sheet=U0&amp;row=396&amp;col=6&amp;number=4.2&amp;sourceID=14","4.2")</f>
        <v>4.2</v>
      </c>
      <c r="G396" s="4" t="str">
        <f>HYPERLINK("http://141.218.60.56/~jnz1568/getInfo.php?workbook=20_10.xlsx&amp;sheet=U0&amp;row=396&amp;col=7&amp;number=0.0065&amp;sourceID=14","0.0065")</f>
        <v>0.0065</v>
      </c>
    </row>
    <row r="397" spans="1:7">
      <c r="A397" s="3"/>
      <c r="B397" s="3"/>
      <c r="C397" s="3"/>
      <c r="D397" s="3"/>
      <c r="E397" s="3">
        <v>14</v>
      </c>
      <c r="F397" s="4" t="str">
        <f>HYPERLINK("http://141.218.60.56/~jnz1568/getInfo.php?workbook=20_10.xlsx&amp;sheet=U0&amp;row=397&amp;col=6&amp;number=4.3&amp;sourceID=14","4.3")</f>
        <v>4.3</v>
      </c>
      <c r="G397" s="4" t="str">
        <f>HYPERLINK("http://141.218.60.56/~jnz1568/getInfo.php?workbook=20_10.xlsx&amp;sheet=U0&amp;row=397&amp;col=7&amp;number=0.00649&amp;sourceID=14","0.00649")</f>
        <v>0.00649</v>
      </c>
    </row>
    <row r="398" spans="1:7">
      <c r="A398" s="3"/>
      <c r="B398" s="3"/>
      <c r="C398" s="3"/>
      <c r="D398" s="3"/>
      <c r="E398" s="3">
        <v>15</v>
      </c>
      <c r="F398" s="4" t="str">
        <f>HYPERLINK("http://141.218.60.56/~jnz1568/getInfo.php?workbook=20_10.xlsx&amp;sheet=U0&amp;row=398&amp;col=6&amp;number=4.4&amp;sourceID=14","4.4")</f>
        <v>4.4</v>
      </c>
      <c r="G398" s="4" t="str">
        <f>HYPERLINK("http://141.218.60.56/~jnz1568/getInfo.php?workbook=20_10.xlsx&amp;sheet=U0&amp;row=398&amp;col=7&amp;number=0.00648&amp;sourceID=14","0.00648")</f>
        <v>0.00648</v>
      </c>
    </row>
    <row r="399" spans="1:7">
      <c r="A399" s="3"/>
      <c r="B399" s="3"/>
      <c r="C399" s="3"/>
      <c r="D399" s="3"/>
      <c r="E399" s="3">
        <v>16</v>
      </c>
      <c r="F399" s="4" t="str">
        <f>HYPERLINK("http://141.218.60.56/~jnz1568/getInfo.php?workbook=20_10.xlsx&amp;sheet=U0&amp;row=399&amp;col=6&amp;number=4.5&amp;sourceID=14","4.5")</f>
        <v>4.5</v>
      </c>
      <c r="G399" s="4" t="str">
        <f>HYPERLINK("http://141.218.60.56/~jnz1568/getInfo.php?workbook=20_10.xlsx&amp;sheet=U0&amp;row=399&amp;col=7&amp;number=0.00647&amp;sourceID=14","0.00647")</f>
        <v>0.00647</v>
      </c>
    </row>
    <row r="400" spans="1:7">
      <c r="A400" s="3"/>
      <c r="B400" s="3"/>
      <c r="C400" s="3"/>
      <c r="D400" s="3"/>
      <c r="E400" s="3">
        <v>17</v>
      </c>
      <c r="F400" s="4" t="str">
        <f>HYPERLINK("http://141.218.60.56/~jnz1568/getInfo.php?workbook=20_10.xlsx&amp;sheet=U0&amp;row=400&amp;col=6&amp;number=4.6&amp;sourceID=14","4.6")</f>
        <v>4.6</v>
      </c>
      <c r="G400" s="4" t="str">
        <f>HYPERLINK("http://141.218.60.56/~jnz1568/getInfo.php?workbook=20_10.xlsx&amp;sheet=U0&amp;row=400&amp;col=7&amp;number=0.00646&amp;sourceID=14","0.00646")</f>
        <v>0.00646</v>
      </c>
    </row>
    <row r="401" spans="1:7">
      <c r="A401" s="3"/>
      <c r="B401" s="3"/>
      <c r="C401" s="3"/>
      <c r="D401" s="3"/>
      <c r="E401" s="3">
        <v>18</v>
      </c>
      <c r="F401" s="4" t="str">
        <f>HYPERLINK("http://141.218.60.56/~jnz1568/getInfo.php?workbook=20_10.xlsx&amp;sheet=U0&amp;row=401&amp;col=6&amp;number=4.7&amp;sourceID=14","4.7")</f>
        <v>4.7</v>
      </c>
      <c r="G401" s="4" t="str">
        <f>HYPERLINK("http://141.218.60.56/~jnz1568/getInfo.php?workbook=20_10.xlsx&amp;sheet=U0&amp;row=401&amp;col=7&amp;number=0.00644&amp;sourceID=14","0.00644")</f>
        <v>0.00644</v>
      </c>
    </row>
    <row r="402" spans="1:7">
      <c r="A402" s="3"/>
      <c r="B402" s="3"/>
      <c r="C402" s="3"/>
      <c r="D402" s="3"/>
      <c r="E402" s="3">
        <v>19</v>
      </c>
      <c r="F402" s="4" t="str">
        <f>HYPERLINK("http://141.218.60.56/~jnz1568/getInfo.php?workbook=20_10.xlsx&amp;sheet=U0&amp;row=402&amp;col=6&amp;number=4.8&amp;sourceID=14","4.8")</f>
        <v>4.8</v>
      </c>
      <c r="G402" s="4" t="str">
        <f>HYPERLINK("http://141.218.60.56/~jnz1568/getInfo.php?workbook=20_10.xlsx&amp;sheet=U0&amp;row=402&amp;col=7&amp;number=0.00642&amp;sourceID=14","0.00642")</f>
        <v>0.00642</v>
      </c>
    </row>
    <row r="403" spans="1:7">
      <c r="A403" s="3"/>
      <c r="B403" s="3"/>
      <c r="C403" s="3"/>
      <c r="D403" s="3"/>
      <c r="E403" s="3">
        <v>20</v>
      </c>
      <c r="F403" s="4" t="str">
        <f>HYPERLINK("http://141.218.60.56/~jnz1568/getInfo.php?workbook=20_10.xlsx&amp;sheet=U0&amp;row=403&amp;col=6&amp;number=4.9&amp;sourceID=14","4.9")</f>
        <v>4.9</v>
      </c>
      <c r="G403" s="4" t="str">
        <f>HYPERLINK("http://141.218.60.56/~jnz1568/getInfo.php?workbook=20_10.xlsx&amp;sheet=U0&amp;row=403&amp;col=7&amp;number=0.0064&amp;sourceID=14","0.0064")</f>
        <v>0.0064</v>
      </c>
    </row>
    <row r="404" spans="1:7">
      <c r="A404" s="3">
        <v>20</v>
      </c>
      <c r="B404" s="3">
        <v>10</v>
      </c>
      <c r="C404" s="3">
        <v>1</v>
      </c>
      <c r="D404" s="3">
        <v>22</v>
      </c>
      <c r="E404" s="3">
        <v>1</v>
      </c>
      <c r="F404" s="4" t="str">
        <f>HYPERLINK("http://141.218.60.56/~jnz1568/getInfo.php?workbook=20_10.xlsx&amp;sheet=U0&amp;row=404&amp;col=6&amp;number=3&amp;sourceID=14","3")</f>
        <v>3</v>
      </c>
      <c r="G404" s="4" t="str">
        <f>HYPERLINK("http://141.218.60.56/~jnz1568/getInfo.php?workbook=20_10.xlsx&amp;sheet=U0&amp;row=404&amp;col=7&amp;number=0.00599&amp;sourceID=14","0.00599")</f>
        <v>0.00599</v>
      </c>
    </row>
    <row r="405" spans="1:7">
      <c r="A405" s="3"/>
      <c r="B405" s="3"/>
      <c r="C405" s="3"/>
      <c r="D405" s="3"/>
      <c r="E405" s="3">
        <v>2</v>
      </c>
      <c r="F405" s="4" t="str">
        <f>HYPERLINK("http://141.218.60.56/~jnz1568/getInfo.php?workbook=20_10.xlsx&amp;sheet=U0&amp;row=405&amp;col=6&amp;number=3.1&amp;sourceID=14","3.1")</f>
        <v>3.1</v>
      </c>
      <c r="G405" s="4" t="str">
        <f>HYPERLINK("http://141.218.60.56/~jnz1568/getInfo.php?workbook=20_10.xlsx&amp;sheet=U0&amp;row=405&amp;col=7&amp;number=0.00599&amp;sourceID=14","0.00599")</f>
        <v>0.00599</v>
      </c>
    </row>
    <row r="406" spans="1:7">
      <c r="A406" s="3"/>
      <c r="B406" s="3"/>
      <c r="C406" s="3"/>
      <c r="D406" s="3"/>
      <c r="E406" s="3">
        <v>3</v>
      </c>
      <c r="F406" s="4" t="str">
        <f>HYPERLINK("http://141.218.60.56/~jnz1568/getInfo.php?workbook=20_10.xlsx&amp;sheet=U0&amp;row=406&amp;col=6&amp;number=3.2&amp;sourceID=14","3.2")</f>
        <v>3.2</v>
      </c>
      <c r="G406" s="4" t="str">
        <f>HYPERLINK("http://141.218.60.56/~jnz1568/getInfo.php?workbook=20_10.xlsx&amp;sheet=U0&amp;row=406&amp;col=7&amp;number=0.00599&amp;sourceID=14","0.00599")</f>
        <v>0.00599</v>
      </c>
    </row>
    <row r="407" spans="1:7">
      <c r="A407" s="3"/>
      <c r="B407" s="3"/>
      <c r="C407" s="3"/>
      <c r="D407" s="3"/>
      <c r="E407" s="3">
        <v>4</v>
      </c>
      <c r="F407" s="4" t="str">
        <f>HYPERLINK("http://141.218.60.56/~jnz1568/getInfo.php?workbook=20_10.xlsx&amp;sheet=U0&amp;row=407&amp;col=6&amp;number=3.3&amp;sourceID=14","3.3")</f>
        <v>3.3</v>
      </c>
      <c r="G407" s="4" t="str">
        <f>HYPERLINK("http://141.218.60.56/~jnz1568/getInfo.php?workbook=20_10.xlsx&amp;sheet=U0&amp;row=407&amp;col=7&amp;number=0.00599&amp;sourceID=14","0.00599")</f>
        <v>0.00599</v>
      </c>
    </row>
    <row r="408" spans="1:7">
      <c r="A408" s="3"/>
      <c r="B408" s="3"/>
      <c r="C408" s="3"/>
      <c r="D408" s="3"/>
      <c r="E408" s="3">
        <v>5</v>
      </c>
      <c r="F408" s="4" t="str">
        <f>HYPERLINK("http://141.218.60.56/~jnz1568/getInfo.php?workbook=20_10.xlsx&amp;sheet=U0&amp;row=408&amp;col=6&amp;number=3.4&amp;sourceID=14","3.4")</f>
        <v>3.4</v>
      </c>
      <c r="G408" s="4" t="str">
        <f>HYPERLINK("http://141.218.60.56/~jnz1568/getInfo.php?workbook=20_10.xlsx&amp;sheet=U0&amp;row=408&amp;col=7&amp;number=0.00599&amp;sourceID=14","0.00599")</f>
        <v>0.00599</v>
      </c>
    </row>
    <row r="409" spans="1:7">
      <c r="A409" s="3"/>
      <c r="B409" s="3"/>
      <c r="C409" s="3"/>
      <c r="D409" s="3"/>
      <c r="E409" s="3">
        <v>6</v>
      </c>
      <c r="F409" s="4" t="str">
        <f>HYPERLINK("http://141.218.60.56/~jnz1568/getInfo.php?workbook=20_10.xlsx&amp;sheet=U0&amp;row=409&amp;col=6&amp;number=3.5&amp;sourceID=14","3.5")</f>
        <v>3.5</v>
      </c>
      <c r="G409" s="4" t="str">
        <f>HYPERLINK("http://141.218.60.56/~jnz1568/getInfo.php?workbook=20_10.xlsx&amp;sheet=U0&amp;row=409&amp;col=7&amp;number=0.00599&amp;sourceID=14","0.00599")</f>
        <v>0.00599</v>
      </c>
    </row>
    <row r="410" spans="1:7">
      <c r="A410" s="3"/>
      <c r="B410" s="3"/>
      <c r="C410" s="3"/>
      <c r="D410" s="3"/>
      <c r="E410" s="3">
        <v>7</v>
      </c>
      <c r="F410" s="4" t="str">
        <f>HYPERLINK("http://141.218.60.56/~jnz1568/getInfo.php?workbook=20_10.xlsx&amp;sheet=U0&amp;row=410&amp;col=6&amp;number=3.6&amp;sourceID=14","3.6")</f>
        <v>3.6</v>
      </c>
      <c r="G410" s="4" t="str">
        <f>HYPERLINK("http://141.218.60.56/~jnz1568/getInfo.php?workbook=20_10.xlsx&amp;sheet=U0&amp;row=410&amp;col=7&amp;number=0.00599&amp;sourceID=14","0.00599")</f>
        <v>0.00599</v>
      </c>
    </row>
    <row r="411" spans="1:7">
      <c r="A411" s="3"/>
      <c r="B411" s="3"/>
      <c r="C411" s="3"/>
      <c r="D411" s="3"/>
      <c r="E411" s="3">
        <v>8</v>
      </c>
      <c r="F411" s="4" t="str">
        <f>HYPERLINK("http://141.218.60.56/~jnz1568/getInfo.php?workbook=20_10.xlsx&amp;sheet=U0&amp;row=411&amp;col=6&amp;number=3.7&amp;sourceID=14","3.7")</f>
        <v>3.7</v>
      </c>
      <c r="G411" s="4" t="str">
        <f>HYPERLINK("http://141.218.60.56/~jnz1568/getInfo.php?workbook=20_10.xlsx&amp;sheet=U0&amp;row=411&amp;col=7&amp;number=0.00598&amp;sourceID=14","0.00598")</f>
        <v>0.00598</v>
      </c>
    </row>
    <row r="412" spans="1:7">
      <c r="A412" s="3"/>
      <c r="B412" s="3"/>
      <c r="C412" s="3"/>
      <c r="D412" s="3"/>
      <c r="E412" s="3">
        <v>9</v>
      </c>
      <c r="F412" s="4" t="str">
        <f>HYPERLINK("http://141.218.60.56/~jnz1568/getInfo.php?workbook=20_10.xlsx&amp;sheet=U0&amp;row=412&amp;col=6&amp;number=3.8&amp;sourceID=14","3.8")</f>
        <v>3.8</v>
      </c>
      <c r="G412" s="4" t="str">
        <f>HYPERLINK("http://141.218.60.56/~jnz1568/getInfo.php?workbook=20_10.xlsx&amp;sheet=U0&amp;row=412&amp;col=7&amp;number=0.00598&amp;sourceID=14","0.00598")</f>
        <v>0.00598</v>
      </c>
    </row>
    <row r="413" spans="1:7">
      <c r="A413" s="3"/>
      <c r="B413" s="3"/>
      <c r="C413" s="3"/>
      <c r="D413" s="3"/>
      <c r="E413" s="3">
        <v>10</v>
      </c>
      <c r="F413" s="4" t="str">
        <f>HYPERLINK("http://141.218.60.56/~jnz1568/getInfo.php?workbook=20_10.xlsx&amp;sheet=U0&amp;row=413&amp;col=6&amp;number=3.9&amp;sourceID=14","3.9")</f>
        <v>3.9</v>
      </c>
      <c r="G413" s="4" t="str">
        <f>HYPERLINK("http://141.218.60.56/~jnz1568/getInfo.php?workbook=20_10.xlsx&amp;sheet=U0&amp;row=413&amp;col=7&amp;number=0.00598&amp;sourceID=14","0.00598")</f>
        <v>0.00598</v>
      </c>
    </row>
    <row r="414" spans="1:7">
      <c r="A414" s="3"/>
      <c r="B414" s="3"/>
      <c r="C414" s="3"/>
      <c r="D414" s="3"/>
      <c r="E414" s="3">
        <v>11</v>
      </c>
      <c r="F414" s="4" t="str">
        <f>HYPERLINK("http://141.218.60.56/~jnz1568/getInfo.php?workbook=20_10.xlsx&amp;sheet=U0&amp;row=414&amp;col=6&amp;number=4&amp;sourceID=14","4")</f>
        <v>4</v>
      </c>
      <c r="G414" s="4" t="str">
        <f>HYPERLINK("http://141.218.60.56/~jnz1568/getInfo.php?workbook=20_10.xlsx&amp;sheet=U0&amp;row=414&amp;col=7&amp;number=0.00598&amp;sourceID=14","0.00598")</f>
        <v>0.00598</v>
      </c>
    </row>
    <row r="415" spans="1:7">
      <c r="A415" s="3"/>
      <c r="B415" s="3"/>
      <c r="C415" s="3"/>
      <c r="D415" s="3"/>
      <c r="E415" s="3">
        <v>12</v>
      </c>
      <c r="F415" s="4" t="str">
        <f>HYPERLINK("http://141.218.60.56/~jnz1568/getInfo.php?workbook=20_10.xlsx&amp;sheet=U0&amp;row=415&amp;col=6&amp;number=4.1&amp;sourceID=14","4.1")</f>
        <v>4.1</v>
      </c>
      <c r="G415" s="4" t="str">
        <f>HYPERLINK("http://141.218.60.56/~jnz1568/getInfo.php?workbook=20_10.xlsx&amp;sheet=U0&amp;row=415&amp;col=7&amp;number=0.00598&amp;sourceID=14","0.00598")</f>
        <v>0.00598</v>
      </c>
    </row>
    <row r="416" spans="1:7">
      <c r="A416" s="3"/>
      <c r="B416" s="3"/>
      <c r="C416" s="3"/>
      <c r="D416" s="3"/>
      <c r="E416" s="3">
        <v>13</v>
      </c>
      <c r="F416" s="4" t="str">
        <f>HYPERLINK("http://141.218.60.56/~jnz1568/getInfo.php?workbook=20_10.xlsx&amp;sheet=U0&amp;row=416&amp;col=6&amp;number=4.2&amp;sourceID=14","4.2")</f>
        <v>4.2</v>
      </c>
      <c r="G416" s="4" t="str">
        <f>HYPERLINK("http://141.218.60.56/~jnz1568/getInfo.php?workbook=20_10.xlsx&amp;sheet=U0&amp;row=416&amp;col=7&amp;number=0.00598&amp;sourceID=14","0.00598")</f>
        <v>0.00598</v>
      </c>
    </row>
    <row r="417" spans="1:7">
      <c r="A417" s="3"/>
      <c r="B417" s="3"/>
      <c r="C417" s="3"/>
      <c r="D417" s="3"/>
      <c r="E417" s="3">
        <v>14</v>
      </c>
      <c r="F417" s="4" t="str">
        <f>HYPERLINK("http://141.218.60.56/~jnz1568/getInfo.php?workbook=20_10.xlsx&amp;sheet=U0&amp;row=417&amp;col=6&amp;number=4.3&amp;sourceID=14","4.3")</f>
        <v>4.3</v>
      </c>
      <c r="G417" s="4" t="str">
        <f>HYPERLINK("http://141.218.60.56/~jnz1568/getInfo.php?workbook=20_10.xlsx&amp;sheet=U0&amp;row=417&amp;col=7&amp;number=0.00597&amp;sourceID=14","0.00597")</f>
        <v>0.00597</v>
      </c>
    </row>
    <row r="418" spans="1:7">
      <c r="A418" s="3"/>
      <c r="B418" s="3"/>
      <c r="C418" s="3"/>
      <c r="D418" s="3"/>
      <c r="E418" s="3">
        <v>15</v>
      </c>
      <c r="F418" s="4" t="str">
        <f>HYPERLINK("http://141.218.60.56/~jnz1568/getInfo.php?workbook=20_10.xlsx&amp;sheet=U0&amp;row=418&amp;col=6&amp;number=4.4&amp;sourceID=14","4.4")</f>
        <v>4.4</v>
      </c>
      <c r="G418" s="4" t="str">
        <f>HYPERLINK("http://141.218.60.56/~jnz1568/getInfo.php?workbook=20_10.xlsx&amp;sheet=U0&amp;row=418&amp;col=7&amp;number=0.00597&amp;sourceID=14","0.00597")</f>
        <v>0.00597</v>
      </c>
    </row>
    <row r="419" spans="1:7">
      <c r="A419" s="3"/>
      <c r="B419" s="3"/>
      <c r="C419" s="3"/>
      <c r="D419" s="3"/>
      <c r="E419" s="3">
        <v>16</v>
      </c>
      <c r="F419" s="4" t="str">
        <f>HYPERLINK("http://141.218.60.56/~jnz1568/getInfo.php?workbook=20_10.xlsx&amp;sheet=U0&amp;row=419&amp;col=6&amp;number=4.5&amp;sourceID=14","4.5")</f>
        <v>4.5</v>
      </c>
      <c r="G419" s="4" t="str">
        <f>HYPERLINK("http://141.218.60.56/~jnz1568/getInfo.php?workbook=20_10.xlsx&amp;sheet=U0&amp;row=419&amp;col=7&amp;number=0.00597&amp;sourceID=14","0.00597")</f>
        <v>0.00597</v>
      </c>
    </row>
    <row r="420" spans="1:7">
      <c r="A420" s="3"/>
      <c r="B420" s="3"/>
      <c r="C420" s="3"/>
      <c r="D420" s="3"/>
      <c r="E420" s="3">
        <v>17</v>
      </c>
      <c r="F420" s="4" t="str">
        <f>HYPERLINK("http://141.218.60.56/~jnz1568/getInfo.php?workbook=20_10.xlsx&amp;sheet=U0&amp;row=420&amp;col=6&amp;number=4.6&amp;sourceID=14","4.6")</f>
        <v>4.6</v>
      </c>
      <c r="G420" s="4" t="str">
        <f>HYPERLINK("http://141.218.60.56/~jnz1568/getInfo.php?workbook=20_10.xlsx&amp;sheet=U0&amp;row=420&amp;col=7&amp;number=0.00596&amp;sourceID=14","0.00596")</f>
        <v>0.00596</v>
      </c>
    </row>
    <row r="421" spans="1:7">
      <c r="A421" s="3"/>
      <c r="B421" s="3"/>
      <c r="C421" s="3"/>
      <c r="D421" s="3"/>
      <c r="E421" s="3">
        <v>18</v>
      </c>
      <c r="F421" s="4" t="str">
        <f>HYPERLINK("http://141.218.60.56/~jnz1568/getInfo.php?workbook=20_10.xlsx&amp;sheet=U0&amp;row=421&amp;col=6&amp;number=4.7&amp;sourceID=14","4.7")</f>
        <v>4.7</v>
      </c>
      <c r="G421" s="4" t="str">
        <f>HYPERLINK("http://141.218.60.56/~jnz1568/getInfo.php?workbook=20_10.xlsx&amp;sheet=U0&amp;row=421&amp;col=7&amp;number=0.00595&amp;sourceID=14","0.00595")</f>
        <v>0.00595</v>
      </c>
    </row>
    <row r="422" spans="1:7">
      <c r="A422" s="3"/>
      <c r="B422" s="3"/>
      <c r="C422" s="3"/>
      <c r="D422" s="3"/>
      <c r="E422" s="3">
        <v>19</v>
      </c>
      <c r="F422" s="4" t="str">
        <f>HYPERLINK("http://141.218.60.56/~jnz1568/getInfo.php?workbook=20_10.xlsx&amp;sheet=U0&amp;row=422&amp;col=6&amp;number=4.8&amp;sourceID=14","4.8")</f>
        <v>4.8</v>
      </c>
      <c r="G422" s="4" t="str">
        <f>HYPERLINK("http://141.218.60.56/~jnz1568/getInfo.php?workbook=20_10.xlsx&amp;sheet=U0&amp;row=422&amp;col=7&amp;number=0.00594&amp;sourceID=14","0.00594")</f>
        <v>0.00594</v>
      </c>
    </row>
    <row r="423" spans="1:7">
      <c r="A423" s="3"/>
      <c r="B423" s="3"/>
      <c r="C423" s="3"/>
      <c r="D423" s="3"/>
      <c r="E423" s="3">
        <v>20</v>
      </c>
      <c r="F423" s="4" t="str">
        <f>HYPERLINK("http://141.218.60.56/~jnz1568/getInfo.php?workbook=20_10.xlsx&amp;sheet=U0&amp;row=423&amp;col=6&amp;number=4.9&amp;sourceID=14","4.9")</f>
        <v>4.9</v>
      </c>
      <c r="G423" s="4" t="str">
        <f>HYPERLINK("http://141.218.60.56/~jnz1568/getInfo.php?workbook=20_10.xlsx&amp;sheet=U0&amp;row=423&amp;col=7&amp;number=0.00593&amp;sourceID=14","0.00593")</f>
        <v>0.00593</v>
      </c>
    </row>
    <row r="424" spans="1:7">
      <c r="A424" s="3">
        <v>20</v>
      </c>
      <c r="B424" s="3">
        <v>10</v>
      </c>
      <c r="C424" s="3">
        <v>1</v>
      </c>
      <c r="D424" s="3">
        <v>23</v>
      </c>
      <c r="E424" s="3">
        <v>1</v>
      </c>
      <c r="F424" s="4" t="str">
        <f>HYPERLINK("http://141.218.60.56/~jnz1568/getInfo.php?workbook=20_10.xlsx&amp;sheet=U0&amp;row=424&amp;col=6&amp;number=3&amp;sourceID=14","3")</f>
        <v>3</v>
      </c>
      <c r="G424" s="4" t="str">
        <f>HYPERLINK("http://141.218.60.56/~jnz1568/getInfo.php?workbook=20_10.xlsx&amp;sheet=U0&amp;row=424&amp;col=7&amp;number=0.0179&amp;sourceID=14","0.0179")</f>
        <v>0.0179</v>
      </c>
    </row>
    <row r="425" spans="1:7">
      <c r="A425" s="3"/>
      <c r="B425" s="3"/>
      <c r="C425" s="3"/>
      <c r="D425" s="3"/>
      <c r="E425" s="3">
        <v>2</v>
      </c>
      <c r="F425" s="4" t="str">
        <f>HYPERLINK("http://141.218.60.56/~jnz1568/getInfo.php?workbook=20_10.xlsx&amp;sheet=U0&amp;row=425&amp;col=6&amp;number=3.1&amp;sourceID=14","3.1")</f>
        <v>3.1</v>
      </c>
      <c r="G425" s="4" t="str">
        <f>HYPERLINK("http://141.218.60.56/~jnz1568/getInfo.php?workbook=20_10.xlsx&amp;sheet=U0&amp;row=425&amp;col=7&amp;number=0.0179&amp;sourceID=14","0.0179")</f>
        <v>0.0179</v>
      </c>
    </row>
    <row r="426" spans="1:7">
      <c r="A426" s="3"/>
      <c r="B426" s="3"/>
      <c r="C426" s="3"/>
      <c r="D426" s="3"/>
      <c r="E426" s="3">
        <v>3</v>
      </c>
      <c r="F426" s="4" t="str">
        <f>HYPERLINK("http://141.218.60.56/~jnz1568/getInfo.php?workbook=20_10.xlsx&amp;sheet=U0&amp;row=426&amp;col=6&amp;number=3.2&amp;sourceID=14","3.2")</f>
        <v>3.2</v>
      </c>
      <c r="G426" s="4" t="str">
        <f>HYPERLINK("http://141.218.60.56/~jnz1568/getInfo.php?workbook=20_10.xlsx&amp;sheet=U0&amp;row=426&amp;col=7&amp;number=0.0179&amp;sourceID=14","0.0179")</f>
        <v>0.0179</v>
      </c>
    </row>
    <row r="427" spans="1:7">
      <c r="A427" s="3"/>
      <c r="B427" s="3"/>
      <c r="C427" s="3"/>
      <c r="D427" s="3"/>
      <c r="E427" s="3">
        <v>4</v>
      </c>
      <c r="F427" s="4" t="str">
        <f>HYPERLINK("http://141.218.60.56/~jnz1568/getInfo.php?workbook=20_10.xlsx&amp;sheet=U0&amp;row=427&amp;col=6&amp;number=3.3&amp;sourceID=14","3.3")</f>
        <v>3.3</v>
      </c>
      <c r="G427" s="4" t="str">
        <f>HYPERLINK("http://141.218.60.56/~jnz1568/getInfo.php?workbook=20_10.xlsx&amp;sheet=U0&amp;row=427&amp;col=7&amp;number=0.0179&amp;sourceID=14","0.0179")</f>
        <v>0.0179</v>
      </c>
    </row>
    <row r="428" spans="1:7">
      <c r="A428" s="3"/>
      <c r="B428" s="3"/>
      <c r="C428" s="3"/>
      <c r="D428" s="3"/>
      <c r="E428" s="3">
        <v>5</v>
      </c>
      <c r="F428" s="4" t="str">
        <f>HYPERLINK("http://141.218.60.56/~jnz1568/getInfo.php?workbook=20_10.xlsx&amp;sheet=U0&amp;row=428&amp;col=6&amp;number=3.4&amp;sourceID=14","3.4")</f>
        <v>3.4</v>
      </c>
      <c r="G428" s="4" t="str">
        <f>HYPERLINK("http://141.218.60.56/~jnz1568/getInfo.php?workbook=20_10.xlsx&amp;sheet=U0&amp;row=428&amp;col=7&amp;number=0.0179&amp;sourceID=14","0.0179")</f>
        <v>0.0179</v>
      </c>
    </row>
    <row r="429" spans="1:7">
      <c r="A429" s="3"/>
      <c r="B429" s="3"/>
      <c r="C429" s="3"/>
      <c r="D429" s="3"/>
      <c r="E429" s="3">
        <v>6</v>
      </c>
      <c r="F429" s="4" t="str">
        <f>HYPERLINK("http://141.218.60.56/~jnz1568/getInfo.php?workbook=20_10.xlsx&amp;sheet=U0&amp;row=429&amp;col=6&amp;number=3.5&amp;sourceID=14","3.5")</f>
        <v>3.5</v>
      </c>
      <c r="G429" s="4" t="str">
        <f>HYPERLINK("http://141.218.60.56/~jnz1568/getInfo.php?workbook=20_10.xlsx&amp;sheet=U0&amp;row=429&amp;col=7&amp;number=0.0179&amp;sourceID=14","0.0179")</f>
        <v>0.0179</v>
      </c>
    </row>
    <row r="430" spans="1:7">
      <c r="A430" s="3"/>
      <c r="B430" s="3"/>
      <c r="C430" s="3"/>
      <c r="D430" s="3"/>
      <c r="E430" s="3">
        <v>7</v>
      </c>
      <c r="F430" s="4" t="str">
        <f>HYPERLINK("http://141.218.60.56/~jnz1568/getInfo.php?workbook=20_10.xlsx&amp;sheet=U0&amp;row=430&amp;col=6&amp;number=3.6&amp;sourceID=14","3.6")</f>
        <v>3.6</v>
      </c>
      <c r="G430" s="4" t="str">
        <f>HYPERLINK("http://141.218.60.56/~jnz1568/getInfo.php?workbook=20_10.xlsx&amp;sheet=U0&amp;row=430&amp;col=7&amp;number=0.0179&amp;sourceID=14","0.0179")</f>
        <v>0.0179</v>
      </c>
    </row>
    <row r="431" spans="1:7">
      <c r="A431" s="3"/>
      <c r="B431" s="3"/>
      <c r="C431" s="3"/>
      <c r="D431" s="3"/>
      <c r="E431" s="3">
        <v>8</v>
      </c>
      <c r="F431" s="4" t="str">
        <f>HYPERLINK("http://141.218.60.56/~jnz1568/getInfo.php?workbook=20_10.xlsx&amp;sheet=U0&amp;row=431&amp;col=6&amp;number=3.7&amp;sourceID=14","3.7")</f>
        <v>3.7</v>
      </c>
      <c r="G431" s="4" t="str">
        <f>HYPERLINK("http://141.218.60.56/~jnz1568/getInfo.php?workbook=20_10.xlsx&amp;sheet=U0&amp;row=431&amp;col=7&amp;number=0.0179&amp;sourceID=14","0.0179")</f>
        <v>0.0179</v>
      </c>
    </row>
    <row r="432" spans="1:7">
      <c r="A432" s="3"/>
      <c r="B432" s="3"/>
      <c r="C432" s="3"/>
      <c r="D432" s="3"/>
      <c r="E432" s="3">
        <v>9</v>
      </c>
      <c r="F432" s="4" t="str">
        <f>HYPERLINK("http://141.218.60.56/~jnz1568/getInfo.php?workbook=20_10.xlsx&amp;sheet=U0&amp;row=432&amp;col=6&amp;number=3.8&amp;sourceID=14","3.8")</f>
        <v>3.8</v>
      </c>
      <c r="G432" s="4" t="str">
        <f>HYPERLINK("http://141.218.60.56/~jnz1568/getInfo.php?workbook=20_10.xlsx&amp;sheet=U0&amp;row=432&amp;col=7&amp;number=0.0179&amp;sourceID=14","0.0179")</f>
        <v>0.0179</v>
      </c>
    </row>
    <row r="433" spans="1:7">
      <c r="A433" s="3"/>
      <c r="B433" s="3"/>
      <c r="C433" s="3"/>
      <c r="D433" s="3"/>
      <c r="E433" s="3">
        <v>10</v>
      </c>
      <c r="F433" s="4" t="str">
        <f>HYPERLINK("http://141.218.60.56/~jnz1568/getInfo.php?workbook=20_10.xlsx&amp;sheet=U0&amp;row=433&amp;col=6&amp;number=3.9&amp;sourceID=14","3.9")</f>
        <v>3.9</v>
      </c>
      <c r="G433" s="4" t="str">
        <f>HYPERLINK("http://141.218.60.56/~jnz1568/getInfo.php?workbook=20_10.xlsx&amp;sheet=U0&amp;row=433&amp;col=7&amp;number=0.0179&amp;sourceID=14","0.0179")</f>
        <v>0.0179</v>
      </c>
    </row>
    <row r="434" spans="1:7">
      <c r="A434" s="3"/>
      <c r="B434" s="3"/>
      <c r="C434" s="3"/>
      <c r="D434" s="3"/>
      <c r="E434" s="3">
        <v>11</v>
      </c>
      <c r="F434" s="4" t="str">
        <f>HYPERLINK("http://141.218.60.56/~jnz1568/getInfo.php?workbook=20_10.xlsx&amp;sheet=U0&amp;row=434&amp;col=6&amp;number=4&amp;sourceID=14","4")</f>
        <v>4</v>
      </c>
      <c r="G434" s="4" t="str">
        <f>HYPERLINK("http://141.218.60.56/~jnz1568/getInfo.php?workbook=20_10.xlsx&amp;sheet=U0&amp;row=434&amp;col=7&amp;number=0.0179&amp;sourceID=14","0.0179")</f>
        <v>0.0179</v>
      </c>
    </row>
    <row r="435" spans="1:7">
      <c r="A435" s="3"/>
      <c r="B435" s="3"/>
      <c r="C435" s="3"/>
      <c r="D435" s="3"/>
      <c r="E435" s="3">
        <v>12</v>
      </c>
      <c r="F435" s="4" t="str">
        <f>HYPERLINK("http://141.218.60.56/~jnz1568/getInfo.php?workbook=20_10.xlsx&amp;sheet=U0&amp;row=435&amp;col=6&amp;number=4.1&amp;sourceID=14","4.1")</f>
        <v>4.1</v>
      </c>
      <c r="G435" s="4" t="str">
        <f>HYPERLINK("http://141.218.60.56/~jnz1568/getInfo.php?workbook=20_10.xlsx&amp;sheet=U0&amp;row=435&amp;col=7&amp;number=0.0179&amp;sourceID=14","0.0179")</f>
        <v>0.0179</v>
      </c>
    </row>
    <row r="436" spans="1:7">
      <c r="A436" s="3"/>
      <c r="B436" s="3"/>
      <c r="C436" s="3"/>
      <c r="D436" s="3"/>
      <c r="E436" s="3">
        <v>13</v>
      </c>
      <c r="F436" s="4" t="str">
        <f>HYPERLINK("http://141.218.60.56/~jnz1568/getInfo.php?workbook=20_10.xlsx&amp;sheet=U0&amp;row=436&amp;col=6&amp;number=4.2&amp;sourceID=14","4.2")</f>
        <v>4.2</v>
      </c>
      <c r="G436" s="4" t="str">
        <f>HYPERLINK("http://141.218.60.56/~jnz1568/getInfo.php?workbook=20_10.xlsx&amp;sheet=U0&amp;row=436&amp;col=7&amp;number=0.0179&amp;sourceID=14","0.0179")</f>
        <v>0.0179</v>
      </c>
    </row>
    <row r="437" spans="1:7">
      <c r="A437" s="3"/>
      <c r="B437" s="3"/>
      <c r="C437" s="3"/>
      <c r="D437" s="3"/>
      <c r="E437" s="3">
        <v>14</v>
      </c>
      <c r="F437" s="4" t="str">
        <f>HYPERLINK("http://141.218.60.56/~jnz1568/getInfo.php?workbook=20_10.xlsx&amp;sheet=U0&amp;row=437&amp;col=6&amp;number=4.3&amp;sourceID=14","4.3")</f>
        <v>4.3</v>
      </c>
      <c r="G437" s="4" t="str">
        <f>HYPERLINK("http://141.218.60.56/~jnz1568/getInfo.php?workbook=20_10.xlsx&amp;sheet=U0&amp;row=437&amp;col=7&amp;number=0.0179&amp;sourceID=14","0.0179")</f>
        <v>0.0179</v>
      </c>
    </row>
    <row r="438" spans="1:7">
      <c r="A438" s="3"/>
      <c r="B438" s="3"/>
      <c r="C438" s="3"/>
      <c r="D438" s="3"/>
      <c r="E438" s="3">
        <v>15</v>
      </c>
      <c r="F438" s="4" t="str">
        <f>HYPERLINK("http://141.218.60.56/~jnz1568/getInfo.php?workbook=20_10.xlsx&amp;sheet=U0&amp;row=438&amp;col=6&amp;number=4.4&amp;sourceID=14","4.4")</f>
        <v>4.4</v>
      </c>
      <c r="G438" s="4" t="str">
        <f>HYPERLINK("http://141.218.60.56/~jnz1568/getInfo.php?workbook=20_10.xlsx&amp;sheet=U0&amp;row=438&amp;col=7&amp;number=0.0179&amp;sourceID=14","0.0179")</f>
        <v>0.0179</v>
      </c>
    </row>
    <row r="439" spans="1:7">
      <c r="A439" s="3"/>
      <c r="B439" s="3"/>
      <c r="C439" s="3"/>
      <c r="D439" s="3"/>
      <c r="E439" s="3">
        <v>16</v>
      </c>
      <c r="F439" s="4" t="str">
        <f>HYPERLINK("http://141.218.60.56/~jnz1568/getInfo.php?workbook=20_10.xlsx&amp;sheet=U0&amp;row=439&amp;col=6&amp;number=4.5&amp;sourceID=14","4.5")</f>
        <v>4.5</v>
      </c>
      <c r="G439" s="4" t="str">
        <f>HYPERLINK("http://141.218.60.56/~jnz1568/getInfo.php?workbook=20_10.xlsx&amp;sheet=U0&amp;row=439&amp;col=7&amp;number=0.0179&amp;sourceID=14","0.0179")</f>
        <v>0.0179</v>
      </c>
    </row>
    <row r="440" spans="1:7">
      <c r="A440" s="3"/>
      <c r="B440" s="3"/>
      <c r="C440" s="3"/>
      <c r="D440" s="3"/>
      <c r="E440" s="3">
        <v>17</v>
      </c>
      <c r="F440" s="4" t="str">
        <f>HYPERLINK("http://141.218.60.56/~jnz1568/getInfo.php?workbook=20_10.xlsx&amp;sheet=U0&amp;row=440&amp;col=6&amp;number=4.6&amp;sourceID=14","4.6")</f>
        <v>4.6</v>
      </c>
      <c r="G440" s="4" t="str">
        <f>HYPERLINK("http://141.218.60.56/~jnz1568/getInfo.php?workbook=20_10.xlsx&amp;sheet=U0&amp;row=440&amp;col=7&amp;number=0.0179&amp;sourceID=14","0.0179")</f>
        <v>0.0179</v>
      </c>
    </row>
    <row r="441" spans="1:7">
      <c r="A441" s="3"/>
      <c r="B441" s="3"/>
      <c r="C441" s="3"/>
      <c r="D441" s="3"/>
      <c r="E441" s="3">
        <v>18</v>
      </c>
      <c r="F441" s="4" t="str">
        <f>HYPERLINK("http://141.218.60.56/~jnz1568/getInfo.php?workbook=20_10.xlsx&amp;sheet=U0&amp;row=441&amp;col=6&amp;number=4.7&amp;sourceID=14","4.7")</f>
        <v>4.7</v>
      </c>
      <c r="G441" s="4" t="str">
        <f>HYPERLINK("http://141.218.60.56/~jnz1568/getInfo.php?workbook=20_10.xlsx&amp;sheet=U0&amp;row=441&amp;col=7&amp;number=0.018&amp;sourceID=14","0.018")</f>
        <v>0.018</v>
      </c>
    </row>
    <row r="442" spans="1:7">
      <c r="A442" s="3"/>
      <c r="B442" s="3"/>
      <c r="C442" s="3"/>
      <c r="D442" s="3"/>
      <c r="E442" s="3">
        <v>19</v>
      </c>
      <c r="F442" s="4" t="str">
        <f>HYPERLINK("http://141.218.60.56/~jnz1568/getInfo.php?workbook=20_10.xlsx&amp;sheet=U0&amp;row=442&amp;col=6&amp;number=4.8&amp;sourceID=14","4.8")</f>
        <v>4.8</v>
      </c>
      <c r="G442" s="4" t="str">
        <f>HYPERLINK("http://141.218.60.56/~jnz1568/getInfo.php?workbook=20_10.xlsx&amp;sheet=U0&amp;row=442&amp;col=7&amp;number=0.018&amp;sourceID=14","0.018")</f>
        <v>0.018</v>
      </c>
    </row>
    <row r="443" spans="1:7">
      <c r="A443" s="3"/>
      <c r="B443" s="3"/>
      <c r="C443" s="3"/>
      <c r="D443" s="3"/>
      <c r="E443" s="3">
        <v>20</v>
      </c>
      <c r="F443" s="4" t="str">
        <f>HYPERLINK("http://141.218.60.56/~jnz1568/getInfo.php?workbook=20_10.xlsx&amp;sheet=U0&amp;row=443&amp;col=6&amp;number=4.9&amp;sourceID=14","4.9")</f>
        <v>4.9</v>
      </c>
      <c r="G443" s="4" t="str">
        <f>HYPERLINK("http://141.218.60.56/~jnz1568/getInfo.php?workbook=20_10.xlsx&amp;sheet=U0&amp;row=443&amp;col=7&amp;number=0.018&amp;sourceID=14","0.018")</f>
        <v>0.018</v>
      </c>
    </row>
    <row r="444" spans="1:7">
      <c r="A444" s="3">
        <v>20</v>
      </c>
      <c r="B444" s="3">
        <v>10</v>
      </c>
      <c r="C444" s="3">
        <v>1</v>
      </c>
      <c r="D444" s="3">
        <v>24</v>
      </c>
      <c r="E444" s="3">
        <v>1</v>
      </c>
      <c r="F444" s="4" t="str">
        <f>HYPERLINK("http://141.218.60.56/~jnz1568/getInfo.php?workbook=20_10.xlsx&amp;sheet=U0&amp;row=444&amp;col=6&amp;number=3&amp;sourceID=14","3")</f>
        <v>3</v>
      </c>
      <c r="G444" s="4" t="str">
        <f>HYPERLINK("http://141.218.60.56/~jnz1568/getInfo.php?workbook=20_10.xlsx&amp;sheet=U0&amp;row=444&amp;col=7&amp;number=0.00646&amp;sourceID=14","0.00646")</f>
        <v>0.00646</v>
      </c>
    </row>
    <row r="445" spans="1:7">
      <c r="A445" s="3"/>
      <c r="B445" s="3"/>
      <c r="C445" s="3"/>
      <c r="D445" s="3"/>
      <c r="E445" s="3">
        <v>2</v>
      </c>
      <c r="F445" s="4" t="str">
        <f>HYPERLINK("http://141.218.60.56/~jnz1568/getInfo.php?workbook=20_10.xlsx&amp;sheet=U0&amp;row=445&amp;col=6&amp;number=3.1&amp;sourceID=14","3.1")</f>
        <v>3.1</v>
      </c>
      <c r="G445" s="4" t="str">
        <f>HYPERLINK("http://141.218.60.56/~jnz1568/getInfo.php?workbook=20_10.xlsx&amp;sheet=U0&amp;row=445&amp;col=7&amp;number=0.00646&amp;sourceID=14","0.00646")</f>
        <v>0.00646</v>
      </c>
    </row>
    <row r="446" spans="1:7">
      <c r="A446" s="3"/>
      <c r="B446" s="3"/>
      <c r="C446" s="3"/>
      <c r="D446" s="3"/>
      <c r="E446" s="3">
        <v>3</v>
      </c>
      <c r="F446" s="4" t="str">
        <f>HYPERLINK("http://141.218.60.56/~jnz1568/getInfo.php?workbook=20_10.xlsx&amp;sheet=U0&amp;row=446&amp;col=6&amp;number=3.2&amp;sourceID=14","3.2")</f>
        <v>3.2</v>
      </c>
      <c r="G446" s="4" t="str">
        <f>HYPERLINK("http://141.218.60.56/~jnz1568/getInfo.php?workbook=20_10.xlsx&amp;sheet=U0&amp;row=446&amp;col=7&amp;number=0.00646&amp;sourceID=14","0.00646")</f>
        <v>0.00646</v>
      </c>
    </row>
    <row r="447" spans="1:7">
      <c r="A447" s="3"/>
      <c r="B447" s="3"/>
      <c r="C447" s="3"/>
      <c r="D447" s="3"/>
      <c r="E447" s="3">
        <v>4</v>
      </c>
      <c r="F447" s="4" t="str">
        <f>HYPERLINK("http://141.218.60.56/~jnz1568/getInfo.php?workbook=20_10.xlsx&amp;sheet=U0&amp;row=447&amp;col=6&amp;number=3.3&amp;sourceID=14","3.3")</f>
        <v>3.3</v>
      </c>
      <c r="G447" s="4" t="str">
        <f>HYPERLINK("http://141.218.60.56/~jnz1568/getInfo.php?workbook=20_10.xlsx&amp;sheet=U0&amp;row=447&amp;col=7&amp;number=0.00645&amp;sourceID=14","0.00645")</f>
        <v>0.00645</v>
      </c>
    </row>
    <row r="448" spans="1:7">
      <c r="A448" s="3"/>
      <c r="B448" s="3"/>
      <c r="C448" s="3"/>
      <c r="D448" s="3"/>
      <c r="E448" s="3">
        <v>5</v>
      </c>
      <c r="F448" s="4" t="str">
        <f>HYPERLINK("http://141.218.60.56/~jnz1568/getInfo.php?workbook=20_10.xlsx&amp;sheet=U0&amp;row=448&amp;col=6&amp;number=3.4&amp;sourceID=14","3.4")</f>
        <v>3.4</v>
      </c>
      <c r="G448" s="4" t="str">
        <f>HYPERLINK("http://141.218.60.56/~jnz1568/getInfo.php?workbook=20_10.xlsx&amp;sheet=U0&amp;row=448&amp;col=7&amp;number=0.00645&amp;sourceID=14","0.00645")</f>
        <v>0.00645</v>
      </c>
    </row>
    <row r="449" spans="1:7">
      <c r="A449" s="3"/>
      <c r="B449" s="3"/>
      <c r="C449" s="3"/>
      <c r="D449" s="3"/>
      <c r="E449" s="3">
        <v>6</v>
      </c>
      <c r="F449" s="4" t="str">
        <f>HYPERLINK("http://141.218.60.56/~jnz1568/getInfo.php?workbook=20_10.xlsx&amp;sheet=U0&amp;row=449&amp;col=6&amp;number=3.5&amp;sourceID=14","3.5")</f>
        <v>3.5</v>
      </c>
      <c r="G449" s="4" t="str">
        <f>HYPERLINK("http://141.218.60.56/~jnz1568/getInfo.php?workbook=20_10.xlsx&amp;sheet=U0&amp;row=449&amp;col=7&amp;number=0.00645&amp;sourceID=14","0.00645")</f>
        <v>0.00645</v>
      </c>
    </row>
    <row r="450" spans="1:7">
      <c r="A450" s="3"/>
      <c r="B450" s="3"/>
      <c r="C450" s="3"/>
      <c r="D450" s="3"/>
      <c r="E450" s="3">
        <v>7</v>
      </c>
      <c r="F450" s="4" t="str">
        <f>HYPERLINK("http://141.218.60.56/~jnz1568/getInfo.php?workbook=20_10.xlsx&amp;sheet=U0&amp;row=450&amp;col=6&amp;number=3.6&amp;sourceID=14","3.6")</f>
        <v>3.6</v>
      </c>
      <c r="G450" s="4" t="str">
        <f>HYPERLINK("http://141.218.60.56/~jnz1568/getInfo.php?workbook=20_10.xlsx&amp;sheet=U0&amp;row=450&amp;col=7&amp;number=0.00645&amp;sourceID=14","0.00645")</f>
        <v>0.00645</v>
      </c>
    </row>
    <row r="451" spans="1:7">
      <c r="A451" s="3"/>
      <c r="B451" s="3"/>
      <c r="C451" s="3"/>
      <c r="D451" s="3"/>
      <c r="E451" s="3">
        <v>8</v>
      </c>
      <c r="F451" s="4" t="str">
        <f>HYPERLINK("http://141.218.60.56/~jnz1568/getInfo.php?workbook=20_10.xlsx&amp;sheet=U0&amp;row=451&amp;col=6&amp;number=3.7&amp;sourceID=14","3.7")</f>
        <v>3.7</v>
      </c>
      <c r="G451" s="4" t="str">
        <f>HYPERLINK("http://141.218.60.56/~jnz1568/getInfo.php?workbook=20_10.xlsx&amp;sheet=U0&amp;row=451&amp;col=7&amp;number=0.00645&amp;sourceID=14","0.00645")</f>
        <v>0.00645</v>
      </c>
    </row>
    <row r="452" spans="1:7">
      <c r="A452" s="3"/>
      <c r="B452" s="3"/>
      <c r="C452" s="3"/>
      <c r="D452" s="3"/>
      <c r="E452" s="3">
        <v>9</v>
      </c>
      <c r="F452" s="4" t="str">
        <f>HYPERLINK("http://141.218.60.56/~jnz1568/getInfo.php?workbook=20_10.xlsx&amp;sheet=U0&amp;row=452&amp;col=6&amp;number=3.8&amp;sourceID=14","3.8")</f>
        <v>3.8</v>
      </c>
      <c r="G452" s="4" t="str">
        <f>HYPERLINK("http://141.218.60.56/~jnz1568/getInfo.php?workbook=20_10.xlsx&amp;sheet=U0&amp;row=452&amp;col=7&amp;number=0.00645&amp;sourceID=14","0.00645")</f>
        <v>0.00645</v>
      </c>
    </row>
    <row r="453" spans="1:7">
      <c r="A453" s="3"/>
      <c r="B453" s="3"/>
      <c r="C453" s="3"/>
      <c r="D453" s="3"/>
      <c r="E453" s="3">
        <v>10</v>
      </c>
      <c r="F453" s="4" t="str">
        <f>HYPERLINK("http://141.218.60.56/~jnz1568/getInfo.php?workbook=20_10.xlsx&amp;sheet=U0&amp;row=453&amp;col=6&amp;number=3.9&amp;sourceID=14","3.9")</f>
        <v>3.9</v>
      </c>
      <c r="G453" s="4" t="str">
        <f>HYPERLINK("http://141.218.60.56/~jnz1568/getInfo.php?workbook=20_10.xlsx&amp;sheet=U0&amp;row=453&amp;col=7&amp;number=0.00645&amp;sourceID=14","0.00645")</f>
        <v>0.00645</v>
      </c>
    </row>
    <row r="454" spans="1:7">
      <c r="A454" s="3"/>
      <c r="B454" s="3"/>
      <c r="C454" s="3"/>
      <c r="D454" s="3"/>
      <c r="E454" s="3">
        <v>11</v>
      </c>
      <c r="F454" s="4" t="str">
        <f>HYPERLINK("http://141.218.60.56/~jnz1568/getInfo.php?workbook=20_10.xlsx&amp;sheet=U0&amp;row=454&amp;col=6&amp;number=4&amp;sourceID=14","4")</f>
        <v>4</v>
      </c>
      <c r="G454" s="4" t="str">
        <f>HYPERLINK("http://141.218.60.56/~jnz1568/getInfo.php?workbook=20_10.xlsx&amp;sheet=U0&amp;row=454&amp;col=7&amp;number=0.00644&amp;sourceID=14","0.00644")</f>
        <v>0.00644</v>
      </c>
    </row>
    <row r="455" spans="1:7">
      <c r="A455" s="3"/>
      <c r="B455" s="3"/>
      <c r="C455" s="3"/>
      <c r="D455" s="3"/>
      <c r="E455" s="3">
        <v>12</v>
      </c>
      <c r="F455" s="4" t="str">
        <f>HYPERLINK("http://141.218.60.56/~jnz1568/getInfo.php?workbook=20_10.xlsx&amp;sheet=U0&amp;row=455&amp;col=6&amp;number=4.1&amp;sourceID=14","4.1")</f>
        <v>4.1</v>
      </c>
      <c r="G455" s="4" t="str">
        <f>HYPERLINK("http://141.218.60.56/~jnz1568/getInfo.php?workbook=20_10.xlsx&amp;sheet=U0&amp;row=455&amp;col=7&amp;number=0.00644&amp;sourceID=14","0.00644")</f>
        <v>0.00644</v>
      </c>
    </row>
    <row r="456" spans="1:7">
      <c r="A456" s="3"/>
      <c r="B456" s="3"/>
      <c r="C456" s="3"/>
      <c r="D456" s="3"/>
      <c r="E456" s="3">
        <v>13</v>
      </c>
      <c r="F456" s="4" t="str">
        <f>HYPERLINK("http://141.218.60.56/~jnz1568/getInfo.php?workbook=20_10.xlsx&amp;sheet=U0&amp;row=456&amp;col=6&amp;number=4.2&amp;sourceID=14","4.2")</f>
        <v>4.2</v>
      </c>
      <c r="G456" s="4" t="str">
        <f>HYPERLINK("http://141.218.60.56/~jnz1568/getInfo.php?workbook=20_10.xlsx&amp;sheet=U0&amp;row=456&amp;col=7&amp;number=0.00643&amp;sourceID=14","0.00643")</f>
        <v>0.00643</v>
      </c>
    </row>
    <row r="457" spans="1:7">
      <c r="A457" s="3"/>
      <c r="B457" s="3"/>
      <c r="C457" s="3"/>
      <c r="D457" s="3"/>
      <c r="E457" s="3">
        <v>14</v>
      </c>
      <c r="F457" s="4" t="str">
        <f>HYPERLINK("http://141.218.60.56/~jnz1568/getInfo.php?workbook=20_10.xlsx&amp;sheet=U0&amp;row=457&amp;col=6&amp;number=4.3&amp;sourceID=14","4.3")</f>
        <v>4.3</v>
      </c>
      <c r="G457" s="4" t="str">
        <f>HYPERLINK("http://141.218.60.56/~jnz1568/getInfo.php?workbook=20_10.xlsx&amp;sheet=U0&amp;row=457&amp;col=7&amp;number=0.00643&amp;sourceID=14","0.00643")</f>
        <v>0.00643</v>
      </c>
    </row>
    <row r="458" spans="1:7">
      <c r="A458" s="3"/>
      <c r="B458" s="3"/>
      <c r="C458" s="3"/>
      <c r="D458" s="3"/>
      <c r="E458" s="3">
        <v>15</v>
      </c>
      <c r="F458" s="4" t="str">
        <f>HYPERLINK("http://141.218.60.56/~jnz1568/getInfo.php?workbook=20_10.xlsx&amp;sheet=U0&amp;row=458&amp;col=6&amp;number=4.4&amp;sourceID=14","4.4")</f>
        <v>4.4</v>
      </c>
      <c r="G458" s="4" t="str">
        <f>HYPERLINK("http://141.218.60.56/~jnz1568/getInfo.php?workbook=20_10.xlsx&amp;sheet=U0&amp;row=458&amp;col=7&amp;number=0.00642&amp;sourceID=14","0.00642")</f>
        <v>0.00642</v>
      </c>
    </row>
    <row r="459" spans="1:7">
      <c r="A459" s="3"/>
      <c r="B459" s="3"/>
      <c r="C459" s="3"/>
      <c r="D459" s="3"/>
      <c r="E459" s="3">
        <v>16</v>
      </c>
      <c r="F459" s="4" t="str">
        <f>HYPERLINK("http://141.218.60.56/~jnz1568/getInfo.php?workbook=20_10.xlsx&amp;sheet=U0&amp;row=459&amp;col=6&amp;number=4.5&amp;sourceID=14","4.5")</f>
        <v>4.5</v>
      </c>
      <c r="G459" s="4" t="str">
        <f>HYPERLINK("http://141.218.60.56/~jnz1568/getInfo.php?workbook=20_10.xlsx&amp;sheet=U0&amp;row=459&amp;col=7&amp;number=0.00641&amp;sourceID=14","0.00641")</f>
        <v>0.00641</v>
      </c>
    </row>
    <row r="460" spans="1:7">
      <c r="A460" s="3"/>
      <c r="B460" s="3"/>
      <c r="C460" s="3"/>
      <c r="D460" s="3"/>
      <c r="E460" s="3">
        <v>17</v>
      </c>
      <c r="F460" s="4" t="str">
        <f>HYPERLINK("http://141.218.60.56/~jnz1568/getInfo.php?workbook=20_10.xlsx&amp;sheet=U0&amp;row=460&amp;col=6&amp;number=4.6&amp;sourceID=14","4.6")</f>
        <v>4.6</v>
      </c>
      <c r="G460" s="4" t="str">
        <f>HYPERLINK("http://141.218.60.56/~jnz1568/getInfo.php?workbook=20_10.xlsx&amp;sheet=U0&amp;row=460&amp;col=7&amp;number=0.0064&amp;sourceID=14","0.0064")</f>
        <v>0.0064</v>
      </c>
    </row>
    <row r="461" spans="1:7">
      <c r="A461" s="3"/>
      <c r="B461" s="3"/>
      <c r="C461" s="3"/>
      <c r="D461" s="3"/>
      <c r="E461" s="3">
        <v>18</v>
      </c>
      <c r="F461" s="4" t="str">
        <f>HYPERLINK("http://141.218.60.56/~jnz1568/getInfo.php?workbook=20_10.xlsx&amp;sheet=U0&amp;row=461&amp;col=6&amp;number=4.7&amp;sourceID=14","4.7")</f>
        <v>4.7</v>
      </c>
      <c r="G461" s="4" t="str">
        <f>HYPERLINK("http://141.218.60.56/~jnz1568/getInfo.php?workbook=20_10.xlsx&amp;sheet=U0&amp;row=461&amp;col=7&amp;number=0.00638&amp;sourceID=14","0.00638")</f>
        <v>0.00638</v>
      </c>
    </row>
    <row r="462" spans="1:7">
      <c r="A462" s="3"/>
      <c r="B462" s="3"/>
      <c r="C462" s="3"/>
      <c r="D462" s="3"/>
      <c r="E462" s="3">
        <v>19</v>
      </c>
      <c r="F462" s="4" t="str">
        <f>HYPERLINK("http://141.218.60.56/~jnz1568/getInfo.php?workbook=20_10.xlsx&amp;sheet=U0&amp;row=462&amp;col=6&amp;number=4.8&amp;sourceID=14","4.8")</f>
        <v>4.8</v>
      </c>
      <c r="G462" s="4" t="str">
        <f>HYPERLINK("http://141.218.60.56/~jnz1568/getInfo.php?workbook=20_10.xlsx&amp;sheet=U0&amp;row=462&amp;col=7&amp;number=0.00636&amp;sourceID=14","0.00636")</f>
        <v>0.00636</v>
      </c>
    </row>
    <row r="463" spans="1:7">
      <c r="A463" s="3"/>
      <c r="B463" s="3"/>
      <c r="C463" s="3"/>
      <c r="D463" s="3"/>
      <c r="E463" s="3">
        <v>20</v>
      </c>
      <c r="F463" s="4" t="str">
        <f>HYPERLINK("http://141.218.60.56/~jnz1568/getInfo.php?workbook=20_10.xlsx&amp;sheet=U0&amp;row=463&amp;col=6&amp;number=4.9&amp;sourceID=14","4.9")</f>
        <v>4.9</v>
      </c>
      <c r="G463" s="4" t="str">
        <f>HYPERLINK("http://141.218.60.56/~jnz1568/getInfo.php?workbook=20_10.xlsx&amp;sheet=U0&amp;row=463&amp;col=7&amp;number=0.00634&amp;sourceID=14","0.00634")</f>
        <v>0.00634</v>
      </c>
    </row>
    <row r="464" spans="1:7">
      <c r="A464" s="3">
        <v>20</v>
      </c>
      <c r="B464" s="3">
        <v>10</v>
      </c>
      <c r="C464" s="3">
        <v>1</v>
      </c>
      <c r="D464" s="3">
        <v>25</v>
      </c>
      <c r="E464" s="3">
        <v>1</v>
      </c>
      <c r="F464" s="4" t="str">
        <f>HYPERLINK("http://141.218.60.56/~jnz1568/getInfo.php?workbook=20_10.xlsx&amp;sheet=U0&amp;row=464&amp;col=6&amp;number=3&amp;sourceID=14","3")</f>
        <v>3</v>
      </c>
      <c r="G464" s="4" t="str">
        <f>HYPERLINK("http://141.218.60.56/~jnz1568/getInfo.php?workbook=20_10.xlsx&amp;sheet=U0&amp;row=464&amp;col=7&amp;number=0.0074&amp;sourceID=14","0.0074")</f>
        <v>0.0074</v>
      </c>
    </row>
    <row r="465" spans="1:7">
      <c r="A465" s="3"/>
      <c r="B465" s="3"/>
      <c r="C465" s="3"/>
      <c r="D465" s="3"/>
      <c r="E465" s="3">
        <v>2</v>
      </c>
      <c r="F465" s="4" t="str">
        <f>HYPERLINK("http://141.218.60.56/~jnz1568/getInfo.php?workbook=20_10.xlsx&amp;sheet=U0&amp;row=465&amp;col=6&amp;number=3.1&amp;sourceID=14","3.1")</f>
        <v>3.1</v>
      </c>
      <c r="G465" s="4" t="str">
        <f>HYPERLINK("http://141.218.60.56/~jnz1568/getInfo.php?workbook=20_10.xlsx&amp;sheet=U0&amp;row=465&amp;col=7&amp;number=0.0074&amp;sourceID=14","0.0074")</f>
        <v>0.0074</v>
      </c>
    </row>
    <row r="466" spans="1:7">
      <c r="A466" s="3"/>
      <c r="B466" s="3"/>
      <c r="C466" s="3"/>
      <c r="D466" s="3"/>
      <c r="E466" s="3">
        <v>3</v>
      </c>
      <c r="F466" s="4" t="str">
        <f>HYPERLINK("http://141.218.60.56/~jnz1568/getInfo.php?workbook=20_10.xlsx&amp;sheet=U0&amp;row=466&amp;col=6&amp;number=3.2&amp;sourceID=14","3.2")</f>
        <v>3.2</v>
      </c>
      <c r="G466" s="4" t="str">
        <f>HYPERLINK("http://141.218.60.56/~jnz1568/getInfo.php?workbook=20_10.xlsx&amp;sheet=U0&amp;row=466&amp;col=7&amp;number=0.0074&amp;sourceID=14","0.0074")</f>
        <v>0.0074</v>
      </c>
    </row>
    <row r="467" spans="1:7">
      <c r="A467" s="3"/>
      <c r="B467" s="3"/>
      <c r="C467" s="3"/>
      <c r="D467" s="3"/>
      <c r="E467" s="3">
        <v>4</v>
      </c>
      <c r="F467" s="4" t="str">
        <f>HYPERLINK("http://141.218.60.56/~jnz1568/getInfo.php?workbook=20_10.xlsx&amp;sheet=U0&amp;row=467&amp;col=6&amp;number=3.3&amp;sourceID=14","3.3")</f>
        <v>3.3</v>
      </c>
      <c r="G467" s="4" t="str">
        <f>HYPERLINK("http://141.218.60.56/~jnz1568/getInfo.php?workbook=20_10.xlsx&amp;sheet=U0&amp;row=467&amp;col=7&amp;number=0.0074&amp;sourceID=14","0.0074")</f>
        <v>0.0074</v>
      </c>
    </row>
    <row r="468" spans="1:7">
      <c r="A468" s="3"/>
      <c r="B468" s="3"/>
      <c r="C468" s="3"/>
      <c r="D468" s="3"/>
      <c r="E468" s="3">
        <v>5</v>
      </c>
      <c r="F468" s="4" t="str">
        <f>HYPERLINK("http://141.218.60.56/~jnz1568/getInfo.php?workbook=20_10.xlsx&amp;sheet=U0&amp;row=468&amp;col=6&amp;number=3.4&amp;sourceID=14","3.4")</f>
        <v>3.4</v>
      </c>
      <c r="G468" s="4" t="str">
        <f>HYPERLINK("http://141.218.60.56/~jnz1568/getInfo.php?workbook=20_10.xlsx&amp;sheet=U0&amp;row=468&amp;col=7&amp;number=0.0074&amp;sourceID=14","0.0074")</f>
        <v>0.0074</v>
      </c>
    </row>
    <row r="469" spans="1:7">
      <c r="A469" s="3"/>
      <c r="B469" s="3"/>
      <c r="C469" s="3"/>
      <c r="D469" s="3"/>
      <c r="E469" s="3">
        <v>6</v>
      </c>
      <c r="F469" s="4" t="str">
        <f>HYPERLINK("http://141.218.60.56/~jnz1568/getInfo.php?workbook=20_10.xlsx&amp;sheet=U0&amp;row=469&amp;col=6&amp;number=3.5&amp;sourceID=14","3.5")</f>
        <v>3.5</v>
      </c>
      <c r="G469" s="4" t="str">
        <f>HYPERLINK("http://141.218.60.56/~jnz1568/getInfo.php?workbook=20_10.xlsx&amp;sheet=U0&amp;row=469&amp;col=7&amp;number=0.0074&amp;sourceID=14","0.0074")</f>
        <v>0.0074</v>
      </c>
    </row>
    <row r="470" spans="1:7">
      <c r="A470" s="3"/>
      <c r="B470" s="3"/>
      <c r="C470" s="3"/>
      <c r="D470" s="3"/>
      <c r="E470" s="3">
        <v>7</v>
      </c>
      <c r="F470" s="4" t="str">
        <f>HYPERLINK("http://141.218.60.56/~jnz1568/getInfo.php?workbook=20_10.xlsx&amp;sheet=U0&amp;row=470&amp;col=6&amp;number=3.6&amp;sourceID=14","3.6")</f>
        <v>3.6</v>
      </c>
      <c r="G470" s="4" t="str">
        <f>HYPERLINK("http://141.218.60.56/~jnz1568/getInfo.php?workbook=20_10.xlsx&amp;sheet=U0&amp;row=470&amp;col=7&amp;number=0.0074&amp;sourceID=14","0.0074")</f>
        <v>0.0074</v>
      </c>
    </row>
    <row r="471" spans="1:7">
      <c r="A471" s="3"/>
      <c r="B471" s="3"/>
      <c r="C471" s="3"/>
      <c r="D471" s="3"/>
      <c r="E471" s="3">
        <v>8</v>
      </c>
      <c r="F471" s="4" t="str">
        <f>HYPERLINK("http://141.218.60.56/~jnz1568/getInfo.php?workbook=20_10.xlsx&amp;sheet=U0&amp;row=471&amp;col=6&amp;number=3.7&amp;sourceID=14","3.7")</f>
        <v>3.7</v>
      </c>
      <c r="G471" s="4" t="str">
        <f>HYPERLINK("http://141.218.60.56/~jnz1568/getInfo.php?workbook=20_10.xlsx&amp;sheet=U0&amp;row=471&amp;col=7&amp;number=0.00739&amp;sourceID=14","0.00739")</f>
        <v>0.00739</v>
      </c>
    </row>
    <row r="472" spans="1:7">
      <c r="A472" s="3"/>
      <c r="B472" s="3"/>
      <c r="C472" s="3"/>
      <c r="D472" s="3"/>
      <c r="E472" s="3">
        <v>9</v>
      </c>
      <c r="F472" s="4" t="str">
        <f>HYPERLINK("http://141.218.60.56/~jnz1568/getInfo.php?workbook=20_10.xlsx&amp;sheet=U0&amp;row=472&amp;col=6&amp;number=3.8&amp;sourceID=14","3.8")</f>
        <v>3.8</v>
      </c>
      <c r="G472" s="4" t="str">
        <f>HYPERLINK("http://141.218.60.56/~jnz1568/getInfo.php?workbook=20_10.xlsx&amp;sheet=U0&amp;row=472&amp;col=7&amp;number=0.00739&amp;sourceID=14","0.00739")</f>
        <v>0.00739</v>
      </c>
    </row>
    <row r="473" spans="1:7">
      <c r="A473" s="3"/>
      <c r="B473" s="3"/>
      <c r="C473" s="3"/>
      <c r="D473" s="3"/>
      <c r="E473" s="3">
        <v>10</v>
      </c>
      <c r="F473" s="4" t="str">
        <f>HYPERLINK("http://141.218.60.56/~jnz1568/getInfo.php?workbook=20_10.xlsx&amp;sheet=U0&amp;row=473&amp;col=6&amp;number=3.9&amp;sourceID=14","3.9")</f>
        <v>3.9</v>
      </c>
      <c r="G473" s="4" t="str">
        <f>HYPERLINK("http://141.218.60.56/~jnz1568/getInfo.php?workbook=20_10.xlsx&amp;sheet=U0&amp;row=473&amp;col=7&amp;number=0.00739&amp;sourceID=14","0.00739")</f>
        <v>0.00739</v>
      </c>
    </row>
    <row r="474" spans="1:7">
      <c r="A474" s="3"/>
      <c r="B474" s="3"/>
      <c r="C474" s="3"/>
      <c r="D474" s="3"/>
      <c r="E474" s="3">
        <v>11</v>
      </c>
      <c r="F474" s="4" t="str">
        <f>HYPERLINK("http://141.218.60.56/~jnz1568/getInfo.php?workbook=20_10.xlsx&amp;sheet=U0&amp;row=474&amp;col=6&amp;number=4&amp;sourceID=14","4")</f>
        <v>4</v>
      </c>
      <c r="G474" s="4" t="str">
        <f>HYPERLINK("http://141.218.60.56/~jnz1568/getInfo.php?workbook=20_10.xlsx&amp;sheet=U0&amp;row=474&amp;col=7&amp;number=0.00739&amp;sourceID=14","0.00739")</f>
        <v>0.00739</v>
      </c>
    </row>
    <row r="475" spans="1:7">
      <c r="A475" s="3"/>
      <c r="B475" s="3"/>
      <c r="C475" s="3"/>
      <c r="D475" s="3"/>
      <c r="E475" s="3">
        <v>12</v>
      </c>
      <c r="F475" s="4" t="str">
        <f>HYPERLINK("http://141.218.60.56/~jnz1568/getInfo.php?workbook=20_10.xlsx&amp;sheet=U0&amp;row=475&amp;col=6&amp;number=4.1&amp;sourceID=14","4.1")</f>
        <v>4.1</v>
      </c>
      <c r="G475" s="4" t="str">
        <f>HYPERLINK("http://141.218.60.56/~jnz1568/getInfo.php?workbook=20_10.xlsx&amp;sheet=U0&amp;row=475&amp;col=7&amp;number=0.00738&amp;sourceID=14","0.00738")</f>
        <v>0.00738</v>
      </c>
    </row>
    <row r="476" spans="1:7">
      <c r="A476" s="3"/>
      <c r="B476" s="3"/>
      <c r="C476" s="3"/>
      <c r="D476" s="3"/>
      <c r="E476" s="3">
        <v>13</v>
      </c>
      <c r="F476" s="4" t="str">
        <f>HYPERLINK("http://141.218.60.56/~jnz1568/getInfo.php?workbook=20_10.xlsx&amp;sheet=U0&amp;row=476&amp;col=6&amp;number=4.2&amp;sourceID=14","4.2")</f>
        <v>4.2</v>
      </c>
      <c r="G476" s="4" t="str">
        <f>HYPERLINK("http://141.218.60.56/~jnz1568/getInfo.php?workbook=20_10.xlsx&amp;sheet=U0&amp;row=476&amp;col=7&amp;number=0.00738&amp;sourceID=14","0.00738")</f>
        <v>0.00738</v>
      </c>
    </row>
    <row r="477" spans="1:7">
      <c r="A477" s="3"/>
      <c r="B477" s="3"/>
      <c r="C477" s="3"/>
      <c r="D477" s="3"/>
      <c r="E477" s="3">
        <v>14</v>
      </c>
      <c r="F477" s="4" t="str">
        <f>HYPERLINK("http://141.218.60.56/~jnz1568/getInfo.php?workbook=20_10.xlsx&amp;sheet=U0&amp;row=477&amp;col=6&amp;number=4.3&amp;sourceID=14","4.3")</f>
        <v>4.3</v>
      </c>
      <c r="G477" s="4" t="str">
        <f>HYPERLINK("http://141.218.60.56/~jnz1568/getInfo.php?workbook=20_10.xlsx&amp;sheet=U0&amp;row=477&amp;col=7&amp;number=0.00737&amp;sourceID=14","0.00737")</f>
        <v>0.00737</v>
      </c>
    </row>
    <row r="478" spans="1:7">
      <c r="A478" s="3"/>
      <c r="B478" s="3"/>
      <c r="C478" s="3"/>
      <c r="D478" s="3"/>
      <c r="E478" s="3">
        <v>15</v>
      </c>
      <c r="F478" s="4" t="str">
        <f>HYPERLINK("http://141.218.60.56/~jnz1568/getInfo.php?workbook=20_10.xlsx&amp;sheet=U0&amp;row=478&amp;col=6&amp;number=4.4&amp;sourceID=14","4.4")</f>
        <v>4.4</v>
      </c>
      <c r="G478" s="4" t="str">
        <f>HYPERLINK("http://141.218.60.56/~jnz1568/getInfo.php?workbook=20_10.xlsx&amp;sheet=U0&amp;row=478&amp;col=7&amp;number=0.00736&amp;sourceID=14","0.00736")</f>
        <v>0.00736</v>
      </c>
    </row>
    <row r="479" spans="1:7">
      <c r="A479" s="3"/>
      <c r="B479" s="3"/>
      <c r="C479" s="3"/>
      <c r="D479" s="3"/>
      <c r="E479" s="3">
        <v>16</v>
      </c>
      <c r="F479" s="4" t="str">
        <f>HYPERLINK("http://141.218.60.56/~jnz1568/getInfo.php?workbook=20_10.xlsx&amp;sheet=U0&amp;row=479&amp;col=6&amp;number=4.5&amp;sourceID=14","4.5")</f>
        <v>4.5</v>
      </c>
      <c r="G479" s="4" t="str">
        <f>HYPERLINK("http://141.218.60.56/~jnz1568/getInfo.php?workbook=20_10.xlsx&amp;sheet=U0&amp;row=479&amp;col=7&amp;number=0.00735&amp;sourceID=14","0.00735")</f>
        <v>0.00735</v>
      </c>
    </row>
    <row r="480" spans="1:7">
      <c r="A480" s="3"/>
      <c r="B480" s="3"/>
      <c r="C480" s="3"/>
      <c r="D480" s="3"/>
      <c r="E480" s="3">
        <v>17</v>
      </c>
      <c r="F480" s="4" t="str">
        <f>HYPERLINK("http://141.218.60.56/~jnz1568/getInfo.php?workbook=20_10.xlsx&amp;sheet=U0&amp;row=480&amp;col=6&amp;number=4.6&amp;sourceID=14","4.6")</f>
        <v>4.6</v>
      </c>
      <c r="G480" s="4" t="str">
        <f>HYPERLINK("http://141.218.60.56/~jnz1568/getInfo.php?workbook=20_10.xlsx&amp;sheet=U0&amp;row=480&amp;col=7&amp;number=0.00733&amp;sourceID=14","0.00733")</f>
        <v>0.00733</v>
      </c>
    </row>
    <row r="481" spans="1:7">
      <c r="A481" s="3"/>
      <c r="B481" s="3"/>
      <c r="C481" s="3"/>
      <c r="D481" s="3"/>
      <c r="E481" s="3">
        <v>18</v>
      </c>
      <c r="F481" s="4" t="str">
        <f>HYPERLINK("http://141.218.60.56/~jnz1568/getInfo.php?workbook=20_10.xlsx&amp;sheet=U0&amp;row=481&amp;col=6&amp;number=4.7&amp;sourceID=14","4.7")</f>
        <v>4.7</v>
      </c>
      <c r="G481" s="4" t="str">
        <f>HYPERLINK("http://141.218.60.56/~jnz1568/getInfo.php?workbook=20_10.xlsx&amp;sheet=U0&amp;row=481&amp;col=7&amp;number=0.00732&amp;sourceID=14","0.00732")</f>
        <v>0.00732</v>
      </c>
    </row>
    <row r="482" spans="1:7">
      <c r="A482" s="3"/>
      <c r="B482" s="3"/>
      <c r="C482" s="3"/>
      <c r="D482" s="3"/>
      <c r="E482" s="3">
        <v>19</v>
      </c>
      <c r="F482" s="4" t="str">
        <f>HYPERLINK("http://141.218.60.56/~jnz1568/getInfo.php?workbook=20_10.xlsx&amp;sheet=U0&amp;row=482&amp;col=6&amp;number=4.8&amp;sourceID=14","4.8")</f>
        <v>4.8</v>
      </c>
      <c r="G482" s="4" t="str">
        <f>HYPERLINK("http://141.218.60.56/~jnz1568/getInfo.php?workbook=20_10.xlsx&amp;sheet=U0&amp;row=482&amp;col=7&amp;number=0.00729&amp;sourceID=14","0.00729")</f>
        <v>0.00729</v>
      </c>
    </row>
    <row r="483" spans="1:7">
      <c r="A483" s="3"/>
      <c r="B483" s="3"/>
      <c r="C483" s="3"/>
      <c r="D483" s="3"/>
      <c r="E483" s="3">
        <v>20</v>
      </c>
      <c r="F483" s="4" t="str">
        <f>HYPERLINK("http://141.218.60.56/~jnz1568/getInfo.php?workbook=20_10.xlsx&amp;sheet=U0&amp;row=483&amp;col=6&amp;number=4.9&amp;sourceID=14","4.9")</f>
        <v>4.9</v>
      </c>
      <c r="G483" s="4" t="str">
        <f>HYPERLINK("http://141.218.60.56/~jnz1568/getInfo.php?workbook=20_10.xlsx&amp;sheet=U0&amp;row=483&amp;col=7&amp;number=0.00727&amp;sourceID=14","0.00727")</f>
        <v>0.00727</v>
      </c>
    </row>
    <row r="484" spans="1:7">
      <c r="A484" s="3">
        <v>20</v>
      </c>
      <c r="B484" s="3">
        <v>10</v>
      </c>
      <c r="C484" s="3">
        <v>1</v>
      </c>
      <c r="D484" s="3">
        <v>26</v>
      </c>
      <c r="E484" s="3">
        <v>1</v>
      </c>
      <c r="F484" s="4" t="str">
        <f>HYPERLINK("http://141.218.60.56/~jnz1568/getInfo.php?workbook=20_10.xlsx&amp;sheet=U0&amp;row=484&amp;col=6&amp;number=3&amp;sourceID=14","3")</f>
        <v>3</v>
      </c>
      <c r="G484" s="4" t="str">
        <f>HYPERLINK("http://141.218.60.56/~jnz1568/getInfo.php?workbook=20_10.xlsx&amp;sheet=U0&amp;row=484&amp;col=7&amp;number=0.00727&amp;sourceID=14","0.00727")</f>
        <v>0.00727</v>
      </c>
    </row>
    <row r="485" spans="1:7">
      <c r="A485" s="3"/>
      <c r="B485" s="3"/>
      <c r="C485" s="3"/>
      <c r="D485" s="3"/>
      <c r="E485" s="3">
        <v>2</v>
      </c>
      <c r="F485" s="4" t="str">
        <f>HYPERLINK("http://141.218.60.56/~jnz1568/getInfo.php?workbook=20_10.xlsx&amp;sheet=U0&amp;row=485&amp;col=6&amp;number=3.1&amp;sourceID=14","3.1")</f>
        <v>3.1</v>
      </c>
      <c r="G485" s="4" t="str">
        <f>HYPERLINK("http://141.218.60.56/~jnz1568/getInfo.php?workbook=20_10.xlsx&amp;sheet=U0&amp;row=485&amp;col=7&amp;number=0.00727&amp;sourceID=14","0.00727")</f>
        <v>0.00727</v>
      </c>
    </row>
    <row r="486" spans="1:7">
      <c r="A486" s="3"/>
      <c r="B486" s="3"/>
      <c r="C486" s="3"/>
      <c r="D486" s="3"/>
      <c r="E486" s="3">
        <v>3</v>
      </c>
      <c r="F486" s="4" t="str">
        <f>HYPERLINK("http://141.218.60.56/~jnz1568/getInfo.php?workbook=20_10.xlsx&amp;sheet=U0&amp;row=486&amp;col=6&amp;number=3.2&amp;sourceID=14","3.2")</f>
        <v>3.2</v>
      </c>
      <c r="G486" s="4" t="str">
        <f>HYPERLINK("http://141.218.60.56/~jnz1568/getInfo.php?workbook=20_10.xlsx&amp;sheet=U0&amp;row=486&amp;col=7&amp;number=0.00727&amp;sourceID=14","0.00727")</f>
        <v>0.00727</v>
      </c>
    </row>
    <row r="487" spans="1:7">
      <c r="A487" s="3"/>
      <c r="B487" s="3"/>
      <c r="C487" s="3"/>
      <c r="D487" s="3"/>
      <c r="E487" s="3">
        <v>4</v>
      </c>
      <c r="F487" s="4" t="str">
        <f>HYPERLINK("http://141.218.60.56/~jnz1568/getInfo.php?workbook=20_10.xlsx&amp;sheet=U0&amp;row=487&amp;col=6&amp;number=3.3&amp;sourceID=14","3.3")</f>
        <v>3.3</v>
      </c>
      <c r="G487" s="4" t="str">
        <f>HYPERLINK("http://141.218.60.56/~jnz1568/getInfo.php?workbook=20_10.xlsx&amp;sheet=U0&amp;row=487&amp;col=7&amp;number=0.00727&amp;sourceID=14","0.00727")</f>
        <v>0.00727</v>
      </c>
    </row>
    <row r="488" spans="1:7">
      <c r="A488" s="3"/>
      <c r="B488" s="3"/>
      <c r="C488" s="3"/>
      <c r="D488" s="3"/>
      <c r="E488" s="3">
        <v>5</v>
      </c>
      <c r="F488" s="4" t="str">
        <f>HYPERLINK("http://141.218.60.56/~jnz1568/getInfo.php?workbook=20_10.xlsx&amp;sheet=U0&amp;row=488&amp;col=6&amp;number=3.4&amp;sourceID=14","3.4")</f>
        <v>3.4</v>
      </c>
      <c r="G488" s="4" t="str">
        <f>HYPERLINK("http://141.218.60.56/~jnz1568/getInfo.php?workbook=20_10.xlsx&amp;sheet=U0&amp;row=488&amp;col=7&amp;number=0.00727&amp;sourceID=14","0.00727")</f>
        <v>0.00727</v>
      </c>
    </row>
    <row r="489" spans="1:7">
      <c r="A489" s="3"/>
      <c r="B489" s="3"/>
      <c r="C489" s="3"/>
      <c r="D489" s="3"/>
      <c r="E489" s="3">
        <v>6</v>
      </c>
      <c r="F489" s="4" t="str">
        <f>HYPERLINK("http://141.218.60.56/~jnz1568/getInfo.php?workbook=20_10.xlsx&amp;sheet=U0&amp;row=489&amp;col=6&amp;number=3.5&amp;sourceID=14","3.5")</f>
        <v>3.5</v>
      </c>
      <c r="G489" s="4" t="str">
        <f>HYPERLINK("http://141.218.60.56/~jnz1568/getInfo.php?workbook=20_10.xlsx&amp;sheet=U0&amp;row=489&amp;col=7&amp;number=0.00727&amp;sourceID=14","0.00727")</f>
        <v>0.00727</v>
      </c>
    </row>
    <row r="490" spans="1:7">
      <c r="A490" s="3"/>
      <c r="B490" s="3"/>
      <c r="C490" s="3"/>
      <c r="D490" s="3"/>
      <c r="E490" s="3">
        <v>7</v>
      </c>
      <c r="F490" s="4" t="str">
        <f>HYPERLINK("http://141.218.60.56/~jnz1568/getInfo.php?workbook=20_10.xlsx&amp;sheet=U0&amp;row=490&amp;col=6&amp;number=3.6&amp;sourceID=14","3.6")</f>
        <v>3.6</v>
      </c>
      <c r="G490" s="4" t="str">
        <f>HYPERLINK("http://141.218.60.56/~jnz1568/getInfo.php?workbook=20_10.xlsx&amp;sheet=U0&amp;row=490&amp;col=7&amp;number=0.00727&amp;sourceID=14","0.00727")</f>
        <v>0.00727</v>
      </c>
    </row>
    <row r="491" spans="1:7">
      <c r="A491" s="3"/>
      <c r="B491" s="3"/>
      <c r="C491" s="3"/>
      <c r="D491" s="3"/>
      <c r="E491" s="3">
        <v>8</v>
      </c>
      <c r="F491" s="4" t="str">
        <f>HYPERLINK("http://141.218.60.56/~jnz1568/getInfo.php?workbook=20_10.xlsx&amp;sheet=U0&amp;row=491&amp;col=6&amp;number=3.7&amp;sourceID=14","3.7")</f>
        <v>3.7</v>
      </c>
      <c r="G491" s="4" t="str">
        <f>HYPERLINK("http://141.218.60.56/~jnz1568/getInfo.php?workbook=20_10.xlsx&amp;sheet=U0&amp;row=491&amp;col=7&amp;number=0.00727&amp;sourceID=14","0.00727")</f>
        <v>0.00727</v>
      </c>
    </row>
    <row r="492" spans="1:7">
      <c r="A492" s="3"/>
      <c r="B492" s="3"/>
      <c r="C492" s="3"/>
      <c r="D492" s="3"/>
      <c r="E492" s="3">
        <v>9</v>
      </c>
      <c r="F492" s="4" t="str">
        <f>HYPERLINK("http://141.218.60.56/~jnz1568/getInfo.php?workbook=20_10.xlsx&amp;sheet=U0&amp;row=492&amp;col=6&amp;number=3.8&amp;sourceID=14","3.8")</f>
        <v>3.8</v>
      </c>
      <c r="G492" s="4" t="str">
        <f>HYPERLINK("http://141.218.60.56/~jnz1568/getInfo.php?workbook=20_10.xlsx&amp;sheet=U0&amp;row=492&amp;col=7&amp;number=0.00726&amp;sourceID=14","0.00726")</f>
        <v>0.00726</v>
      </c>
    </row>
    <row r="493" spans="1:7">
      <c r="A493" s="3"/>
      <c r="B493" s="3"/>
      <c r="C493" s="3"/>
      <c r="D493" s="3"/>
      <c r="E493" s="3">
        <v>10</v>
      </c>
      <c r="F493" s="4" t="str">
        <f>HYPERLINK("http://141.218.60.56/~jnz1568/getInfo.php?workbook=20_10.xlsx&amp;sheet=U0&amp;row=493&amp;col=6&amp;number=3.9&amp;sourceID=14","3.9")</f>
        <v>3.9</v>
      </c>
      <c r="G493" s="4" t="str">
        <f>HYPERLINK("http://141.218.60.56/~jnz1568/getInfo.php?workbook=20_10.xlsx&amp;sheet=U0&amp;row=493&amp;col=7&amp;number=0.00726&amp;sourceID=14","0.00726")</f>
        <v>0.00726</v>
      </c>
    </row>
    <row r="494" spans="1:7">
      <c r="A494" s="3"/>
      <c r="B494" s="3"/>
      <c r="C494" s="3"/>
      <c r="D494" s="3"/>
      <c r="E494" s="3">
        <v>11</v>
      </c>
      <c r="F494" s="4" t="str">
        <f>HYPERLINK("http://141.218.60.56/~jnz1568/getInfo.php?workbook=20_10.xlsx&amp;sheet=U0&amp;row=494&amp;col=6&amp;number=4&amp;sourceID=14","4")</f>
        <v>4</v>
      </c>
      <c r="G494" s="4" t="str">
        <f>HYPERLINK("http://141.218.60.56/~jnz1568/getInfo.php?workbook=20_10.xlsx&amp;sheet=U0&amp;row=494&amp;col=7&amp;number=0.00726&amp;sourceID=14","0.00726")</f>
        <v>0.00726</v>
      </c>
    </row>
    <row r="495" spans="1:7">
      <c r="A495" s="3"/>
      <c r="B495" s="3"/>
      <c r="C495" s="3"/>
      <c r="D495" s="3"/>
      <c r="E495" s="3">
        <v>12</v>
      </c>
      <c r="F495" s="4" t="str">
        <f>HYPERLINK("http://141.218.60.56/~jnz1568/getInfo.php?workbook=20_10.xlsx&amp;sheet=U0&amp;row=495&amp;col=6&amp;number=4.1&amp;sourceID=14","4.1")</f>
        <v>4.1</v>
      </c>
      <c r="G495" s="4" t="str">
        <f>HYPERLINK("http://141.218.60.56/~jnz1568/getInfo.php?workbook=20_10.xlsx&amp;sheet=U0&amp;row=495&amp;col=7&amp;number=0.00726&amp;sourceID=14","0.00726")</f>
        <v>0.00726</v>
      </c>
    </row>
    <row r="496" spans="1:7">
      <c r="A496" s="3"/>
      <c r="B496" s="3"/>
      <c r="C496" s="3"/>
      <c r="D496" s="3"/>
      <c r="E496" s="3">
        <v>13</v>
      </c>
      <c r="F496" s="4" t="str">
        <f>HYPERLINK("http://141.218.60.56/~jnz1568/getInfo.php?workbook=20_10.xlsx&amp;sheet=U0&amp;row=496&amp;col=6&amp;number=4.2&amp;sourceID=14","4.2")</f>
        <v>4.2</v>
      </c>
      <c r="G496" s="4" t="str">
        <f>HYPERLINK("http://141.218.60.56/~jnz1568/getInfo.php?workbook=20_10.xlsx&amp;sheet=U0&amp;row=496&amp;col=7&amp;number=0.00726&amp;sourceID=14","0.00726")</f>
        <v>0.00726</v>
      </c>
    </row>
    <row r="497" spans="1:7">
      <c r="A497" s="3"/>
      <c r="B497" s="3"/>
      <c r="C497" s="3"/>
      <c r="D497" s="3"/>
      <c r="E497" s="3">
        <v>14</v>
      </c>
      <c r="F497" s="4" t="str">
        <f>HYPERLINK("http://141.218.60.56/~jnz1568/getInfo.php?workbook=20_10.xlsx&amp;sheet=U0&amp;row=497&amp;col=6&amp;number=4.3&amp;sourceID=14","4.3")</f>
        <v>4.3</v>
      </c>
      <c r="G497" s="4" t="str">
        <f>HYPERLINK("http://141.218.60.56/~jnz1568/getInfo.php?workbook=20_10.xlsx&amp;sheet=U0&amp;row=497&amp;col=7&amp;number=0.00725&amp;sourceID=14","0.00725")</f>
        <v>0.00725</v>
      </c>
    </row>
    <row r="498" spans="1:7">
      <c r="A498" s="3"/>
      <c r="B498" s="3"/>
      <c r="C498" s="3"/>
      <c r="D498" s="3"/>
      <c r="E498" s="3">
        <v>15</v>
      </c>
      <c r="F498" s="4" t="str">
        <f>HYPERLINK("http://141.218.60.56/~jnz1568/getInfo.php?workbook=20_10.xlsx&amp;sheet=U0&amp;row=498&amp;col=6&amp;number=4.4&amp;sourceID=14","4.4")</f>
        <v>4.4</v>
      </c>
      <c r="G498" s="4" t="str">
        <f>HYPERLINK("http://141.218.60.56/~jnz1568/getInfo.php?workbook=20_10.xlsx&amp;sheet=U0&amp;row=498&amp;col=7&amp;number=0.00725&amp;sourceID=14","0.00725")</f>
        <v>0.00725</v>
      </c>
    </row>
    <row r="499" spans="1:7">
      <c r="A499" s="3"/>
      <c r="B499" s="3"/>
      <c r="C499" s="3"/>
      <c r="D499" s="3"/>
      <c r="E499" s="3">
        <v>16</v>
      </c>
      <c r="F499" s="4" t="str">
        <f>HYPERLINK("http://141.218.60.56/~jnz1568/getInfo.php?workbook=20_10.xlsx&amp;sheet=U0&amp;row=499&amp;col=6&amp;number=4.5&amp;sourceID=14","4.5")</f>
        <v>4.5</v>
      </c>
      <c r="G499" s="4" t="str">
        <f>HYPERLINK("http://141.218.60.56/~jnz1568/getInfo.php?workbook=20_10.xlsx&amp;sheet=U0&amp;row=499&amp;col=7&amp;number=0.00724&amp;sourceID=14","0.00724")</f>
        <v>0.00724</v>
      </c>
    </row>
    <row r="500" spans="1:7">
      <c r="A500" s="3"/>
      <c r="B500" s="3"/>
      <c r="C500" s="3"/>
      <c r="D500" s="3"/>
      <c r="E500" s="3">
        <v>17</v>
      </c>
      <c r="F500" s="4" t="str">
        <f>HYPERLINK("http://141.218.60.56/~jnz1568/getInfo.php?workbook=20_10.xlsx&amp;sheet=U0&amp;row=500&amp;col=6&amp;number=4.6&amp;sourceID=14","4.6")</f>
        <v>4.6</v>
      </c>
      <c r="G500" s="4" t="str">
        <f>HYPERLINK("http://141.218.60.56/~jnz1568/getInfo.php?workbook=20_10.xlsx&amp;sheet=U0&amp;row=500&amp;col=7&amp;number=0.00723&amp;sourceID=14","0.00723")</f>
        <v>0.00723</v>
      </c>
    </row>
    <row r="501" spans="1:7">
      <c r="A501" s="3"/>
      <c r="B501" s="3"/>
      <c r="C501" s="3"/>
      <c r="D501" s="3"/>
      <c r="E501" s="3">
        <v>18</v>
      </c>
      <c r="F501" s="4" t="str">
        <f>HYPERLINK("http://141.218.60.56/~jnz1568/getInfo.php?workbook=20_10.xlsx&amp;sheet=U0&amp;row=501&amp;col=6&amp;number=4.7&amp;sourceID=14","4.7")</f>
        <v>4.7</v>
      </c>
      <c r="G501" s="4" t="str">
        <f>HYPERLINK("http://141.218.60.56/~jnz1568/getInfo.php?workbook=20_10.xlsx&amp;sheet=U0&amp;row=501&amp;col=7&amp;number=0.00722&amp;sourceID=14","0.00722")</f>
        <v>0.00722</v>
      </c>
    </row>
    <row r="502" spans="1:7">
      <c r="A502" s="3"/>
      <c r="B502" s="3"/>
      <c r="C502" s="3"/>
      <c r="D502" s="3"/>
      <c r="E502" s="3">
        <v>19</v>
      </c>
      <c r="F502" s="4" t="str">
        <f>HYPERLINK("http://141.218.60.56/~jnz1568/getInfo.php?workbook=20_10.xlsx&amp;sheet=U0&amp;row=502&amp;col=6&amp;number=4.8&amp;sourceID=14","4.8")</f>
        <v>4.8</v>
      </c>
      <c r="G502" s="4" t="str">
        <f>HYPERLINK("http://141.218.60.56/~jnz1568/getInfo.php?workbook=20_10.xlsx&amp;sheet=U0&amp;row=502&amp;col=7&amp;number=0.00721&amp;sourceID=14","0.00721")</f>
        <v>0.00721</v>
      </c>
    </row>
    <row r="503" spans="1:7">
      <c r="A503" s="3"/>
      <c r="B503" s="3"/>
      <c r="C503" s="3"/>
      <c r="D503" s="3"/>
      <c r="E503" s="3">
        <v>20</v>
      </c>
      <c r="F503" s="4" t="str">
        <f>HYPERLINK("http://141.218.60.56/~jnz1568/getInfo.php?workbook=20_10.xlsx&amp;sheet=U0&amp;row=503&amp;col=6&amp;number=4.9&amp;sourceID=14","4.9")</f>
        <v>4.9</v>
      </c>
      <c r="G503" s="4" t="str">
        <f>HYPERLINK("http://141.218.60.56/~jnz1568/getInfo.php?workbook=20_10.xlsx&amp;sheet=U0&amp;row=503&amp;col=7&amp;number=0.00719&amp;sourceID=14","0.00719")</f>
        <v>0.00719</v>
      </c>
    </row>
    <row r="504" spans="1:7">
      <c r="A504" s="3">
        <v>20</v>
      </c>
      <c r="B504" s="3">
        <v>10</v>
      </c>
      <c r="C504" s="3">
        <v>1</v>
      </c>
      <c r="D504" s="3">
        <v>27</v>
      </c>
      <c r="E504" s="3">
        <v>1</v>
      </c>
      <c r="F504" s="4" t="str">
        <f>HYPERLINK("http://141.218.60.56/~jnz1568/getInfo.php?workbook=20_10.xlsx&amp;sheet=U0&amp;row=504&amp;col=6&amp;number=3&amp;sourceID=14","3")</f>
        <v>3</v>
      </c>
      <c r="G504" s="4" t="str">
        <f>HYPERLINK("http://141.218.60.56/~jnz1568/getInfo.php?workbook=20_10.xlsx&amp;sheet=U0&amp;row=504&amp;col=7&amp;number=0.17&amp;sourceID=14","0.17")</f>
        <v>0.17</v>
      </c>
    </row>
    <row r="505" spans="1:7">
      <c r="A505" s="3"/>
      <c r="B505" s="3"/>
      <c r="C505" s="3"/>
      <c r="D505" s="3"/>
      <c r="E505" s="3">
        <v>2</v>
      </c>
      <c r="F505" s="4" t="str">
        <f>HYPERLINK("http://141.218.60.56/~jnz1568/getInfo.php?workbook=20_10.xlsx&amp;sheet=U0&amp;row=505&amp;col=6&amp;number=3.1&amp;sourceID=14","3.1")</f>
        <v>3.1</v>
      </c>
      <c r="G505" s="4" t="str">
        <f>HYPERLINK("http://141.218.60.56/~jnz1568/getInfo.php?workbook=20_10.xlsx&amp;sheet=U0&amp;row=505&amp;col=7&amp;number=0.17&amp;sourceID=14","0.17")</f>
        <v>0.17</v>
      </c>
    </row>
    <row r="506" spans="1:7">
      <c r="A506" s="3"/>
      <c r="B506" s="3"/>
      <c r="C506" s="3"/>
      <c r="D506" s="3"/>
      <c r="E506" s="3">
        <v>3</v>
      </c>
      <c r="F506" s="4" t="str">
        <f>HYPERLINK("http://141.218.60.56/~jnz1568/getInfo.php?workbook=20_10.xlsx&amp;sheet=U0&amp;row=506&amp;col=6&amp;number=3.2&amp;sourceID=14","3.2")</f>
        <v>3.2</v>
      </c>
      <c r="G506" s="4" t="str">
        <f>HYPERLINK("http://141.218.60.56/~jnz1568/getInfo.php?workbook=20_10.xlsx&amp;sheet=U0&amp;row=506&amp;col=7&amp;number=0.17&amp;sourceID=14","0.17")</f>
        <v>0.17</v>
      </c>
    </row>
    <row r="507" spans="1:7">
      <c r="A507" s="3"/>
      <c r="B507" s="3"/>
      <c r="C507" s="3"/>
      <c r="D507" s="3"/>
      <c r="E507" s="3">
        <v>4</v>
      </c>
      <c r="F507" s="4" t="str">
        <f>HYPERLINK("http://141.218.60.56/~jnz1568/getInfo.php?workbook=20_10.xlsx&amp;sheet=U0&amp;row=507&amp;col=6&amp;number=3.3&amp;sourceID=14","3.3")</f>
        <v>3.3</v>
      </c>
      <c r="G507" s="4" t="str">
        <f>HYPERLINK("http://141.218.60.56/~jnz1568/getInfo.php?workbook=20_10.xlsx&amp;sheet=U0&amp;row=507&amp;col=7&amp;number=0.17&amp;sourceID=14","0.17")</f>
        <v>0.17</v>
      </c>
    </row>
    <row r="508" spans="1:7">
      <c r="A508" s="3"/>
      <c r="B508" s="3"/>
      <c r="C508" s="3"/>
      <c r="D508" s="3"/>
      <c r="E508" s="3">
        <v>5</v>
      </c>
      <c r="F508" s="4" t="str">
        <f>HYPERLINK("http://141.218.60.56/~jnz1568/getInfo.php?workbook=20_10.xlsx&amp;sheet=U0&amp;row=508&amp;col=6&amp;number=3.4&amp;sourceID=14","3.4")</f>
        <v>3.4</v>
      </c>
      <c r="G508" s="4" t="str">
        <f>HYPERLINK("http://141.218.60.56/~jnz1568/getInfo.php?workbook=20_10.xlsx&amp;sheet=U0&amp;row=508&amp;col=7&amp;number=0.17&amp;sourceID=14","0.17")</f>
        <v>0.17</v>
      </c>
    </row>
    <row r="509" spans="1:7">
      <c r="A509" s="3"/>
      <c r="B509" s="3"/>
      <c r="C509" s="3"/>
      <c r="D509" s="3"/>
      <c r="E509" s="3">
        <v>6</v>
      </c>
      <c r="F509" s="4" t="str">
        <f>HYPERLINK("http://141.218.60.56/~jnz1568/getInfo.php?workbook=20_10.xlsx&amp;sheet=U0&amp;row=509&amp;col=6&amp;number=3.5&amp;sourceID=14","3.5")</f>
        <v>3.5</v>
      </c>
      <c r="G509" s="4" t="str">
        <f>HYPERLINK("http://141.218.60.56/~jnz1568/getInfo.php?workbook=20_10.xlsx&amp;sheet=U0&amp;row=509&amp;col=7&amp;number=0.17&amp;sourceID=14","0.17")</f>
        <v>0.17</v>
      </c>
    </row>
    <row r="510" spans="1:7">
      <c r="A510" s="3"/>
      <c r="B510" s="3"/>
      <c r="C510" s="3"/>
      <c r="D510" s="3"/>
      <c r="E510" s="3">
        <v>7</v>
      </c>
      <c r="F510" s="4" t="str">
        <f>HYPERLINK("http://141.218.60.56/~jnz1568/getInfo.php?workbook=20_10.xlsx&amp;sheet=U0&amp;row=510&amp;col=6&amp;number=3.6&amp;sourceID=14","3.6")</f>
        <v>3.6</v>
      </c>
      <c r="G510" s="4" t="str">
        <f>HYPERLINK("http://141.218.60.56/~jnz1568/getInfo.php?workbook=20_10.xlsx&amp;sheet=U0&amp;row=510&amp;col=7&amp;number=0.17&amp;sourceID=14","0.17")</f>
        <v>0.17</v>
      </c>
    </row>
    <row r="511" spans="1:7">
      <c r="A511" s="3"/>
      <c r="B511" s="3"/>
      <c r="C511" s="3"/>
      <c r="D511" s="3"/>
      <c r="E511" s="3">
        <v>8</v>
      </c>
      <c r="F511" s="4" t="str">
        <f>HYPERLINK("http://141.218.60.56/~jnz1568/getInfo.php?workbook=20_10.xlsx&amp;sheet=U0&amp;row=511&amp;col=6&amp;number=3.7&amp;sourceID=14","3.7")</f>
        <v>3.7</v>
      </c>
      <c r="G511" s="4" t="str">
        <f>HYPERLINK("http://141.218.60.56/~jnz1568/getInfo.php?workbook=20_10.xlsx&amp;sheet=U0&amp;row=511&amp;col=7&amp;number=0.17&amp;sourceID=14","0.17")</f>
        <v>0.17</v>
      </c>
    </row>
    <row r="512" spans="1:7">
      <c r="A512" s="3"/>
      <c r="B512" s="3"/>
      <c r="C512" s="3"/>
      <c r="D512" s="3"/>
      <c r="E512" s="3">
        <v>9</v>
      </c>
      <c r="F512" s="4" t="str">
        <f>HYPERLINK("http://141.218.60.56/~jnz1568/getInfo.php?workbook=20_10.xlsx&amp;sheet=U0&amp;row=512&amp;col=6&amp;number=3.8&amp;sourceID=14","3.8")</f>
        <v>3.8</v>
      </c>
      <c r="G512" s="4" t="str">
        <f>HYPERLINK("http://141.218.60.56/~jnz1568/getInfo.php?workbook=20_10.xlsx&amp;sheet=U0&amp;row=512&amp;col=7&amp;number=0.17&amp;sourceID=14","0.17")</f>
        <v>0.17</v>
      </c>
    </row>
    <row r="513" spans="1:7">
      <c r="A513" s="3"/>
      <c r="B513" s="3"/>
      <c r="C513" s="3"/>
      <c r="D513" s="3"/>
      <c r="E513" s="3">
        <v>10</v>
      </c>
      <c r="F513" s="4" t="str">
        <f>HYPERLINK("http://141.218.60.56/~jnz1568/getInfo.php?workbook=20_10.xlsx&amp;sheet=U0&amp;row=513&amp;col=6&amp;number=3.9&amp;sourceID=14","3.9")</f>
        <v>3.9</v>
      </c>
      <c r="G513" s="4" t="str">
        <f>HYPERLINK("http://141.218.60.56/~jnz1568/getInfo.php?workbook=20_10.xlsx&amp;sheet=U0&amp;row=513&amp;col=7&amp;number=0.17&amp;sourceID=14","0.17")</f>
        <v>0.17</v>
      </c>
    </row>
    <row r="514" spans="1:7">
      <c r="A514" s="3"/>
      <c r="B514" s="3"/>
      <c r="C514" s="3"/>
      <c r="D514" s="3"/>
      <c r="E514" s="3">
        <v>11</v>
      </c>
      <c r="F514" s="4" t="str">
        <f>HYPERLINK("http://141.218.60.56/~jnz1568/getInfo.php?workbook=20_10.xlsx&amp;sheet=U0&amp;row=514&amp;col=6&amp;number=4&amp;sourceID=14","4")</f>
        <v>4</v>
      </c>
      <c r="G514" s="4" t="str">
        <f>HYPERLINK("http://141.218.60.56/~jnz1568/getInfo.php?workbook=20_10.xlsx&amp;sheet=U0&amp;row=514&amp;col=7&amp;number=0.17&amp;sourceID=14","0.17")</f>
        <v>0.17</v>
      </c>
    </row>
    <row r="515" spans="1:7">
      <c r="A515" s="3"/>
      <c r="B515" s="3"/>
      <c r="C515" s="3"/>
      <c r="D515" s="3"/>
      <c r="E515" s="3">
        <v>12</v>
      </c>
      <c r="F515" s="4" t="str">
        <f>HYPERLINK("http://141.218.60.56/~jnz1568/getInfo.php?workbook=20_10.xlsx&amp;sheet=U0&amp;row=515&amp;col=6&amp;number=4.1&amp;sourceID=14","4.1")</f>
        <v>4.1</v>
      </c>
      <c r="G515" s="4" t="str">
        <f>HYPERLINK("http://141.218.60.56/~jnz1568/getInfo.php?workbook=20_10.xlsx&amp;sheet=U0&amp;row=515&amp;col=7&amp;number=0.171&amp;sourceID=14","0.171")</f>
        <v>0.171</v>
      </c>
    </row>
    <row r="516" spans="1:7">
      <c r="A516" s="3"/>
      <c r="B516" s="3"/>
      <c r="C516" s="3"/>
      <c r="D516" s="3"/>
      <c r="E516" s="3">
        <v>13</v>
      </c>
      <c r="F516" s="4" t="str">
        <f>HYPERLINK("http://141.218.60.56/~jnz1568/getInfo.php?workbook=20_10.xlsx&amp;sheet=U0&amp;row=516&amp;col=6&amp;number=4.2&amp;sourceID=14","4.2")</f>
        <v>4.2</v>
      </c>
      <c r="G516" s="4" t="str">
        <f>HYPERLINK("http://141.218.60.56/~jnz1568/getInfo.php?workbook=20_10.xlsx&amp;sheet=U0&amp;row=516&amp;col=7&amp;number=0.171&amp;sourceID=14","0.171")</f>
        <v>0.171</v>
      </c>
    </row>
    <row r="517" spans="1:7">
      <c r="A517" s="3"/>
      <c r="B517" s="3"/>
      <c r="C517" s="3"/>
      <c r="D517" s="3"/>
      <c r="E517" s="3">
        <v>14</v>
      </c>
      <c r="F517" s="4" t="str">
        <f>HYPERLINK("http://141.218.60.56/~jnz1568/getInfo.php?workbook=20_10.xlsx&amp;sheet=U0&amp;row=517&amp;col=6&amp;number=4.3&amp;sourceID=14","4.3")</f>
        <v>4.3</v>
      </c>
      <c r="G517" s="4" t="str">
        <f>HYPERLINK("http://141.218.60.56/~jnz1568/getInfo.php?workbook=20_10.xlsx&amp;sheet=U0&amp;row=517&amp;col=7&amp;number=0.171&amp;sourceID=14","0.171")</f>
        <v>0.171</v>
      </c>
    </row>
    <row r="518" spans="1:7">
      <c r="A518" s="3"/>
      <c r="B518" s="3"/>
      <c r="C518" s="3"/>
      <c r="D518" s="3"/>
      <c r="E518" s="3">
        <v>15</v>
      </c>
      <c r="F518" s="4" t="str">
        <f>HYPERLINK("http://141.218.60.56/~jnz1568/getInfo.php?workbook=20_10.xlsx&amp;sheet=U0&amp;row=518&amp;col=6&amp;number=4.4&amp;sourceID=14","4.4")</f>
        <v>4.4</v>
      </c>
      <c r="G518" s="4" t="str">
        <f>HYPERLINK("http://141.218.60.56/~jnz1568/getInfo.php?workbook=20_10.xlsx&amp;sheet=U0&amp;row=518&amp;col=7&amp;number=0.171&amp;sourceID=14","0.171")</f>
        <v>0.171</v>
      </c>
    </row>
    <row r="519" spans="1:7">
      <c r="A519" s="3"/>
      <c r="B519" s="3"/>
      <c r="C519" s="3"/>
      <c r="D519" s="3"/>
      <c r="E519" s="3">
        <v>16</v>
      </c>
      <c r="F519" s="4" t="str">
        <f>HYPERLINK("http://141.218.60.56/~jnz1568/getInfo.php?workbook=20_10.xlsx&amp;sheet=U0&amp;row=519&amp;col=6&amp;number=4.5&amp;sourceID=14","4.5")</f>
        <v>4.5</v>
      </c>
      <c r="G519" s="4" t="str">
        <f>HYPERLINK("http://141.218.60.56/~jnz1568/getInfo.php?workbook=20_10.xlsx&amp;sheet=U0&amp;row=519&amp;col=7&amp;number=0.171&amp;sourceID=14","0.171")</f>
        <v>0.171</v>
      </c>
    </row>
    <row r="520" spans="1:7">
      <c r="A520" s="3"/>
      <c r="B520" s="3"/>
      <c r="C520" s="3"/>
      <c r="D520" s="3"/>
      <c r="E520" s="3">
        <v>17</v>
      </c>
      <c r="F520" s="4" t="str">
        <f>HYPERLINK("http://141.218.60.56/~jnz1568/getInfo.php?workbook=20_10.xlsx&amp;sheet=U0&amp;row=520&amp;col=6&amp;number=4.6&amp;sourceID=14","4.6")</f>
        <v>4.6</v>
      </c>
      <c r="G520" s="4" t="str">
        <f>HYPERLINK("http://141.218.60.56/~jnz1568/getInfo.php?workbook=20_10.xlsx&amp;sheet=U0&amp;row=520&amp;col=7&amp;number=0.171&amp;sourceID=14","0.171")</f>
        <v>0.171</v>
      </c>
    </row>
    <row r="521" spans="1:7">
      <c r="A521" s="3"/>
      <c r="B521" s="3"/>
      <c r="C521" s="3"/>
      <c r="D521" s="3"/>
      <c r="E521" s="3">
        <v>18</v>
      </c>
      <c r="F521" s="4" t="str">
        <f>HYPERLINK("http://141.218.60.56/~jnz1568/getInfo.php?workbook=20_10.xlsx&amp;sheet=U0&amp;row=521&amp;col=6&amp;number=4.7&amp;sourceID=14","4.7")</f>
        <v>4.7</v>
      </c>
      <c r="G521" s="4" t="str">
        <f>HYPERLINK("http://141.218.60.56/~jnz1568/getInfo.php?workbook=20_10.xlsx&amp;sheet=U0&amp;row=521&amp;col=7&amp;number=0.171&amp;sourceID=14","0.171")</f>
        <v>0.171</v>
      </c>
    </row>
    <row r="522" spans="1:7">
      <c r="A522" s="3"/>
      <c r="B522" s="3"/>
      <c r="C522" s="3"/>
      <c r="D522" s="3"/>
      <c r="E522" s="3">
        <v>19</v>
      </c>
      <c r="F522" s="4" t="str">
        <f>HYPERLINK("http://141.218.60.56/~jnz1568/getInfo.php?workbook=20_10.xlsx&amp;sheet=U0&amp;row=522&amp;col=6&amp;number=4.8&amp;sourceID=14","4.8")</f>
        <v>4.8</v>
      </c>
      <c r="G522" s="4" t="str">
        <f>HYPERLINK("http://141.218.60.56/~jnz1568/getInfo.php?workbook=20_10.xlsx&amp;sheet=U0&amp;row=522&amp;col=7&amp;number=0.172&amp;sourceID=14","0.172")</f>
        <v>0.172</v>
      </c>
    </row>
    <row r="523" spans="1:7">
      <c r="A523" s="3"/>
      <c r="B523" s="3"/>
      <c r="C523" s="3"/>
      <c r="D523" s="3"/>
      <c r="E523" s="3">
        <v>20</v>
      </c>
      <c r="F523" s="4" t="str">
        <f>HYPERLINK("http://141.218.60.56/~jnz1568/getInfo.php?workbook=20_10.xlsx&amp;sheet=U0&amp;row=523&amp;col=6&amp;number=4.9&amp;sourceID=14","4.9")</f>
        <v>4.9</v>
      </c>
      <c r="G523" s="4" t="str">
        <f>HYPERLINK("http://141.218.60.56/~jnz1568/getInfo.php?workbook=20_10.xlsx&amp;sheet=U0&amp;row=523&amp;col=7&amp;number=0.172&amp;sourceID=14","0.172")</f>
        <v>0.172</v>
      </c>
    </row>
    <row r="524" spans="1:7">
      <c r="A524" s="3">
        <v>20</v>
      </c>
      <c r="B524" s="3">
        <v>10</v>
      </c>
      <c r="C524" s="3">
        <v>1</v>
      </c>
      <c r="D524" s="3">
        <v>28</v>
      </c>
      <c r="E524" s="3">
        <v>1</v>
      </c>
      <c r="F524" s="4" t="str">
        <f>HYPERLINK("http://141.218.60.56/~jnz1568/getInfo.php?workbook=20_10.xlsx&amp;sheet=U0&amp;row=524&amp;col=6&amp;number=3&amp;sourceID=14","3")</f>
        <v>3</v>
      </c>
      <c r="G524" s="4" t="str">
        <f>HYPERLINK("http://141.218.60.56/~jnz1568/getInfo.php?workbook=20_10.xlsx&amp;sheet=U0&amp;row=524&amp;col=7&amp;number=0.00254&amp;sourceID=14","0.00254")</f>
        <v>0.00254</v>
      </c>
    </row>
    <row r="525" spans="1:7">
      <c r="A525" s="3"/>
      <c r="B525" s="3"/>
      <c r="C525" s="3"/>
      <c r="D525" s="3"/>
      <c r="E525" s="3">
        <v>2</v>
      </c>
      <c r="F525" s="4" t="str">
        <f>HYPERLINK("http://141.218.60.56/~jnz1568/getInfo.php?workbook=20_10.xlsx&amp;sheet=U0&amp;row=525&amp;col=6&amp;number=3.1&amp;sourceID=14","3.1")</f>
        <v>3.1</v>
      </c>
      <c r="G525" s="4" t="str">
        <f>HYPERLINK("http://141.218.60.56/~jnz1568/getInfo.php?workbook=20_10.xlsx&amp;sheet=U0&amp;row=525&amp;col=7&amp;number=0.00254&amp;sourceID=14","0.00254")</f>
        <v>0.00254</v>
      </c>
    </row>
    <row r="526" spans="1:7">
      <c r="A526" s="3"/>
      <c r="B526" s="3"/>
      <c r="C526" s="3"/>
      <c r="D526" s="3"/>
      <c r="E526" s="3">
        <v>3</v>
      </c>
      <c r="F526" s="4" t="str">
        <f>HYPERLINK("http://141.218.60.56/~jnz1568/getInfo.php?workbook=20_10.xlsx&amp;sheet=U0&amp;row=526&amp;col=6&amp;number=3.2&amp;sourceID=14","3.2")</f>
        <v>3.2</v>
      </c>
      <c r="G526" s="4" t="str">
        <f>HYPERLINK("http://141.218.60.56/~jnz1568/getInfo.php?workbook=20_10.xlsx&amp;sheet=U0&amp;row=526&amp;col=7&amp;number=0.00254&amp;sourceID=14","0.00254")</f>
        <v>0.00254</v>
      </c>
    </row>
    <row r="527" spans="1:7">
      <c r="A527" s="3"/>
      <c r="B527" s="3"/>
      <c r="C527" s="3"/>
      <c r="D527" s="3"/>
      <c r="E527" s="3">
        <v>4</v>
      </c>
      <c r="F527" s="4" t="str">
        <f>HYPERLINK("http://141.218.60.56/~jnz1568/getInfo.php?workbook=20_10.xlsx&amp;sheet=U0&amp;row=527&amp;col=6&amp;number=3.3&amp;sourceID=14","3.3")</f>
        <v>3.3</v>
      </c>
      <c r="G527" s="4" t="str">
        <f>HYPERLINK("http://141.218.60.56/~jnz1568/getInfo.php?workbook=20_10.xlsx&amp;sheet=U0&amp;row=527&amp;col=7&amp;number=0.00254&amp;sourceID=14","0.00254")</f>
        <v>0.00254</v>
      </c>
    </row>
    <row r="528" spans="1:7">
      <c r="A528" s="3"/>
      <c r="B528" s="3"/>
      <c r="C528" s="3"/>
      <c r="D528" s="3"/>
      <c r="E528" s="3">
        <v>5</v>
      </c>
      <c r="F528" s="4" t="str">
        <f>HYPERLINK("http://141.218.60.56/~jnz1568/getInfo.php?workbook=20_10.xlsx&amp;sheet=U0&amp;row=528&amp;col=6&amp;number=3.4&amp;sourceID=14","3.4")</f>
        <v>3.4</v>
      </c>
      <c r="G528" s="4" t="str">
        <f>HYPERLINK("http://141.218.60.56/~jnz1568/getInfo.php?workbook=20_10.xlsx&amp;sheet=U0&amp;row=528&amp;col=7&amp;number=0.00254&amp;sourceID=14","0.00254")</f>
        <v>0.00254</v>
      </c>
    </row>
    <row r="529" spans="1:7">
      <c r="A529" s="3"/>
      <c r="B529" s="3"/>
      <c r="C529" s="3"/>
      <c r="D529" s="3"/>
      <c r="E529" s="3">
        <v>6</v>
      </c>
      <c r="F529" s="4" t="str">
        <f>HYPERLINK("http://141.218.60.56/~jnz1568/getInfo.php?workbook=20_10.xlsx&amp;sheet=U0&amp;row=529&amp;col=6&amp;number=3.5&amp;sourceID=14","3.5")</f>
        <v>3.5</v>
      </c>
      <c r="G529" s="4" t="str">
        <f>HYPERLINK("http://141.218.60.56/~jnz1568/getInfo.php?workbook=20_10.xlsx&amp;sheet=U0&amp;row=529&amp;col=7&amp;number=0.00254&amp;sourceID=14","0.00254")</f>
        <v>0.00254</v>
      </c>
    </row>
    <row r="530" spans="1:7">
      <c r="A530" s="3"/>
      <c r="B530" s="3"/>
      <c r="C530" s="3"/>
      <c r="D530" s="3"/>
      <c r="E530" s="3">
        <v>7</v>
      </c>
      <c r="F530" s="4" t="str">
        <f>HYPERLINK("http://141.218.60.56/~jnz1568/getInfo.php?workbook=20_10.xlsx&amp;sheet=U0&amp;row=530&amp;col=6&amp;number=3.6&amp;sourceID=14","3.6")</f>
        <v>3.6</v>
      </c>
      <c r="G530" s="4" t="str">
        <f>HYPERLINK("http://141.218.60.56/~jnz1568/getInfo.php?workbook=20_10.xlsx&amp;sheet=U0&amp;row=530&amp;col=7&amp;number=0.00254&amp;sourceID=14","0.00254")</f>
        <v>0.00254</v>
      </c>
    </row>
    <row r="531" spans="1:7">
      <c r="A531" s="3"/>
      <c r="B531" s="3"/>
      <c r="C531" s="3"/>
      <c r="D531" s="3"/>
      <c r="E531" s="3">
        <v>8</v>
      </c>
      <c r="F531" s="4" t="str">
        <f>HYPERLINK("http://141.218.60.56/~jnz1568/getInfo.php?workbook=20_10.xlsx&amp;sheet=U0&amp;row=531&amp;col=6&amp;number=3.7&amp;sourceID=14","3.7")</f>
        <v>3.7</v>
      </c>
      <c r="G531" s="4" t="str">
        <f>HYPERLINK("http://141.218.60.56/~jnz1568/getInfo.php?workbook=20_10.xlsx&amp;sheet=U0&amp;row=531&amp;col=7&amp;number=0.00253&amp;sourceID=14","0.00253")</f>
        <v>0.00253</v>
      </c>
    </row>
    <row r="532" spans="1:7">
      <c r="A532" s="3"/>
      <c r="B532" s="3"/>
      <c r="C532" s="3"/>
      <c r="D532" s="3"/>
      <c r="E532" s="3">
        <v>9</v>
      </c>
      <c r="F532" s="4" t="str">
        <f>HYPERLINK("http://141.218.60.56/~jnz1568/getInfo.php?workbook=20_10.xlsx&amp;sheet=U0&amp;row=532&amp;col=6&amp;number=3.8&amp;sourceID=14","3.8")</f>
        <v>3.8</v>
      </c>
      <c r="G532" s="4" t="str">
        <f>HYPERLINK("http://141.218.60.56/~jnz1568/getInfo.php?workbook=20_10.xlsx&amp;sheet=U0&amp;row=532&amp;col=7&amp;number=0.00253&amp;sourceID=14","0.00253")</f>
        <v>0.00253</v>
      </c>
    </row>
    <row r="533" spans="1:7">
      <c r="A533" s="3"/>
      <c r="B533" s="3"/>
      <c r="C533" s="3"/>
      <c r="D533" s="3"/>
      <c r="E533" s="3">
        <v>10</v>
      </c>
      <c r="F533" s="4" t="str">
        <f>HYPERLINK("http://141.218.60.56/~jnz1568/getInfo.php?workbook=20_10.xlsx&amp;sheet=U0&amp;row=533&amp;col=6&amp;number=3.9&amp;sourceID=14","3.9")</f>
        <v>3.9</v>
      </c>
      <c r="G533" s="4" t="str">
        <f>HYPERLINK("http://141.218.60.56/~jnz1568/getInfo.php?workbook=20_10.xlsx&amp;sheet=U0&amp;row=533&amp;col=7&amp;number=0.00253&amp;sourceID=14","0.00253")</f>
        <v>0.00253</v>
      </c>
    </row>
    <row r="534" spans="1:7">
      <c r="A534" s="3"/>
      <c r="B534" s="3"/>
      <c r="C534" s="3"/>
      <c r="D534" s="3"/>
      <c r="E534" s="3">
        <v>11</v>
      </c>
      <c r="F534" s="4" t="str">
        <f>HYPERLINK("http://141.218.60.56/~jnz1568/getInfo.php?workbook=20_10.xlsx&amp;sheet=U0&amp;row=534&amp;col=6&amp;number=4&amp;sourceID=14","4")</f>
        <v>4</v>
      </c>
      <c r="G534" s="4" t="str">
        <f>HYPERLINK("http://141.218.60.56/~jnz1568/getInfo.php?workbook=20_10.xlsx&amp;sheet=U0&amp;row=534&amp;col=7&amp;number=0.00253&amp;sourceID=14","0.00253")</f>
        <v>0.00253</v>
      </c>
    </row>
    <row r="535" spans="1:7">
      <c r="A535" s="3"/>
      <c r="B535" s="3"/>
      <c r="C535" s="3"/>
      <c r="D535" s="3"/>
      <c r="E535" s="3">
        <v>12</v>
      </c>
      <c r="F535" s="4" t="str">
        <f>HYPERLINK("http://141.218.60.56/~jnz1568/getInfo.php?workbook=20_10.xlsx&amp;sheet=U0&amp;row=535&amp;col=6&amp;number=4.1&amp;sourceID=14","4.1")</f>
        <v>4.1</v>
      </c>
      <c r="G535" s="4" t="str">
        <f>HYPERLINK("http://141.218.60.56/~jnz1568/getInfo.php?workbook=20_10.xlsx&amp;sheet=U0&amp;row=535&amp;col=7&amp;number=0.00253&amp;sourceID=14","0.00253")</f>
        <v>0.00253</v>
      </c>
    </row>
    <row r="536" spans="1:7">
      <c r="A536" s="3"/>
      <c r="B536" s="3"/>
      <c r="C536" s="3"/>
      <c r="D536" s="3"/>
      <c r="E536" s="3">
        <v>13</v>
      </c>
      <c r="F536" s="4" t="str">
        <f>HYPERLINK("http://141.218.60.56/~jnz1568/getInfo.php?workbook=20_10.xlsx&amp;sheet=U0&amp;row=536&amp;col=6&amp;number=4.2&amp;sourceID=14","4.2")</f>
        <v>4.2</v>
      </c>
      <c r="G536" s="4" t="str">
        <f>HYPERLINK("http://141.218.60.56/~jnz1568/getInfo.php?workbook=20_10.xlsx&amp;sheet=U0&amp;row=536&amp;col=7&amp;number=0.00253&amp;sourceID=14","0.00253")</f>
        <v>0.00253</v>
      </c>
    </row>
    <row r="537" spans="1:7">
      <c r="A537" s="3"/>
      <c r="B537" s="3"/>
      <c r="C537" s="3"/>
      <c r="D537" s="3"/>
      <c r="E537" s="3">
        <v>14</v>
      </c>
      <c r="F537" s="4" t="str">
        <f>HYPERLINK("http://141.218.60.56/~jnz1568/getInfo.php?workbook=20_10.xlsx&amp;sheet=U0&amp;row=537&amp;col=6&amp;number=4.3&amp;sourceID=14","4.3")</f>
        <v>4.3</v>
      </c>
      <c r="G537" s="4" t="str">
        <f>HYPERLINK("http://141.218.60.56/~jnz1568/getInfo.php?workbook=20_10.xlsx&amp;sheet=U0&amp;row=537&amp;col=7&amp;number=0.00253&amp;sourceID=14","0.00253")</f>
        <v>0.00253</v>
      </c>
    </row>
    <row r="538" spans="1:7">
      <c r="A538" s="3"/>
      <c r="B538" s="3"/>
      <c r="C538" s="3"/>
      <c r="D538" s="3"/>
      <c r="E538" s="3">
        <v>15</v>
      </c>
      <c r="F538" s="4" t="str">
        <f>HYPERLINK("http://141.218.60.56/~jnz1568/getInfo.php?workbook=20_10.xlsx&amp;sheet=U0&amp;row=538&amp;col=6&amp;number=4.4&amp;sourceID=14","4.4")</f>
        <v>4.4</v>
      </c>
      <c r="G538" s="4" t="str">
        <f>HYPERLINK("http://141.218.60.56/~jnz1568/getInfo.php?workbook=20_10.xlsx&amp;sheet=U0&amp;row=538&amp;col=7&amp;number=0.00252&amp;sourceID=14","0.00252")</f>
        <v>0.00252</v>
      </c>
    </row>
    <row r="539" spans="1:7">
      <c r="A539" s="3"/>
      <c r="B539" s="3"/>
      <c r="C539" s="3"/>
      <c r="D539" s="3"/>
      <c r="E539" s="3">
        <v>16</v>
      </c>
      <c r="F539" s="4" t="str">
        <f>HYPERLINK("http://141.218.60.56/~jnz1568/getInfo.php?workbook=20_10.xlsx&amp;sheet=U0&amp;row=539&amp;col=6&amp;number=4.5&amp;sourceID=14","4.5")</f>
        <v>4.5</v>
      </c>
      <c r="G539" s="4" t="str">
        <f>HYPERLINK("http://141.218.60.56/~jnz1568/getInfo.php?workbook=20_10.xlsx&amp;sheet=U0&amp;row=539&amp;col=7&amp;number=0.00252&amp;sourceID=14","0.00252")</f>
        <v>0.00252</v>
      </c>
    </row>
    <row r="540" spans="1:7">
      <c r="A540" s="3"/>
      <c r="B540" s="3"/>
      <c r="C540" s="3"/>
      <c r="D540" s="3"/>
      <c r="E540" s="3">
        <v>17</v>
      </c>
      <c r="F540" s="4" t="str">
        <f>HYPERLINK("http://141.218.60.56/~jnz1568/getInfo.php?workbook=20_10.xlsx&amp;sheet=U0&amp;row=540&amp;col=6&amp;number=4.6&amp;sourceID=14","4.6")</f>
        <v>4.6</v>
      </c>
      <c r="G540" s="4" t="str">
        <f>HYPERLINK("http://141.218.60.56/~jnz1568/getInfo.php?workbook=20_10.xlsx&amp;sheet=U0&amp;row=540&amp;col=7&amp;number=0.00252&amp;sourceID=14","0.00252")</f>
        <v>0.00252</v>
      </c>
    </row>
    <row r="541" spans="1:7">
      <c r="A541" s="3"/>
      <c r="B541" s="3"/>
      <c r="C541" s="3"/>
      <c r="D541" s="3"/>
      <c r="E541" s="3">
        <v>18</v>
      </c>
      <c r="F541" s="4" t="str">
        <f>HYPERLINK("http://141.218.60.56/~jnz1568/getInfo.php?workbook=20_10.xlsx&amp;sheet=U0&amp;row=541&amp;col=6&amp;number=4.7&amp;sourceID=14","4.7")</f>
        <v>4.7</v>
      </c>
      <c r="G541" s="4" t="str">
        <f>HYPERLINK("http://141.218.60.56/~jnz1568/getInfo.php?workbook=20_10.xlsx&amp;sheet=U0&amp;row=541&amp;col=7&amp;number=0.00251&amp;sourceID=14","0.00251")</f>
        <v>0.00251</v>
      </c>
    </row>
    <row r="542" spans="1:7">
      <c r="A542" s="3"/>
      <c r="B542" s="3"/>
      <c r="C542" s="3"/>
      <c r="D542" s="3"/>
      <c r="E542" s="3">
        <v>19</v>
      </c>
      <c r="F542" s="4" t="str">
        <f>HYPERLINK("http://141.218.60.56/~jnz1568/getInfo.php?workbook=20_10.xlsx&amp;sheet=U0&amp;row=542&amp;col=6&amp;number=4.8&amp;sourceID=14","4.8")</f>
        <v>4.8</v>
      </c>
      <c r="G542" s="4" t="str">
        <f>HYPERLINK("http://141.218.60.56/~jnz1568/getInfo.php?workbook=20_10.xlsx&amp;sheet=U0&amp;row=542&amp;col=7&amp;number=0.00251&amp;sourceID=14","0.00251")</f>
        <v>0.00251</v>
      </c>
    </row>
    <row r="543" spans="1:7">
      <c r="A543" s="3"/>
      <c r="B543" s="3"/>
      <c r="C543" s="3"/>
      <c r="D543" s="3"/>
      <c r="E543" s="3">
        <v>20</v>
      </c>
      <c r="F543" s="4" t="str">
        <f>HYPERLINK("http://141.218.60.56/~jnz1568/getInfo.php?workbook=20_10.xlsx&amp;sheet=U0&amp;row=543&amp;col=6&amp;number=4.9&amp;sourceID=14","4.9")</f>
        <v>4.9</v>
      </c>
      <c r="G543" s="4" t="str">
        <f>HYPERLINK("http://141.218.60.56/~jnz1568/getInfo.php?workbook=20_10.xlsx&amp;sheet=U0&amp;row=543&amp;col=7&amp;number=0.0025&amp;sourceID=14","0.0025")</f>
        <v>0.0025</v>
      </c>
    </row>
    <row r="544" spans="1:7">
      <c r="A544" s="3">
        <v>20</v>
      </c>
      <c r="B544" s="3">
        <v>10</v>
      </c>
      <c r="C544" s="3">
        <v>1</v>
      </c>
      <c r="D544" s="3">
        <v>29</v>
      </c>
      <c r="E544" s="3">
        <v>1</v>
      </c>
      <c r="F544" s="4" t="str">
        <f>HYPERLINK("http://141.218.60.56/~jnz1568/getInfo.php?workbook=20_10.xlsx&amp;sheet=U0&amp;row=544&amp;col=6&amp;number=3&amp;sourceID=14","3")</f>
        <v>3</v>
      </c>
      <c r="G544" s="4" t="str">
        <f>HYPERLINK("http://141.218.60.56/~jnz1568/getInfo.php?workbook=20_10.xlsx&amp;sheet=U0&amp;row=544&amp;col=7&amp;number=0.0289&amp;sourceID=14","0.0289")</f>
        <v>0.0289</v>
      </c>
    </row>
    <row r="545" spans="1:7">
      <c r="A545" s="3"/>
      <c r="B545" s="3"/>
      <c r="C545" s="3"/>
      <c r="D545" s="3"/>
      <c r="E545" s="3">
        <v>2</v>
      </c>
      <c r="F545" s="4" t="str">
        <f>HYPERLINK("http://141.218.60.56/~jnz1568/getInfo.php?workbook=20_10.xlsx&amp;sheet=U0&amp;row=545&amp;col=6&amp;number=3.1&amp;sourceID=14","3.1")</f>
        <v>3.1</v>
      </c>
      <c r="G545" s="4" t="str">
        <f>HYPERLINK("http://141.218.60.56/~jnz1568/getInfo.php?workbook=20_10.xlsx&amp;sheet=U0&amp;row=545&amp;col=7&amp;number=0.0289&amp;sourceID=14","0.0289")</f>
        <v>0.0289</v>
      </c>
    </row>
    <row r="546" spans="1:7">
      <c r="A546" s="3"/>
      <c r="B546" s="3"/>
      <c r="C546" s="3"/>
      <c r="D546" s="3"/>
      <c r="E546" s="3">
        <v>3</v>
      </c>
      <c r="F546" s="4" t="str">
        <f>HYPERLINK("http://141.218.60.56/~jnz1568/getInfo.php?workbook=20_10.xlsx&amp;sheet=U0&amp;row=546&amp;col=6&amp;number=3.2&amp;sourceID=14","3.2")</f>
        <v>3.2</v>
      </c>
      <c r="G546" s="4" t="str">
        <f>HYPERLINK("http://141.218.60.56/~jnz1568/getInfo.php?workbook=20_10.xlsx&amp;sheet=U0&amp;row=546&amp;col=7&amp;number=0.0289&amp;sourceID=14","0.0289")</f>
        <v>0.0289</v>
      </c>
    </row>
    <row r="547" spans="1:7">
      <c r="A547" s="3"/>
      <c r="B547" s="3"/>
      <c r="C547" s="3"/>
      <c r="D547" s="3"/>
      <c r="E547" s="3">
        <v>4</v>
      </c>
      <c r="F547" s="4" t="str">
        <f>HYPERLINK("http://141.218.60.56/~jnz1568/getInfo.php?workbook=20_10.xlsx&amp;sheet=U0&amp;row=547&amp;col=6&amp;number=3.3&amp;sourceID=14","3.3")</f>
        <v>3.3</v>
      </c>
      <c r="G547" s="4" t="str">
        <f>HYPERLINK("http://141.218.60.56/~jnz1568/getInfo.php?workbook=20_10.xlsx&amp;sheet=U0&amp;row=547&amp;col=7&amp;number=0.0289&amp;sourceID=14","0.0289")</f>
        <v>0.0289</v>
      </c>
    </row>
    <row r="548" spans="1:7">
      <c r="A548" s="3"/>
      <c r="B548" s="3"/>
      <c r="C548" s="3"/>
      <c r="D548" s="3"/>
      <c r="E548" s="3">
        <v>5</v>
      </c>
      <c r="F548" s="4" t="str">
        <f>HYPERLINK("http://141.218.60.56/~jnz1568/getInfo.php?workbook=20_10.xlsx&amp;sheet=U0&amp;row=548&amp;col=6&amp;number=3.4&amp;sourceID=14","3.4")</f>
        <v>3.4</v>
      </c>
      <c r="G548" s="4" t="str">
        <f>HYPERLINK("http://141.218.60.56/~jnz1568/getInfo.php?workbook=20_10.xlsx&amp;sheet=U0&amp;row=548&amp;col=7&amp;number=0.0289&amp;sourceID=14","0.0289")</f>
        <v>0.0289</v>
      </c>
    </row>
    <row r="549" spans="1:7">
      <c r="A549" s="3"/>
      <c r="B549" s="3"/>
      <c r="C549" s="3"/>
      <c r="D549" s="3"/>
      <c r="E549" s="3">
        <v>6</v>
      </c>
      <c r="F549" s="4" t="str">
        <f>HYPERLINK("http://141.218.60.56/~jnz1568/getInfo.php?workbook=20_10.xlsx&amp;sheet=U0&amp;row=549&amp;col=6&amp;number=3.5&amp;sourceID=14","3.5")</f>
        <v>3.5</v>
      </c>
      <c r="G549" s="4" t="str">
        <f>HYPERLINK("http://141.218.60.56/~jnz1568/getInfo.php?workbook=20_10.xlsx&amp;sheet=U0&amp;row=549&amp;col=7&amp;number=0.0289&amp;sourceID=14","0.0289")</f>
        <v>0.0289</v>
      </c>
    </row>
    <row r="550" spans="1:7">
      <c r="A550" s="3"/>
      <c r="B550" s="3"/>
      <c r="C550" s="3"/>
      <c r="D550" s="3"/>
      <c r="E550" s="3">
        <v>7</v>
      </c>
      <c r="F550" s="4" t="str">
        <f>HYPERLINK("http://141.218.60.56/~jnz1568/getInfo.php?workbook=20_10.xlsx&amp;sheet=U0&amp;row=550&amp;col=6&amp;number=3.6&amp;sourceID=14","3.6")</f>
        <v>3.6</v>
      </c>
      <c r="G550" s="4" t="str">
        <f>HYPERLINK("http://141.218.60.56/~jnz1568/getInfo.php?workbook=20_10.xlsx&amp;sheet=U0&amp;row=550&amp;col=7&amp;number=0.0289&amp;sourceID=14","0.0289")</f>
        <v>0.0289</v>
      </c>
    </row>
    <row r="551" spans="1:7">
      <c r="A551" s="3"/>
      <c r="B551" s="3"/>
      <c r="C551" s="3"/>
      <c r="D551" s="3"/>
      <c r="E551" s="3">
        <v>8</v>
      </c>
      <c r="F551" s="4" t="str">
        <f>HYPERLINK("http://141.218.60.56/~jnz1568/getInfo.php?workbook=20_10.xlsx&amp;sheet=U0&amp;row=551&amp;col=6&amp;number=3.7&amp;sourceID=14","3.7")</f>
        <v>3.7</v>
      </c>
      <c r="G551" s="4" t="str">
        <f>HYPERLINK("http://141.218.60.56/~jnz1568/getInfo.php?workbook=20_10.xlsx&amp;sheet=U0&amp;row=551&amp;col=7&amp;number=0.0289&amp;sourceID=14","0.0289")</f>
        <v>0.0289</v>
      </c>
    </row>
    <row r="552" spans="1:7">
      <c r="A552" s="3"/>
      <c r="B552" s="3"/>
      <c r="C552" s="3"/>
      <c r="D552" s="3"/>
      <c r="E552" s="3">
        <v>9</v>
      </c>
      <c r="F552" s="4" t="str">
        <f>HYPERLINK("http://141.218.60.56/~jnz1568/getInfo.php?workbook=20_10.xlsx&amp;sheet=U0&amp;row=552&amp;col=6&amp;number=3.8&amp;sourceID=14","3.8")</f>
        <v>3.8</v>
      </c>
      <c r="G552" s="4" t="str">
        <f>HYPERLINK("http://141.218.60.56/~jnz1568/getInfo.php?workbook=20_10.xlsx&amp;sheet=U0&amp;row=552&amp;col=7&amp;number=0.0289&amp;sourceID=14","0.0289")</f>
        <v>0.0289</v>
      </c>
    </row>
    <row r="553" spans="1:7">
      <c r="A553" s="3"/>
      <c r="B553" s="3"/>
      <c r="C553" s="3"/>
      <c r="D553" s="3"/>
      <c r="E553" s="3">
        <v>10</v>
      </c>
      <c r="F553" s="4" t="str">
        <f>HYPERLINK("http://141.218.60.56/~jnz1568/getInfo.php?workbook=20_10.xlsx&amp;sheet=U0&amp;row=553&amp;col=6&amp;number=3.9&amp;sourceID=14","3.9")</f>
        <v>3.9</v>
      </c>
      <c r="G553" s="4" t="str">
        <f>HYPERLINK("http://141.218.60.56/~jnz1568/getInfo.php?workbook=20_10.xlsx&amp;sheet=U0&amp;row=553&amp;col=7&amp;number=0.0289&amp;sourceID=14","0.0289")</f>
        <v>0.0289</v>
      </c>
    </row>
    <row r="554" spans="1:7">
      <c r="A554" s="3"/>
      <c r="B554" s="3"/>
      <c r="C554" s="3"/>
      <c r="D554" s="3"/>
      <c r="E554" s="3">
        <v>11</v>
      </c>
      <c r="F554" s="4" t="str">
        <f>HYPERLINK("http://141.218.60.56/~jnz1568/getInfo.php?workbook=20_10.xlsx&amp;sheet=U0&amp;row=554&amp;col=6&amp;number=4&amp;sourceID=14","4")</f>
        <v>4</v>
      </c>
      <c r="G554" s="4" t="str">
        <f>HYPERLINK("http://141.218.60.56/~jnz1568/getInfo.php?workbook=20_10.xlsx&amp;sheet=U0&amp;row=554&amp;col=7&amp;number=0.0289&amp;sourceID=14","0.0289")</f>
        <v>0.0289</v>
      </c>
    </row>
    <row r="555" spans="1:7">
      <c r="A555" s="3"/>
      <c r="B555" s="3"/>
      <c r="C555" s="3"/>
      <c r="D555" s="3"/>
      <c r="E555" s="3">
        <v>12</v>
      </c>
      <c r="F555" s="4" t="str">
        <f>HYPERLINK("http://141.218.60.56/~jnz1568/getInfo.php?workbook=20_10.xlsx&amp;sheet=U0&amp;row=555&amp;col=6&amp;number=4.1&amp;sourceID=14","4.1")</f>
        <v>4.1</v>
      </c>
      <c r="G555" s="4" t="str">
        <f>HYPERLINK("http://141.218.60.56/~jnz1568/getInfo.php?workbook=20_10.xlsx&amp;sheet=U0&amp;row=555&amp;col=7&amp;number=0.0289&amp;sourceID=14","0.0289")</f>
        <v>0.0289</v>
      </c>
    </row>
    <row r="556" spans="1:7">
      <c r="A556" s="3"/>
      <c r="B556" s="3"/>
      <c r="C556" s="3"/>
      <c r="D556" s="3"/>
      <c r="E556" s="3">
        <v>13</v>
      </c>
      <c r="F556" s="4" t="str">
        <f>HYPERLINK("http://141.218.60.56/~jnz1568/getInfo.php?workbook=20_10.xlsx&amp;sheet=U0&amp;row=556&amp;col=6&amp;number=4.2&amp;sourceID=14","4.2")</f>
        <v>4.2</v>
      </c>
      <c r="G556" s="4" t="str">
        <f>HYPERLINK("http://141.218.60.56/~jnz1568/getInfo.php?workbook=20_10.xlsx&amp;sheet=U0&amp;row=556&amp;col=7&amp;number=0.0289&amp;sourceID=14","0.0289")</f>
        <v>0.0289</v>
      </c>
    </row>
    <row r="557" spans="1:7">
      <c r="A557" s="3"/>
      <c r="B557" s="3"/>
      <c r="C557" s="3"/>
      <c r="D557" s="3"/>
      <c r="E557" s="3">
        <v>14</v>
      </c>
      <c r="F557" s="4" t="str">
        <f>HYPERLINK("http://141.218.60.56/~jnz1568/getInfo.php?workbook=20_10.xlsx&amp;sheet=U0&amp;row=557&amp;col=6&amp;number=4.3&amp;sourceID=14","4.3")</f>
        <v>4.3</v>
      </c>
      <c r="G557" s="4" t="str">
        <f>HYPERLINK("http://141.218.60.56/~jnz1568/getInfo.php?workbook=20_10.xlsx&amp;sheet=U0&amp;row=557&amp;col=7&amp;number=0.0289&amp;sourceID=14","0.0289")</f>
        <v>0.0289</v>
      </c>
    </row>
    <row r="558" spans="1:7">
      <c r="A558" s="3"/>
      <c r="B558" s="3"/>
      <c r="C558" s="3"/>
      <c r="D558" s="3"/>
      <c r="E558" s="3">
        <v>15</v>
      </c>
      <c r="F558" s="4" t="str">
        <f>HYPERLINK("http://141.218.60.56/~jnz1568/getInfo.php?workbook=20_10.xlsx&amp;sheet=U0&amp;row=558&amp;col=6&amp;number=4.4&amp;sourceID=14","4.4")</f>
        <v>4.4</v>
      </c>
      <c r="G558" s="4" t="str">
        <f>HYPERLINK("http://141.218.60.56/~jnz1568/getInfo.php?workbook=20_10.xlsx&amp;sheet=U0&amp;row=558&amp;col=7&amp;number=0.0289&amp;sourceID=14","0.0289")</f>
        <v>0.0289</v>
      </c>
    </row>
    <row r="559" spans="1:7">
      <c r="A559" s="3"/>
      <c r="B559" s="3"/>
      <c r="C559" s="3"/>
      <c r="D559" s="3"/>
      <c r="E559" s="3">
        <v>16</v>
      </c>
      <c r="F559" s="4" t="str">
        <f>HYPERLINK("http://141.218.60.56/~jnz1568/getInfo.php?workbook=20_10.xlsx&amp;sheet=U0&amp;row=559&amp;col=6&amp;number=4.5&amp;sourceID=14","4.5")</f>
        <v>4.5</v>
      </c>
      <c r="G559" s="4" t="str">
        <f>HYPERLINK("http://141.218.60.56/~jnz1568/getInfo.php?workbook=20_10.xlsx&amp;sheet=U0&amp;row=559&amp;col=7&amp;number=0.0289&amp;sourceID=14","0.0289")</f>
        <v>0.0289</v>
      </c>
    </row>
    <row r="560" spans="1:7">
      <c r="A560" s="3"/>
      <c r="B560" s="3"/>
      <c r="C560" s="3"/>
      <c r="D560" s="3"/>
      <c r="E560" s="3">
        <v>17</v>
      </c>
      <c r="F560" s="4" t="str">
        <f>HYPERLINK("http://141.218.60.56/~jnz1568/getInfo.php?workbook=20_10.xlsx&amp;sheet=U0&amp;row=560&amp;col=6&amp;number=4.6&amp;sourceID=14","4.6")</f>
        <v>4.6</v>
      </c>
      <c r="G560" s="4" t="str">
        <f>HYPERLINK("http://141.218.60.56/~jnz1568/getInfo.php?workbook=20_10.xlsx&amp;sheet=U0&amp;row=560&amp;col=7&amp;number=0.0289&amp;sourceID=14","0.0289")</f>
        <v>0.0289</v>
      </c>
    </row>
    <row r="561" spans="1:7">
      <c r="A561" s="3"/>
      <c r="B561" s="3"/>
      <c r="C561" s="3"/>
      <c r="D561" s="3"/>
      <c r="E561" s="3">
        <v>18</v>
      </c>
      <c r="F561" s="4" t="str">
        <f>HYPERLINK("http://141.218.60.56/~jnz1568/getInfo.php?workbook=20_10.xlsx&amp;sheet=U0&amp;row=561&amp;col=6&amp;number=4.7&amp;sourceID=14","4.7")</f>
        <v>4.7</v>
      </c>
      <c r="G561" s="4" t="str">
        <f>HYPERLINK("http://141.218.60.56/~jnz1568/getInfo.php?workbook=20_10.xlsx&amp;sheet=U0&amp;row=561&amp;col=7&amp;number=0.0289&amp;sourceID=14","0.0289")</f>
        <v>0.0289</v>
      </c>
    </row>
    <row r="562" spans="1:7">
      <c r="A562" s="3"/>
      <c r="B562" s="3"/>
      <c r="C562" s="3"/>
      <c r="D562" s="3"/>
      <c r="E562" s="3">
        <v>19</v>
      </c>
      <c r="F562" s="4" t="str">
        <f>HYPERLINK("http://141.218.60.56/~jnz1568/getInfo.php?workbook=20_10.xlsx&amp;sheet=U0&amp;row=562&amp;col=6&amp;number=4.8&amp;sourceID=14","4.8")</f>
        <v>4.8</v>
      </c>
      <c r="G562" s="4" t="str">
        <f>HYPERLINK("http://141.218.60.56/~jnz1568/getInfo.php?workbook=20_10.xlsx&amp;sheet=U0&amp;row=562&amp;col=7&amp;number=0.0289&amp;sourceID=14","0.0289")</f>
        <v>0.0289</v>
      </c>
    </row>
    <row r="563" spans="1:7">
      <c r="A563" s="3"/>
      <c r="B563" s="3"/>
      <c r="C563" s="3"/>
      <c r="D563" s="3"/>
      <c r="E563" s="3">
        <v>20</v>
      </c>
      <c r="F563" s="4" t="str">
        <f>HYPERLINK("http://141.218.60.56/~jnz1568/getInfo.php?workbook=20_10.xlsx&amp;sheet=U0&amp;row=563&amp;col=6&amp;number=4.9&amp;sourceID=14","4.9")</f>
        <v>4.9</v>
      </c>
      <c r="G563" s="4" t="str">
        <f>HYPERLINK("http://141.218.60.56/~jnz1568/getInfo.php?workbook=20_10.xlsx&amp;sheet=U0&amp;row=563&amp;col=7&amp;number=0.029&amp;sourceID=14","0.029")</f>
        <v>0.029</v>
      </c>
    </row>
    <row r="564" spans="1:7">
      <c r="A564" s="3">
        <v>20</v>
      </c>
      <c r="B564" s="3">
        <v>10</v>
      </c>
      <c r="C564" s="3">
        <v>1</v>
      </c>
      <c r="D564" s="3">
        <v>30</v>
      </c>
      <c r="E564" s="3">
        <v>1</v>
      </c>
      <c r="F564" s="4" t="str">
        <f>HYPERLINK("http://141.218.60.56/~jnz1568/getInfo.php?workbook=20_10.xlsx&amp;sheet=U0&amp;row=564&amp;col=6&amp;number=3&amp;sourceID=14","3")</f>
        <v>3</v>
      </c>
      <c r="G564" s="4" t="str">
        <f>HYPERLINK("http://141.218.60.56/~jnz1568/getInfo.php?workbook=20_10.xlsx&amp;sheet=U0&amp;row=564&amp;col=7&amp;number=0.000491&amp;sourceID=14","0.000491")</f>
        <v>0.000491</v>
      </c>
    </row>
    <row r="565" spans="1:7">
      <c r="A565" s="3"/>
      <c r="B565" s="3"/>
      <c r="C565" s="3"/>
      <c r="D565" s="3"/>
      <c r="E565" s="3">
        <v>2</v>
      </c>
      <c r="F565" s="4" t="str">
        <f>HYPERLINK("http://141.218.60.56/~jnz1568/getInfo.php?workbook=20_10.xlsx&amp;sheet=U0&amp;row=565&amp;col=6&amp;number=3.1&amp;sourceID=14","3.1")</f>
        <v>3.1</v>
      </c>
      <c r="G565" s="4" t="str">
        <f>HYPERLINK("http://141.218.60.56/~jnz1568/getInfo.php?workbook=20_10.xlsx&amp;sheet=U0&amp;row=565&amp;col=7&amp;number=0.000491&amp;sourceID=14","0.000491")</f>
        <v>0.000491</v>
      </c>
    </row>
    <row r="566" spans="1:7">
      <c r="A566" s="3"/>
      <c r="B566" s="3"/>
      <c r="C566" s="3"/>
      <c r="D566" s="3"/>
      <c r="E566" s="3">
        <v>3</v>
      </c>
      <c r="F566" s="4" t="str">
        <f>HYPERLINK("http://141.218.60.56/~jnz1568/getInfo.php?workbook=20_10.xlsx&amp;sheet=U0&amp;row=566&amp;col=6&amp;number=3.2&amp;sourceID=14","3.2")</f>
        <v>3.2</v>
      </c>
      <c r="G566" s="4" t="str">
        <f>HYPERLINK("http://141.218.60.56/~jnz1568/getInfo.php?workbook=20_10.xlsx&amp;sheet=U0&amp;row=566&amp;col=7&amp;number=0.000491&amp;sourceID=14","0.000491")</f>
        <v>0.000491</v>
      </c>
    </row>
    <row r="567" spans="1:7">
      <c r="A567" s="3"/>
      <c r="B567" s="3"/>
      <c r="C567" s="3"/>
      <c r="D567" s="3"/>
      <c r="E567" s="3">
        <v>4</v>
      </c>
      <c r="F567" s="4" t="str">
        <f>HYPERLINK("http://141.218.60.56/~jnz1568/getInfo.php?workbook=20_10.xlsx&amp;sheet=U0&amp;row=567&amp;col=6&amp;number=3.3&amp;sourceID=14","3.3")</f>
        <v>3.3</v>
      </c>
      <c r="G567" s="4" t="str">
        <f>HYPERLINK("http://141.218.60.56/~jnz1568/getInfo.php?workbook=20_10.xlsx&amp;sheet=U0&amp;row=567&amp;col=7&amp;number=0.000491&amp;sourceID=14","0.000491")</f>
        <v>0.000491</v>
      </c>
    </row>
    <row r="568" spans="1:7">
      <c r="A568" s="3"/>
      <c r="B568" s="3"/>
      <c r="C568" s="3"/>
      <c r="D568" s="3"/>
      <c r="E568" s="3">
        <v>5</v>
      </c>
      <c r="F568" s="4" t="str">
        <f>HYPERLINK("http://141.218.60.56/~jnz1568/getInfo.php?workbook=20_10.xlsx&amp;sheet=U0&amp;row=568&amp;col=6&amp;number=3.4&amp;sourceID=14","3.4")</f>
        <v>3.4</v>
      </c>
      <c r="G568" s="4" t="str">
        <f>HYPERLINK("http://141.218.60.56/~jnz1568/getInfo.php?workbook=20_10.xlsx&amp;sheet=U0&amp;row=568&amp;col=7&amp;number=0.000491&amp;sourceID=14","0.000491")</f>
        <v>0.000491</v>
      </c>
    </row>
    <row r="569" spans="1:7">
      <c r="A569" s="3"/>
      <c r="B569" s="3"/>
      <c r="C569" s="3"/>
      <c r="D569" s="3"/>
      <c r="E569" s="3">
        <v>6</v>
      </c>
      <c r="F569" s="4" t="str">
        <f>HYPERLINK("http://141.218.60.56/~jnz1568/getInfo.php?workbook=20_10.xlsx&amp;sheet=U0&amp;row=569&amp;col=6&amp;number=3.5&amp;sourceID=14","3.5")</f>
        <v>3.5</v>
      </c>
      <c r="G569" s="4" t="str">
        <f>HYPERLINK("http://141.218.60.56/~jnz1568/getInfo.php?workbook=20_10.xlsx&amp;sheet=U0&amp;row=569&amp;col=7&amp;number=0.000491&amp;sourceID=14","0.000491")</f>
        <v>0.000491</v>
      </c>
    </row>
    <row r="570" spans="1:7">
      <c r="A570" s="3"/>
      <c r="B570" s="3"/>
      <c r="C570" s="3"/>
      <c r="D570" s="3"/>
      <c r="E570" s="3">
        <v>7</v>
      </c>
      <c r="F570" s="4" t="str">
        <f>HYPERLINK("http://141.218.60.56/~jnz1568/getInfo.php?workbook=20_10.xlsx&amp;sheet=U0&amp;row=570&amp;col=6&amp;number=3.6&amp;sourceID=14","3.6")</f>
        <v>3.6</v>
      </c>
      <c r="G570" s="4" t="str">
        <f>HYPERLINK("http://141.218.60.56/~jnz1568/getInfo.php?workbook=20_10.xlsx&amp;sheet=U0&amp;row=570&amp;col=7&amp;number=0.000491&amp;sourceID=14","0.000491")</f>
        <v>0.000491</v>
      </c>
    </row>
    <row r="571" spans="1:7">
      <c r="A571" s="3"/>
      <c r="B571" s="3"/>
      <c r="C571" s="3"/>
      <c r="D571" s="3"/>
      <c r="E571" s="3">
        <v>8</v>
      </c>
      <c r="F571" s="4" t="str">
        <f>HYPERLINK("http://141.218.60.56/~jnz1568/getInfo.php?workbook=20_10.xlsx&amp;sheet=U0&amp;row=571&amp;col=6&amp;number=3.7&amp;sourceID=14","3.7")</f>
        <v>3.7</v>
      </c>
      <c r="G571" s="4" t="str">
        <f>HYPERLINK("http://141.218.60.56/~jnz1568/getInfo.php?workbook=20_10.xlsx&amp;sheet=U0&amp;row=571&amp;col=7&amp;number=0.000491&amp;sourceID=14","0.000491")</f>
        <v>0.000491</v>
      </c>
    </row>
    <row r="572" spans="1:7">
      <c r="A572" s="3"/>
      <c r="B572" s="3"/>
      <c r="C572" s="3"/>
      <c r="D572" s="3"/>
      <c r="E572" s="3">
        <v>9</v>
      </c>
      <c r="F572" s="4" t="str">
        <f>HYPERLINK("http://141.218.60.56/~jnz1568/getInfo.php?workbook=20_10.xlsx&amp;sheet=U0&amp;row=572&amp;col=6&amp;number=3.8&amp;sourceID=14","3.8")</f>
        <v>3.8</v>
      </c>
      <c r="G572" s="4" t="str">
        <f>HYPERLINK("http://141.218.60.56/~jnz1568/getInfo.php?workbook=20_10.xlsx&amp;sheet=U0&amp;row=572&amp;col=7&amp;number=0.000491&amp;sourceID=14","0.000491")</f>
        <v>0.000491</v>
      </c>
    </row>
    <row r="573" spans="1:7">
      <c r="A573" s="3"/>
      <c r="B573" s="3"/>
      <c r="C573" s="3"/>
      <c r="D573" s="3"/>
      <c r="E573" s="3">
        <v>10</v>
      </c>
      <c r="F573" s="4" t="str">
        <f>HYPERLINK("http://141.218.60.56/~jnz1568/getInfo.php?workbook=20_10.xlsx&amp;sheet=U0&amp;row=573&amp;col=6&amp;number=3.9&amp;sourceID=14","3.9")</f>
        <v>3.9</v>
      </c>
      <c r="G573" s="4" t="str">
        <f>HYPERLINK("http://141.218.60.56/~jnz1568/getInfo.php?workbook=20_10.xlsx&amp;sheet=U0&amp;row=573&amp;col=7&amp;number=0.00049&amp;sourceID=14","0.00049")</f>
        <v>0.00049</v>
      </c>
    </row>
    <row r="574" spans="1:7">
      <c r="A574" s="3"/>
      <c r="B574" s="3"/>
      <c r="C574" s="3"/>
      <c r="D574" s="3"/>
      <c r="E574" s="3">
        <v>11</v>
      </c>
      <c r="F574" s="4" t="str">
        <f>HYPERLINK("http://141.218.60.56/~jnz1568/getInfo.php?workbook=20_10.xlsx&amp;sheet=U0&amp;row=574&amp;col=6&amp;number=4&amp;sourceID=14","4")</f>
        <v>4</v>
      </c>
      <c r="G574" s="4" t="str">
        <f>HYPERLINK("http://141.218.60.56/~jnz1568/getInfo.php?workbook=20_10.xlsx&amp;sheet=U0&amp;row=574&amp;col=7&amp;number=0.00049&amp;sourceID=14","0.00049")</f>
        <v>0.00049</v>
      </c>
    </row>
    <row r="575" spans="1:7">
      <c r="A575" s="3"/>
      <c r="B575" s="3"/>
      <c r="C575" s="3"/>
      <c r="D575" s="3"/>
      <c r="E575" s="3">
        <v>12</v>
      </c>
      <c r="F575" s="4" t="str">
        <f>HYPERLINK("http://141.218.60.56/~jnz1568/getInfo.php?workbook=20_10.xlsx&amp;sheet=U0&amp;row=575&amp;col=6&amp;number=4.1&amp;sourceID=14","4.1")</f>
        <v>4.1</v>
      </c>
      <c r="G575" s="4" t="str">
        <f>HYPERLINK("http://141.218.60.56/~jnz1568/getInfo.php?workbook=20_10.xlsx&amp;sheet=U0&amp;row=575&amp;col=7&amp;number=0.00049&amp;sourceID=14","0.00049")</f>
        <v>0.00049</v>
      </c>
    </row>
    <row r="576" spans="1:7">
      <c r="A576" s="3"/>
      <c r="B576" s="3"/>
      <c r="C576" s="3"/>
      <c r="D576" s="3"/>
      <c r="E576" s="3">
        <v>13</v>
      </c>
      <c r="F576" s="4" t="str">
        <f>HYPERLINK("http://141.218.60.56/~jnz1568/getInfo.php?workbook=20_10.xlsx&amp;sheet=U0&amp;row=576&amp;col=6&amp;number=4.2&amp;sourceID=14","4.2")</f>
        <v>4.2</v>
      </c>
      <c r="G576" s="4" t="str">
        <f>HYPERLINK("http://141.218.60.56/~jnz1568/getInfo.php?workbook=20_10.xlsx&amp;sheet=U0&amp;row=576&amp;col=7&amp;number=0.00049&amp;sourceID=14","0.00049")</f>
        <v>0.00049</v>
      </c>
    </row>
    <row r="577" spans="1:7">
      <c r="A577" s="3"/>
      <c r="B577" s="3"/>
      <c r="C577" s="3"/>
      <c r="D577" s="3"/>
      <c r="E577" s="3">
        <v>14</v>
      </c>
      <c r="F577" s="4" t="str">
        <f>HYPERLINK("http://141.218.60.56/~jnz1568/getInfo.php?workbook=20_10.xlsx&amp;sheet=U0&amp;row=577&amp;col=6&amp;number=4.3&amp;sourceID=14","4.3")</f>
        <v>4.3</v>
      </c>
      <c r="G577" s="4" t="str">
        <f>HYPERLINK("http://141.218.60.56/~jnz1568/getInfo.php?workbook=20_10.xlsx&amp;sheet=U0&amp;row=577&amp;col=7&amp;number=0.00049&amp;sourceID=14","0.00049")</f>
        <v>0.00049</v>
      </c>
    </row>
    <row r="578" spans="1:7">
      <c r="A578" s="3"/>
      <c r="B578" s="3"/>
      <c r="C578" s="3"/>
      <c r="D578" s="3"/>
      <c r="E578" s="3">
        <v>15</v>
      </c>
      <c r="F578" s="4" t="str">
        <f>HYPERLINK("http://141.218.60.56/~jnz1568/getInfo.php?workbook=20_10.xlsx&amp;sheet=U0&amp;row=578&amp;col=6&amp;number=4.4&amp;sourceID=14","4.4")</f>
        <v>4.4</v>
      </c>
      <c r="G578" s="4" t="str">
        <f>HYPERLINK("http://141.218.60.56/~jnz1568/getInfo.php?workbook=20_10.xlsx&amp;sheet=U0&amp;row=578&amp;col=7&amp;number=0.000489&amp;sourceID=14","0.000489")</f>
        <v>0.000489</v>
      </c>
    </row>
    <row r="579" spans="1:7">
      <c r="A579" s="3"/>
      <c r="B579" s="3"/>
      <c r="C579" s="3"/>
      <c r="D579" s="3"/>
      <c r="E579" s="3">
        <v>16</v>
      </c>
      <c r="F579" s="4" t="str">
        <f>HYPERLINK("http://141.218.60.56/~jnz1568/getInfo.php?workbook=20_10.xlsx&amp;sheet=U0&amp;row=579&amp;col=6&amp;number=4.5&amp;sourceID=14","4.5")</f>
        <v>4.5</v>
      </c>
      <c r="G579" s="4" t="str">
        <f>HYPERLINK("http://141.218.60.56/~jnz1568/getInfo.php?workbook=20_10.xlsx&amp;sheet=U0&amp;row=579&amp;col=7&amp;number=0.000489&amp;sourceID=14","0.000489")</f>
        <v>0.000489</v>
      </c>
    </row>
    <row r="580" spans="1:7">
      <c r="A580" s="3"/>
      <c r="B580" s="3"/>
      <c r="C580" s="3"/>
      <c r="D580" s="3"/>
      <c r="E580" s="3">
        <v>17</v>
      </c>
      <c r="F580" s="4" t="str">
        <f>HYPERLINK("http://141.218.60.56/~jnz1568/getInfo.php?workbook=20_10.xlsx&amp;sheet=U0&amp;row=580&amp;col=6&amp;number=4.6&amp;sourceID=14","4.6")</f>
        <v>4.6</v>
      </c>
      <c r="G580" s="4" t="str">
        <f>HYPERLINK("http://141.218.60.56/~jnz1568/getInfo.php?workbook=20_10.xlsx&amp;sheet=U0&amp;row=580&amp;col=7&amp;number=0.000488&amp;sourceID=14","0.000488")</f>
        <v>0.000488</v>
      </c>
    </row>
    <row r="581" spans="1:7">
      <c r="A581" s="3"/>
      <c r="B581" s="3"/>
      <c r="C581" s="3"/>
      <c r="D581" s="3"/>
      <c r="E581" s="3">
        <v>18</v>
      </c>
      <c r="F581" s="4" t="str">
        <f>HYPERLINK("http://141.218.60.56/~jnz1568/getInfo.php?workbook=20_10.xlsx&amp;sheet=U0&amp;row=581&amp;col=6&amp;number=4.7&amp;sourceID=14","4.7")</f>
        <v>4.7</v>
      </c>
      <c r="G581" s="4" t="str">
        <f>HYPERLINK("http://141.218.60.56/~jnz1568/getInfo.php?workbook=20_10.xlsx&amp;sheet=U0&amp;row=581&amp;col=7&amp;number=0.000487&amp;sourceID=14","0.000487")</f>
        <v>0.000487</v>
      </c>
    </row>
    <row r="582" spans="1:7">
      <c r="A582" s="3"/>
      <c r="B582" s="3"/>
      <c r="C582" s="3"/>
      <c r="D582" s="3"/>
      <c r="E582" s="3">
        <v>19</v>
      </c>
      <c r="F582" s="4" t="str">
        <f>HYPERLINK("http://141.218.60.56/~jnz1568/getInfo.php?workbook=20_10.xlsx&amp;sheet=U0&amp;row=582&amp;col=6&amp;number=4.8&amp;sourceID=14","4.8")</f>
        <v>4.8</v>
      </c>
      <c r="G582" s="4" t="str">
        <f>HYPERLINK("http://141.218.60.56/~jnz1568/getInfo.php?workbook=20_10.xlsx&amp;sheet=U0&amp;row=582&amp;col=7&amp;number=0.000486&amp;sourceID=14","0.000486")</f>
        <v>0.000486</v>
      </c>
    </row>
    <row r="583" spans="1:7">
      <c r="A583" s="3"/>
      <c r="B583" s="3"/>
      <c r="C583" s="3"/>
      <c r="D583" s="3"/>
      <c r="E583" s="3">
        <v>20</v>
      </c>
      <c r="F583" s="4" t="str">
        <f>HYPERLINK("http://141.218.60.56/~jnz1568/getInfo.php?workbook=20_10.xlsx&amp;sheet=U0&amp;row=583&amp;col=6&amp;number=4.9&amp;sourceID=14","4.9")</f>
        <v>4.9</v>
      </c>
      <c r="G583" s="4" t="str">
        <f>HYPERLINK("http://141.218.60.56/~jnz1568/getInfo.php?workbook=20_10.xlsx&amp;sheet=U0&amp;row=583&amp;col=7&amp;number=0.000485&amp;sourceID=14","0.000485")</f>
        <v>0.000485</v>
      </c>
    </row>
    <row r="584" spans="1:7">
      <c r="A584" s="3">
        <v>20</v>
      </c>
      <c r="B584" s="3">
        <v>10</v>
      </c>
      <c r="C584" s="3">
        <v>1</v>
      </c>
      <c r="D584" s="3">
        <v>31</v>
      </c>
      <c r="E584" s="3">
        <v>1</v>
      </c>
      <c r="F584" s="4" t="str">
        <f>HYPERLINK("http://141.218.60.56/~jnz1568/getInfo.php?workbook=20_10.xlsx&amp;sheet=U0&amp;row=584&amp;col=6&amp;number=3&amp;sourceID=14","3")</f>
        <v>3</v>
      </c>
      <c r="G584" s="4" t="str">
        <f>HYPERLINK("http://141.218.60.56/~jnz1568/getInfo.php?workbook=20_10.xlsx&amp;sheet=U0&amp;row=584&amp;col=7&amp;number=0.00154&amp;sourceID=14","0.00154")</f>
        <v>0.00154</v>
      </c>
    </row>
    <row r="585" spans="1:7">
      <c r="A585" s="3"/>
      <c r="B585" s="3"/>
      <c r="C585" s="3"/>
      <c r="D585" s="3"/>
      <c r="E585" s="3">
        <v>2</v>
      </c>
      <c r="F585" s="4" t="str">
        <f>HYPERLINK("http://141.218.60.56/~jnz1568/getInfo.php?workbook=20_10.xlsx&amp;sheet=U0&amp;row=585&amp;col=6&amp;number=3.1&amp;sourceID=14","3.1")</f>
        <v>3.1</v>
      </c>
      <c r="G585" s="4" t="str">
        <f>HYPERLINK("http://141.218.60.56/~jnz1568/getInfo.php?workbook=20_10.xlsx&amp;sheet=U0&amp;row=585&amp;col=7&amp;number=0.00154&amp;sourceID=14","0.00154")</f>
        <v>0.00154</v>
      </c>
    </row>
    <row r="586" spans="1:7">
      <c r="A586" s="3"/>
      <c r="B586" s="3"/>
      <c r="C586" s="3"/>
      <c r="D586" s="3"/>
      <c r="E586" s="3">
        <v>3</v>
      </c>
      <c r="F586" s="4" t="str">
        <f>HYPERLINK("http://141.218.60.56/~jnz1568/getInfo.php?workbook=20_10.xlsx&amp;sheet=U0&amp;row=586&amp;col=6&amp;number=3.2&amp;sourceID=14","3.2")</f>
        <v>3.2</v>
      </c>
      <c r="G586" s="4" t="str">
        <f>HYPERLINK("http://141.218.60.56/~jnz1568/getInfo.php?workbook=20_10.xlsx&amp;sheet=U0&amp;row=586&amp;col=7&amp;number=0.00154&amp;sourceID=14","0.00154")</f>
        <v>0.00154</v>
      </c>
    </row>
    <row r="587" spans="1:7">
      <c r="A587" s="3"/>
      <c r="B587" s="3"/>
      <c r="C587" s="3"/>
      <c r="D587" s="3"/>
      <c r="E587" s="3">
        <v>4</v>
      </c>
      <c r="F587" s="4" t="str">
        <f>HYPERLINK("http://141.218.60.56/~jnz1568/getInfo.php?workbook=20_10.xlsx&amp;sheet=U0&amp;row=587&amp;col=6&amp;number=3.3&amp;sourceID=14","3.3")</f>
        <v>3.3</v>
      </c>
      <c r="G587" s="4" t="str">
        <f>HYPERLINK("http://141.218.60.56/~jnz1568/getInfo.php?workbook=20_10.xlsx&amp;sheet=U0&amp;row=587&amp;col=7&amp;number=0.00154&amp;sourceID=14","0.00154")</f>
        <v>0.00154</v>
      </c>
    </row>
    <row r="588" spans="1:7">
      <c r="A588" s="3"/>
      <c r="B588" s="3"/>
      <c r="C588" s="3"/>
      <c r="D588" s="3"/>
      <c r="E588" s="3">
        <v>5</v>
      </c>
      <c r="F588" s="4" t="str">
        <f>HYPERLINK("http://141.218.60.56/~jnz1568/getInfo.php?workbook=20_10.xlsx&amp;sheet=U0&amp;row=588&amp;col=6&amp;number=3.4&amp;sourceID=14","3.4")</f>
        <v>3.4</v>
      </c>
      <c r="G588" s="4" t="str">
        <f>HYPERLINK("http://141.218.60.56/~jnz1568/getInfo.php?workbook=20_10.xlsx&amp;sheet=U0&amp;row=588&amp;col=7&amp;number=0.00154&amp;sourceID=14","0.00154")</f>
        <v>0.00154</v>
      </c>
    </row>
    <row r="589" spans="1:7">
      <c r="A589" s="3"/>
      <c r="B589" s="3"/>
      <c r="C589" s="3"/>
      <c r="D589" s="3"/>
      <c r="E589" s="3">
        <v>6</v>
      </c>
      <c r="F589" s="4" t="str">
        <f>HYPERLINK("http://141.218.60.56/~jnz1568/getInfo.php?workbook=20_10.xlsx&amp;sheet=U0&amp;row=589&amp;col=6&amp;number=3.5&amp;sourceID=14","3.5")</f>
        <v>3.5</v>
      </c>
      <c r="G589" s="4" t="str">
        <f>HYPERLINK("http://141.218.60.56/~jnz1568/getInfo.php?workbook=20_10.xlsx&amp;sheet=U0&amp;row=589&amp;col=7&amp;number=0.00154&amp;sourceID=14","0.00154")</f>
        <v>0.00154</v>
      </c>
    </row>
    <row r="590" spans="1:7">
      <c r="A590" s="3"/>
      <c r="B590" s="3"/>
      <c r="C590" s="3"/>
      <c r="D590" s="3"/>
      <c r="E590" s="3">
        <v>7</v>
      </c>
      <c r="F590" s="4" t="str">
        <f>HYPERLINK("http://141.218.60.56/~jnz1568/getInfo.php?workbook=20_10.xlsx&amp;sheet=U0&amp;row=590&amp;col=6&amp;number=3.6&amp;sourceID=14","3.6")</f>
        <v>3.6</v>
      </c>
      <c r="G590" s="4" t="str">
        <f>HYPERLINK("http://141.218.60.56/~jnz1568/getInfo.php?workbook=20_10.xlsx&amp;sheet=U0&amp;row=590&amp;col=7&amp;number=0.00154&amp;sourceID=14","0.00154")</f>
        <v>0.00154</v>
      </c>
    </row>
    <row r="591" spans="1:7">
      <c r="A591" s="3"/>
      <c r="B591" s="3"/>
      <c r="C591" s="3"/>
      <c r="D591" s="3"/>
      <c r="E591" s="3">
        <v>8</v>
      </c>
      <c r="F591" s="4" t="str">
        <f>HYPERLINK("http://141.218.60.56/~jnz1568/getInfo.php?workbook=20_10.xlsx&amp;sheet=U0&amp;row=591&amp;col=6&amp;number=3.7&amp;sourceID=14","3.7")</f>
        <v>3.7</v>
      </c>
      <c r="G591" s="4" t="str">
        <f>HYPERLINK("http://141.218.60.56/~jnz1568/getInfo.php?workbook=20_10.xlsx&amp;sheet=U0&amp;row=591&amp;col=7&amp;number=0.00154&amp;sourceID=14","0.00154")</f>
        <v>0.00154</v>
      </c>
    </row>
    <row r="592" spans="1:7">
      <c r="A592" s="3"/>
      <c r="B592" s="3"/>
      <c r="C592" s="3"/>
      <c r="D592" s="3"/>
      <c r="E592" s="3">
        <v>9</v>
      </c>
      <c r="F592" s="4" t="str">
        <f>HYPERLINK("http://141.218.60.56/~jnz1568/getInfo.php?workbook=20_10.xlsx&amp;sheet=U0&amp;row=592&amp;col=6&amp;number=3.8&amp;sourceID=14","3.8")</f>
        <v>3.8</v>
      </c>
      <c r="G592" s="4" t="str">
        <f>HYPERLINK("http://141.218.60.56/~jnz1568/getInfo.php?workbook=20_10.xlsx&amp;sheet=U0&amp;row=592&amp;col=7&amp;number=0.00154&amp;sourceID=14","0.00154")</f>
        <v>0.00154</v>
      </c>
    </row>
    <row r="593" spans="1:7">
      <c r="A593" s="3"/>
      <c r="B593" s="3"/>
      <c r="C593" s="3"/>
      <c r="D593" s="3"/>
      <c r="E593" s="3">
        <v>10</v>
      </c>
      <c r="F593" s="4" t="str">
        <f>HYPERLINK("http://141.218.60.56/~jnz1568/getInfo.php?workbook=20_10.xlsx&amp;sheet=U0&amp;row=593&amp;col=6&amp;number=3.9&amp;sourceID=14","3.9")</f>
        <v>3.9</v>
      </c>
      <c r="G593" s="4" t="str">
        <f>HYPERLINK("http://141.218.60.56/~jnz1568/getInfo.php?workbook=20_10.xlsx&amp;sheet=U0&amp;row=593&amp;col=7&amp;number=0.00153&amp;sourceID=14","0.00153")</f>
        <v>0.00153</v>
      </c>
    </row>
    <row r="594" spans="1:7">
      <c r="A594" s="3"/>
      <c r="B594" s="3"/>
      <c r="C594" s="3"/>
      <c r="D594" s="3"/>
      <c r="E594" s="3">
        <v>11</v>
      </c>
      <c r="F594" s="4" t="str">
        <f>HYPERLINK("http://141.218.60.56/~jnz1568/getInfo.php?workbook=20_10.xlsx&amp;sheet=U0&amp;row=594&amp;col=6&amp;number=4&amp;sourceID=14","4")</f>
        <v>4</v>
      </c>
      <c r="G594" s="4" t="str">
        <f>HYPERLINK("http://141.218.60.56/~jnz1568/getInfo.php?workbook=20_10.xlsx&amp;sheet=U0&amp;row=594&amp;col=7&amp;number=0.00153&amp;sourceID=14","0.00153")</f>
        <v>0.00153</v>
      </c>
    </row>
    <row r="595" spans="1:7">
      <c r="A595" s="3"/>
      <c r="B595" s="3"/>
      <c r="C595" s="3"/>
      <c r="D595" s="3"/>
      <c r="E595" s="3">
        <v>12</v>
      </c>
      <c r="F595" s="4" t="str">
        <f>HYPERLINK("http://141.218.60.56/~jnz1568/getInfo.php?workbook=20_10.xlsx&amp;sheet=U0&amp;row=595&amp;col=6&amp;number=4.1&amp;sourceID=14","4.1")</f>
        <v>4.1</v>
      </c>
      <c r="G595" s="4" t="str">
        <f>HYPERLINK("http://141.218.60.56/~jnz1568/getInfo.php?workbook=20_10.xlsx&amp;sheet=U0&amp;row=595&amp;col=7&amp;number=0.00153&amp;sourceID=14","0.00153")</f>
        <v>0.00153</v>
      </c>
    </row>
    <row r="596" spans="1:7">
      <c r="A596" s="3"/>
      <c r="B596" s="3"/>
      <c r="C596" s="3"/>
      <c r="D596" s="3"/>
      <c r="E596" s="3">
        <v>13</v>
      </c>
      <c r="F596" s="4" t="str">
        <f>HYPERLINK("http://141.218.60.56/~jnz1568/getInfo.php?workbook=20_10.xlsx&amp;sheet=U0&amp;row=596&amp;col=6&amp;number=4.2&amp;sourceID=14","4.2")</f>
        <v>4.2</v>
      </c>
      <c r="G596" s="4" t="str">
        <f>HYPERLINK("http://141.218.60.56/~jnz1568/getInfo.php?workbook=20_10.xlsx&amp;sheet=U0&amp;row=596&amp;col=7&amp;number=0.00153&amp;sourceID=14","0.00153")</f>
        <v>0.00153</v>
      </c>
    </row>
    <row r="597" spans="1:7">
      <c r="A597" s="3"/>
      <c r="B597" s="3"/>
      <c r="C597" s="3"/>
      <c r="D597" s="3"/>
      <c r="E597" s="3">
        <v>14</v>
      </c>
      <c r="F597" s="4" t="str">
        <f>HYPERLINK("http://141.218.60.56/~jnz1568/getInfo.php?workbook=20_10.xlsx&amp;sheet=U0&amp;row=597&amp;col=6&amp;number=4.3&amp;sourceID=14","4.3")</f>
        <v>4.3</v>
      </c>
      <c r="G597" s="4" t="str">
        <f>HYPERLINK("http://141.218.60.56/~jnz1568/getInfo.php?workbook=20_10.xlsx&amp;sheet=U0&amp;row=597&amp;col=7&amp;number=0.00153&amp;sourceID=14","0.00153")</f>
        <v>0.00153</v>
      </c>
    </row>
    <row r="598" spans="1:7">
      <c r="A598" s="3"/>
      <c r="B598" s="3"/>
      <c r="C598" s="3"/>
      <c r="D598" s="3"/>
      <c r="E598" s="3">
        <v>15</v>
      </c>
      <c r="F598" s="4" t="str">
        <f>HYPERLINK("http://141.218.60.56/~jnz1568/getInfo.php?workbook=20_10.xlsx&amp;sheet=U0&amp;row=598&amp;col=6&amp;number=4.4&amp;sourceID=14","4.4")</f>
        <v>4.4</v>
      </c>
      <c r="G598" s="4" t="str">
        <f>HYPERLINK("http://141.218.60.56/~jnz1568/getInfo.php?workbook=20_10.xlsx&amp;sheet=U0&amp;row=598&amp;col=7&amp;number=0.00153&amp;sourceID=14","0.00153")</f>
        <v>0.00153</v>
      </c>
    </row>
    <row r="599" spans="1:7">
      <c r="A599" s="3"/>
      <c r="B599" s="3"/>
      <c r="C599" s="3"/>
      <c r="D599" s="3"/>
      <c r="E599" s="3">
        <v>16</v>
      </c>
      <c r="F599" s="4" t="str">
        <f>HYPERLINK("http://141.218.60.56/~jnz1568/getInfo.php?workbook=20_10.xlsx&amp;sheet=U0&amp;row=599&amp;col=6&amp;number=4.5&amp;sourceID=14","4.5")</f>
        <v>4.5</v>
      </c>
      <c r="G599" s="4" t="str">
        <f>HYPERLINK("http://141.218.60.56/~jnz1568/getInfo.php?workbook=20_10.xlsx&amp;sheet=U0&amp;row=599&amp;col=7&amp;number=0.00153&amp;sourceID=14","0.00153")</f>
        <v>0.00153</v>
      </c>
    </row>
    <row r="600" spans="1:7">
      <c r="A600" s="3"/>
      <c r="B600" s="3"/>
      <c r="C600" s="3"/>
      <c r="D600" s="3"/>
      <c r="E600" s="3">
        <v>17</v>
      </c>
      <c r="F600" s="4" t="str">
        <f>HYPERLINK("http://141.218.60.56/~jnz1568/getInfo.php?workbook=20_10.xlsx&amp;sheet=U0&amp;row=600&amp;col=6&amp;number=4.6&amp;sourceID=14","4.6")</f>
        <v>4.6</v>
      </c>
      <c r="G600" s="4" t="str">
        <f>HYPERLINK("http://141.218.60.56/~jnz1568/getInfo.php?workbook=20_10.xlsx&amp;sheet=U0&amp;row=600&amp;col=7&amp;number=0.00153&amp;sourceID=14","0.00153")</f>
        <v>0.00153</v>
      </c>
    </row>
    <row r="601" spans="1:7">
      <c r="A601" s="3"/>
      <c r="B601" s="3"/>
      <c r="C601" s="3"/>
      <c r="D601" s="3"/>
      <c r="E601" s="3">
        <v>18</v>
      </c>
      <c r="F601" s="4" t="str">
        <f>HYPERLINK("http://141.218.60.56/~jnz1568/getInfo.php?workbook=20_10.xlsx&amp;sheet=U0&amp;row=601&amp;col=6&amp;number=4.7&amp;sourceID=14","4.7")</f>
        <v>4.7</v>
      </c>
      <c r="G601" s="4" t="str">
        <f>HYPERLINK("http://141.218.60.56/~jnz1568/getInfo.php?workbook=20_10.xlsx&amp;sheet=U0&amp;row=601&amp;col=7&amp;number=0.00153&amp;sourceID=14","0.00153")</f>
        <v>0.00153</v>
      </c>
    </row>
    <row r="602" spans="1:7">
      <c r="A602" s="3"/>
      <c r="B602" s="3"/>
      <c r="C602" s="3"/>
      <c r="D602" s="3"/>
      <c r="E602" s="3">
        <v>19</v>
      </c>
      <c r="F602" s="4" t="str">
        <f>HYPERLINK("http://141.218.60.56/~jnz1568/getInfo.php?workbook=20_10.xlsx&amp;sheet=U0&amp;row=602&amp;col=6&amp;number=4.8&amp;sourceID=14","4.8")</f>
        <v>4.8</v>
      </c>
      <c r="G602" s="4" t="str">
        <f>HYPERLINK("http://141.218.60.56/~jnz1568/getInfo.php?workbook=20_10.xlsx&amp;sheet=U0&amp;row=602&amp;col=7&amp;number=0.00153&amp;sourceID=14","0.00153")</f>
        <v>0.00153</v>
      </c>
    </row>
    <row r="603" spans="1:7">
      <c r="A603" s="3"/>
      <c r="B603" s="3"/>
      <c r="C603" s="3"/>
      <c r="D603" s="3"/>
      <c r="E603" s="3">
        <v>20</v>
      </c>
      <c r="F603" s="4" t="str">
        <f>HYPERLINK("http://141.218.60.56/~jnz1568/getInfo.php?workbook=20_10.xlsx&amp;sheet=U0&amp;row=603&amp;col=6&amp;number=4.9&amp;sourceID=14","4.9")</f>
        <v>4.9</v>
      </c>
      <c r="G603" s="4" t="str">
        <f>HYPERLINK("http://141.218.60.56/~jnz1568/getInfo.php?workbook=20_10.xlsx&amp;sheet=U0&amp;row=603&amp;col=7&amp;number=0.00152&amp;sourceID=14","0.00152")</f>
        <v>0.00152</v>
      </c>
    </row>
    <row r="604" spans="1:7">
      <c r="A604" s="3">
        <v>20</v>
      </c>
      <c r="B604" s="3">
        <v>10</v>
      </c>
      <c r="C604" s="3">
        <v>1</v>
      </c>
      <c r="D604" s="3">
        <v>32</v>
      </c>
      <c r="E604" s="3">
        <v>1</v>
      </c>
      <c r="F604" s="4" t="str">
        <f>HYPERLINK("http://141.218.60.56/~jnz1568/getInfo.php?workbook=20_10.xlsx&amp;sheet=U0&amp;row=604&amp;col=6&amp;number=3&amp;sourceID=14","3")</f>
        <v>3</v>
      </c>
      <c r="G604" s="4" t="str">
        <f>HYPERLINK("http://141.218.60.56/~jnz1568/getInfo.php?workbook=20_10.xlsx&amp;sheet=U0&amp;row=604&amp;col=7&amp;number=0.00245&amp;sourceID=14","0.00245")</f>
        <v>0.00245</v>
      </c>
    </row>
    <row r="605" spans="1:7">
      <c r="A605" s="3"/>
      <c r="B605" s="3"/>
      <c r="C605" s="3"/>
      <c r="D605" s="3"/>
      <c r="E605" s="3">
        <v>2</v>
      </c>
      <c r="F605" s="4" t="str">
        <f>HYPERLINK("http://141.218.60.56/~jnz1568/getInfo.php?workbook=20_10.xlsx&amp;sheet=U0&amp;row=605&amp;col=6&amp;number=3.1&amp;sourceID=14","3.1")</f>
        <v>3.1</v>
      </c>
      <c r="G605" s="4" t="str">
        <f>HYPERLINK("http://141.218.60.56/~jnz1568/getInfo.php?workbook=20_10.xlsx&amp;sheet=U0&amp;row=605&amp;col=7&amp;number=0.00245&amp;sourceID=14","0.00245")</f>
        <v>0.00245</v>
      </c>
    </row>
    <row r="606" spans="1:7">
      <c r="A606" s="3"/>
      <c r="B606" s="3"/>
      <c r="C606" s="3"/>
      <c r="D606" s="3"/>
      <c r="E606" s="3">
        <v>3</v>
      </c>
      <c r="F606" s="4" t="str">
        <f>HYPERLINK("http://141.218.60.56/~jnz1568/getInfo.php?workbook=20_10.xlsx&amp;sheet=U0&amp;row=606&amp;col=6&amp;number=3.2&amp;sourceID=14","3.2")</f>
        <v>3.2</v>
      </c>
      <c r="G606" s="4" t="str">
        <f>HYPERLINK("http://141.218.60.56/~jnz1568/getInfo.php?workbook=20_10.xlsx&amp;sheet=U0&amp;row=606&amp;col=7&amp;number=0.00245&amp;sourceID=14","0.00245")</f>
        <v>0.00245</v>
      </c>
    </row>
    <row r="607" spans="1:7">
      <c r="A607" s="3"/>
      <c r="B607" s="3"/>
      <c r="C607" s="3"/>
      <c r="D607" s="3"/>
      <c r="E607" s="3">
        <v>4</v>
      </c>
      <c r="F607" s="4" t="str">
        <f>HYPERLINK("http://141.218.60.56/~jnz1568/getInfo.php?workbook=20_10.xlsx&amp;sheet=U0&amp;row=607&amp;col=6&amp;number=3.3&amp;sourceID=14","3.3")</f>
        <v>3.3</v>
      </c>
      <c r="G607" s="4" t="str">
        <f>HYPERLINK("http://141.218.60.56/~jnz1568/getInfo.php?workbook=20_10.xlsx&amp;sheet=U0&amp;row=607&amp;col=7&amp;number=0.00245&amp;sourceID=14","0.00245")</f>
        <v>0.00245</v>
      </c>
    </row>
    <row r="608" spans="1:7">
      <c r="A608" s="3"/>
      <c r="B608" s="3"/>
      <c r="C608" s="3"/>
      <c r="D608" s="3"/>
      <c r="E608" s="3">
        <v>5</v>
      </c>
      <c r="F608" s="4" t="str">
        <f>HYPERLINK("http://141.218.60.56/~jnz1568/getInfo.php?workbook=20_10.xlsx&amp;sheet=U0&amp;row=608&amp;col=6&amp;number=3.4&amp;sourceID=14","3.4")</f>
        <v>3.4</v>
      </c>
      <c r="G608" s="4" t="str">
        <f>HYPERLINK("http://141.218.60.56/~jnz1568/getInfo.php?workbook=20_10.xlsx&amp;sheet=U0&amp;row=608&amp;col=7&amp;number=0.00245&amp;sourceID=14","0.00245")</f>
        <v>0.00245</v>
      </c>
    </row>
    <row r="609" spans="1:7">
      <c r="A609" s="3"/>
      <c r="B609" s="3"/>
      <c r="C609" s="3"/>
      <c r="D609" s="3"/>
      <c r="E609" s="3">
        <v>6</v>
      </c>
      <c r="F609" s="4" t="str">
        <f>HYPERLINK("http://141.218.60.56/~jnz1568/getInfo.php?workbook=20_10.xlsx&amp;sheet=U0&amp;row=609&amp;col=6&amp;number=3.5&amp;sourceID=14","3.5")</f>
        <v>3.5</v>
      </c>
      <c r="G609" s="4" t="str">
        <f>HYPERLINK("http://141.218.60.56/~jnz1568/getInfo.php?workbook=20_10.xlsx&amp;sheet=U0&amp;row=609&amp;col=7&amp;number=0.00245&amp;sourceID=14","0.00245")</f>
        <v>0.00245</v>
      </c>
    </row>
    <row r="610" spans="1:7">
      <c r="A610" s="3"/>
      <c r="B610" s="3"/>
      <c r="C610" s="3"/>
      <c r="D610" s="3"/>
      <c r="E610" s="3">
        <v>7</v>
      </c>
      <c r="F610" s="4" t="str">
        <f>HYPERLINK("http://141.218.60.56/~jnz1568/getInfo.php?workbook=20_10.xlsx&amp;sheet=U0&amp;row=610&amp;col=6&amp;number=3.6&amp;sourceID=14","3.6")</f>
        <v>3.6</v>
      </c>
      <c r="G610" s="4" t="str">
        <f>HYPERLINK("http://141.218.60.56/~jnz1568/getInfo.php?workbook=20_10.xlsx&amp;sheet=U0&amp;row=610&amp;col=7&amp;number=0.00245&amp;sourceID=14","0.00245")</f>
        <v>0.00245</v>
      </c>
    </row>
    <row r="611" spans="1:7">
      <c r="A611" s="3"/>
      <c r="B611" s="3"/>
      <c r="C611" s="3"/>
      <c r="D611" s="3"/>
      <c r="E611" s="3">
        <v>8</v>
      </c>
      <c r="F611" s="4" t="str">
        <f>HYPERLINK("http://141.218.60.56/~jnz1568/getInfo.php?workbook=20_10.xlsx&amp;sheet=U0&amp;row=611&amp;col=6&amp;number=3.7&amp;sourceID=14","3.7")</f>
        <v>3.7</v>
      </c>
      <c r="G611" s="4" t="str">
        <f>HYPERLINK("http://141.218.60.56/~jnz1568/getInfo.php?workbook=20_10.xlsx&amp;sheet=U0&amp;row=611&amp;col=7&amp;number=0.00245&amp;sourceID=14","0.00245")</f>
        <v>0.00245</v>
      </c>
    </row>
    <row r="612" spans="1:7">
      <c r="A612" s="3"/>
      <c r="B612" s="3"/>
      <c r="C612" s="3"/>
      <c r="D612" s="3"/>
      <c r="E612" s="3">
        <v>9</v>
      </c>
      <c r="F612" s="4" t="str">
        <f>HYPERLINK("http://141.218.60.56/~jnz1568/getInfo.php?workbook=20_10.xlsx&amp;sheet=U0&amp;row=612&amp;col=6&amp;number=3.8&amp;sourceID=14","3.8")</f>
        <v>3.8</v>
      </c>
      <c r="G612" s="4" t="str">
        <f>HYPERLINK("http://141.218.60.56/~jnz1568/getInfo.php?workbook=20_10.xlsx&amp;sheet=U0&amp;row=612&amp;col=7&amp;number=0.00245&amp;sourceID=14","0.00245")</f>
        <v>0.00245</v>
      </c>
    </row>
    <row r="613" spans="1:7">
      <c r="A613" s="3"/>
      <c r="B613" s="3"/>
      <c r="C613" s="3"/>
      <c r="D613" s="3"/>
      <c r="E613" s="3">
        <v>10</v>
      </c>
      <c r="F613" s="4" t="str">
        <f>HYPERLINK("http://141.218.60.56/~jnz1568/getInfo.php?workbook=20_10.xlsx&amp;sheet=U0&amp;row=613&amp;col=6&amp;number=3.9&amp;sourceID=14","3.9")</f>
        <v>3.9</v>
      </c>
      <c r="G613" s="4" t="str">
        <f>HYPERLINK("http://141.218.60.56/~jnz1568/getInfo.php?workbook=20_10.xlsx&amp;sheet=U0&amp;row=613&amp;col=7&amp;number=0.00245&amp;sourceID=14","0.00245")</f>
        <v>0.00245</v>
      </c>
    </row>
    <row r="614" spans="1:7">
      <c r="A614" s="3"/>
      <c r="B614" s="3"/>
      <c r="C614" s="3"/>
      <c r="D614" s="3"/>
      <c r="E614" s="3">
        <v>11</v>
      </c>
      <c r="F614" s="4" t="str">
        <f>HYPERLINK("http://141.218.60.56/~jnz1568/getInfo.php?workbook=20_10.xlsx&amp;sheet=U0&amp;row=614&amp;col=6&amp;number=4&amp;sourceID=14","4")</f>
        <v>4</v>
      </c>
      <c r="G614" s="4" t="str">
        <f>HYPERLINK("http://141.218.60.56/~jnz1568/getInfo.php?workbook=20_10.xlsx&amp;sheet=U0&amp;row=614&amp;col=7&amp;number=0.00245&amp;sourceID=14","0.00245")</f>
        <v>0.00245</v>
      </c>
    </row>
    <row r="615" spans="1:7">
      <c r="A615" s="3"/>
      <c r="B615" s="3"/>
      <c r="C615" s="3"/>
      <c r="D615" s="3"/>
      <c r="E615" s="3">
        <v>12</v>
      </c>
      <c r="F615" s="4" t="str">
        <f>HYPERLINK("http://141.218.60.56/~jnz1568/getInfo.php?workbook=20_10.xlsx&amp;sheet=U0&amp;row=615&amp;col=6&amp;number=4.1&amp;sourceID=14","4.1")</f>
        <v>4.1</v>
      </c>
      <c r="G615" s="4" t="str">
        <f>HYPERLINK("http://141.218.60.56/~jnz1568/getInfo.php?workbook=20_10.xlsx&amp;sheet=U0&amp;row=615&amp;col=7&amp;number=0.00245&amp;sourceID=14","0.00245")</f>
        <v>0.00245</v>
      </c>
    </row>
    <row r="616" spans="1:7">
      <c r="A616" s="3"/>
      <c r="B616" s="3"/>
      <c r="C616" s="3"/>
      <c r="D616" s="3"/>
      <c r="E616" s="3">
        <v>13</v>
      </c>
      <c r="F616" s="4" t="str">
        <f>HYPERLINK("http://141.218.60.56/~jnz1568/getInfo.php?workbook=20_10.xlsx&amp;sheet=U0&amp;row=616&amp;col=6&amp;number=4.2&amp;sourceID=14","4.2")</f>
        <v>4.2</v>
      </c>
      <c r="G616" s="4" t="str">
        <f>HYPERLINK("http://141.218.60.56/~jnz1568/getInfo.php?workbook=20_10.xlsx&amp;sheet=U0&amp;row=616&amp;col=7&amp;number=0.00244&amp;sourceID=14","0.00244")</f>
        <v>0.00244</v>
      </c>
    </row>
    <row r="617" spans="1:7">
      <c r="A617" s="3"/>
      <c r="B617" s="3"/>
      <c r="C617" s="3"/>
      <c r="D617" s="3"/>
      <c r="E617" s="3">
        <v>14</v>
      </c>
      <c r="F617" s="4" t="str">
        <f>HYPERLINK("http://141.218.60.56/~jnz1568/getInfo.php?workbook=20_10.xlsx&amp;sheet=U0&amp;row=617&amp;col=6&amp;number=4.3&amp;sourceID=14","4.3")</f>
        <v>4.3</v>
      </c>
      <c r="G617" s="4" t="str">
        <f>HYPERLINK("http://141.218.60.56/~jnz1568/getInfo.php?workbook=20_10.xlsx&amp;sheet=U0&amp;row=617&amp;col=7&amp;number=0.00244&amp;sourceID=14","0.00244")</f>
        <v>0.00244</v>
      </c>
    </row>
    <row r="618" spans="1:7">
      <c r="A618" s="3"/>
      <c r="B618" s="3"/>
      <c r="C618" s="3"/>
      <c r="D618" s="3"/>
      <c r="E618" s="3">
        <v>15</v>
      </c>
      <c r="F618" s="4" t="str">
        <f>HYPERLINK("http://141.218.60.56/~jnz1568/getInfo.php?workbook=20_10.xlsx&amp;sheet=U0&amp;row=618&amp;col=6&amp;number=4.4&amp;sourceID=14","4.4")</f>
        <v>4.4</v>
      </c>
      <c r="G618" s="4" t="str">
        <f>HYPERLINK("http://141.218.60.56/~jnz1568/getInfo.php?workbook=20_10.xlsx&amp;sheet=U0&amp;row=618&amp;col=7&amp;number=0.00244&amp;sourceID=14","0.00244")</f>
        <v>0.00244</v>
      </c>
    </row>
    <row r="619" spans="1:7">
      <c r="A619" s="3"/>
      <c r="B619" s="3"/>
      <c r="C619" s="3"/>
      <c r="D619" s="3"/>
      <c r="E619" s="3">
        <v>16</v>
      </c>
      <c r="F619" s="4" t="str">
        <f>HYPERLINK("http://141.218.60.56/~jnz1568/getInfo.php?workbook=20_10.xlsx&amp;sheet=U0&amp;row=619&amp;col=6&amp;number=4.5&amp;sourceID=14","4.5")</f>
        <v>4.5</v>
      </c>
      <c r="G619" s="4" t="str">
        <f>HYPERLINK("http://141.218.60.56/~jnz1568/getInfo.php?workbook=20_10.xlsx&amp;sheet=U0&amp;row=619&amp;col=7&amp;number=0.00244&amp;sourceID=14","0.00244")</f>
        <v>0.00244</v>
      </c>
    </row>
    <row r="620" spans="1:7">
      <c r="A620" s="3"/>
      <c r="B620" s="3"/>
      <c r="C620" s="3"/>
      <c r="D620" s="3"/>
      <c r="E620" s="3">
        <v>17</v>
      </c>
      <c r="F620" s="4" t="str">
        <f>HYPERLINK("http://141.218.60.56/~jnz1568/getInfo.php?workbook=20_10.xlsx&amp;sheet=U0&amp;row=620&amp;col=6&amp;number=4.6&amp;sourceID=14","4.6")</f>
        <v>4.6</v>
      </c>
      <c r="G620" s="4" t="str">
        <f>HYPERLINK("http://141.218.60.56/~jnz1568/getInfo.php?workbook=20_10.xlsx&amp;sheet=U0&amp;row=620&amp;col=7&amp;number=0.00244&amp;sourceID=14","0.00244")</f>
        <v>0.00244</v>
      </c>
    </row>
    <row r="621" spans="1:7">
      <c r="A621" s="3"/>
      <c r="B621" s="3"/>
      <c r="C621" s="3"/>
      <c r="D621" s="3"/>
      <c r="E621" s="3">
        <v>18</v>
      </c>
      <c r="F621" s="4" t="str">
        <f>HYPERLINK("http://141.218.60.56/~jnz1568/getInfo.php?workbook=20_10.xlsx&amp;sheet=U0&amp;row=621&amp;col=6&amp;number=4.7&amp;sourceID=14","4.7")</f>
        <v>4.7</v>
      </c>
      <c r="G621" s="4" t="str">
        <f>HYPERLINK("http://141.218.60.56/~jnz1568/getInfo.php?workbook=20_10.xlsx&amp;sheet=U0&amp;row=621&amp;col=7&amp;number=0.00243&amp;sourceID=14","0.00243")</f>
        <v>0.00243</v>
      </c>
    </row>
    <row r="622" spans="1:7">
      <c r="A622" s="3"/>
      <c r="B622" s="3"/>
      <c r="C622" s="3"/>
      <c r="D622" s="3"/>
      <c r="E622" s="3">
        <v>19</v>
      </c>
      <c r="F622" s="4" t="str">
        <f>HYPERLINK("http://141.218.60.56/~jnz1568/getInfo.php?workbook=20_10.xlsx&amp;sheet=U0&amp;row=622&amp;col=6&amp;number=4.8&amp;sourceID=14","4.8")</f>
        <v>4.8</v>
      </c>
      <c r="G622" s="4" t="str">
        <f>HYPERLINK("http://141.218.60.56/~jnz1568/getInfo.php?workbook=20_10.xlsx&amp;sheet=U0&amp;row=622&amp;col=7&amp;number=0.00243&amp;sourceID=14","0.00243")</f>
        <v>0.00243</v>
      </c>
    </row>
    <row r="623" spans="1:7">
      <c r="A623" s="3"/>
      <c r="B623" s="3"/>
      <c r="C623" s="3"/>
      <c r="D623" s="3"/>
      <c r="E623" s="3">
        <v>20</v>
      </c>
      <c r="F623" s="4" t="str">
        <f>HYPERLINK("http://141.218.60.56/~jnz1568/getInfo.php?workbook=20_10.xlsx&amp;sheet=U0&amp;row=623&amp;col=6&amp;number=4.9&amp;sourceID=14","4.9")</f>
        <v>4.9</v>
      </c>
      <c r="G623" s="4" t="str">
        <f>HYPERLINK("http://141.218.60.56/~jnz1568/getInfo.php?workbook=20_10.xlsx&amp;sheet=U0&amp;row=623&amp;col=7&amp;number=0.00242&amp;sourceID=14","0.00242")</f>
        <v>0.00242</v>
      </c>
    </row>
    <row r="624" spans="1:7">
      <c r="A624" s="3">
        <v>20</v>
      </c>
      <c r="B624" s="3">
        <v>10</v>
      </c>
      <c r="C624" s="3">
        <v>1</v>
      </c>
      <c r="D624" s="3">
        <v>33</v>
      </c>
      <c r="E624" s="3">
        <v>1</v>
      </c>
      <c r="F624" s="4" t="str">
        <f>HYPERLINK("http://141.218.60.56/~jnz1568/getInfo.php?workbook=20_10.xlsx&amp;sheet=U0&amp;row=624&amp;col=6&amp;number=3&amp;sourceID=14","3")</f>
        <v>3</v>
      </c>
      <c r="G624" s="4" t="str">
        <f>HYPERLINK("http://141.218.60.56/~jnz1568/getInfo.php?workbook=20_10.xlsx&amp;sheet=U0&amp;row=624&amp;col=7&amp;number=0.00375&amp;sourceID=14","0.00375")</f>
        <v>0.00375</v>
      </c>
    </row>
    <row r="625" spans="1:7">
      <c r="A625" s="3"/>
      <c r="B625" s="3"/>
      <c r="C625" s="3"/>
      <c r="D625" s="3"/>
      <c r="E625" s="3">
        <v>2</v>
      </c>
      <c r="F625" s="4" t="str">
        <f>HYPERLINK("http://141.218.60.56/~jnz1568/getInfo.php?workbook=20_10.xlsx&amp;sheet=U0&amp;row=625&amp;col=6&amp;number=3.1&amp;sourceID=14","3.1")</f>
        <v>3.1</v>
      </c>
      <c r="G625" s="4" t="str">
        <f>HYPERLINK("http://141.218.60.56/~jnz1568/getInfo.php?workbook=20_10.xlsx&amp;sheet=U0&amp;row=625&amp;col=7&amp;number=0.00375&amp;sourceID=14","0.00375")</f>
        <v>0.00375</v>
      </c>
    </row>
    <row r="626" spans="1:7">
      <c r="A626" s="3"/>
      <c r="B626" s="3"/>
      <c r="C626" s="3"/>
      <c r="D626" s="3"/>
      <c r="E626" s="3">
        <v>3</v>
      </c>
      <c r="F626" s="4" t="str">
        <f>HYPERLINK("http://141.218.60.56/~jnz1568/getInfo.php?workbook=20_10.xlsx&amp;sheet=U0&amp;row=626&amp;col=6&amp;number=3.2&amp;sourceID=14","3.2")</f>
        <v>3.2</v>
      </c>
      <c r="G626" s="4" t="str">
        <f>HYPERLINK("http://141.218.60.56/~jnz1568/getInfo.php?workbook=20_10.xlsx&amp;sheet=U0&amp;row=626&amp;col=7&amp;number=0.00375&amp;sourceID=14","0.00375")</f>
        <v>0.00375</v>
      </c>
    </row>
    <row r="627" spans="1:7">
      <c r="A627" s="3"/>
      <c r="B627" s="3"/>
      <c r="C627" s="3"/>
      <c r="D627" s="3"/>
      <c r="E627" s="3">
        <v>4</v>
      </c>
      <c r="F627" s="4" t="str">
        <f>HYPERLINK("http://141.218.60.56/~jnz1568/getInfo.php?workbook=20_10.xlsx&amp;sheet=U0&amp;row=627&amp;col=6&amp;number=3.3&amp;sourceID=14","3.3")</f>
        <v>3.3</v>
      </c>
      <c r="G627" s="4" t="str">
        <f>HYPERLINK("http://141.218.60.56/~jnz1568/getInfo.php?workbook=20_10.xlsx&amp;sheet=U0&amp;row=627&amp;col=7&amp;number=0.00375&amp;sourceID=14","0.00375")</f>
        <v>0.00375</v>
      </c>
    </row>
    <row r="628" spans="1:7">
      <c r="A628" s="3"/>
      <c r="B628" s="3"/>
      <c r="C628" s="3"/>
      <c r="D628" s="3"/>
      <c r="E628" s="3">
        <v>5</v>
      </c>
      <c r="F628" s="4" t="str">
        <f>HYPERLINK("http://141.218.60.56/~jnz1568/getInfo.php?workbook=20_10.xlsx&amp;sheet=U0&amp;row=628&amp;col=6&amp;number=3.4&amp;sourceID=14","3.4")</f>
        <v>3.4</v>
      </c>
      <c r="G628" s="4" t="str">
        <f>HYPERLINK("http://141.218.60.56/~jnz1568/getInfo.php?workbook=20_10.xlsx&amp;sheet=U0&amp;row=628&amp;col=7&amp;number=0.00375&amp;sourceID=14","0.00375")</f>
        <v>0.00375</v>
      </c>
    </row>
    <row r="629" spans="1:7">
      <c r="A629" s="3"/>
      <c r="B629" s="3"/>
      <c r="C629" s="3"/>
      <c r="D629" s="3"/>
      <c r="E629" s="3">
        <v>6</v>
      </c>
      <c r="F629" s="4" t="str">
        <f>HYPERLINK("http://141.218.60.56/~jnz1568/getInfo.php?workbook=20_10.xlsx&amp;sheet=U0&amp;row=629&amp;col=6&amp;number=3.5&amp;sourceID=14","3.5")</f>
        <v>3.5</v>
      </c>
      <c r="G629" s="4" t="str">
        <f>HYPERLINK("http://141.218.60.56/~jnz1568/getInfo.php?workbook=20_10.xlsx&amp;sheet=U0&amp;row=629&amp;col=7&amp;number=0.00375&amp;sourceID=14","0.00375")</f>
        <v>0.00375</v>
      </c>
    </row>
    <row r="630" spans="1:7">
      <c r="A630" s="3"/>
      <c r="B630" s="3"/>
      <c r="C630" s="3"/>
      <c r="D630" s="3"/>
      <c r="E630" s="3">
        <v>7</v>
      </c>
      <c r="F630" s="4" t="str">
        <f>HYPERLINK("http://141.218.60.56/~jnz1568/getInfo.php?workbook=20_10.xlsx&amp;sheet=U0&amp;row=630&amp;col=6&amp;number=3.6&amp;sourceID=14","3.6")</f>
        <v>3.6</v>
      </c>
      <c r="G630" s="4" t="str">
        <f>HYPERLINK("http://141.218.60.56/~jnz1568/getInfo.php?workbook=20_10.xlsx&amp;sheet=U0&amp;row=630&amp;col=7&amp;number=0.00375&amp;sourceID=14","0.00375")</f>
        <v>0.00375</v>
      </c>
    </row>
    <row r="631" spans="1:7">
      <c r="A631" s="3"/>
      <c r="B631" s="3"/>
      <c r="C631" s="3"/>
      <c r="D631" s="3"/>
      <c r="E631" s="3">
        <v>8</v>
      </c>
      <c r="F631" s="4" t="str">
        <f>HYPERLINK("http://141.218.60.56/~jnz1568/getInfo.php?workbook=20_10.xlsx&amp;sheet=U0&amp;row=631&amp;col=6&amp;number=3.7&amp;sourceID=14","3.7")</f>
        <v>3.7</v>
      </c>
      <c r="G631" s="4" t="str">
        <f>HYPERLINK("http://141.218.60.56/~jnz1568/getInfo.php?workbook=20_10.xlsx&amp;sheet=U0&amp;row=631&amp;col=7&amp;number=0.00375&amp;sourceID=14","0.00375")</f>
        <v>0.00375</v>
      </c>
    </row>
    <row r="632" spans="1:7">
      <c r="A632" s="3"/>
      <c r="B632" s="3"/>
      <c r="C632" s="3"/>
      <c r="D632" s="3"/>
      <c r="E632" s="3">
        <v>9</v>
      </c>
      <c r="F632" s="4" t="str">
        <f>HYPERLINK("http://141.218.60.56/~jnz1568/getInfo.php?workbook=20_10.xlsx&amp;sheet=U0&amp;row=632&amp;col=6&amp;number=3.8&amp;sourceID=14","3.8")</f>
        <v>3.8</v>
      </c>
      <c r="G632" s="4" t="str">
        <f>HYPERLINK("http://141.218.60.56/~jnz1568/getInfo.php?workbook=20_10.xlsx&amp;sheet=U0&amp;row=632&amp;col=7&amp;number=0.00375&amp;sourceID=14","0.00375")</f>
        <v>0.00375</v>
      </c>
    </row>
    <row r="633" spans="1:7">
      <c r="A633" s="3"/>
      <c r="B633" s="3"/>
      <c r="C633" s="3"/>
      <c r="D633" s="3"/>
      <c r="E633" s="3">
        <v>10</v>
      </c>
      <c r="F633" s="4" t="str">
        <f>HYPERLINK("http://141.218.60.56/~jnz1568/getInfo.php?workbook=20_10.xlsx&amp;sheet=U0&amp;row=633&amp;col=6&amp;number=3.9&amp;sourceID=14","3.9")</f>
        <v>3.9</v>
      </c>
      <c r="G633" s="4" t="str">
        <f>HYPERLINK("http://141.218.60.56/~jnz1568/getInfo.php?workbook=20_10.xlsx&amp;sheet=U0&amp;row=633&amp;col=7&amp;number=0.00376&amp;sourceID=14","0.00376")</f>
        <v>0.00376</v>
      </c>
    </row>
    <row r="634" spans="1:7">
      <c r="A634" s="3"/>
      <c r="B634" s="3"/>
      <c r="C634" s="3"/>
      <c r="D634" s="3"/>
      <c r="E634" s="3">
        <v>11</v>
      </c>
      <c r="F634" s="4" t="str">
        <f>HYPERLINK("http://141.218.60.56/~jnz1568/getInfo.php?workbook=20_10.xlsx&amp;sheet=U0&amp;row=634&amp;col=6&amp;number=4&amp;sourceID=14","4")</f>
        <v>4</v>
      </c>
      <c r="G634" s="4" t="str">
        <f>HYPERLINK("http://141.218.60.56/~jnz1568/getInfo.php?workbook=20_10.xlsx&amp;sheet=U0&amp;row=634&amp;col=7&amp;number=0.00376&amp;sourceID=14","0.00376")</f>
        <v>0.00376</v>
      </c>
    </row>
    <row r="635" spans="1:7">
      <c r="A635" s="3"/>
      <c r="B635" s="3"/>
      <c r="C635" s="3"/>
      <c r="D635" s="3"/>
      <c r="E635" s="3">
        <v>12</v>
      </c>
      <c r="F635" s="4" t="str">
        <f>HYPERLINK("http://141.218.60.56/~jnz1568/getInfo.php?workbook=20_10.xlsx&amp;sheet=U0&amp;row=635&amp;col=6&amp;number=4.1&amp;sourceID=14","4.1")</f>
        <v>4.1</v>
      </c>
      <c r="G635" s="4" t="str">
        <f>HYPERLINK("http://141.218.60.56/~jnz1568/getInfo.php?workbook=20_10.xlsx&amp;sheet=U0&amp;row=635&amp;col=7&amp;number=0.00376&amp;sourceID=14","0.00376")</f>
        <v>0.00376</v>
      </c>
    </row>
    <row r="636" spans="1:7">
      <c r="A636" s="3"/>
      <c r="B636" s="3"/>
      <c r="C636" s="3"/>
      <c r="D636" s="3"/>
      <c r="E636" s="3">
        <v>13</v>
      </c>
      <c r="F636" s="4" t="str">
        <f>HYPERLINK("http://141.218.60.56/~jnz1568/getInfo.php?workbook=20_10.xlsx&amp;sheet=U0&amp;row=636&amp;col=6&amp;number=4.2&amp;sourceID=14","4.2")</f>
        <v>4.2</v>
      </c>
      <c r="G636" s="4" t="str">
        <f>HYPERLINK("http://141.218.60.56/~jnz1568/getInfo.php?workbook=20_10.xlsx&amp;sheet=U0&amp;row=636&amp;col=7&amp;number=0.00376&amp;sourceID=14","0.00376")</f>
        <v>0.00376</v>
      </c>
    </row>
    <row r="637" spans="1:7">
      <c r="A637" s="3"/>
      <c r="B637" s="3"/>
      <c r="C637" s="3"/>
      <c r="D637" s="3"/>
      <c r="E637" s="3">
        <v>14</v>
      </c>
      <c r="F637" s="4" t="str">
        <f>HYPERLINK("http://141.218.60.56/~jnz1568/getInfo.php?workbook=20_10.xlsx&amp;sheet=U0&amp;row=637&amp;col=6&amp;number=4.3&amp;sourceID=14","4.3")</f>
        <v>4.3</v>
      </c>
      <c r="G637" s="4" t="str">
        <f>HYPERLINK("http://141.218.60.56/~jnz1568/getInfo.php?workbook=20_10.xlsx&amp;sheet=U0&amp;row=637&amp;col=7&amp;number=0.00377&amp;sourceID=14","0.00377")</f>
        <v>0.00377</v>
      </c>
    </row>
    <row r="638" spans="1:7">
      <c r="A638" s="3"/>
      <c r="B638" s="3"/>
      <c r="C638" s="3"/>
      <c r="D638" s="3"/>
      <c r="E638" s="3">
        <v>15</v>
      </c>
      <c r="F638" s="4" t="str">
        <f>HYPERLINK("http://141.218.60.56/~jnz1568/getInfo.php?workbook=20_10.xlsx&amp;sheet=U0&amp;row=638&amp;col=6&amp;number=4.4&amp;sourceID=14","4.4")</f>
        <v>4.4</v>
      </c>
      <c r="G638" s="4" t="str">
        <f>HYPERLINK("http://141.218.60.56/~jnz1568/getInfo.php?workbook=20_10.xlsx&amp;sheet=U0&amp;row=638&amp;col=7&amp;number=0.00377&amp;sourceID=14","0.00377")</f>
        <v>0.00377</v>
      </c>
    </row>
    <row r="639" spans="1:7">
      <c r="A639" s="3"/>
      <c r="B639" s="3"/>
      <c r="C639" s="3"/>
      <c r="D639" s="3"/>
      <c r="E639" s="3">
        <v>16</v>
      </c>
      <c r="F639" s="4" t="str">
        <f>HYPERLINK("http://141.218.60.56/~jnz1568/getInfo.php?workbook=20_10.xlsx&amp;sheet=U0&amp;row=639&amp;col=6&amp;number=4.5&amp;sourceID=14","4.5")</f>
        <v>4.5</v>
      </c>
      <c r="G639" s="4" t="str">
        <f>HYPERLINK("http://141.218.60.56/~jnz1568/getInfo.php?workbook=20_10.xlsx&amp;sheet=U0&amp;row=639&amp;col=7&amp;number=0.00378&amp;sourceID=14","0.00378")</f>
        <v>0.00378</v>
      </c>
    </row>
    <row r="640" spans="1:7">
      <c r="A640" s="3"/>
      <c r="B640" s="3"/>
      <c r="C640" s="3"/>
      <c r="D640" s="3"/>
      <c r="E640" s="3">
        <v>17</v>
      </c>
      <c r="F640" s="4" t="str">
        <f>HYPERLINK("http://141.218.60.56/~jnz1568/getInfo.php?workbook=20_10.xlsx&amp;sheet=U0&amp;row=640&amp;col=6&amp;number=4.6&amp;sourceID=14","4.6")</f>
        <v>4.6</v>
      </c>
      <c r="G640" s="4" t="str">
        <f>HYPERLINK("http://141.218.60.56/~jnz1568/getInfo.php?workbook=20_10.xlsx&amp;sheet=U0&amp;row=640&amp;col=7&amp;number=0.00379&amp;sourceID=14","0.00379")</f>
        <v>0.00379</v>
      </c>
    </row>
    <row r="641" spans="1:7">
      <c r="A641" s="3"/>
      <c r="B641" s="3"/>
      <c r="C641" s="3"/>
      <c r="D641" s="3"/>
      <c r="E641" s="3">
        <v>18</v>
      </c>
      <c r="F641" s="4" t="str">
        <f>HYPERLINK("http://141.218.60.56/~jnz1568/getInfo.php?workbook=20_10.xlsx&amp;sheet=U0&amp;row=641&amp;col=6&amp;number=4.7&amp;sourceID=14","4.7")</f>
        <v>4.7</v>
      </c>
      <c r="G641" s="4" t="str">
        <f>HYPERLINK("http://141.218.60.56/~jnz1568/getInfo.php?workbook=20_10.xlsx&amp;sheet=U0&amp;row=641&amp;col=7&amp;number=0.0038&amp;sourceID=14","0.0038")</f>
        <v>0.0038</v>
      </c>
    </row>
    <row r="642" spans="1:7">
      <c r="A642" s="3"/>
      <c r="B642" s="3"/>
      <c r="C642" s="3"/>
      <c r="D642" s="3"/>
      <c r="E642" s="3">
        <v>19</v>
      </c>
      <c r="F642" s="4" t="str">
        <f>HYPERLINK("http://141.218.60.56/~jnz1568/getInfo.php?workbook=20_10.xlsx&amp;sheet=U0&amp;row=642&amp;col=6&amp;number=4.8&amp;sourceID=14","4.8")</f>
        <v>4.8</v>
      </c>
      <c r="G642" s="4" t="str">
        <f>HYPERLINK("http://141.218.60.56/~jnz1568/getInfo.php?workbook=20_10.xlsx&amp;sheet=U0&amp;row=642&amp;col=7&amp;number=0.00382&amp;sourceID=14","0.00382")</f>
        <v>0.00382</v>
      </c>
    </row>
    <row r="643" spans="1:7">
      <c r="A643" s="3"/>
      <c r="B643" s="3"/>
      <c r="C643" s="3"/>
      <c r="D643" s="3"/>
      <c r="E643" s="3">
        <v>20</v>
      </c>
      <c r="F643" s="4" t="str">
        <f>HYPERLINK("http://141.218.60.56/~jnz1568/getInfo.php?workbook=20_10.xlsx&amp;sheet=U0&amp;row=643&amp;col=6&amp;number=4.9&amp;sourceID=14","4.9")</f>
        <v>4.9</v>
      </c>
      <c r="G643" s="4" t="str">
        <f>HYPERLINK("http://141.218.60.56/~jnz1568/getInfo.php?workbook=20_10.xlsx&amp;sheet=U0&amp;row=643&amp;col=7&amp;number=0.00384&amp;sourceID=14","0.00384")</f>
        <v>0.00384</v>
      </c>
    </row>
    <row r="644" spans="1:7">
      <c r="A644" s="3">
        <v>20</v>
      </c>
      <c r="B644" s="3">
        <v>10</v>
      </c>
      <c r="C644" s="3">
        <v>1</v>
      </c>
      <c r="D644" s="3">
        <v>34</v>
      </c>
      <c r="E644" s="3">
        <v>1</v>
      </c>
      <c r="F644" s="4" t="str">
        <f>HYPERLINK("http://141.218.60.56/~jnz1568/getInfo.php?workbook=20_10.xlsx&amp;sheet=U0&amp;row=644&amp;col=6&amp;number=3&amp;sourceID=14","3")</f>
        <v>3</v>
      </c>
      <c r="G644" s="4" t="str">
        <f>HYPERLINK("http://141.218.60.56/~jnz1568/getInfo.php?workbook=20_10.xlsx&amp;sheet=U0&amp;row=644&amp;col=7&amp;number=0.00109&amp;sourceID=14","0.00109")</f>
        <v>0.00109</v>
      </c>
    </row>
    <row r="645" spans="1:7">
      <c r="A645" s="3"/>
      <c r="B645" s="3"/>
      <c r="C645" s="3"/>
      <c r="D645" s="3"/>
      <c r="E645" s="3">
        <v>2</v>
      </c>
      <c r="F645" s="4" t="str">
        <f>HYPERLINK("http://141.218.60.56/~jnz1568/getInfo.php?workbook=20_10.xlsx&amp;sheet=U0&amp;row=645&amp;col=6&amp;number=3.1&amp;sourceID=14","3.1")</f>
        <v>3.1</v>
      </c>
      <c r="G645" s="4" t="str">
        <f>HYPERLINK("http://141.218.60.56/~jnz1568/getInfo.php?workbook=20_10.xlsx&amp;sheet=U0&amp;row=645&amp;col=7&amp;number=0.00109&amp;sourceID=14","0.00109")</f>
        <v>0.00109</v>
      </c>
    </row>
    <row r="646" spans="1:7">
      <c r="A646" s="3"/>
      <c r="B646" s="3"/>
      <c r="C646" s="3"/>
      <c r="D646" s="3"/>
      <c r="E646" s="3">
        <v>3</v>
      </c>
      <c r="F646" s="4" t="str">
        <f>HYPERLINK("http://141.218.60.56/~jnz1568/getInfo.php?workbook=20_10.xlsx&amp;sheet=U0&amp;row=646&amp;col=6&amp;number=3.2&amp;sourceID=14","3.2")</f>
        <v>3.2</v>
      </c>
      <c r="G646" s="4" t="str">
        <f>HYPERLINK("http://141.218.60.56/~jnz1568/getInfo.php?workbook=20_10.xlsx&amp;sheet=U0&amp;row=646&amp;col=7&amp;number=0.00109&amp;sourceID=14","0.00109")</f>
        <v>0.00109</v>
      </c>
    </row>
    <row r="647" spans="1:7">
      <c r="A647" s="3"/>
      <c r="B647" s="3"/>
      <c r="C647" s="3"/>
      <c r="D647" s="3"/>
      <c r="E647" s="3">
        <v>4</v>
      </c>
      <c r="F647" s="4" t="str">
        <f>HYPERLINK("http://141.218.60.56/~jnz1568/getInfo.php?workbook=20_10.xlsx&amp;sheet=U0&amp;row=647&amp;col=6&amp;number=3.3&amp;sourceID=14","3.3")</f>
        <v>3.3</v>
      </c>
      <c r="G647" s="4" t="str">
        <f>HYPERLINK("http://141.218.60.56/~jnz1568/getInfo.php?workbook=20_10.xlsx&amp;sheet=U0&amp;row=647&amp;col=7&amp;number=0.00109&amp;sourceID=14","0.00109")</f>
        <v>0.00109</v>
      </c>
    </row>
    <row r="648" spans="1:7">
      <c r="A648" s="3"/>
      <c r="B648" s="3"/>
      <c r="C648" s="3"/>
      <c r="D648" s="3"/>
      <c r="E648" s="3">
        <v>5</v>
      </c>
      <c r="F648" s="4" t="str">
        <f>HYPERLINK("http://141.218.60.56/~jnz1568/getInfo.php?workbook=20_10.xlsx&amp;sheet=U0&amp;row=648&amp;col=6&amp;number=3.4&amp;sourceID=14","3.4")</f>
        <v>3.4</v>
      </c>
      <c r="G648" s="4" t="str">
        <f>HYPERLINK("http://141.218.60.56/~jnz1568/getInfo.php?workbook=20_10.xlsx&amp;sheet=U0&amp;row=648&amp;col=7&amp;number=0.00109&amp;sourceID=14","0.00109")</f>
        <v>0.00109</v>
      </c>
    </row>
    <row r="649" spans="1:7">
      <c r="A649" s="3"/>
      <c r="B649" s="3"/>
      <c r="C649" s="3"/>
      <c r="D649" s="3"/>
      <c r="E649" s="3">
        <v>6</v>
      </c>
      <c r="F649" s="4" t="str">
        <f>HYPERLINK("http://141.218.60.56/~jnz1568/getInfo.php?workbook=20_10.xlsx&amp;sheet=U0&amp;row=649&amp;col=6&amp;number=3.5&amp;sourceID=14","3.5")</f>
        <v>3.5</v>
      </c>
      <c r="G649" s="4" t="str">
        <f>HYPERLINK("http://141.218.60.56/~jnz1568/getInfo.php?workbook=20_10.xlsx&amp;sheet=U0&amp;row=649&amp;col=7&amp;number=0.00109&amp;sourceID=14","0.00109")</f>
        <v>0.00109</v>
      </c>
    </row>
    <row r="650" spans="1:7">
      <c r="A650" s="3"/>
      <c r="B650" s="3"/>
      <c r="C650" s="3"/>
      <c r="D650" s="3"/>
      <c r="E650" s="3">
        <v>7</v>
      </c>
      <c r="F650" s="4" t="str">
        <f>HYPERLINK("http://141.218.60.56/~jnz1568/getInfo.php?workbook=20_10.xlsx&amp;sheet=U0&amp;row=650&amp;col=6&amp;number=3.6&amp;sourceID=14","3.6")</f>
        <v>3.6</v>
      </c>
      <c r="G650" s="4" t="str">
        <f>HYPERLINK("http://141.218.60.56/~jnz1568/getInfo.php?workbook=20_10.xlsx&amp;sheet=U0&amp;row=650&amp;col=7&amp;number=0.00109&amp;sourceID=14","0.00109")</f>
        <v>0.00109</v>
      </c>
    </row>
    <row r="651" spans="1:7">
      <c r="A651" s="3"/>
      <c r="B651" s="3"/>
      <c r="C651" s="3"/>
      <c r="D651" s="3"/>
      <c r="E651" s="3">
        <v>8</v>
      </c>
      <c r="F651" s="4" t="str">
        <f>HYPERLINK("http://141.218.60.56/~jnz1568/getInfo.php?workbook=20_10.xlsx&amp;sheet=U0&amp;row=651&amp;col=6&amp;number=3.7&amp;sourceID=14","3.7")</f>
        <v>3.7</v>
      </c>
      <c r="G651" s="4" t="str">
        <f>HYPERLINK("http://141.218.60.56/~jnz1568/getInfo.php?workbook=20_10.xlsx&amp;sheet=U0&amp;row=651&amp;col=7&amp;number=0.00109&amp;sourceID=14","0.00109")</f>
        <v>0.00109</v>
      </c>
    </row>
    <row r="652" spans="1:7">
      <c r="A652" s="3"/>
      <c r="B652" s="3"/>
      <c r="C652" s="3"/>
      <c r="D652" s="3"/>
      <c r="E652" s="3">
        <v>9</v>
      </c>
      <c r="F652" s="4" t="str">
        <f>HYPERLINK("http://141.218.60.56/~jnz1568/getInfo.php?workbook=20_10.xlsx&amp;sheet=U0&amp;row=652&amp;col=6&amp;number=3.8&amp;sourceID=14","3.8")</f>
        <v>3.8</v>
      </c>
      <c r="G652" s="4" t="str">
        <f>HYPERLINK("http://141.218.60.56/~jnz1568/getInfo.php?workbook=20_10.xlsx&amp;sheet=U0&amp;row=652&amp;col=7&amp;number=0.00109&amp;sourceID=14","0.00109")</f>
        <v>0.00109</v>
      </c>
    </row>
    <row r="653" spans="1:7">
      <c r="A653" s="3"/>
      <c r="B653" s="3"/>
      <c r="C653" s="3"/>
      <c r="D653" s="3"/>
      <c r="E653" s="3">
        <v>10</v>
      </c>
      <c r="F653" s="4" t="str">
        <f>HYPERLINK("http://141.218.60.56/~jnz1568/getInfo.php?workbook=20_10.xlsx&amp;sheet=U0&amp;row=653&amp;col=6&amp;number=3.9&amp;sourceID=14","3.9")</f>
        <v>3.9</v>
      </c>
      <c r="G653" s="4" t="str">
        <f>HYPERLINK("http://141.218.60.56/~jnz1568/getInfo.php?workbook=20_10.xlsx&amp;sheet=U0&amp;row=653&amp;col=7&amp;number=0.00109&amp;sourceID=14","0.00109")</f>
        <v>0.00109</v>
      </c>
    </row>
    <row r="654" spans="1:7">
      <c r="A654" s="3"/>
      <c r="B654" s="3"/>
      <c r="C654" s="3"/>
      <c r="D654" s="3"/>
      <c r="E654" s="3">
        <v>11</v>
      </c>
      <c r="F654" s="4" t="str">
        <f>HYPERLINK("http://141.218.60.56/~jnz1568/getInfo.php?workbook=20_10.xlsx&amp;sheet=U0&amp;row=654&amp;col=6&amp;number=4&amp;sourceID=14","4")</f>
        <v>4</v>
      </c>
      <c r="G654" s="4" t="str">
        <f>HYPERLINK("http://141.218.60.56/~jnz1568/getInfo.php?workbook=20_10.xlsx&amp;sheet=U0&amp;row=654&amp;col=7&amp;number=0.00109&amp;sourceID=14","0.00109")</f>
        <v>0.00109</v>
      </c>
    </row>
    <row r="655" spans="1:7">
      <c r="A655" s="3"/>
      <c r="B655" s="3"/>
      <c r="C655" s="3"/>
      <c r="D655" s="3"/>
      <c r="E655" s="3">
        <v>12</v>
      </c>
      <c r="F655" s="4" t="str">
        <f>HYPERLINK("http://141.218.60.56/~jnz1568/getInfo.php?workbook=20_10.xlsx&amp;sheet=U0&amp;row=655&amp;col=6&amp;number=4.1&amp;sourceID=14","4.1")</f>
        <v>4.1</v>
      </c>
      <c r="G655" s="4" t="str">
        <f>HYPERLINK("http://141.218.60.56/~jnz1568/getInfo.php?workbook=20_10.xlsx&amp;sheet=U0&amp;row=655&amp;col=7&amp;number=0.00109&amp;sourceID=14","0.00109")</f>
        <v>0.00109</v>
      </c>
    </row>
    <row r="656" spans="1:7">
      <c r="A656" s="3"/>
      <c r="B656" s="3"/>
      <c r="C656" s="3"/>
      <c r="D656" s="3"/>
      <c r="E656" s="3">
        <v>13</v>
      </c>
      <c r="F656" s="4" t="str">
        <f>HYPERLINK("http://141.218.60.56/~jnz1568/getInfo.php?workbook=20_10.xlsx&amp;sheet=U0&amp;row=656&amp;col=6&amp;number=4.2&amp;sourceID=14","4.2")</f>
        <v>4.2</v>
      </c>
      <c r="G656" s="4" t="str">
        <f>HYPERLINK("http://141.218.60.56/~jnz1568/getInfo.php?workbook=20_10.xlsx&amp;sheet=U0&amp;row=656&amp;col=7&amp;number=0.00109&amp;sourceID=14","0.00109")</f>
        <v>0.00109</v>
      </c>
    </row>
    <row r="657" spans="1:7">
      <c r="A657" s="3"/>
      <c r="B657" s="3"/>
      <c r="C657" s="3"/>
      <c r="D657" s="3"/>
      <c r="E657" s="3">
        <v>14</v>
      </c>
      <c r="F657" s="4" t="str">
        <f>HYPERLINK("http://141.218.60.56/~jnz1568/getInfo.php?workbook=20_10.xlsx&amp;sheet=U0&amp;row=657&amp;col=6&amp;number=4.3&amp;sourceID=14","4.3")</f>
        <v>4.3</v>
      </c>
      <c r="G657" s="4" t="str">
        <f>HYPERLINK("http://141.218.60.56/~jnz1568/getInfo.php?workbook=20_10.xlsx&amp;sheet=U0&amp;row=657&amp;col=7&amp;number=0.00109&amp;sourceID=14","0.00109")</f>
        <v>0.00109</v>
      </c>
    </row>
    <row r="658" spans="1:7">
      <c r="A658" s="3"/>
      <c r="B658" s="3"/>
      <c r="C658" s="3"/>
      <c r="D658" s="3"/>
      <c r="E658" s="3">
        <v>15</v>
      </c>
      <c r="F658" s="4" t="str">
        <f>HYPERLINK("http://141.218.60.56/~jnz1568/getInfo.php?workbook=20_10.xlsx&amp;sheet=U0&amp;row=658&amp;col=6&amp;number=4.4&amp;sourceID=14","4.4")</f>
        <v>4.4</v>
      </c>
      <c r="G658" s="4" t="str">
        <f>HYPERLINK("http://141.218.60.56/~jnz1568/getInfo.php?workbook=20_10.xlsx&amp;sheet=U0&amp;row=658&amp;col=7&amp;number=0.00109&amp;sourceID=14","0.00109")</f>
        <v>0.00109</v>
      </c>
    </row>
    <row r="659" spans="1:7">
      <c r="A659" s="3"/>
      <c r="B659" s="3"/>
      <c r="C659" s="3"/>
      <c r="D659" s="3"/>
      <c r="E659" s="3">
        <v>16</v>
      </c>
      <c r="F659" s="4" t="str">
        <f>HYPERLINK("http://141.218.60.56/~jnz1568/getInfo.php?workbook=20_10.xlsx&amp;sheet=U0&amp;row=659&amp;col=6&amp;number=4.5&amp;sourceID=14","4.5")</f>
        <v>4.5</v>
      </c>
      <c r="G659" s="4" t="str">
        <f>HYPERLINK("http://141.218.60.56/~jnz1568/getInfo.php?workbook=20_10.xlsx&amp;sheet=U0&amp;row=659&amp;col=7&amp;number=0.00109&amp;sourceID=14","0.00109")</f>
        <v>0.00109</v>
      </c>
    </row>
    <row r="660" spans="1:7">
      <c r="A660" s="3"/>
      <c r="B660" s="3"/>
      <c r="C660" s="3"/>
      <c r="D660" s="3"/>
      <c r="E660" s="3">
        <v>17</v>
      </c>
      <c r="F660" s="4" t="str">
        <f>HYPERLINK("http://141.218.60.56/~jnz1568/getInfo.php?workbook=20_10.xlsx&amp;sheet=U0&amp;row=660&amp;col=6&amp;number=4.6&amp;sourceID=14","4.6")</f>
        <v>4.6</v>
      </c>
      <c r="G660" s="4" t="str">
        <f>HYPERLINK("http://141.218.60.56/~jnz1568/getInfo.php?workbook=20_10.xlsx&amp;sheet=U0&amp;row=660&amp;col=7&amp;number=0.00108&amp;sourceID=14","0.00108")</f>
        <v>0.00108</v>
      </c>
    </row>
    <row r="661" spans="1:7">
      <c r="A661" s="3"/>
      <c r="B661" s="3"/>
      <c r="C661" s="3"/>
      <c r="D661" s="3"/>
      <c r="E661" s="3">
        <v>18</v>
      </c>
      <c r="F661" s="4" t="str">
        <f>HYPERLINK("http://141.218.60.56/~jnz1568/getInfo.php?workbook=20_10.xlsx&amp;sheet=U0&amp;row=661&amp;col=6&amp;number=4.7&amp;sourceID=14","4.7")</f>
        <v>4.7</v>
      </c>
      <c r="G661" s="4" t="str">
        <f>HYPERLINK("http://141.218.60.56/~jnz1568/getInfo.php?workbook=20_10.xlsx&amp;sheet=U0&amp;row=661&amp;col=7&amp;number=0.00108&amp;sourceID=14","0.00108")</f>
        <v>0.00108</v>
      </c>
    </row>
    <row r="662" spans="1:7">
      <c r="A662" s="3"/>
      <c r="B662" s="3"/>
      <c r="C662" s="3"/>
      <c r="D662" s="3"/>
      <c r="E662" s="3">
        <v>19</v>
      </c>
      <c r="F662" s="4" t="str">
        <f>HYPERLINK("http://141.218.60.56/~jnz1568/getInfo.php?workbook=20_10.xlsx&amp;sheet=U0&amp;row=662&amp;col=6&amp;number=4.8&amp;sourceID=14","4.8")</f>
        <v>4.8</v>
      </c>
      <c r="G662" s="4" t="str">
        <f>HYPERLINK("http://141.218.60.56/~jnz1568/getInfo.php?workbook=20_10.xlsx&amp;sheet=U0&amp;row=662&amp;col=7&amp;number=0.00108&amp;sourceID=14","0.00108")</f>
        <v>0.00108</v>
      </c>
    </row>
    <row r="663" spans="1:7">
      <c r="A663" s="3"/>
      <c r="B663" s="3"/>
      <c r="C663" s="3"/>
      <c r="D663" s="3"/>
      <c r="E663" s="3">
        <v>20</v>
      </c>
      <c r="F663" s="4" t="str">
        <f>HYPERLINK("http://141.218.60.56/~jnz1568/getInfo.php?workbook=20_10.xlsx&amp;sheet=U0&amp;row=663&amp;col=6&amp;number=4.9&amp;sourceID=14","4.9")</f>
        <v>4.9</v>
      </c>
      <c r="G663" s="4" t="str">
        <f>HYPERLINK("http://141.218.60.56/~jnz1568/getInfo.php?workbook=20_10.xlsx&amp;sheet=U0&amp;row=663&amp;col=7&amp;number=0.00108&amp;sourceID=14","0.00108")</f>
        <v>0.00108</v>
      </c>
    </row>
    <row r="664" spans="1:7">
      <c r="A664" s="3">
        <v>20</v>
      </c>
      <c r="B664" s="3">
        <v>10</v>
      </c>
      <c r="C664" s="3">
        <v>1</v>
      </c>
      <c r="D664" s="3">
        <v>35</v>
      </c>
      <c r="E664" s="3">
        <v>1</v>
      </c>
      <c r="F664" s="4" t="str">
        <f>HYPERLINK("http://141.218.60.56/~jnz1568/getInfo.php?workbook=20_10.xlsx&amp;sheet=U0&amp;row=664&amp;col=6&amp;number=3&amp;sourceID=14","3")</f>
        <v>3</v>
      </c>
      <c r="G664" s="4" t="str">
        <f>HYPERLINK("http://141.218.60.56/~jnz1568/getInfo.php?workbook=20_10.xlsx&amp;sheet=U0&amp;row=664&amp;col=7&amp;number=0.000716&amp;sourceID=14","0.000716")</f>
        <v>0.000716</v>
      </c>
    </row>
    <row r="665" spans="1:7">
      <c r="A665" s="3"/>
      <c r="B665" s="3"/>
      <c r="C665" s="3"/>
      <c r="D665" s="3"/>
      <c r="E665" s="3">
        <v>2</v>
      </c>
      <c r="F665" s="4" t="str">
        <f>HYPERLINK("http://141.218.60.56/~jnz1568/getInfo.php?workbook=20_10.xlsx&amp;sheet=U0&amp;row=665&amp;col=6&amp;number=3.1&amp;sourceID=14","3.1")</f>
        <v>3.1</v>
      </c>
      <c r="G665" s="4" t="str">
        <f>HYPERLINK("http://141.218.60.56/~jnz1568/getInfo.php?workbook=20_10.xlsx&amp;sheet=U0&amp;row=665&amp;col=7&amp;number=0.000716&amp;sourceID=14","0.000716")</f>
        <v>0.000716</v>
      </c>
    </row>
    <row r="666" spans="1:7">
      <c r="A666" s="3"/>
      <c r="B666" s="3"/>
      <c r="C666" s="3"/>
      <c r="D666" s="3"/>
      <c r="E666" s="3">
        <v>3</v>
      </c>
      <c r="F666" s="4" t="str">
        <f>HYPERLINK("http://141.218.60.56/~jnz1568/getInfo.php?workbook=20_10.xlsx&amp;sheet=U0&amp;row=666&amp;col=6&amp;number=3.2&amp;sourceID=14","3.2")</f>
        <v>3.2</v>
      </c>
      <c r="G666" s="4" t="str">
        <f>HYPERLINK("http://141.218.60.56/~jnz1568/getInfo.php?workbook=20_10.xlsx&amp;sheet=U0&amp;row=666&amp;col=7&amp;number=0.000716&amp;sourceID=14","0.000716")</f>
        <v>0.000716</v>
      </c>
    </row>
    <row r="667" spans="1:7">
      <c r="A667" s="3"/>
      <c r="B667" s="3"/>
      <c r="C667" s="3"/>
      <c r="D667" s="3"/>
      <c r="E667" s="3">
        <v>4</v>
      </c>
      <c r="F667" s="4" t="str">
        <f>HYPERLINK("http://141.218.60.56/~jnz1568/getInfo.php?workbook=20_10.xlsx&amp;sheet=U0&amp;row=667&amp;col=6&amp;number=3.3&amp;sourceID=14","3.3")</f>
        <v>3.3</v>
      </c>
      <c r="G667" s="4" t="str">
        <f>HYPERLINK("http://141.218.60.56/~jnz1568/getInfo.php?workbook=20_10.xlsx&amp;sheet=U0&amp;row=667&amp;col=7&amp;number=0.000716&amp;sourceID=14","0.000716")</f>
        <v>0.000716</v>
      </c>
    </row>
    <row r="668" spans="1:7">
      <c r="A668" s="3"/>
      <c r="B668" s="3"/>
      <c r="C668" s="3"/>
      <c r="D668" s="3"/>
      <c r="E668" s="3">
        <v>5</v>
      </c>
      <c r="F668" s="4" t="str">
        <f>HYPERLINK("http://141.218.60.56/~jnz1568/getInfo.php?workbook=20_10.xlsx&amp;sheet=U0&amp;row=668&amp;col=6&amp;number=3.4&amp;sourceID=14","3.4")</f>
        <v>3.4</v>
      </c>
      <c r="G668" s="4" t="str">
        <f>HYPERLINK("http://141.218.60.56/~jnz1568/getInfo.php?workbook=20_10.xlsx&amp;sheet=U0&amp;row=668&amp;col=7&amp;number=0.000716&amp;sourceID=14","0.000716")</f>
        <v>0.000716</v>
      </c>
    </row>
    <row r="669" spans="1:7">
      <c r="A669" s="3"/>
      <c r="B669" s="3"/>
      <c r="C669" s="3"/>
      <c r="D669" s="3"/>
      <c r="E669" s="3">
        <v>6</v>
      </c>
      <c r="F669" s="4" t="str">
        <f>HYPERLINK("http://141.218.60.56/~jnz1568/getInfo.php?workbook=20_10.xlsx&amp;sheet=U0&amp;row=669&amp;col=6&amp;number=3.5&amp;sourceID=14","3.5")</f>
        <v>3.5</v>
      </c>
      <c r="G669" s="4" t="str">
        <f>HYPERLINK("http://141.218.60.56/~jnz1568/getInfo.php?workbook=20_10.xlsx&amp;sheet=U0&amp;row=669&amp;col=7&amp;number=0.000716&amp;sourceID=14","0.000716")</f>
        <v>0.000716</v>
      </c>
    </row>
    <row r="670" spans="1:7">
      <c r="A670" s="3"/>
      <c r="B670" s="3"/>
      <c r="C670" s="3"/>
      <c r="D670" s="3"/>
      <c r="E670" s="3">
        <v>7</v>
      </c>
      <c r="F670" s="4" t="str">
        <f>HYPERLINK("http://141.218.60.56/~jnz1568/getInfo.php?workbook=20_10.xlsx&amp;sheet=U0&amp;row=670&amp;col=6&amp;number=3.6&amp;sourceID=14","3.6")</f>
        <v>3.6</v>
      </c>
      <c r="G670" s="4" t="str">
        <f>HYPERLINK("http://141.218.60.56/~jnz1568/getInfo.php?workbook=20_10.xlsx&amp;sheet=U0&amp;row=670&amp;col=7&amp;number=0.000716&amp;sourceID=14","0.000716")</f>
        <v>0.000716</v>
      </c>
    </row>
    <row r="671" spans="1:7">
      <c r="A671" s="3"/>
      <c r="B671" s="3"/>
      <c r="C671" s="3"/>
      <c r="D671" s="3"/>
      <c r="E671" s="3">
        <v>8</v>
      </c>
      <c r="F671" s="4" t="str">
        <f>HYPERLINK("http://141.218.60.56/~jnz1568/getInfo.php?workbook=20_10.xlsx&amp;sheet=U0&amp;row=671&amp;col=6&amp;number=3.7&amp;sourceID=14","3.7")</f>
        <v>3.7</v>
      </c>
      <c r="G671" s="4" t="str">
        <f>HYPERLINK("http://141.218.60.56/~jnz1568/getInfo.php?workbook=20_10.xlsx&amp;sheet=U0&amp;row=671&amp;col=7&amp;number=0.000716&amp;sourceID=14","0.000716")</f>
        <v>0.000716</v>
      </c>
    </row>
    <row r="672" spans="1:7">
      <c r="A672" s="3"/>
      <c r="B672" s="3"/>
      <c r="C672" s="3"/>
      <c r="D672" s="3"/>
      <c r="E672" s="3">
        <v>9</v>
      </c>
      <c r="F672" s="4" t="str">
        <f>HYPERLINK("http://141.218.60.56/~jnz1568/getInfo.php?workbook=20_10.xlsx&amp;sheet=U0&amp;row=672&amp;col=6&amp;number=3.8&amp;sourceID=14","3.8")</f>
        <v>3.8</v>
      </c>
      <c r="G672" s="4" t="str">
        <f>HYPERLINK("http://141.218.60.56/~jnz1568/getInfo.php?workbook=20_10.xlsx&amp;sheet=U0&amp;row=672&amp;col=7&amp;number=0.000716&amp;sourceID=14","0.000716")</f>
        <v>0.000716</v>
      </c>
    </row>
    <row r="673" spans="1:7">
      <c r="A673" s="3"/>
      <c r="B673" s="3"/>
      <c r="C673" s="3"/>
      <c r="D673" s="3"/>
      <c r="E673" s="3">
        <v>10</v>
      </c>
      <c r="F673" s="4" t="str">
        <f>HYPERLINK("http://141.218.60.56/~jnz1568/getInfo.php?workbook=20_10.xlsx&amp;sheet=U0&amp;row=673&amp;col=6&amp;number=3.9&amp;sourceID=14","3.9")</f>
        <v>3.9</v>
      </c>
      <c r="G673" s="4" t="str">
        <f>HYPERLINK("http://141.218.60.56/~jnz1568/getInfo.php?workbook=20_10.xlsx&amp;sheet=U0&amp;row=673&amp;col=7&amp;number=0.000716&amp;sourceID=14","0.000716")</f>
        <v>0.000716</v>
      </c>
    </row>
    <row r="674" spans="1:7">
      <c r="A674" s="3"/>
      <c r="B674" s="3"/>
      <c r="C674" s="3"/>
      <c r="D674" s="3"/>
      <c r="E674" s="3">
        <v>11</v>
      </c>
      <c r="F674" s="4" t="str">
        <f>HYPERLINK("http://141.218.60.56/~jnz1568/getInfo.php?workbook=20_10.xlsx&amp;sheet=U0&amp;row=674&amp;col=6&amp;number=4&amp;sourceID=14","4")</f>
        <v>4</v>
      </c>
      <c r="G674" s="4" t="str">
        <f>HYPERLINK("http://141.218.60.56/~jnz1568/getInfo.php?workbook=20_10.xlsx&amp;sheet=U0&amp;row=674&amp;col=7&amp;number=0.000717&amp;sourceID=14","0.000717")</f>
        <v>0.000717</v>
      </c>
    </row>
    <row r="675" spans="1:7">
      <c r="A675" s="3"/>
      <c r="B675" s="3"/>
      <c r="C675" s="3"/>
      <c r="D675" s="3"/>
      <c r="E675" s="3">
        <v>12</v>
      </c>
      <c r="F675" s="4" t="str">
        <f>HYPERLINK("http://141.218.60.56/~jnz1568/getInfo.php?workbook=20_10.xlsx&amp;sheet=U0&amp;row=675&amp;col=6&amp;number=4.1&amp;sourceID=14","4.1")</f>
        <v>4.1</v>
      </c>
      <c r="G675" s="4" t="str">
        <f>HYPERLINK("http://141.218.60.56/~jnz1568/getInfo.php?workbook=20_10.xlsx&amp;sheet=U0&amp;row=675&amp;col=7&amp;number=0.000717&amp;sourceID=14","0.000717")</f>
        <v>0.000717</v>
      </c>
    </row>
    <row r="676" spans="1:7">
      <c r="A676" s="3"/>
      <c r="B676" s="3"/>
      <c r="C676" s="3"/>
      <c r="D676" s="3"/>
      <c r="E676" s="3">
        <v>13</v>
      </c>
      <c r="F676" s="4" t="str">
        <f>HYPERLINK("http://141.218.60.56/~jnz1568/getInfo.php?workbook=20_10.xlsx&amp;sheet=U0&amp;row=676&amp;col=6&amp;number=4.2&amp;sourceID=14","4.2")</f>
        <v>4.2</v>
      </c>
      <c r="G676" s="4" t="str">
        <f>HYPERLINK("http://141.218.60.56/~jnz1568/getInfo.php?workbook=20_10.xlsx&amp;sheet=U0&amp;row=676&amp;col=7&amp;number=0.000717&amp;sourceID=14","0.000717")</f>
        <v>0.000717</v>
      </c>
    </row>
    <row r="677" spans="1:7">
      <c r="A677" s="3"/>
      <c r="B677" s="3"/>
      <c r="C677" s="3"/>
      <c r="D677" s="3"/>
      <c r="E677" s="3">
        <v>14</v>
      </c>
      <c r="F677" s="4" t="str">
        <f>HYPERLINK("http://141.218.60.56/~jnz1568/getInfo.php?workbook=20_10.xlsx&amp;sheet=U0&amp;row=677&amp;col=6&amp;number=4.3&amp;sourceID=14","4.3")</f>
        <v>4.3</v>
      </c>
      <c r="G677" s="4" t="str">
        <f>HYPERLINK("http://141.218.60.56/~jnz1568/getInfo.php?workbook=20_10.xlsx&amp;sheet=U0&amp;row=677&amp;col=7&amp;number=0.000717&amp;sourceID=14","0.000717")</f>
        <v>0.000717</v>
      </c>
    </row>
    <row r="678" spans="1:7">
      <c r="A678" s="3"/>
      <c r="B678" s="3"/>
      <c r="C678" s="3"/>
      <c r="D678" s="3"/>
      <c r="E678" s="3">
        <v>15</v>
      </c>
      <c r="F678" s="4" t="str">
        <f>HYPERLINK("http://141.218.60.56/~jnz1568/getInfo.php?workbook=20_10.xlsx&amp;sheet=U0&amp;row=678&amp;col=6&amp;number=4.4&amp;sourceID=14","4.4")</f>
        <v>4.4</v>
      </c>
      <c r="G678" s="4" t="str">
        <f>HYPERLINK("http://141.218.60.56/~jnz1568/getInfo.php?workbook=20_10.xlsx&amp;sheet=U0&amp;row=678&amp;col=7&amp;number=0.000717&amp;sourceID=14","0.000717")</f>
        <v>0.000717</v>
      </c>
    </row>
    <row r="679" spans="1:7">
      <c r="A679" s="3"/>
      <c r="B679" s="3"/>
      <c r="C679" s="3"/>
      <c r="D679" s="3"/>
      <c r="E679" s="3">
        <v>16</v>
      </c>
      <c r="F679" s="4" t="str">
        <f>HYPERLINK("http://141.218.60.56/~jnz1568/getInfo.php?workbook=20_10.xlsx&amp;sheet=U0&amp;row=679&amp;col=6&amp;number=4.5&amp;sourceID=14","4.5")</f>
        <v>4.5</v>
      </c>
      <c r="G679" s="4" t="str">
        <f>HYPERLINK("http://141.218.60.56/~jnz1568/getInfo.php?workbook=20_10.xlsx&amp;sheet=U0&amp;row=679&amp;col=7&amp;number=0.000717&amp;sourceID=14","0.000717")</f>
        <v>0.000717</v>
      </c>
    </row>
    <row r="680" spans="1:7">
      <c r="A680" s="3"/>
      <c r="B680" s="3"/>
      <c r="C680" s="3"/>
      <c r="D680" s="3"/>
      <c r="E680" s="3">
        <v>17</v>
      </c>
      <c r="F680" s="4" t="str">
        <f>HYPERLINK("http://141.218.60.56/~jnz1568/getInfo.php?workbook=20_10.xlsx&amp;sheet=U0&amp;row=680&amp;col=6&amp;number=4.6&amp;sourceID=14","4.6")</f>
        <v>4.6</v>
      </c>
      <c r="G680" s="4" t="str">
        <f>HYPERLINK("http://141.218.60.56/~jnz1568/getInfo.php?workbook=20_10.xlsx&amp;sheet=U0&amp;row=680&amp;col=7&amp;number=0.000718&amp;sourceID=14","0.000718")</f>
        <v>0.000718</v>
      </c>
    </row>
    <row r="681" spans="1:7">
      <c r="A681" s="3"/>
      <c r="B681" s="3"/>
      <c r="C681" s="3"/>
      <c r="D681" s="3"/>
      <c r="E681" s="3">
        <v>18</v>
      </c>
      <c r="F681" s="4" t="str">
        <f>HYPERLINK("http://141.218.60.56/~jnz1568/getInfo.php?workbook=20_10.xlsx&amp;sheet=U0&amp;row=681&amp;col=6&amp;number=4.7&amp;sourceID=14","4.7")</f>
        <v>4.7</v>
      </c>
      <c r="G681" s="4" t="str">
        <f>HYPERLINK("http://141.218.60.56/~jnz1568/getInfo.php?workbook=20_10.xlsx&amp;sheet=U0&amp;row=681&amp;col=7&amp;number=0.000718&amp;sourceID=14","0.000718")</f>
        <v>0.000718</v>
      </c>
    </row>
    <row r="682" spans="1:7">
      <c r="A682" s="3"/>
      <c r="B682" s="3"/>
      <c r="C682" s="3"/>
      <c r="D682" s="3"/>
      <c r="E682" s="3">
        <v>19</v>
      </c>
      <c r="F682" s="4" t="str">
        <f>HYPERLINK("http://141.218.60.56/~jnz1568/getInfo.php?workbook=20_10.xlsx&amp;sheet=U0&amp;row=682&amp;col=6&amp;number=4.8&amp;sourceID=14","4.8")</f>
        <v>4.8</v>
      </c>
      <c r="G682" s="4" t="str">
        <f>HYPERLINK("http://141.218.60.56/~jnz1568/getInfo.php?workbook=20_10.xlsx&amp;sheet=U0&amp;row=682&amp;col=7&amp;number=0.000718&amp;sourceID=14","0.000718")</f>
        <v>0.000718</v>
      </c>
    </row>
    <row r="683" spans="1:7">
      <c r="A683" s="3"/>
      <c r="B683" s="3"/>
      <c r="C683" s="3"/>
      <c r="D683" s="3"/>
      <c r="E683" s="3">
        <v>20</v>
      </c>
      <c r="F683" s="4" t="str">
        <f>HYPERLINK("http://141.218.60.56/~jnz1568/getInfo.php?workbook=20_10.xlsx&amp;sheet=U0&amp;row=683&amp;col=6&amp;number=4.9&amp;sourceID=14","4.9")</f>
        <v>4.9</v>
      </c>
      <c r="G683" s="4" t="str">
        <f>HYPERLINK("http://141.218.60.56/~jnz1568/getInfo.php?workbook=20_10.xlsx&amp;sheet=U0&amp;row=683&amp;col=7&amp;number=0.000719&amp;sourceID=14","0.000719")</f>
        <v>0.000719</v>
      </c>
    </row>
    <row r="684" spans="1:7">
      <c r="A684" s="3">
        <v>20</v>
      </c>
      <c r="B684" s="3">
        <v>10</v>
      </c>
      <c r="C684" s="3">
        <v>1</v>
      </c>
      <c r="D684" s="3">
        <v>36</v>
      </c>
      <c r="E684" s="3">
        <v>1</v>
      </c>
      <c r="F684" s="4" t="str">
        <f>HYPERLINK("http://141.218.60.56/~jnz1568/getInfo.php?workbook=20_10.xlsx&amp;sheet=U0&amp;row=684&amp;col=6&amp;number=3&amp;sourceID=14","3")</f>
        <v>3</v>
      </c>
      <c r="G684" s="4" t="str">
        <f>HYPERLINK("http://141.218.60.56/~jnz1568/getInfo.php?workbook=20_10.xlsx&amp;sheet=U0&amp;row=684&amp;col=7&amp;number=0.000218&amp;sourceID=14","0.000218")</f>
        <v>0.000218</v>
      </c>
    </row>
    <row r="685" spans="1:7">
      <c r="A685" s="3"/>
      <c r="B685" s="3"/>
      <c r="C685" s="3"/>
      <c r="D685" s="3"/>
      <c r="E685" s="3">
        <v>2</v>
      </c>
      <c r="F685" s="4" t="str">
        <f>HYPERLINK("http://141.218.60.56/~jnz1568/getInfo.php?workbook=20_10.xlsx&amp;sheet=U0&amp;row=685&amp;col=6&amp;number=3.1&amp;sourceID=14","3.1")</f>
        <v>3.1</v>
      </c>
      <c r="G685" s="4" t="str">
        <f>HYPERLINK("http://141.218.60.56/~jnz1568/getInfo.php?workbook=20_10.xlsx&amp;sheet=U0&amp;row=685&amp;col=7&amp;number=0.000218&amp;sourceID=14","0.000218")</f>
        <v>0.000218</v>
      </c>
    </row>
    <row r="686" spans="1:7">
      <c r="A686" s="3"/>
      <c r="B686" s="3"/>
      <c r="C686" s="3"/>
      <c r="D686" s="3"/>
      <c r="E686" s="3">
        <v>3</v>
      </c>
      <c r="F686" s="4" t="str">
        <f>HYPERLINK("http://141.218.60.56/~jnz1568/getInfo.php?workbook=20_10.xlsx&amp;sheet=U0&amp;row=686&amp;col=6&amp;number=3.2&amp;sourceID=14","3.2")</f>
        <v>3.2</v>
      </c>
      <c r="G686" s="4" t="str">
        <f>HYPERLINK("http://141.218.60.56/~jnz1568/getInfo.php?workbook=20_10.xlsx&amp;sheet=U0&amp;row=686&amp;col=7&amp;number=0.000218&amp;sourceID=14","0.000218")</f>
        <v>0.000218</v>
      </c>
    </row>
    <row r="687" spans="1:7">
      <c r="A687" s="3"/>
      <c r="B687" s="3"/>
      <c r="C687" s="3"/>
      <c r="D687" s="3"/>
      <c r="E687" s="3">
        <v>4</v>
      </c>
      <c r="F687" s="4" t="str">
        <f>HYPERLINK("http://141.218.60.56/~jnz1568/getInfo.php?workbook=20_10.xlsx&amp;sheet=U0&amp;row=687&amp;col=6&amp;number=3.3&amp;sourceID=14","3.3")</f>
        <v>3.3</v>
      </c>
      <c r="G687" s="4" t="str">
        <f>HYPERLINK("http://141.218.60.56/~jnz1568/getInfo.php?workbook=20_10.xlsx&amp;sheet=U0&amp;row=687&amp;col=7&amp;number=0.000218&amp;sourceID=14","0.000218")</f>
        <v>0.000218</v>
      </c>
    </row>
    <row r="688" spans="1:7">
      <c r="A688" s="3"/>
      <c r="B688" s="3"/>
      <c r="C688" s="3"/>
      <c r="D688" s="3"/>
      <c r="E688" s="3">
        <v>5</v>
      </c>
      <c r="F688" s="4" t="str">
        <f>HYPERLINK("http://141.218.60.56/~jnz1568/getInfo.php?workbook=20_10.xlsx&amp;sheet=U0&amp;row=688&amp;col=6&amp;number=3.4&amp;sourceID=14","3.4")</f>
        <v>3.4</v>
      </c>
      <c r="G688" s="4" t="str">
        <f>HYPERLINK("http://141.218.60.56/~jnz1568/getInfo.php?workbook=20_10.xlsx&amp;sheet=U0&amp;row=688&amp;col=7&amp;number=0.000218&amp;sourceID=14","0.000218")</f>
        <v>0.000218</v>
      </c>
    </row>
    <row r="689" spans="1:7">
      <c r="A689" s="3"/>
      <c r="B689" s="3"/>
      <c r="C689" s="3"/>
      <c r="D689" s="3"/>
      <c r="E689" s="3">
        <v>6</v>
      </c>
      <c r="F689" s="4" t="str">
        <f>HYPERLINK("http://141.218.60.56/~jnz1568/getInfo.php?workbook=20_10.xlsx&amp;sheet=U0&amp;row=689&amp;col=6&amp;number=3.5&amp;sourceID=14","3.5")</f>
        <v>3.5</v>
      </c>
      <c r="G689" s="4" t="str">
        <f>HYPERLINK("http://141.218.60.56/~jnz1568/getInfo.php?workbook=20_10.xlsx&amp;sheet=U0&amp;row=689&amp;col=7&amp;number=0.000218&amp;sourceID=14","0.000218")</f>
        <v>0.000218</v>
      </c>
    </row>
    <row r="690" spans="1:7">
      <c r="A690" s="3"/>
      <c r="B690" s="3"/>
      <c r="C690" s="3"/>
      <c r="D690" s="3"/>
      <c r="E690" s="3">
        <v>7</v>
      </c>
      <c r="F690" s="4" t="str">
        <f>HYPERLINK("http://141.218.60.56/~jnz1568/getInfo.php?workbook=20_10.xlsx&amp;sheet=U0&amp;row=690&amp;col=6&amp;number=3.6&amp;sourceID=14","3.6")</f>
        <v>3.6</v>
      </c>
      <c r="G690" s="4" t="str">
        <f>HYPERLINK("http://141.218.60.56/~jnz1568/getInfo.php?workbook=20_10.xlsx&amp;sheet=U0&amp;row=690&amp;col=7&amp;number=0.000218&amp;sourceID=14","0.000218")</f>
        <v>0.000218</v>
      </c>
    </row>
    <row r="691" spans="1:7">
      <c r="A691" s="3"/>
      <c r="B691" s="3"/>
      <c r="C691" s="3"/>
      <c r="D691" s="3"/>
      <c r="E691" s="3">
        <v>8</v>
      </c>
      <c r="F691" s="4" t="str">
        <f>HYPERLINK("http://141.218.60.56/~jnz1568/getInfo.php?workbook=20_10.xlsx&amp;sheet=U0&amp;row=691&amp;col=6&amp;number=3.7&amp;sourceID=14","3.7")</f>
        <v>3.7</v>
      </c>
      <c r="G691" s="4" t="str">
        <f>HYPERLINK("http://141.218.60.56/~jnz1568/getInfo.php?workbook=20_10.xlsx&amp;sheet=U0&amp;row=691&amp;col=7&amp;number=0.000218&amp;sourceID=14","0.000218")</f>
        <v>0.000218</v>
      </c>
    </row>
    <row r="692" spans="1:7">
      <c r="A692" s="3"/>
      <c r="B692" s="3"/>
      <c r="C692" s="3"/>
      <c r="D692" s="3"/>
      <c r="E692" s="3">
        <v>9</v>
      </c>
      <c r="F692" s="4" t="str">
        <f>HYPERLINK("http://141.218.60.56/~jnz1568/getInfo.php?workbook=20_10.xlsx&amp;sheet=U0&amp;row=692&amp;col=6&amp;number=3.8&amp;sourceID=14","3.8")</f>
        <v>3.8</v>
      </c>
      <c r="G692" s="4" t="str">
        <f>HYPERLINK("http://141.218.60.56/~jnz1568/getInfo.php?workbook=20_10.xlsx&amp;sheet=U0&amp;row=692&amp;col=7&amp;number=0.000218&amp;sourceID=14","0.000218")</f>
        <v>0.000218</v>
      </c>
    </row>
    <row r="693" spans="1:7">
      <c r="A693" s="3"/>
      <c r="B693" s="3"/>
      <c r="C693" s="3"/>
      <c r="D693" s="3"/>
      <c r="E693" s="3">
        <v>10</v>
      </c>
      <c r="F693" s="4" t="str">
        <f>HYPERLINK("http://141.218.60.56/~jnz1568/getInfo.php?workbook=20_10.xlsx&amp;sheet=U0&amp;row=693&amp;col=6&amp;number=3.9&amp;sourceID=14","3.9")</f>
        <v>3.9</v>
      </c>
      <c r="G693" s="4" t="str">
        <f>HYPERLINK("http://141.218.60.56/~jnz1568/getInfo.php?workbook=20_10.xlsx&amp;sheet=U0&amp;row=693&amp;col=7&amp;number=0.000218&amp;sourceID=14","0.000218")</f>
        <v>0.000218</v>
      </c>
    </row>
    <row r="694" spans="1:7">
      <c r="A694" s="3"/>
      <c r="B694" s="3"/>
      <c r="C694" s="3"/>
      <c r="D694" s="3"/>
      <c r="E694" s="3">
        <v>11</v>
      </c>
      <c r="F694" s="4" t="str">
        <f>HYPERLINK("http://141.218.60.56/~jnz1568/getInfo.php?workbook=20_10.xlsx&amp;sheet=U0&amp;row=694&amp;col=6&amp;number=4&amp;sourceID=14","4")</f>
        <v>4</v>
      </c>
      <c r="G694" s="4" t="str">
        <f>HYPERLINK("http://141.218.60.56/~jnz1568/getInfo.php?workbook=20_10.xlsx&amp;sheet=U0&amp;row=694&amp;col=7&amp;number=0.000218&amp;sourceID=14","0.000218")</f>
        <v>0.000218</v>
      </c>
    </row>
    <row r="695" spans="1:7">
      <c r="A695" s="3"/>
      <c r="B695" s="3"/>
      <c r="C695" s="3"/>
      <c r="D695" s="3"/>
      <c r="E695" s="3">
        <v>12</v>
      </c>
      <c r="F695" s="4" t="str">
        <f>HYPERLINK("http://141.218.60.56/~jnz1568/getInfo.php?workbook=20_10.xlsx&amp;sheet=U0&amp;row=695&amp;col=6&amp;number=4.1&amp;sourceID=14","4.1")</f>
        <v>4.1</v>
      </c>
      <c r="G695" s="4" t="str">
        <f>HYPERLINK("http://141.218.60.56/~jnz1568/getInfo.php?workbook=20_10.xlsx&amp;sheet=U0&amp;row=695&amp;col=7&amp;number=0.000218&amp;sourceID=14","0.000218")</f>
        <v>0.000218</v>
      </c>
    </row>
    <row r="696" spans="1:7">
      <c r="A696" s="3"/>
      <c r="B696" s="3"/>
      <c r="C696" s="3"/>
      <c r="D696" s="3"/>
      <c r="E696" s="3">
        <v>13</v>
      </c>
      <c r="F696" s="4" t="str">
        <f>HYPERLINK("http://141.218.60.56/~jnz1568/getInfo.php?workbook=20_10.xlsx&amp;sheet=U0&amp;row=696&amp;col=6&amp;number=4.2&amp;sourceID=14","4.2")</f>
        <v>4.2</v>
      </c>
      <c r="G696" s="4" t="str">
        <f>HYPERLINK("http://141.218.60.56/~jnz1568/getInfo.php?workbook=20_10.xlsx&amp;sheet=U0&amp;row=696&amp;col=7&amp;number=0.000218&amp;sourceID=14","0.000218")</f>
        <v>0.000218</v>
      </c>
    </row>
    <row r="697" spans="1:7">
      <c r="A697" s="3"/>
      <c r="B697" s="3"/>
      <c r="C697" s="3"/>
      <c r="D697" s="3"/>
      <c r="E697" s="3">
        <v>14</v>
      </c>
      <c r="F697" s="4" t="str">
        <f>HYPERLINK("http://141.218.60.56/~jnz1568/getInfo.php?workbook=20_10.xlsx&amp;sheet=U0&amp;row=697&amp;col=6&amp;number=4.3&amp;sourceID=14","4.3")</f>
        <v>4.3</v>
      </c>
      <c r="G697" s="4" t="str">
        <f>HYPERLINK("http://141.218.60.56/~jnz1568/getInfo.php?workbook=20_10.xlsx&amp;sheet=U0&amp;row=697&amp;col=7&amp;number=0.000218&amp;sourceID=14","0.000218")</f>
        <v>0.000218</v>
      </c>
    </row>
    <row r="698" spans="1:7">
      <c r="A698" s="3"/>
      <c r="B698" s="3"/>
      <c r="C698" s="3"/>
      <c r="D698" s="3"/>
      <c r="E698" s="3">
        <v>15</v>
      </c>
      <c r="F698" s="4" t="str">
        <f>HYPERLINK("http://141.218.60.56/~jnz1568/getInfo.php?workbook=20_10.xlsx&amp;sheet=U0&amp;row=698&amp;col=6&amp;number=4.4&amp;sourceID=14","4.4")</f>
        <v>4.4</v>
      </c>
      <c r="G698" s="4" t="str">
        <f>HYPERLINK("http://141.218.60.56/~jnz1568/getInfo.php?workbook=20_10.xlsx&amp;sheet=U0&amp;row=698&amp;col=7&amp;number=0.000217&amp;sourceID=14","0.000217")</f>
        <v>0.000217</v>
      </c>
    </row>
    <row r="699" spans="1:7">
      <c r="A699" s="3"/>
      <c r="B699" s="3"/>
      <c r="C699" s="3"/>
      <c r="D699" s="3"/>
      <c r="E699" s="3">
        <v>16</v>
      </c>
      <c r="F699" s="4" t="str">
        <f>HYPERLINK("http://141.218.60.56/~jnz1568/getInfo.php?workbook=20_10.xlsx&amp;sheet=U0&amp;row=699&amp;col=6&amp;number=4.5&amp;sourceID=14","4.5")</f>
        <v>4.5</v>
      </c>
      <c r="G699" s="4" t="str">
        <f>HYPERLINK("http://141.218.60.56/~jnz1568/getInfo.php?workbook=20_10.xlsx&amp;sheet=U0&amp;row=699&amp;col=7&amp;number=0.000217&amp;sourceID=14","0.000217")</f>
        <v>0.000217</v>
      </c>
    </row>
    <row r="700" spans="1:7">
      <c r="A700" s="3"/>
      <c r="B700" s="3"/>
      <c r="C700" s="3"/>
      <c r="D700" s="3"/>
      <c r="E700" s="3">
        <v>17</v>
      </c>
      <c r="F700" s="4" t="str">
        <f>HYPERLINK("http://141.218.60.56/~jnz1568/getInfo.php?workbook=20_10.xlsx&amp;sheet=U0&amp;row=700&amp;col=6&amp;number=4.6&amp;sourceID=14","4.6")</f>
        <v>4.6</v>
      </c>
      <c r="G700" s="4" t="str">
        <f>HYPERLINK("http://141.218.60.56/~jnz1568/getInfo.php?workbook=20_10.xlsx&amp;sheet=U0&amp;row=700&amp;col=7&amp;number=0.000217&amp;sourceID=14","0.000217")</f>
        <v>0.000217</v>
      </c>
    </row>
    <row r="701" spans="1:7">
      <c r="A701" s="3"/>
      <c r="B701" s="3"/>
      <c r="C701" s="3"/>
      <c r="D701" s="3"/>
      <c r="E701" s="3">
        <v>18</v>
      </c>
      <c r="F701" s="4" t="str">
        <f>HYPERLINK("http://141.218.60.56/~jnz1568/getInfo.php?workbook=20_10.xlsx&amp;sheet=U0&amp;row=701&amp;col=6&amp;number=4.7&amp;sourceID=14","4.7")</f>
        <v>4.7</v>
      </c>
      <c r="G701" s="4" t="str">
        <f>HYPERLINK("http://141.218.60.56/~jnz1568/getInfo.php?workbook=20_10.xlsx&amp;sheet=U0&amp;row=701&amp;col=7&amp;number=0.000216&amp;sourceID=14","0.000216")</f>
        <v>0.000216</v>
      </c>
    </row>
    <row r="702" spans="1:7">
      <c r="A702" s="3"/>
      <c r="B702" s="3"/>
      <c r="C702" s="3"/>
      <c r="D702" s="3"/>
      <c r="E702" s="3">
        <v>19</v>
      </c>
      <c r="F702" s="4" t="str">
        <f>HYPERLINK("http://141.218.60.56/~jnz1568/getInfo.php?workbook=20_10.xlsx&amp;sheet=U0&amp;row=702&amp;col=6&amp;number=4.8&amp;sourceID=14","4.8")</f>
        <v>4.8</v>
      </c>
      <c r="G702" s="4" t="str">
        <f>HYPERLINK("http://141.218.60.56/~jnz1568/getInfo.php?workbook=20_10.xlsx&amp;sheet=U0&amp;row=702&amp;col=7&amp;number=0.000216&amp;sourceID=14","0.000216")</f>
        <v>0.000216</v>
      </c>
    </row>
    <row r="703" spans="1:7">
      <c r="A703" s="3"/>
      <c r="B703" s="3"/>
      <c r="C703" s="3"/>
      <c r="D703" s="3"/>
      <c r="E703" s="3">
        <v>20</v>
      </c>
      <c r="F703" s="4" t="str">
        <f>HYPERLINK("http://141.218.60.56/~jnz1568/getInfo.php?workbook=20_10.xlsx&amp;sheet=U0&amp;row=703&amp;col=6&amp;number=4.9&amp;sourceID=14","4.9")</f>
        <v>4.9</v>
      </c>
      <c r="G703" s="4" t="str">
        <f>HYPERLINK("http://141.218.60.56/~jnz1568/getInfo.php?workbook=20_10.xlsx&amp;sheet=U0&amp;row=703&amp;col=7&amp;number=0.000215&amp;sourceID=14","0.000215")</f>
        <v>0.000215</v>
      </c>
    </row>
    <row r="704" spans="1:7">
      <c r="A704" s="3">
        <v>20</v>
      </c>
      <c r="B704" s="3">
        <v>10</v>
      </c>
      <c r="C704" s="3">
        <v>1</v>
      </c>
      <c r="D704" s="3">
        <v>37</v>
      </c>
      <c r="E704" s="3">
        <v>1</v>
      </c>
      <c r="F704" s="4" t="str">
        <f>HYPERLINK("http://141.218.60.56/~jnz1568/getInfo.php?workbook=20_10.xlsx&amp;sheet=U0&amp;row=704&amp;col=6&amp;number=3&amp;sourceID=14","3")</f>
        <v>3</v>
      </c>
      <c r="G704" s="4" t="str">
        <f>HYPERLINK("http://141.218.60.56/~jnz1568/getInfo.php?workbook=20_10.xlsx&amp;sheet=U0&amp;row=704&amp;col=7&amp;number=0.000683&amp;sourceID=14","0.000683")</f>
        <v>0.000683</v>
      </c>
    </row>
    <row r="705" spans="1:7">
      <c r="A705" s="3"/>
      <c r="B705" s="3"/>
      <c r="C705" s="3"/>
      <c r="D705" s="3"/>
      <c r="E705" s="3">
        <v>2</v>
      </c>
      <c r="F705" s="4" t="str">
        <f>HYPERLINK("http://141.218.60.56/~jnz1568/getInfo.php?workbook=20_10.xlsx&amp;sheet=U0&amp;row=705&amp;col=6&amp;number=3.1&amp;sourceID=14","3.1")</f>
        <v>3.1</v>
      </c>
      <c r="G705" s="4" t="str">
        <f>HYPERLINK("http://141.218.60.56/~jnz1568/getInfo.php?workbook=20_10.xlsx&amp;sheet=U0&amp;row=705&amp;col=7&amp;number=0.000683&amp;sourceID=14","0.000683")</f>
        <v>0.000683</v>
      </c>
    </row>
    <row r="706" spans="1:7">
      <c r="A706" s="3"/>
      <c r="B706" s="3"/>
      <c r="C706" s="3"/>
      <c r="D706" s="3"/>
      <c r="E706" s="3">
        <v>3</v>
      </c>
      <c r="F706" s="4" t="str">
        <f>HYPERLINK("http://141.218.60.56/~jnz1568/getInfo.php?workbook=20_10.xlsx&amp;sheet=U0&amp;row=706&amp;col=6&amp;number=3.2&amp;sourceID=14","3.2")</f>
        <v>3.2</v>
      </c>
      <c r="G706" s="4" t="str">
        <f>HYPERLINK("http://141.218.60.56/~jnz1568/getInfo.php?workbook=20_10.xlsx&amp;sheet=U0&amp;row=706&amp;col=7&amp;number=0.000683&amp;sourceID=14","0.000683")</f>
        <v>0.000683</v>
      </c>
    </row>
    <row r="707" spans="1:7">
      <c r="A707" s="3"/>
      <c r="B707" s="3"/>
      <c r="C707" s="3"/>
      <c r="D707" s="3"/>
      <c r="E707" s="3">
        <v>4</v>
      </c>
      <c r="F707" s="4" t="str">
        <f>HYPERLINK("http://141.218.60.56/~jnz1568/getInfo.php?workbook=20_10.xlsx&amp;sheet=U0&amp;row=707&amp;col=6&amp;number=3.3&amp;sourceID=14","3.3")</f>
        <v>3.3</v>
      </c>
      <c r="G707" s="4" t="str">
        <f>HYPERLINK("http://141.218.60.56/~jnz1568/getInfo.php?workbook=20_10.xlsx&amp;sheet=U0&amp;row=707&amp;col=7&amp;number=0.000683&amp;sourceID=14","0.000683")</f>
        <v>0.000683</v>
      </c>
    </row>
    <row r="708" spans="1:7">
      <c r="A708" s="3"/>
      <c r="B708" s="3"/>
      <c r="C708" s="3"/>
      <c r="D708" s="3"/>
      <c r="E708" s="3">
        <v>5</v>
      </c>
      <c r="F708" s="4" t="str">
        <f>HYPERLINK("http://141.218.60.56/~jnz1568/getInfo.php?workbook=20_10.xlsx&amp;sheet=U0&amp;row=708&amp;col=6&amp;number=3.4&amp;sourceID=14","3.4")</f>
        <v>3.4</v>
      </c>
      <c r="G708" s="4" t="str">
        <f>HYPERLINK("http://141.218.60.56/~jnz1568/getInfo.php?workbook=20_10.xlsx&amp;sheet=U0&amp;row=708&amp;col=7&amp;number=0.000683&amp;sourceID=14","0.000683")</f>
        <v>0.000683</v>
      </c>
    </row>
    <row r="709" spans="1:7">
      <c r="A709" s="3"/>
      <c r="B709" s="3"/>
      <c r="C709" s="3"/>
      <c r="D709" s="3"/>
      <c r="E709" s="3">
        <v>6</v>
      </c>
      <c r="F709" s="4" t="str">
        <f>HYPERLINK("http://141.218.60.56/~jnz1568/getInfo.php?workbook=20_10.xlsx&amp;sheet=U0&amp;row=709&amp;col=6&amp;number=3.5&amp;sourceID=14","3.5")</f>
        <v>3.5</v>
      </c>
      <c r="G709" s="4" t="str">
        <f>HYPERLINK("http://141.218.60.56/~jnz1568/getInfo.php?workbook=20_10.xlsx&amp;sheet=U0&amp;row=709&amp;col=7&amp;number=0.000683&amp;sourceID=14","0.000683")</f>
        <v>0.000683</v>
      </c>
    </row>
    <row r="710" spans="1:7">
      <c r="A710" s="3"/>
      <c r="B710" s="3"/>
      <c r="C710" s="3"/>
      <c r="D710" s="3"/>
      <c r="E710" s="3">
        <v>7</v>
      </c>
      <c r="F710" s="4" t="str">
        <f>HYPERLINK("http://141.218.60.56/~jnz1568/getInfo.php?workbook=20_10.xlsx&amp;sheet=U0&amp;row=710&amp;col=6&amp;number=3.6&amp;sourceID=14","3.6")</f>
        <v>3.6</v>
      </c>
      <c r="G710" s="4" t="str">
        <f>HYPERLINK("http://141.218.60.56/~jnz1568/getInfo.php?workbook=20_10.xlsx&amp;sheet=U0&amp;row=710&amp;col=7&amp;number=0.000683&amp;sourceID=14","0.000683")</f>
        <v>0.000683</v>
      </c>
    </row>
    <row r="711" spans="1:7">
      <c r="A711" s="3"/>
      <c r="B711" s="3"/>
      <c r="C711" s="3"/>
      <c r="D711" s="3"/>
      <c r="E711" s="3">
        <v>8</v>
      </c>
      <c r="F711" s="4" t="str">
        <f>HYPERLINK("http://141.218.60.56/~jnz1568/getInfo.php?workbook=20_10.xlsx&amp;sheet=U0&amp;row=711&amp;col=6&amp;number=3.7&amp;sourceID=14","3.7")</f>
        <v>3.7</v>
      </c>
      <c r="G711" s="4" t="str">
        <f>HYPERLINK("http://141.218.60.56/~jnz1568/getInfo.php?workbook=20_10.xlsx&amp;sheet=U0&amp;row=711&amp;col=7&amp;number=0.000683&amp;sourceID=14","0.000683")</f>
        <v>0.000683</v>
      </c>
    </row>
    <row r="712" spans="1:7">
      <c r="A712" s="3"/>
      <c r="B712" s="3"/>
      <c r="C712" s="3"/>
      <c r="D712" s="3"/>
      <c r="E712" s="3">
        <v>9</v>
      </c>
      <c r="F712" s="4" t="str">
        <f>HYPERLINK("http://141.218.60.56/~jnz1568/getInfo.php?workbook=20_10.xlsx&amp;sheet=U0&amp;row=712&amp;col=6&amp;number=3.8&amp;sourceID=14","3.8")</f>
        <v>3.8</v>
      </c>
      <c r="G712" s="4" t="str">
        <f>HYPERLINK("http://141.218.60.56/~jnz1568/getInfo.php?workbook=20_10.xlsx&amp;sheet=U0&amp;row=712&amp;col=7&amp;number=0.000683&amp;sourceID=14","0.000683")</f>
        <v>0.000683</v>
      </c>
    </row>
    <row r="713" spans="1:7">
      <c r="A713" s="3"/>
      <c r="B713" s="3"/>
      <c r="C713" s="3"/>
      <c r="D713" s="3"/>
      <c r="E713" s="3">
        <v>10</v>
      </c>
      <c r="F713" s="4" t="str">
        <f>HYPERLINK("http://141.218.60.56/~jnz1568/getInfo.php?workbook=20_10.xlsx&amp;sheet=U0&amp;row=713&amp;col=6&amp;number=3.9&amp;sourceID=14","3.9")</f>
        <v>3.9</v>
      </c>
      <c r="G713" s="4" t="str">
        <f>HYPERLINK("http://141.218.60.56/~jnz1568/getInfo.php?workbook=20_10.xlsx&amp;sheet=U0&amp;row=713&amp;col=7&amp;number=0.000683&amp;sourceID=14","0.000683")</f>
        <v>0.000683</v>
      </c>
    </row>
    <row r="714" spans="1:7">
      <c r="A714" s="3"/>
      <c r="B714" s="3"/>
      <c r="C714" s="3"/>
      <c r="D714" s="3"/>
      <c r="E714" s="3">
        <v>11</v>
      </c>
      <c r="F714" s="4" t="str">
        <f>HYPERLINK("http://141.218.60.56/~jnz1568/getInfo.php?workbook=20_10.xlsx&amp;sheet=U0&amp;row=714&amp;col=6&amp;number=4&amp;sourceID=14","4")</f>
        <v>4</v>
      </c>
      <c r="G714" s="4" t="str">
        <f>HYPERLINK("http://141.218.60.56/~jnz1568/getInfo.php?workbook=20_10.xlsx&amp;sheet=U0&amp;row=714&amp;col=7&amp;number=0.000683&amp;sourceID=14","0.000683")</f>
        <v>0.000683</v>
      </c>
    </row>
    <row r="715" spans="1:7">
      <c r="A715" s="3"/>
      <c r="B715" s="3"/>
      <c r="C715" s="3"/>
      <c r="D715" s="3"/>
      <c r="E715" s="3">
        <v>12</v>
      </c>
      <c r="F715" s="4" t="str">
        <f>HYPERLINK("http://141.218.60.56/~jnz1568/getInfo.php?workbook=20_10.xlsx&amp;sheet=U0&amp;row=715&amp;col=6&amp;number=4.1&amp;sourceID=14","4.1")</f>
        <v>4.1</v>
      </c>
      <c r="G715" s="4" t="str">
        <f>HYPERLINK("http://141.218.60.56/~jnz1568/getInfo.php?workbook=20_10.xlsx&amp;sheet=U0&amp;row=715&amp;col=7&amp;number=0.000683&amp;sourceID=14","0.000683")</f>
        <v>0.000683</v>
      </c>
    </row>
    <row r="716" spans="1:7">
      <c r="A716" s="3"/>
      <c r="B716" s="3"/>
      <c r="C716" s="3"/>
      <c r="D716" s="3"/>
      <c r="E716" s="3">
        <v>13</v>
      </c>
      <c r="F716" s="4" t="str">
        <f>HYPERLINK("http://141.218.60.56/~jnz1568/getInfo.php?workbook=20_10.xlsx&amp;sheet=U0&amp;row=716&amp;col=6&amp;number=4.2&amp;sourceID=14","4.2")</f>
        <v>4.2</v>
      </c>
      <c r="G716" s="4" t="str">
        <f>HYPERLINK("http://141.218.60.56/~jnz1568/getInfo.php?workbook=20_10.xlsx&amp;sheet=U0&amp;row=716&amp;col=7&amp;number=0.000683&amp;sourceID=14","0.000683")</f>
        <v>0.000683</v>
      </c>
    </row>
    <row r="717" spans="1:7">
      <c r="A717" s="3"/>
      <c r="B717" s="3"/>
      <c r="C717" s="3"/>
      <c r="D717" s="3"/>
      <c r="E717" s="3">
        <v>14</v>
      </c>
      <c r="F717" s="4" t="str">
        <f>HYPERLINK("http://141.218.60.56/~jnz1568/getInfo.php?workbook=20_10.xlsx&amp;sheet=U0&amp;row=717&amp;col=6&amp;number=4.3&amp;sourceID=14","4.3")</f>
        <v>4.3</v>
      </c>
      <c r="G717" s="4" t="str">
        <f>HYPERLINK("http://141.218.60.56/~jnz1568/getInfo.php?workbook=20_10.xlsx&amp;sheet=U0&amp;row=717&amp;col=7&amp;number=0.000683&amp;sourceID=14","0.000683")</f>
        <v>0.000683</v>
      </c>
    </row>
    <row r="718" spans="1:7">
      <c r="A718" s="3"/>
      <c r="B718" s="3"/>
      <c r="C718" s="3"/>
      <c r="D718" s="3"/>
      <c r="E718" s="3">
        <v>15</v>
      </c>
      <c r="F718" s="4" t="str">
        <f>HYPERLINK("http://141.218.60.56/~jnz1568/getInfo.php?workbook=20_10.xlsx&amp;sheet=U0&amp;row=718&amp;col=6&amp;number=4.4&amp;sourceID=14","4.4")</f>
        <v>4.4</v>
      </c>
      <c r="G718" s="4" t="str">
        <f>HYPERLINK("http://141.218.60.56/~jnz1568/getInfo.php?workbook=20_10.xlsx&amp;sheet=U0&amp;row=718&amp;col=7&amp;number=0.000683&amp;sourceID=14","0.000683")</f>
        <v>0.000683</v>
      </c>
    </row>
    <row r="719" spans="1:7">
      <c r="A719" s="3"/>
      <c r="B719" s="3"/>
      <c r="C719" s="3"/>
      <c r="D719" s="3"/>
      <c r="E719" s="3">
        <v>16</v>
      </c>
      <c r="F719" s="4" t="str">
        <f>HYPERLINK("http://141.218.60.56/~jnz1568/getInfo.php?workbook=20_10.xlsx&amp;sheet=U0&amp;row=719&amp;col=6&amp;number=4.5&amp;sourceID=14","4.5")</f>
        <v>4.5</v>
      </c>
      <c r="G719" s="4" t="str">
        <f>HYPERLINK("http://141.218.60.56/~jnz1568/getInfo.php?workbook=20_10.xlsx&amp;sheet=U0&amp;row=719&amp;col=7&amp;number=0.000683&amp;sourceID=14","0.000683")</f>
        <v>0.000683</v>
      </c>
    </row>
    <row r="720" spans="1:7">
      <c r="A720" s="3"/>
      <c r="B720" s="3"/>
      <c r="C720" s="3"/>
      <c r="D720" s="3"/>
      <c r="E720" s="3">
        <v>17</v>
      </c>
      <c r="F720" s="4" t="str">
        <f>HYPERLINK("http://141.218.60.56/~jnz1568/getInfo.php?workbook=20_10.xlsx&amp;sheet=U0&amp;row=720&amp;col=6&amp;number=4.6&amp;sourceID=14","4.6")</f>
        <v>4.6</v>
      </c>
      <c r="G720" s="4" t="str">
        <f>HYPERLINK("http://141.218.60.56/~jnz1568/getInfo.php?workbook=20_10.xlsx&amp;sheet=U0&amp;row=720&amp;col=7&amp;number=0.000683&amp;sourceID=14","0.000683")</f>
        <v>0.000683</v>
      </c>
    </row>
    <row r="721" spans="1:7">
      <c r="A721" s="3"/>
      <c r="B721" s="3"/>
      <c r="C721" s="3"/>
      <c r="D721" s="3"/>
      <c r="E721" s="3">
        <v>18</v>
      </c>
      <c r="F721" s="4" t="str">
        <f>HYPERLINK("http://141.218.60.56/~jnz1568/getInfo.php?workbook=20_10.xlsx&amp;sheet=U0&amp;row=721&amp;col=6&amp;number=4.7&amp;sourceID=14","4.7")</f>
        <v>4.7</v>
      </c>
      <c r="G721" s="4" t="str">
        <f>HYPERLINK("http://141.218.60.56/~jnz1568/getInfo.php?workbook=20_10.xlsx&amp;sheet=U0&amp;row=721&amp;col=7&amp;number=0.000684&amp;sourceID=14","0.000684")</f>
        <v>0.000684</v>
      </c>
    </row>
    <row r="722" spans="1:7">
      <c r="A722" s="3"/>
      <c r="B722" s="3"/>
      <c r="C722" s="3"/>
      <c r="D722" s="3"/>
      <c r="E722" s="3">
        <v>19</v>
      </c>
      <c r="F722" s="4" t="str">
        <f>HYPERLINK("http://141.218.60.56/~jnz1568/getInfo.php?workbook=20_10.xlsx&amp;sheet=U0&amp;row=722&amp;col=6&amp;number=4.8&amp;sourceID=14","4.8")</f>
        <v>4.8</v>
      </c>
      <c r="G722" s="4" t="str">
        <f>HYPERLINK("http://141.218.60.56/~jnz1568/getInfo.php?workbook=20_10.xlsx&amp;sheet=U0&amp;row=722&amp;col=7&amp;number=0.000684&amp;sourceID=14","0.000684")</f>
        <v>0.000684</v>
      </c>
    </row>
    <row r="723" spans="1:7">
      <c r="A723" s="3"/>
      <c r="B723" s="3"/>
      <c r="C723" s="3"/>
      <c r="D723" s="3"/>
      <c r="E723" s="3">
        <v>20</v>
      </c>
      <c r="F723" s="4" t="str">
        <f>HYPERLINK("http://141.218.60.56/~jnz1568/getInfo.php?workbook=20_10.xlsx&amp;sheet=U0&amp;row=723&amp;col=6&amp;number=4.9&amp;sourceID=14","4.9")</f>
        <v>4.9</v>
      </c>
      <c r="G723" s="4" t="str">
        <f>HYPERLINK("http://141.218.60.56/~jnz1568/getInfo.php?workbook=20_10.xlsx&amp;sheet=U0&amp;row=723&amp;col=7&amp;number=0.000684&amp;sourceID=14","0.000684")</f>
        <v>0.000684</v>
      </c>
    </row>
    <row r="724" spans="1:7">
      <c r="A724" s="3">
        <v>20</v>
      </c>
      <c r="B724" s="3">
        <v>10</v>
      </c>
      <c r="C724" s="3">
        <v>1</v>
      </c>
      <c r="D724" s="3">
        <v>38</v>
      </c>
      <c r="E724" s="3">
        <v>1</v>
      </c>
      <c r="F724" s="4" t="str">
        <f>HYPERLINK("http://141.218.60.56/~jnz1568/getInfo.php?workbook=20_10.xlsx&amp;sheet=U0&amp;row=724&amp;col=6&amp;number=3&amp;sourceID=14","3")</f>
        <v>3</v>
      </c>
      <c r="G724" s="4" t="str">
        <f>HYPERLINK("http://141.218.60.56/~jnz1568/getInfo.php?workbook=20_10.xlsx&amp;sheet=U0&amp;row=724&amp;col=7&amp;number=0.00305&amp;sourceID=14","0.00305")</f>
        <v>0.00305</v>
      </c>
    </row>
    <row r="725" spans="1:7">
      <c r="A725" s="3"/>
      <c r="B725" s="3"/>
      <c r="C725" s="3"/>
      <c r="D725" s="3"/>
      <c r="E725" s="3">
        <v>2</v>
      </c>
      <c r="F725" s="4" t="str">
        <f>HYPERLINK("http://141.218.60.56/~jnz1568/getInfo.php?workbook=20_10.xlsx&amp;sheet=U0&amp;row=725&amp;col=6&amp;number=3.1&amp;sourceID=14","3.1")</f>
        <v>3.1</v>
      </c>
      <c r="G725" s="4" t="str">
        <f>HYPERLINK("http://141.218.60.56/~jnz1568/getInfo.php?workbook=20_10.xlsx&amp;sheet=U0&amp;row=725&amp;col=7&amp;number=0.00305&amp;sourceID=14","0.00305")</f>
        <v>0.00305</v>
      </c>
    </row>
    <row r="726" spans="1:7">
      <c r="A726" s="3"/>
      <c r="B726" s="3"/>
      <c r="C726" s="3"/>
      <c r="D726" s="3"/>
      <c r="E726" s="3">
        <v>3</v>
      </c>
      <c r="F726" s="4" t="str">
        <f>HYPERLINK("http://141.218.60.56/~jnz1568/getInfo.php?workbook=20_10.xlsx&amp;sheet=U0&amp;row=726&amp;col=6&amp;number=3.2&amp;sourceID=14","3.2")</f>
        <v>3.2</v>
      </c>
      <c r="G726" s="4" t="str">
        <f>HYPERLINK("http://141.218.60.56/~jnz1568/getInfo.php?workbook=20_10.xlsx&amp;sheet=U0&amp;row=726&amp;col=7&amp;number=0.00305&amp;sourceID=14","0.00305")</f>
        <v>0.00305</v>
      </c>
    </row>
    <row r="727" spans="1:7">
      <c r="A727" s="3"/>
      <c r="B727" s="3"/>
      <c r="C727" s="3"/>
      <c r="D727" s="3"/>
      <c r="E727" s="3">
        <v>4</v>
      </c>
      <c r="F727" s="4" t="str">
        <f>HYPERLINK("http://141.218.60.56/~jnz1568/getInfo.php?workbook=20_10.xlsx&amp;sheet=U0&amp;row=727&amp;col=6&amp;number=3.3&amp;sourceID=14","3.3")</f>
        <v>3.3</v>
      </c>
      <c r="G727" s="4" t="str">
        <f>HYPERLINK("http://141.218.60.56/~jnz1568/getInfo.php?workbook=20_10.xlsx&amp;sheet=U0&amp;row=727&amp;col=7&amp;number=0.00305&amp;sourceID=14","0.00305")</f>
        <v>0.00305</v>
      </c>
    </row>
    <row r="728" spans="1:7">
      <c r="A728" s="3"/>
      <c r="B728" s="3"/>
      <c r="C728" s="3"/>
      <c r="D728" s="3"/>
      <c r="E728" s="3">
        <v>5</v>
      </c>
      <c r="F728" s="4" t="str">
        <f>HYPERLINK("http://141.218.60.56/~jnz1568/getInfo.php?workbook=20_10.xlsx&amp;sheet=U0&amp;row=728&amp;col=6&amp;number=3.4&amp;sourceID=14","3.4")</f>
        <v>3.4</v>
      </c>
      <c r="G728" s="4" t="str">
        <f>HYPERLINK("http://141.218.60.56/~jnz1568/getInfo.php?workbook=20_10.xlsx&amp;sheet=U0&amp;row=728&amp;col=7&amp;number=0.00305&amp;sourceID=14","0.00305")</f>
        <v>0.00305</v>
      </c>
    </row>
    <row r="729" spans="1:7">
      <c r="A729" s="3"/>
      <c r="B729" s="3"/>
      <c r="C729" s="3"/>
      <c r="D729" s="3"/>
      <c r="E729" s="3">
        <v>6</v>
      </c>
      <c r="F729" s="4" t="str">
        <f>HYPERLINK("http://141.218.60.56/~jnz1568/getInfo.php?workbook=20_10.xlsx&amp;sheet=U0&amp;row=729&amp;col=6&amp;number=3.5&amp;sourceID=14","3.5")</f>
        <v>3.5</v>
      </c>
      <c r="G729" s="4" t="str">
        <f>HYPERLINK("http://141.218.60.56/~jnz1568/getInfo.php?workbook=20_10.xlsx&amp;sheet=U0&amp;row=729&amp;col=7&amp;number=0.00305&amp;sourceID=14","0.00305")</f>
        <v>0.00305</v>
      </c>
    </row>
    <row r="730" spans="1:7">
      <c r="A730" s="3"/>
      <c r="B730" s="3"/>
      <c r="C730" s="3"/>
      <c r="D730" s="3"/>
      <c r="E730" s="3">
        <v>7</v>
      </c>
      <c r="F730" s="4" t="str">
        <f>HYPERLINK("http://141.218.60.56/~jnz1568/getInfo.php?workbook=20_10.xlsx&amp;sheet=U0&amp;row=730&amp;col=6&amp;number=3.6&amp;sourceID=14","3.6")</f>
        <v>3.6</v>
      </c>
      <c r="G730" s="4" t="str">
        <f>HYPERLINK("http://141.218.60.56/~jnz1568/getInfo.php?workbook=20_10.xlsx&amp;sheet=U0&amp;row=730&amp;col=7&amp;number=0.00305&amp;sourceID=14","0.00305")</f>
        <v>0.00305</v>
      </c>
    </row>
    <row r="731" spans="1:7">
      <c r="A731" s="3"/>
      <c r="B731" s="3"/>
      <c r="C731" s="3"/>
      <c r="D731" s="3"/>
      <c r="E731" s="3">
        <v>8</v>
      </c>
      <c r="F731" s="4" t="str">
        <f>HYPERLINK("http://141.218.60.56/~jnz1568/getInfo.php?workbook=20_10.xlsx&amp;sheet=U0&amp;row=731&amp;col=6&amp;number=3.7&amp;sourceID=14","3.7")</f>
        <v>3.7</v>
      </c>
      <c r="G731" s="4" t="str">
        <f>HYPERLINK("http://141.218.60.56/~jnz1568/getInfo.php?workbook=20_10.xlsx&amp;sheet=U0&amp;row=731&amp;col=7&amp;number=0.00305&amp;sourceID=14","0.00305")</f>
        <v>0.00305</v>
      </c>
    </row>
    <row r="732" spans="1:7">
      <c r="A732" s="3"/>
      <c r="B732" s="3"/>
      <c r="C732" s="3"/>
      <c r="D732" s="3"/>
      <c r="E732" s="3">
        <v>9</v>
      </c>
      <c r="F732" s="4" t="str">
        <f>HYPERLINK("http://141.218.60.56/~jnz1568/getInfo.php?workbook=20_10.xlsx&amp;sheet=U0&amp;row=732&amp;col=6&amp;number=3.8&amp;sourceID=14","3.8")</f>
        <v>3.8</v>
      </c>
      <c r="G732" s="4" t="str">
        <f>HYPERLINK("http://141.218.60.56/~jnz1568/getInfo.php?workbook=20_10.xlsx&amp;sheet=U0&amp;row=732&amp;col=7&amp;number=0.00305&amp;sourceID=14","0.00305")</f>
        <v>0.00305</v>
      </c>
    </row>
    <row r="733" spans="1:7">
      <c r="A733" s="3"/>
      <c r="B733" s="3"/>
      <c r="C733" s="3"/>
      <c r="D733" s="3"/>
      <c r="E733" s="3">
        <v>10</v>
      </c>
      <c r="F733" s="4" t="str">
        <f>HYPERLINK("http://141.218.60.56/~jnz1568/getInfo.php?workbook=20_10.xlsx&amp;sheet=U0&amp;row=733&amp;col=6&amp;number=3.9&amp;sourceID=14","3.9")</f>
        <v>3.9</v>
      </c>
      <c r="G733" s="4" t="str">
        <f>HYPERLINK("http://141.218.60.56/~jnz1568/getInfo.php?workbook=20_10.xlsx&amp;sheet=U0&amp;row=733&amp;col=7&amp;number=0.00305&amp;sourceID=14","0.00305")</f>
        <v>0.00305</v>
      </c>
    </row>
    <row r="734" spans="1:7">
      <c r="A734" s="3"/>
      <c r="B734" s="3"/>
      <c r="C734" s="3"/>
      <c r="D734" s="3"/>
      <c r="E734" s="3">
        <v>11</v>
      </c>
      <c r="F734" s="4" t="str">
        <f>HYPERLINK("http://141.218.60.56/~jnz1568/getInfo.php?workbook=20_10.xlsx&amp;sheet=U0&amp;row=734&amp;col=6&amp;number=4&amp;sourceID=14","4")</f>
        <v>4</v>
      </c>
      <c r="G734" s="4" t="str">
        <f>HYPERLINK("http://141.218.60.56/~jnz1568/getInfo.php?workbook=20_10.xlsx&amp;sheet=U0&amp;row=734&amp;col=7&amp;number=0.00304&amp;sourceID=14","0.00304")</f>
        <v>0.00304</v>
      </c>
    </row>
    <row r="735" spans="1:7">
      <c r="A735" s="3"/>
      <c r="B735" s="3"/>
      <c r="C735" s="3"/>
      <c r="D735" s="3"/>
      <c r="E735" s="3">
        <v>12</v>
      </c>
      <c r="F735" s="4" t="str">
        <f>HYPERLINK("http://141.218.60.56/~jnz1568/getInfo.php?workbook=20_10.xlsx&amp;sheet=U0&amp;row=735&amp;col=6&amp;number=4.1&amp;sourceID=14","4.1")</f>
        <v>4.1</v>
      </c>
      <c r="G735" s="4" t="str">
        <f>HYPERLINK("http://141.218.60.56/~jnz1568/getInfo.php?workbook=20_10.xlsx&amp;sheet=U0&amp;row=735&amp;col=7&amp;number=0.00304&amp;sourceID=14","0.00304")</f>
        <v>0.00304</v>
      </c>
    </row>
    <row r="736" spans="1:7">
      <c r="A736" s="3"/>
      <c r="B736" s="3"/>
      <c r="C736" s="3"/>
      <c r="D736" s="3"/>
      <c r="E736" s="3">
        <v>13</v>
      </c>
      <c r="F736" s="4" t="str">
        <f>HYPERLINK("http://141.218.60.56/~jnz1568/getInfo.php?workbook=20_10.xlsx&amp;sheet=U0&amp;row=736&amp;col=6&amp;number=4.2&amp;sourceID=14","4.2")</f>
        <v>4.2</v>
      </c>
      <c r="G736" s="4" t="str">
        <f>HYPERLINK("http://141.218.60.56/~jnz1568/getInfo.php?workbook=20_10.xlsx&amp;sheet=U0&amp;row=736&amp;col=7&amp;number=0.00304&amp;sourceID=14","0.00304")</f>
        <v>0.00304</v>
      </c>
    </row>
    <row r="737" spans="1:7">
      <c r="A737" s="3"/>
      <c r="B737" s="3"/>
      <c r="C737" s="3"/>
      <c r="D737" s="3"/>
      <c r="E737" s="3">
        <v>14</v>
      </c>
      <c r="F737" s="4" t="str">
        <f>HYPERLINK("http://141.218.60.56/~jnz1568/getInfo.php?workbook=20_10.xlsx&amp;sheet=U0&amp;row=737&amp;col=6&amp;number=4.3&amp;sourceID=14","4.3")</f>
        <v>4.3</v>
      </c>
      <c r="G737" s="4" t="str">
        <f>HYPERLINK("http://141.218.60.56/~jnz1568/getInfo.php?workbook=20_10.xlsx&amp;sheet=U0&amp;row=737&amp;col=7&amp;number=0.00304&amp;sourceID=14","0.00304")</f>
        <v>0.00304</v>
      </c>
    </row>
    <row r="738" spans="1:7">
      <c r="A738" s="3"/>
      <c r="B738" s="3"/>
      <c r="C738" s="3"/>
      <c r="D738" s="3"/>
      <c r="E738" s="3">
        <v>15</v>
      </c>
      <c r="F738" s="4" t="str">
        <f>HYPERLINK("http://141.218.60.56/~jnz1568/getInfo.php?workbook=20_10.xlsx&amp;sheet=U0&amp;row=738&amp;col=6&amp;number=4.4&amp;sourceID=14","4.4")</f>
        <v>4.4</v>
      </c>
      <c r="G738" s="4" t="str">
        <f>HYPERLINK("http://141.218.60.56/~jnz1568/getInfo.php?workbook=20_10.xlsx&amp;sheet=U0&amp;row=738&amp;col=7&amp;number=0.00304&amp;sourceID=14","0.00304")</f>
        <v>0.00304</v>
      </c>
    </row>
    <row r="739" spans="1:7">
      <c r="A739" s="3"/>
      <c r="B739" s="3"/>
      <c r="C739" s="3"/>
      <c r="D739" s="3"/>
      <c r="E739" s="3">
        <v>16</v>
      </c>
      <c r="F739" s="4" t="str">
        <f>HYPERLINK("http://141.218.60.56/~jnz1568/getInfo.php?workbook=20_10.xlsx&amp;sheet=U0&amp;row=739&amp;col=6&amp;number=4.5&amp;sourceID=14","4.5")</f>
        <v>4.5</v>
      </c>
      <c r="G739" s="4" t="str">
        <f>HYPERLINK("http://141.218.60.56/~jnz1568/getInfo.php?workbook=20_10.xlsx&amp;sheet=U0&amp;row=739&amp;col=7&amp;number=0.00303&amp;sourceID=14","0.00303")</f>
        <v>0.00303</v>
      </c>
    </row>
    <row r="740" spans="1:7">
      <c r="A740" s="3"/>
      <c r="B740" s="3"/>
      <c r="C740" s="3"/>
      <c r="D740" s="3"/>
      <c r="E740" s="3">
        <v>17</v>
      </c>
      <c r="F740" s="4" t="str">
        <f>HYPERLINK("http://141.218.60.56/~jnz1568/getInfo.php?workbook=20_10.xlsx&amp;sheet=U0&amp;row=740&amp;col=6&amp;number=4.6&amp;sourceID=14","4.6")</f>
        <v>4.6</v>
      </c>
      <c r="G740" s="4" t="str">
        <f>HYPERLINK("http://141.218.60.56/~jnz1568/getInfo.php?workbook=20_10.xlsx&amp;sheet=U0&amp;row=740&amp;col=7&amp;number=0.00303&amp;sourceID=14","0.00303")</f>
        <v>0.00303</v>
      </c>
    </row>
    <row r="741" spans="1:7">
      <c r="A741" s="3"/>
      <c r="B741" s="3"/>
      <c r="C741" s="3"/>
      <c r="D741" s="3"/>
      <c r="E741" s="3">
        <v>18</v>
      </c>
      <c r="F741" s="4" t="str">
        <f>HYPERLINK("http://141.218.60.56/~jnz1568/getInfo.php?workbook=20_10.xlsx&amp;sheet=U0&amp;row=741&amp;col=6&amp;number=4.7&amp;sourceID=14","4.7")</f>
        <v>4.7</v>
      </c>
      <c r="G741" s="4" t="str">
        <f>HYPERLINK("http://141.218.60.56/~jnz1568/getInfo.php?workbook=20_10.xlsx&amp;sheet=U0&amp;row=741&amp;col=7&amp;number=0.00302&amp;sourceID=14","0.00302")</f>
        <v>0.00302</v>
      </c>
    </row>
    <row r="742" spans="1:7">
      <c r="A742" s="3"/>
      <c r="B742" s="3"/>
      <c r="C742" s="3"/>
      <c r="D742" s="3"/>
      <c r="E742" s="3">
        <v>19</v>
      </c>
      <c r="F742" s="4" t="str">
        <f>HYPERLINK("http://141.218.60.56/~jnz1568/getInfo.php?workbook=20_10.xlsx&amp;sheet=U0&amp;row=742&amp;col=6&amp;number=4.8&amp;sourceID=14","4.8")</f>
        <v>4.8</v>
      </c>
      <c r="G742" s="4" t="str">
        <f>HYPERLINK("http://141.218.60.56/~jnz1568/getInfo.php?workbook=20_10.xlsx&amp;sheet=U0&amp;row=742&amp;col=7&amp;number=0.00301&amp;sourceID=14","0.00301")</f>
        <v>0.00301</v>
      </c>
    </row>
    <row r="743" spans="1:7">
      <c r="A743" s="3"/>
      <c r="B743" s="3"/>
      <c r="C743" s="3"/>
      <c r="D743" s="3"/>
      <c r="E743" s="3">
        <v>20</v>
      </c>
      <c r="F743" s="4" t="str">
        <f>HYPERLINK("http://141.218.60.56/~jnz1568/getInfo.php?workbook=20_10.xlsx&amp;sheet=U0&amp;row=743&amp;col=6&amp;number=4.9&amp;sourceID=14","4.9")</f>
        <v>4.9</v>
      </c>
      <c r="G743" s="4" t="str">
        <f>HYPERLINK("http://141.218.60.56/~jnz1568/getInfo.php?workbook=20_10.xlsx&amp;sheet=U0&amp;row=743&amp;col=7&amp;number=0.003&amp;sourceID=14","0.003")</f>
        <v>0.003</v>
      </c>
    </row>
    <row r="744" spans="1:7">
      <c r="A744" s="3">
        <v>20</v>
      </c>
      <c r="B744" s="3">
        <v>10</v>
      </c>
      <c r="C744" s="3">
        <v>1</v>
      </c>
      <c r="D744" s="3">
        <v>39</v>
      </c>
      <c r="E744" s="3">
        <v>1</v>
      </c>
      <c r="F744" s="4" t="str">
        <f>HYPERLINK("http://141.218.60.56/~jnz1568/getInfo.php?workbook=20_10.xlsx&amp;sheet=U0&amp;row=744&amp;col=6&amp;number=3&amp;sourceID=14","3")</f>
        <v>3</v>
      </c>
      <c r="G744" s="4" t="str">
        <f>HYPERLINK("http://141.218.60.56/~jnz1568/getInfo.php?workbook=20_10.xlsx&amp;sheet=U0&amp;row=744&amp;col=7&amp;number=0.00252&amp;sourceID=14","0.00252")</f>
        <v>0.00252</v>
      </c>
    </row>
    <row r="745" spans="1:7">
      <c r="A745" s="3"/>
      <c r="B745" s="3"/>
      <c r="C745" s="3"/>
      <c r="D745" s="3"/>
      <c r="E745" s="3">
        <v>2</v>
      </c>
      <c r="F745" s="4" t="str">
        <f>HYPERLINK("http://141.218.60.56/~jnz1568/getInfo.php?workbook=20_10.xlsx&amp;sheet=U0&amp;row=745&amp;col=6&amp;number=3.1&amp;sourceID=14","3.1")</f>
        <v>3.1</v>
      </c>
      <c r="G745" s="4" t="str">
        <f>HYPERLINK("http://141.218.60.56/~jnz1568/getInfo.php?workbook=20_10.xlsx&amp;sheet=U0&amp;row=745&amp;col=7&amp;number=0.00252&amp;sourceID=14","0.00252")</f>
        <v>0.00252</v>
      </c>
    </row>
    <row r="746" spans="1:7">
      <c r="A746" s="3"/>
      <c r="B746" s="3"/>
      <c r="C746" s="3"/>
      <c r="D746" s="3"/>
      <c r="E746" s="3">
        <v>3</v>
      </c>
      <c r="F746" s="4" t="str">
        <f>HYPERLINK("http://141.218.60.56/~jnz1568/getInfo.php?workbook=20_10.xlsx&amp;sheet=U0&amp;row=746&amp;col=6&amp;number=3.2&amp;sourceID=14","3.2")</f>
        <v>3.2</v>
      </c>
      <c r="G746" s="4" t="str">
        <f>HYPERLINK("http://141.218.60.56/~jnz1568/getInfo.php?workbook=20_10.xlsx&amp;sheet=U0&amp;row=746&amp;col=7&amp;number=0.00252&amp;sourceID=14","0.00252")</f>
        <v>0.00252</v>
      </c>
    </row>
    <row r="747" spans="1:7">
      <c r="A747" s="3"/>
      <c r="B747" s="3"/>
      <c r="C747" s="3"/>
      <c r="D747" s="3"/>
      <c r="E747" s="3">
        <v>4</v>
      </c>
      <c r="F747" s="4" t="str">
        <f>HYPERLINK("http://141.218.60.56/~jnz1568/getInfo.php?workbook=20_10.xlsx&amp;sheet=U0&amp;row=747&amp;col=6&amp;number=3.3&amp;sourceID=14","3.3")</f>
        <v>3.3</v>
      </c>
      <c r="G747" s="4" t="str">
        <f>HYPERLINK("http://141.218.60.56/~jnz1568/getInfo.php?workbook=20_10.xlsx&amp;sheet=U0&amp;row=747&amp;col=7&amp;number=0.00252&amp;sourceID=14","0.00252")</f>
        <v>0.00252</v>
      </c>
    </row>
    <row r="748" spans="1:7">
      <c r="A748" s="3"/>
      <c r="B748" s="3"/>
      <c r="C748" s="3"/>
      <c r="D748" s="3"/>
      <c r="E748" s="3">
        <v>5</v>
      </c>
      <c r="F748" s="4" t="str">
        <f>HYPERLINK("http://141.218.60.56/~jnz1568/getInfo.php?workbook=20_10.xlsx&amp;sheet=U0&amp;row=748&amp;col=6&amp;number=3.4&amp;sourceID=14","3.4")</f>
        <v>3.4</v>
      </c>
      <c r="G748" s="4" t="str">
        <f>HYPERLINK("http://141.218.60.56/~jnz1568/getInfo.php?workbook=20_10.xlsx&amp;sheet=U0&amp;row=748&amp;col=7&amp;number=0.00252&amp;sourceID=14","0.00252")</f>
        <v>0.00252</v>
      </c>
    </row>
    <row r="749" spans="1:7">
      <c r="A749" s="3"/>
      <c r="B749" s="3"/>
      <c r="C749" s="3"/>
      <c r="D749" s="3"/>
      <c r="E749" s="3">
        <v>6</v>
      </c>
      <c r="F749" s="4" t="str">
        <f>HYPERLINK("http://141.218.60.56/~jnz1568/getInfo.php?workbook=20_10.xlsx&amp;sheet=U0&amp;row=749&amp;col=6&amp;number=3.5&amp;sourceID=14","3.5")</f>
        <v>3.5</v>
      </c>
      <c r="G749" s="4" t="str">
        <f>HYPERLINK("http://141.218.60.56/~jnz1568/getInfo.php?workbook=20_10.xlsx&amp;sheet=U0&amp;row=749&amp;col=7&amp;number=0.00252&amp;sourceID=14","0.00252")</f>
        <v>0.00252</v>
      </c>
    </row>
    <row r="750" spans="1:7">
      <c r="A750" s="3"/>
      <c r="B750" s="3"/>
      <c r="C750" s="3"/>
      <c r="D750" s="3"/>
      <c r="E750" s="3">
        <v>7</v>
      </c>
      <c r="F750" s="4" t="str">
        <f>HYPERLINK("http://141.218.60.56/~jnz1568/getInfo.php?workbook=20_10.xlsx&amp;sheet=U0&amp;row=750&amp;col=6&amp;number=3.6&amp;sourceID=14","3.6")</f>
        <v>3.6</v>
      </c>
      <c r="G750" s="4" t="str">
        <f>HYPERLINK("http://141.218.60.56/~jnz1568/getInfo.php?workbook=20_10.xlsx&amp;sheet=U0&amp;row=750&amp;col=7&amp;number=0.00252&amp;sourceID=14","0.00252")</f>
        <v>0.00252</v>
      </c>
    </row>
    <row r="751" spans="1:7">
      <c r="A751" s="3"/>
      <c r="B751" s="3"/>
      <c r="C751" s="3"/>
      <c r="D751" s="3"/>
      <c r="E751" s="3">
        <v>8</v>
      </c>
      <c r="F751" s="4" t="str">
        <f>HYPERLINK("http://141.218.60.56/~jnz1568/getInfo.php?workbook=20_10.xlsx&amp;sheet=U0&amp;row=751&amp;col=6&amp;number=3.7&amp;sourceID=14","3.7")</f>
        <v>3.7</v>
      </c>
      <c r="G751" s="4" t="str">
        <f>HYPERLINK("http://141.218.60.56/~jnz1568/getInfo.php?workbook=20_10.xlsx&amp;sheet=U0&amp;row=751&amp;col=7&amp;number=0.00251&amp;sourceID=14","0.00251")</f>
        <v>0.00251</v>
      </c>
    </row>
    <row r="752" spans="1:7">
      <c r="A752" s="3"/>
      <c r="B752" s="3"/>
      <c r="C752" s="3"/>
      <c r="D752" s="3"/>
      <c r="E752" s="3">
        <v>9</v>
      </c>
      <c r="F752" s="4" t="str">
        <f>HYPERLINK("http://141.218.60.56/~jnz1568/getInfo.php?workbook=20_10.xlsx&amp;sheet=U0&amp;row=752&amp;col=6&amp;number=3.8&amp;sourceID=14","3.8")</f>
        <v>3.8</v>
      </c>
      <c r="G752" s="4" t="str">
        <f>HYPERLINK("http://141.218.60.56/~jnz1568/getInfo.php?workbook=20_10.xlsx&amp;sheet=U0&amp;row=752&amp;col=7&amp;number=0.00251&amp;sourceID=14","0.00251")</f>
        <v>0.00251</v>
      </c>
    </row>
    <row r="753" spans="1:7">
      <c r="A753" s="3"/>
      <c r="B753" s="3"/>
      <c r="C753" s="3"/>
      <c r="D753" s="3"/>
      <c r="E753" s="3">
        <v>10</v>
      </c>
      <c r="F753" s="4" t="str">
        <f>HYPERLINK("http://141.218.60.56/~jnz1568/getInfo.php?workbook=20_10.xlsx&amp;sheet=U0&amp;row=753&amp;col=6&amp;number=3.9&amp;sourceID=14","3.9")</f>
        <v>3.9</v>
      </c>
      <c r="G753" s="4" t="str">
        <f>HYPERLINK("http://141.218.60.56/~jnz1568/getInfo.php?workbook=20_10.xlsx&amp;sheet=U0&amp;row=753&amp;col=7&amp;number=0.00251&amp;sourceID=14","0.00251")</f>
        <v>0.00251</v>
      </c>
    </row>
    <row r="754" spans="1:7">
      <c r="A754" s="3"/>
      <c r="B754" s="3"/>
      <c r="C754" s="3"/>
      <c r="D754" s="3"/>
      <c r="E754" s="3">
        <v>11</v>
      </c>
      <c r="F754" s="4" t="str">
        <f>HYPERLINK("http://141.218.60.56/~jnz1568/getInfo.php?workbook=20_10.xlsx&amp;sheet=U0&amp;row=754&amp;col=6&amp;number=4&amp;sourceID=14","4")</f>
        <v>4</v>
      </c>
      <c r="G754" s="4" t="str">
        <f>HYPERLINK("http://141.218.60.56/~jnz1568/getInfo.php?workbook=20_10.xlsx&amp;sheet=U0&amp;row=754&amp;col=7&amp;number=0.00251&amp;sourceID=14","0.00251")</f>
        <v>0.00251</v>
      </c>
    </row>
    <row r="755" spans="1:7">
      <c r="A755" s="3"/>
      <c r="B755" s="3"/>
      <c r="C755" s="3"/>
      <c r="D755" s="3"/>
      <c r="E755" s="3">
        <v>12</v>
      </c>
      <c r="F755" s="4" t="str">
        <f>HYPERLINK("http://141.218.60.56/~jnz1568/getInfo.php?workbook=20_10.xlsx&amp;sheet=U0&amp;row=755&amp;col=6&amp;number=4.1&amp;sourceID=14","4.1")</f>
        <v>4.1</v>
      </c>
      <c r="G755" s="4" t="str">
        <f>HYPERLINK("http://141.218.60.56/~jnz1568/getInfo.php?workbook=20_10.xlsx&amp;sheet=U0&amp;row=755&amp;col=7&amp;number=0.00251&amp;sourceID=14","0.00251")</f>
        <v>0.00251</v>
      </c>
    </row>
    <row r="756" spans="1:7">
      <c r="A756" s="3"/>
      <c r="B756" s="3"/>
      <c r="C756" s="3"/>
      <c r="D756" s="3"/>
      <c r="E756" s="3">
        <v>13</v>
      </c>
      <c r="F756" s="4" t="str">
        <f>HYPERLINK("http://141.218.60.56/~jnz1568/getInfo.php?workbook=20_10.xlsx&amp;sheet=U0&amp;row=756&amp;col=6&amp;number=4.2&amp;sourceID=14","4.2")</f>
        <v>4.2</v>
      </c>
      <c r="G756" s="4" t="str">
        <f>HYPERLINK("http://141.218.60.56/~jnz1568/getInfo.php?workbook=20_10.xlsx&amp;sheet=U0&amp;row=756&amp;col=7&amp;number=0.00251&amp;sourceID=14","0.00251")</f>
        <v>0.00251</v>
      </c>
    </row>
    <row r="757" spans="1:7">
      <c r="A757" s="3"/>
      <c r="B757" s="3"/>
      <c r="C757" s="3"/>
      <c r="D757" s="3"/>
      <c r="E757" s="3">
        <v>14</v>
      </c>
      <c r="F757" s="4" t="str">
        <f>HYPERLINK("http://141.218.60.56/~jnz1568/getInfo.php?workbook=20_10.xlsx&amp;sheet=U0&amp;row=757&amp;col=6&amp;number=4.3&amp;sourceID=14","4.3")</f>
        <v>4.3</v>
      </c>
      <c r="G757" s="4" t="str">
        <f>HYPERLINK("http://141.218.60.56/~jnz1568/getInfo.php?workbook=20_10.xlsx&amp;sheet=U0&amp;row=757&amp;col=7&amp;number=0.00251&amp;sourceID=14","0.00251")</f>
        <v>0.00251</v>
      </c>
    </row>
    <row r="758" spans="1:7">
      <c r="A758" s="3"/>
      <c r="B758" s="3"/>
      <c r="C758" s="3"/>
      <c r="D758" s="3"/>
      <c r="E758" s="3">
        <v>15</v>
      </c>
      <c r="F758" s="4" t="str">
        <f>HYPERLINK("http://141.218.60.56/~jnz1568/getInfo.php?workbook=20_10.xlsx&amp;sheet=U0&amp;row=758&amp;col=6&amp;number=4.4&amp;sourceID=14","4.4")</f>
        <v>4.4</v>
      </c>
      <c r="G758" s="4" t="str">
        <f>HYPERLINK("http://141.218.60.56/~jnz1568/getInfo.php?workbook=20_10.xlsx&amp;sheet=U0&amp;row=758&amp;col=7&amp;number=0.00251&amp;sourceID=14","0.00251")</f>
        <v>0.00251</v>
      </c>
    </row>
    <row r="759" spans="1:7">
      <c r="A759" s="3"/>
      <c r="B759" s="3"/>
      <c r="C759" s="3"/>
      <c r="D759" s="3"/>
      <c r="E759" s="3">
        <v>16</v>
      </c>
      <c r="F759" s="4" t="str">
        <f>HYPERLINK("http://141.218.60.56/~jnz1568/getInfo.php?workbook=20_10.xlsx&amp;sheet=U0&amp;row=759&amp;col=6&amp;number=4.5&amp;sourceID=14","4.5")</f>
        <v>4.5</v>
      </c>
      <c r="G759" s="4" t="str">
        <f>HYPERLINK("http://141.218.60.56/~jnz1568/getInfo.php?workbook=20_10.xlsx&amp;sheet=U0&amp;row=759&amp;col=7&amp;number=0.00251&amp;sourceID=14","0.00251")</f>
        <v>0.00251</v>
      </c>
    </row>
    <row r="760" spans="1:7">
      <c r="A760" s="3"/>
      <c r="B760" s="3"/>
      <c r="C760" s="3"/>
      <c r="D760" s="3"/>
      <c r="E760" s="3">
        <v>17</v>
      </c>
      <c r="F760" s="4" t="str">
        <f>HYPERLINK("http://141.218.60.56/~jnz1568/getInfo.php?workbook=20_10.xlsx&amp;sheet=U0&amp;row=760&amp;col=6&amp;number=4.6&amp;sourceID=14","4.6")</f>
        <v>4.6</v>
      </c>
      <c r="G760" s="4" t="str">
        <f>HYPERLINK("http://141.218.60.56/~jnz1568/getInfo.php?workbook=20_10.xlsx&amp;sheet=U0&amp;row=760&amp;col=7&amp;number=0.00251&amp;sourceID=14","0.00251")</f>
        <v>0.00251</v>
      </c>
    </row>
    <row r="761" spans="1:7">
      <c r="A761" s="3"/>
      <c r="B761" s="3"/>
      <c r="C761" s="3"/>
      <c r="D761" s="3"/>
      <c r="E761" s="3">
        <v>18</v>
      </c>
      <c r="F761" s="4" t="str">
        <f>HYPERLINK("http://141.218.60.56/~jnz1568/getInfo.php?workbook=20_10.xlsx&amp;sheet=U0&amp;row=761&amp;col=6&amp;number=4.7&amp;sourceID=14","4.7")</f>
        <v>4.7</v>
      </c>
      <c r="G761" s="4" t="str">
        <f>HYPERLINK("http://141.218.60.56/~jnz1568/getInfo.php?workbook=20_10.xlsx&amp;sheet=U0&amp;row=761&amp;col=7&amp;number=0.0025&amp;sourceID=14","0.0025")</f>
        <v>0.0025</v>
      </c>
    </row>
    <row r="762" spans="1:7">
      <c r="A762" s="3"/>
      <c r="B762" s="3"/>
      <c r="C762" s="3"/>
      <c r="D762" s="3"/>
      <c r="E762" s="3">
        <v>19</v>
      </c>
      <c r="F762" s="4" t="str">
        <f>HYPERLINK("http://141.218.60.56/~jnz1568/getInfo.php?workbook=20_10.xlsx&amp;sheet=U0&amp;row=762&amp;col=6&amp;number=4.8&amp;sourceID=14","4.8")</f>
        <v>4.8</v>
      </c>
      <c r="G762" s="4" t="str">
        <f>HYPERLINK("http://141.218.60.56/~jnz1568/getInfo.php?workbook=20_10.xlsx&amp;sheet=U0&amp;row=762&amp;col=7&amp;number=0.0025&amp;sourceID=14","0.0025")</f>
        <v>0.0025</v>
      </c>
    </row>
    <row r="763" spans="1:7">
      <c r="A763" s="3"/>
      <c r="B763" s="3"/>
      <c r="C763" s="3"/>
      <c r="D763" s="3"/>
      <c r="E763" s="3">
        <v>20</v>
      </c>
      <c r="F763" s="4" t="str">
        <f>HYPERLINK("http://141.218.60.56/~jnz1568/getInfo.php?workbook=20_10.xlsx&amp;sheet=U0&amp;row=763&amp;col=6&amp;number=4.9&amp;sourceID=14","4.9")</f>
        <v>4.9</v>
      </c>
      <c r="G763" s="4" t="str">
        <f>HYPERLINK("http://141.218.60.56/~jnz1568/getInfo.php?workbook=20_10.xlsx&amp;sheet=U0&amp;row=763&amp;col=7&amp;number=0.0025&amp;sourceID=14","0.0025")</f>
        <v>0.0025</v>
      </c>
    </row>
    <row r="764" spans="1:7">
      <c r="A764" s="3">
        <v>20</v>
      </c>
      <c r="B764" s="3">
        <v>10</v>
      </c>
      <c r="C764" s="3">
        <v>1</v>
      </c>
      <c r="D764" s="3">
        <v>40</v>
      </c>
      <c r="E764" s="3">
        <v>1</v>
      </c>
      <c r="F764" s="4" t="str">
        <f>HYPERLINK("http://141.218.60.56/~jnz1568/getInfo.php?workbook=20_10.xlsx&amp;sheet=U0&amp;row=764&amp;col=6&amp;number=3&amp;sourceID=14","3")</f>
        <v>3</v>
      </c>
      <c r="G764" s="4" t="str">
        <f>HYPERLINK("http://141.218.60.56/~jnz1568/getInfo.php?workbook=20_10.xlsx&amp;sheet=U0&amp;row=764&amp;col=7&amp;number=0.00372&amp;sourceID=14","0.00372")</f>
        <v>0.00372</v>
      </c>
    </row>
    <row r="765" spans="1:7">
      <c r="A765" s="3"/>
      <c r="B765" s="3"/>
      <c r="C765" s="3"/>
      <c r="D765" s="3"/>
      <c r="E765" s="3">
        <v>2</v>
      </c>
      <c r="F765" s="4" t="str">
        <f>HYPERLINK("http://141.218.60.56/~jnz1568/getInfo.php?workbook=20_10.xlsx&amp;sheet=U0&amp;row=765&amp;col=6&amp;number=3.1&amp;sourceID=14","3.1")</f>
        <v>3.1</v>
      </c>
      <c r="G765" s="4" t="str">
        <f>HYPERLINK("http://141.218.60.56/~jnz1568/getInfo.php?workbook=20_10.xlsx&amp;sheet=U0&amp;row=765&amp;col=7&amp;number=0.00372&amp;sourceID=14","0.00372")</f>
        <v>0.00372</v>
      </c>
    </row>
    <row r="766" spans="1:7">
      <c r="A766" s="3"/>
      <c r="B766" s="3"/>
      <c r="C766" s="3"/>
      <c r="D766" s="3"/>
      <c r="E766" s="3">
        <v>3</v>
      </c>
      <c r="F766" s="4" t="str">
        <f>HYPERLINK("http://141.218.60.56/~jnz1568/getInfo.php?workbook=20_10.xlsx&amp;sheet=U0&amp;row=766&amp;col=6&amp;number=3.2&amp;sourceID=14","3.2")</f>
        <v>3.2</v>
      </c>
      <c r="G766" s="4" t="str">
        <f>HYPERLINK("http://141.218.60.56/~jnz1568/getInfo.php?workbook=20_10.xlsx&amp;sheet=U0&amp;row=766&amp;col=7&amp;number=0.00372&amp;sourceID=14","0.00372")</f>
        <v>0.00372</v>
      </c>
    </row>
    <row r="767" spans="1:7">
      <c r="A767" s="3"/>
      <c r="B767" s="3"/>
      <c r="C767" s="3"/>
      <c r="D767" s="3"/>
      <c r="E767" s="3">
        <v>4</v>
      </c>
      <c r="F767" s="4" t="str">
        <f>HYPERLINK("http://141.218.60.56/~jnz1568/getInfo.php?workbook=20_10.xlsx&amp;sheet=U0&amp;row=767&amp;col=6&amp;number=3.3&amp;sourceID=14","3.3")</f>
        <v>3.3</v>
      </c>
      <c r="G767" s="4" t="str">
        <f>HYPERLINK("http://141.218.60.56/~jnz1568/getInfo.php?workbook=20_10.xlsx&amp;sheet=U0&amp;row=767&amp;col=7&amp;number=0.00372&amp;sourceID=14","0.00372")</f>
        <v>0.00372</v>
      </c>
    </row>
    <row r="768" spans="1:7">
      <c r="A768" s="3"/>
      <c r="B768" s="3"/>
      <c r="C768" s="3"/>
      <c r="D768" s="3"/>
      <c r="E768" s="3">
        <v>5</v>
      </c>
      <c r="F768" s="4" t="str">
        <f>HYPERLINK("http://141.218.60.56/~jnz1568/getInfo.php?workbook=20_10.xlsx&amp;sheet=U0&amp;row=768&amp;col=6&amp;number=3.4&amp;sourceID=14","3.4")</f>
        <v>3.4</v>
      </c>
      <c r="G768" s="4" t="str">
        <f>HYPERLINK("http://141.218.60.56/~jnz1568/getInfo.php?workbook=20_10.xlsx&amp;sheet=U0&amp;row=768&amp;col=7&amp;number=0.00372&amp;sourceID=14","0.00372")</f>
        <v>0.00372</v>
      </c>
    </row>
    <row r="769" spans="1:7">
      <c r="A769" s="3"/>
      <c r="B769" s="3"/>
      <c r="C769" s="3"/>
      <c r="D769" s="3"/>
      <c r="E769" s="3">
        <v>6</v>
      </c>
      <c r="F769" s="4" t="str">
        <f>HYPERLINK("http://141.218.60.56/~jnz1568/getInfo.php?workbook=20_10.xlsx&amp;sheet=U0&amp;row=769&amp;col=6&amp;number=3.5&amp;sourceID=14","3.5")</f>
        <v>3.5</v>
      </c>
      <c r="G769" s="4" t="str">
        <f>HYPERLINK("http://141.218.60.56/~jnz1568/getInfo.php?workbook=20_10.xlsx&amp;sheet=U0&amp;row=769&amp;col=7&amp;number=0.00372&amp;sourceID=14","0.00372")</f>
        <v>0.00372</v>
      </c>
    </row>
    <row r="770" spans="1:7">
      <c r="A770" s="3"/>
      <c r="B770" s="3"/>
      <c r="C770" s="3"/>
      <c r="D770" s="3"/>
      <c r="E770" s="3">
        <v>7</v>
      </c>
      <c r="F770" s="4" t="str">
        <f>HYPERLINK("http://141.218.60.56/~jnz1568/getInfo.php?workbook=20_10.xlsx&amp;sheet=U0&amp;row=770&amp;col=6&amp;number=3.6&amp;sourceID=14","3.6")</f>
        <v>3.6</v>
      </c>
      <c r="G770" s="4" t="str">
        <f>HYPERLINK("http://141.218.60.56/~jnz1568/getInfo.php?workbook=20_10.xlsx&amp;sheet=U0&amp;row=770&amp;col=7&amp;number=0.00372&amp;sourceID=14","0.00372")</f>
        <v>0.00372</v>
      </c>
    </row>
    <row r="771" spans="1:7">
      <c r="A771" s="3"/>
      <c r="B771" s="3"/>
      <c r="C771" s="3"/>
      <c r="D771" s="3"/>
      <c r="E771" s="3">
        <v>8</v>
      </c>
      <c r="F771" s="4" t="str">
        <f>HYPERLINK("http://141.218.60.56/~jnz1568/getInfo.php?workbook=20_10.xlsx&amp;sheet=U0&amp;row=771&amp;col=6&amp;number=3.7&amp;sourceID=14","3.7")</f>
        <v>3.7</v>
      </c>
      <c r="G771" s="4" t="str">
        <f>HYPERLINK("http://141.218.60.56/~jnz1568/getInfo.php?workbook=20_10.xlsx&amp;sheet=U0&amp;row=771&amp;col=7&amp;number=0.00372&amp;sourceID=14","0.00372")</f>
        <v>0.00372</v>
      </c>
    </row>
    <row r="772" spans="1:7">
      <c r="A772" s="3"/>
      <c r="B772" s="3"/>
      <c r="C772" s="3"/>
      <c r="D772" s="3"/>
      <c r="E772" s="3">
        <v>9</v>
      </c>
      <c r="F772" s="4" t="str">
        <f>HYPERLINK("http://141.218.60.56/~jnz1568/getInfo.php?workbook=20_10.xlsx&amp;sheet=U0&amp;row=772&amp;col=6&amp;number=3.8&amp;sourceID=14","3.8")</f>
        <v>3.8</v>
      </c>
      <c r="G772" s="4" t="str">
        <f>HYPERLINK("http://141.218.60.56/~jnz1568/getInfo.php?workbook=20_10.xlsx&amp;sheet=U0&amp;row=772&amp;col=7&amp;number=0.00372&amp;sourceID=14","0.00372")</f>
        <v>0.00372</v>
      </c>
    </row>
    <row r="773" spans="1:7">
      <c r="A773" s="3"/>
      <c r="B773" s="3"/>
      <c r="C773" s="3"/>
      <c r="D773" s="3"/>
      <c r="E773" s="3">
        <v>10</v>
      </c>
      <c r="F773" s="4" t="str">
        <f>HYPERLINK("http://141.218.60.56/~jnz1568/getInfo.php?workbook=20_10.xlsx&amp;sheet=U0&amp;row=773&amp;col=6&amp;number=3.9&amp;sourceID=14","3.9")</f>
        <v>3.9</v>
      </c>
      <c r="G773" s="4" t="str">
        <f>HYPERLINK("http://141.218.60.56/~jnz1568/getInfo.php?workbook=20_10.xlsx&amp;sheet=U0&amp;row=773&amp;col=7&amp;number=0.00371&amp;sourceID=14","0.00371")</f>
        <v>0.00371</v>
      </c>
    </row>
    <row r="774" spans="1:7">
      <c r="A774" s="3"/>
      <c r="B774" s="3"/>
      <c r="C774" s="3"/>
      <c r="D774" s="3"/>
      <c r="E774" s="3">
        <v>11</v>
      </c>
      <c r="F774" s="4" t="str">
        <f>HYPERLINK("http://141.218.60.56/~jnz1568/getInfo.php?workbook=20_10.xlsx&amp;sheet=U0&amp;row=774&amp;col=6&amp;number=4&amp;sourceID=14","4")</f>
        <v>4</v>
      </c>
      <c r="G774" s="4" t="str">
        <f>HYPERLINK("http://141.218.60.56/~jnz1568/getInfo.php?workbook=20_10.xlsx&amp;sheet=U0&amp;row=774&amp;col=7&amp;number=0.00371&amp;sourceID=14","0.00371")</f>
        <v>0.00371</v>
      </c>
    </row>
    <row r="775" spans="1:7">
      <c r="A775" s="3"/>
      <c r="B775" s="3"/>
      <c r="C775" s="3"/>
      <c r="D775" s="3"/>
      <c r="E775" s="3">
        <v>12</v>
      </c>
      <c r="F775" s="4" t="str">
        <f>HYPERLINK("http://141.218.60.56/~jnz1568/getInfo.php?workbook=20_10.xlsx&amp;sheet=U0&amp;row=775&amp;col=6&amp;number=4.1&amp;sourceID=14","4.1")</f>
        <v>4.1</v>
      </c>
      <c r="G775" s="4" t="str">
        <f>HYPERLINK("http://141.218.60.56/~jnz1568/getInfo.php?workbook=20_10.xlsx&amp;sheet=U0&amp;row=775&amp;col=7&amp;number=0.00371&amp;sourceID=14","0.00371")</f>
        <v>0.00371</v>
      </c>
    </row>
    <row r="776" spans="1:7">
      <c r="A776" s="3"/>
      <c r="B776" s="3"/>
      <c r="C776" s="3"/>
      <c r="D776" s="3"/>
      <c r="E776" s="3">
        <v>13</v>
      </c>
      <c r="F776" s="4" t="str">
        <f>HYPERLINK("http://141.218.60.56/~jnz1568/getInfo.php?workbook=20_10.xlsx&amp;sheet=U0&amp;row=776&amp;col=6&amp;number=4.2&amp;sourceID=14","4.2")</f>
        <v>4.2</v>
      </c>
      <c r="G776" s="4" t="str">
        <f>HYPERLINK("http://141.218.60.56/~jnz1568/getInfo.php?workbook=20_10.xlsx&amp;sheet=U0&amp;row=776&amp;col=7&amp;number=0.00371&amp;sourceID=14","0.00371")</f>
        <v>0.00371</v>
      </c>
    </row>
    <row r="777" spans="1:7">
      <c r="A777" s="3"/>
      <c r="B777" s="3"/>
      <c r="C777" s="3"/>
      <c r="D777" s="3"/>
      <c r="E777" s="3">
        <v>14</v>
      </c>
      <c r="F777" s="4" t="str">
        <f>HYPERLINK("http://141.218.60.56/~jnz1568/getInfo.php?workbook=20_10.xlsx&amp;sheet=U0&amp;row=777&amp;col=6&amp;number=4.3&amp;sourceID=14","4.3")</f>
        <v>4.3</v>
      </c>
      <c r="G777" s="4" t="str">
        <f>HYPERLINK("http://141.218.60.56/~jnz1568/getInfo.php?workbook=20_10.xlsx&amp;sheet=U0&amp;row=777&amp;col=7&amp;number=0.0037&amp;sourceID=14","0.0037")</f>
        <v>0.0037</v>
      </c>
    </row>
    <row r="778" spans="1:7">
      <c r="A778" s="3"/>
      <c r="B778" s="3"/>
      <c r="C778" s="3"/>
      <c r="D778" s="3"/>
      <c r="E778" s="3">
        <v>15</v>
      </c>
      <c r="F778" s="4" t="str">
        <f>HYPERLINK("http://141.218.60.56/~jnz1568/getInfo.php?workbook=20_10.xlsx&amp;sheet=U0&amp;row=778&amp;col=6&amp;number=4.4&amp;sourceID=14","4.4")</f>
        <v>4.4</v>
      </c>
      <c r="G778" s="4" t="str">
        <f>HYPERLINK("http://141.218.60.56/~jnz1568/getInfo.php?workbook=20_10.xlsx&amp;sheet=U0&amp;row=778&amp;col=7&amp;number=0.0037&amp;sourceID=14","0.0037")</f>
        <v>0.0037</v>
      </c>
    </row>
    <row r="779" spans="1:7">
      <c r="A779" s="3"/>
      <c r="B779" s="3"/>
      <c r="C779" s="3"/>
      <c r="D779" s="3"/>
      <c r="E779" s="3">
        <v>16</v>
      </c>
      <c r="F779" s="4" t="str">
        <f>HYPERLINK("http://141.218.60.56/~jnz1568/getInfo.php?workbook=20_10.xlsx&amp;sheet=U0&amp;row=779&amp;col=6&amp;number=4.5&amp;sourceID=14","4.5")</f>
        <v>4.5</v>
      </c>
      <c r="G779" s="4" t="str">
        <f>HYPERLINK("http://141.218.60.56/~jnz1568/getInfo.php?workbook=20_10.xlsx&amp;sheet=U0&amp;row=779&amp;col=7&amp;number=0.0037&amp;sourceID=14","0.0037")</f>
        <v>0.0037</v>
      </c>
    </row>
    <row r="780" spans="1:7">
      <c r="A780" s="3"/>
      <c r="B780" s="3"/>
      <c r="C780" s="3"/>
      <c r="D780" s="3"/>
      <c r="E780" s="3">
        <v>17</v>
      </c>
      <c r="F780" s="4" t="str">
        <f>HYPERLINK("http://141.218.60.56/~jnz1568/getInfo.php?workbook=20_10.xlsx&amp;sheet=U0&amp;row=780&amp;col=6&amp;number=4.6&amp;sourceID=14","4.6")</f>
        <v>4.6</v>
      </c>
      <c r="G780" s="4" t="str">
        <f>HYPERLINK("http://141.218.60.56/~jnz1568/getInfo.php?workbook=20_10.xlsx&amp;sheet=U0&amp;row=780&amp;col=7&amp;number=0.00369&amp;sourceID=14","0.00369")</f>
        <v>0.00369</v>
      </c>
    </row>
    <row r="781" spans="1:7">
      <c r="A781" s="3"/>
      <c r="B781" s="3"/>
      <c r="C781" s="3"/>
      <c r="D781" s="3"/>
      <c r="E781" s="3">
        <v>18</v>
      </c>
      <c r="F781" s="4" t="str">
        <f>HYPERLINK("http://141.218.60.56/~jnz1568/getInfo.php?workbook=20_10.xlsx&amp;sheet=U0&amp;row=781&amp;col=6&amp;number=4.7&amp;sourceID=14","4.7")</f>
        <v>4.7</v>
      </c>
      <c r="G781" s="4" t="str">
        <f>HYPERLINK("http://141.218.60.56/~jnz1568/getInfo.php?workbook=20_10.xlsx&amp;sheet=U0&amp;row=781&amp;col=7&amp;number=0.00368&amp;sourceID=14","0.00368")</f>
        <v>0.00368</v>
      </c>
    </row>
    <row r="782" spans="1:7">
      <c r="A782" s="3"/>
      <c r="B782" s="3"/>
      <c r="C782" s="3"/>
      <c r="D782" s="3"/>
      <c r="E782" s="3">
        <v>19</v>
      </c>
      <c r="F782" s="4" t="str">
        <f>HYPERLINK("http://141.218.60.56/~jnz1568/getInfo.php?workbook=20_10.xlsx&amp;sheet=U0&amp;row=782&amp;col=6&amp;number=4.8&amp;sourceID=14","4.8")</f>
        <v>4.8</v>
      </c>
      <c r="G782" s="4" t="str">
        <f>HYPERLINK("http://141.218.60.56/~jnz1568/getInfo.php?workbook=20_10.xlsx&amp;sheet=U0&amp;row=782&amp;col=7&amp;number=0.00367&amp;sourceID=14","0.00367")</f>
        <v>0.00367</v>
      </c>
    </row>
    <row r="783" spans="1:7">
      <c r="A783" s="3"/>
      <c r="B783" s="3"/>
      <c r="C783" s="3"/>
      <c r="D783" s="3"/>
      <c r="E783" s="3">
        <v>20</v>
      </c>
      <c r="F783" s="4" t="str">
        <f>HYPERLINK("http://141.218.60.56/~jnz1568/getInfo.php?workbook=20_10.xlsx&amp;sheet=U0&amp;row=783&amp;col=6&amp;number=4.9&amp;sourceID=14","4.9")</f>
        <v>4.9</v>
      </c>
      <c r="G783" s="4" t="str">
        <f>HYPERLINK("http://141.218.60.56/~jnz1568/getInfo.php?workbook=20_10.xlsx&amp;sheet=U0&amp;row=783&amp;col=7&amp;number=0.00366&amp;sourceID=14","0.00366")</f>
        <v>0.00366</v>
      </c>
    </row>
    <row r="784" spans="1:7">
      <c r="A784" s="3">
        <v>20</v>
      </c>
      <c r="B784" s="3">
        <v>10</v>
      </c>
      <c r="C784" s="3">
        <v>1</v>
      </c>
      <c r="D784" s="3">
        <v>41</v>
      </c>
      <c r="E784" s="3">
        <v>1</v>
      </c>
      <c r="F784" s="4" t="str">
        <f>HYPERLINK("http://141.218.60.56/~jnz1568/getInfo.php?workbook=20_10.xlsx&amp;sheet=U0&amp;row=784&amp;col=6&amp;number=3&amp;sourceID=14","3")</f>
        <v>3</v>
      </c>
      <c r="G784" s="4" t="str">
        <f>HYPERLINK("http://141.218.60.56/~jnz1568/getInfo.php?workbook=20_10.xlsx&amp;sheet=U0&amp;row=784&amp;col=7&amp;number=0.00114&amp;sourceID=14","0.00114")</f>
        <v>0.00114</v>
      </c>
    </row>
    <row r="785" spans="1:7">
      <c r="A785" s="3"/>
      <c r="B785" s="3"/>
      <c r="C785" s="3"/>
      <c r="D785" s="3"/>
      <c r="E785" s="3">
        <v>2</v>
      </c>
      <c r="F785" s="4" t="str">
        <f>HYPERLINK("http://141.218.60.56/~jnz1568/getInfo.php?workbook=20_10.xlsx&amp;sheet=U0&amp;row=785&amp;col=6&amp;number=3.1&amp;sourceID=14","3.1")</f>
        <v>3.1</v>
      </c>
      <c r="G785" s="4" t="str">
        <f>HYPERLINK("http://141.218.60.56/~jnz1568/getInfo.php?workbook=20_10.xlsx&amp;sheet=U0&amp;row=785&amp;col=7&amp;number=0.00114&amp;sourceID=14","0.00114")</f>
        <v>0.00114</v>
      </c>
    </row>
    <row r="786" spans="1:7">
      <c r="A786" s="3"/>
      <c r="B786" s="3"/>
      <c r="C786" s="3"/>
      <c r="D786" s="3"/>
      <c r="E786" s="3">
        <v>3</v>
      </c>
      <c r="F786" s="4" t="str">
        <f>HYPERLINK("http://141.218.60.56/~jnz1568/getInfo.php?workbook=20_10.xlsx&amp;sheet=U0&amp;row=786&amp;col=6&amp;number=3.2&amp;sourceID=14","3.2")</f>
        <v>3.2</v>
      </c>
      <c r="G786" s="4" t="str">
        <f>HYPERLINK("http://141.218.60.56/~jnz1568/getInfo.php?workbook=20_10.xlsx&amp;sheet=U0&amp;row=786&amp;col=7&amp;number=0.00114&amp;sourceID=14","0.00114")</f>
        <v>0.00114</v>
      </c>
    </row>
    <row r="787" spans="1:7">
      <c r="A787" s="3"/>
      <c r="B787" s="3"/>
      <c r="C787" s="3"/>
      <c r="D787" s="3"/>
      <c r="E787" s="3">
        <v>4</v>
      </c>
      <c r="F787" s="4" t="str">
        <f>HYPERLINK("http://141.218.60.56/~jnz1568/getInfo.php?workbook=20_10.xlsx&amp;sheet=U0&amp;row=787&amp;col=6&amp;number=3.3&amp;sourceID=14","3.3")</f>
        <v>3.3</v>
      </c>
      <c r="G787" s="4" t="str">
        <f>HYPERLINK("http://141.218.60.56/~jnz1568/getInfo.php?workbook=20_10.xlsx&amp;sheet=U0&amp;row=787&amp;col=7&amp;number=0.00114&amp;sourceID=14","0.00114")</f>
        <v>0.00114</v>
      </c>
    </row>
    <row r="788" spans="1:7">
      <c r="A788" s="3"/>
      <c r="B788" s="3"/>
      <c r="C788" s="3"/>
      <c r="D788" s="3"/>
      <c r="E788" s="3">
        <v>5</v>
      </c>
      <c r="F788" s="4" t="str">
        <f>HYPERLINK("http://141.218.60.56/~jnz1568/getInfo.php?workbook=20_10.xlsx&amp;sheet=U0&amp;row=788&amp;col=6&amp;number=3.4&amp;sourceID=14","3.4")</f>
        <v>3.4</v>
      </c>
      <c r="G788" s="4" t="str">
        <f>HYPERLINK("http://141.218.60.56/~jnz1568/getInfo.php?workbook=20_10.xlsx&amp;sheet=U0&amp;row=788&amp;col=7&amp;number=0.00114&amp;sourceID=14","0.00114")</f>
        <v>0.00114</v>
      </c>
    </row>
    <row r="789" spans="1:7">
      <c r="A789" s="3"/>
      <c r="B789" s="3"/>
      <c r="C789" s="3"/>
      <c r="D789" s="3"/>
      <c r="E789" s="3">
        <v>6</v>
      </c>
      <c r="F789" s="4" t="str">
        <f>HYPERLINK("http://141.218.60.56/~jnz1568/getInfo.php?workbook=20_10.xlsx&amp;sheet=U0&amp;row=789&amp;col=6&amp;number=3.5&amp;sourceID=14","3.5")</f>
        <v>3.5</v>
      </c>
      <c r="G789" s="4" t="str">
        <f>HYPERLINK("http://141.218.60.56/~jnz1568/getInfo.php?workbook=20_10.xlsx&amp;sheet=U0&amp;row=789&amp;col=7&amp;number=0.00114&amp;sourceID=14","0.00114")</f>
        <v>0.00114</v>
      </c>
    </row>
    <row r="790" spans="1:7">
      <c r="A790" s="3"/>
      <c r="B790" s="3"/>
      <c r="C790" s="3"/>
      <c r="D790" s="3"/>
      <c r="E790" s="3">
        <v>7</v>
      </c>
      <c r="F790" s="4" t="str">
        <f>HYPERLINK("http://141.218.60.56/~jnz1568/getInfo.php?workbook=20_10.xlsx&amp;sheet=U0&amp;row=790&amp;col=6&amp;number=3.6&amp;sourceID=14","3.6")</f>
        <v>3.6</v>
      </c>
      <c r="G790" s="4" t="str">
        <f>HYPERLINK("http://141.218.60.56/~jnz1568/getInfo.php?workbook=20_10.xlsx&amp;sheet=U0&amp;row=790&amp;col=7&amp;number=0.00114&amp;sourceID=14","0.00114")</f>
        <v>0.00114</v>
      </c>
    </row>
    <row r="791" spans="1:7">
      <c r="A791" s="3"/>
      <c r="B791" s="3"/>
      <c r="C791" s="3"/>
      <c r="D791" s="3"/>
      <c r="E791" s="3">
        <v>8</v>
      </c>
      <c r="F791" s="4" t="str">
        <f>HYPERLINK("http://141.218.60.56/~jnz1568/getInfo.php?workbook=20_10.xlsx&amp;sheet=U0&amp;row=791&amp;col=6&amp;number=3.7&amp;sourceID=14","3.7")</f>
        <v>3.7</v>
      </c>
      <c r="G791" s="4" t="str">
        <f>HYPERLINK("http://141.218.60.56/~jnz1568/getInfo.php?workbook=20_10.xlsx&amp;sheet=U0&amp;row=791&amp;col=7&amp;number=0.00114&amp;sourceID=14","0.00114")</f>
        <v>0.00114</v>
      </c>
    </row>
    <row r="792" spans="1:7">
      <c r="A792" s="3"/>
      <c r="B792" s="3"/>
      <c r="C792" s="3"/>
      <c r="D792" s="3"/>
      <c r="E792" s="3">
        <v>9</v>
      </c>
      <c r="F792" s="4" t="str">
        <f>HYPERLINK("http://141.218.60.56/~jnz1568/getInfo.php?workbook=20_10.xlsx&amp;sheet=U0&amp;row=792&amp;col=6&amp;number=3.8&amp;sourceID=14","3.8")</f>
        <v>3.8</v>
      </c>
      <c r="G792" s="4" t="str">
        <f>HYPERLINK("http://141.218.60.56/~jnz1568/getInfo.php?workbook=20_10.xlsx&amp;sheet=U0&amp;row=792&amp;col=7&amp;number=0.00114&amp;sourceID=14","0.00114")</f>
        <v>0.00114</v>
      </c>
    </row>
    <row r="793" spans="1:7">
      <c r="A793" s="3"/>
      <c r="B793" s="3"/>
      <c r="C793" s="3"/>
      <c r="D793" s="3"/>
      <c r="E793" s="3">
        <v>10</v>
      </c>
      <c r="F793" s="4" t="str">
        <f>HYPERLINK("http://141.218.60.56/~jnz1568/getInfo.php?workbook=20_10.xlsx&amp;sheet=U0&amp;row=793&amp;col=6&amp;number=3.9&amp;sourceID=14","3.9")</f>
        <v>3.9</v>
      </c>
      <c r="G793" s="4" t="str">
        <f>HYPERLINK("http://141.218.60.56/~jnz1568/getInfo.php?workbook=20_10.xlsx&amp;sheet=U0&amp;row=793&amp;col=7&amp;number=0.00114&amp;sourceID=14","0.00114")</f>
        <v>0.00114</v>
      </c>
    </row>
    <row r="794" spans="1:7">
      <c r="A794" s="3"/>
      <c r="B794" s="3"/>
      <c r="C794" s="3"/>
      <c r="D794" s="3"/>
      <c r="E794" s="3">
        <v>11</v>
      </c>
      <c r="F794" s="4" t="str">
        <f>HYPERLINK("http://141.218.60.56/~jnz1568/getInfo.php?workbook=20_10.xlsx&amp;sheet=U0&amp;row=794&amp;col=6&amp;number=4&amp;sourceID=14","4")</f>
        <v>4</v>
      </c>
      <c r="G794" s="4" t="str">
        <f>HYPERLINK("http://141.218.60.56/~jnz1568/getInfo.php?workbook=20_10.xlsx&amp;sheet=U0&amp;row=794&amp;col=7&amp;number=0.00114&amp;sourceID=14","0.00114")</f>
        <v>0.00114</v>
      </c>
    </row>
    <row r="795" spans="1:7">
      <c r="A795" s="3"/>
      <c r="B795" s="3"/>
      <c r="C795" s="3"/>
      <c r="D795" s="3"/>
      <c r="E795" s="3">
        <v>12</v>
      </c>
      <c r="F795" s="4" t="str">
        <f>HYPERLINK("http://141.218.60.56/~jnz1568/getInfo.php?workbook=20_10.xlsx&amp;sheet=U0&amp;row=795&amp;col=6&amp;number=4.1&amp;sourceID=14","4.1")</f>
        <v>4.1</v>
      </c>
      <c r="G795" s="4" t="str">
        <f>HYPERLINK("http://141.218.60.56/~jnz1568/getInfo.php?workbook=20_10.xlsx&amp;sheet=U0&amp;row=795&amp;col=7&amp;number=0.00114&amp;sourceID=14","0.00114")</f>
        <v>0.00114</v>
      </c>
    </row>
    <row r="796" spans="1:7">
      <c r="A796" s="3"/>
      <c r="B796" s="3"/>
      <c r="C796" s="3"/>
      <c r="D796" s="3"/>
      <c r="E796" s="3">
        <v>13</v>
      </c>
      <c r="F796" s="4" t="str">
        <f>HYPERLINK("http://141.218.60.56/~jnz1568/getInfo.php?workbook=20_10.xlsx&amp;sheet=U0&amp;row=796&amp;col=6&amp;number=4.2&amp;sourceID=14","4.2")</f>
        <v>4.2</v>
      </c>
      <c r="G796" s="4" t="str">
        <f>HYPERLINK("http://141.218.60.56/~jnz1568/getInfo.php?workbook=20_10.xlsx&amp;sheet=U0&amp;row=796&amp;col=7&amp;number=0.00114&amp;sourceID=14","0.00114")</f>
        <v>0.00114</v>
      </c>
    </row>
    <row r="797" spans="1:7">
      <c r="A797" s="3"/>
      <c r="B797" s="3"/>
      <c r="C797" s="3"/>
      <c r="D797" s="3"/>
      <c r="E797" s="3">
        <v>14</v>
      </c>
      <c r="F797" s="4" t="str">
        <f>HYPERLINK("http://141.218.60.56/~jnz1568/getInfo.php?workbook=20_10.xlsx&amp;sheet=U0&amp;row=797&amp;col=6&amp;number=4.3&amp;sourceID=14","4.3")</f>
        <v>4.3</v>
      </c>
      <c r="G797" s="4" t="str">
        <f>HYPERLINK("http://141.218.60.56/~jnz1568/getInfo.php?workbook=20_10.xlsx&amp;sheet=U0&amp;row=797&amp;col=7&amp;number=0.00114&amp;sourceID=14","0.00114")</f>
        <v>0.00114</v>
      </c>
    </row>
    <row r="798" spans="1:7">
      <c r="A798" s="3"/>
      <c r="B798" s="3"/>
      <c r="C798" s="3"/>
      <c r="D798" s="3"/>
      <c r="E798" s="3">
        <v>15</v>
      </c>
      <c r="F798" s="4" t="str">
        <f>HYPERLINK("http://141.218.60.56/~jnz1568/getInfo.php?workbook=20_10.xlsx&amp;sheet=U0&amp;row=798&amp;col=6&amp;number=4.4&amp;sourceID=14","4.4")</f>
        <v>4.4</v>
      </c>
      <c r="G798" s="4" t="str">
        <f>HYPERLINK("http://141.218.60.56/~jnz1568/getInfo.php?workbook=20_10.xlsx&amp;sheet=U0&amp;row=798&amp;col=7&amp;number=0.00114&amp;sourceID=14","0.00114")</f>
        <v>0.00114</v>
      </c>
    </row>
    <row r="799" spans="1:7">
      <c r="A799" s="3"/>
      <c r="B799" s="3"/>
      <c r="C799" s="3"/>
      <c r="D799" s="3"/>
      <c r="E799" s="3">
        <v>16</v>
      </c>
      <c r="F799" s="4" t="str">
        <f>HYPERLINK("http://141.218.60.56/~jnz1568/getInfo.php?workbook=20_10.xlsx&amp;sheet=U0&amp;row=799&amp;col=6&amp;number=4.5&amp;sourceID=14","4.5")</f>
        <v>4.5</v>
      </c>
      <c r="G799" s="4" t="str">
        <f>HYPERLINK("http://141.218.60.56/~jnz1568/getInfo.php?workbook=20_10.xlsx&amp;sheet=U0&amp;row=799&amp;col=7&amp;number=0.00114&amp;sourceID=14","0.00114")</f>
        <v>0.00114</v>
      </c>
    </row>
    <row r="800" spans="1:7">
      <c r="A800" s="3"/>
      <c r="B800" s="3"/>
      <c r="C800" s="3"/>
      <c r="D800" s="3"/>
      <c r="E800" s="3">
        <v>17</v>
      </c>
      <c r="F800" s="4" t="str">
        <f>HYPERLINK("http://141.218.60.56/~jnz1568/getInfo.php?workbook=20_10.xlsx&amp;sheet=U0&amp;row=800&amp;col=6&amp;number=4.6&amp;sourceID=14","4.6")</f>
        <v>4.6</v>
      </c>
      <c r="G800" s="4" t="str">
        <f>HYPERLINK("http://141.218.60.56/~jnz1568/getInfo.php?workbook=20_10.xlsx&amp;sheet=U0&amp;row=800&amp;col=7&amp;number=0.00113&amp;sourceID=14","0.00113")</f>
        <v>0.00113</v>
      </c>
    </row>
    <row r="801" spans="1:7">
      <c r="A801" s="3"/>
      <c r="B801" s="3"/>
      <c r="C801" s="3"/>
      <c r="D801" s="3"/>
      <c r="E801" s="3">
        <v>18</v>
      </c>
      <c r="F801" s="4" t="str">
        <f>HYPERLINK("http://141.218.60.56/~jnz1568/getInfo.php?workbook=20_10.xlsx&amp;sheet=U0&amp;row=801&amp;col=6&amp;number=4.7&amp;sourceID=14","4.7")</f>
        <v>4.7</v>
      </c>
      <c r="G801" s="4" t="str">
        <f>HYPERLINK("http://141.218.60.56/~jnz1568/getInfo.php?workbook=20_10.xlsx&amp;sheet=U0&amp;row=801&amp;col=7&amp;number=0.00113&amp;sourceID=14","0.00113")</f>
        <v>0.00113</v>
      </c>
    </row>
    <row r="802" spans="1:7">
      <c r="A802" s="3"/>
      <c r="B802" s="3"/>
      <c r="C802" s="3"/>
      <c r="D802" s="3"/>
      <c r="E802" s="3">
        <v>19</v>
      </c>
      <c r="F802" s="4" t="str">
        <f>HYPERLINK("http://141.218.60.56/~jnz1568/getInfo.php?workbook=20_10.xlsx&amp;sheet=U0&amp;row=802&amp;col=6&amp;number=4.8&amp;sourceID=14","4.8")</f>
        <v>4.8</v>
      </c>
      <c r="G802" s="4" t="str">
        <f>HYPERLINK("http://141.218.60.56/~jnz1568/getInfo.php?workbook=20_10.xlsx&amp;sheet=U0&amp;row=802&amp;col=7&amp;number=0.00113&amp;sourceID=14","0.00113")</f>
        <v>0.00113</v>
      </c>
    </row>
    <row r="803" spans="1:7">
      <c r="A803" s="3"/>
      <c r="B803" s="3"/>
      <c r="C803" s="3"/>
      <c r="D803" s="3"/>
      <c r="E803" s="3">
        <v>20</v>
      </c>
      <c r="F803" s="4" t="str">
        <f>HYPERLINK("http://141.218.60.56/~jnz1568/getInfo.php?workbook=20_10.xlsx&amp;sheet=U0&amp;row=803&amp;col=6&amp;number=4.9&amp;sourceID=14","4.9")</f>
        <v>4.9</v>
      </c>
      <c r="G803" s="4" t="str">
        <f>HYPERLINK("http://141.218.60.56/~jnz1568/getInfo.php?workbook=20_10.xlsx&amp;sheet=U0&amp;row=803&amp;col=7&amp;number=0.00112&amp;sourceID=14","0.00112")</f>
        <v>0.00112</v>
      </c>
    </row>
    <row r="804" spans="1:7">
      <c r="A804" s="3">
        <v>20</v>
      </c>
      <c r="B804" s="3">
        <v>10</v>
      </c>
      <c r="C804" s="3">
        <v>1</v>
      </c>
      <c r="D804" s="3">
        <v>42</v>
      </c>
      <c r="E804" s="3">
        <v>1</v>
      </c>
      <c r="F804" s="4" t="str">
        <f>HYPERLINK("http://141.218.60.56/~jnz1568/getInfo.php?workbook=20_10.xlsx&amp;sheet=U0&amp;row=804&amp;col=6&amp;number=3&amp;sourceID=14","3")</f>
        <v>3</v>
      </c>
      <c r="G804" s="4" t="str">
        <f>HYPERLINK("http://141.218.60.56/~jnz1568/getInfo.php?workbook=20_10.xlsx&amp;sheet=U0&amp;row=804&amp;col=7&amp;number=0.00193&amp;sourceID=14","0.00193")</f>
        <v>0.00193</v>
      </c>
    </row>
    <row r="805" spans="1:7">
      <c r="A805" s="3"/>
      <c r="B805" s="3"/>
      <c r="C805" s="3"/>
      <c r="D805" s="3"/>
      <c r="E805" s="3">
        <v>2</v>
      </c>
      <c r="F805" s="4" t="str">
        <f>HYPERLINK("http://141.218.60.56/~jnz1568/getInfo.php?workbook=20_10.xlsx&amp;sheet=U0&amp;row=805&amp;col=6&amp;number=3.1&amp;sourceID=14","3.1")</f>
        <v>3.1</v>
      </c>
      <c r="G805" s="4" t="str">
        <f>HYPERLINK("http://141.218.60.56/~jnz1568/getInfo.php?workbook=20_10.xlsx&amp;sheet=U0&amp;row=805&amp;col=7&amp;number=0.00193&amp;sourceID=14","0.00193")</f>
        <v>0.00193</v>
      </c>
    </row>
    <row r="806" spans="1:7">
      <c r="A806" s="3"/>
      <c r="B806" s="3"/>
      <c r="C806" s="3"/>
      <c r="D806" s="3"/>
      <c r="E806" s="3">
        <v>3</v>
      </c>
      <c r="F806" s="4" t="str">
        <f>HYPERLINK("http://141.218.60.56/~jnz1568/getInfo.php?workbook=20_10.xlsx&amp;sheet=U0&amp;row=806&amp;col=6&amp;number=3.2&amp;sourceID=14","3.2")</f>
        <v>3.2</v>
      </c>
      <c r="G806" s="4" t="str">
        <f>HYPERLINK("http://141.218.60.56/~jnz1568/getInfo.php?workbook=20_10.xlsx&amp;sheet=U0&amp;row=806&amp;col=7&amp;number=0.00193&amp;sourceID=14","0.00193")</f>
        <v>0.00193</v>
      </c>
    </row>
    <row r="807" spans="1:7">
      <c r="A807" s="3"/>
      <c r="B807" s="3"/>
      <c r="C807" s="3"/>
      <c r="D807" s="3"/>
      <c r="E807" s="3">
        <v>4</v>
      </c>
      <c r="F807" s="4" t="str">
        <f>HYPERLINK("http://141.218.60.56/~jnz1568/getInfo.php?workbook=20_10.xlsx&amp;sheet=U0&amp;row=807&amp;col=6&amp;number=3.3&amp;sourceID=14","3.3")</f>
        <v>3.3</v>
      </c>
      <c r="G807" s="4" t="str">
        <f>HYPERLINK("http://141.218.60.56/~jnz1568/getInfo.php?workbook=20_10.xlsx&amp;sheet=U0&amp;row=807&amp;col=7&amp;number=0.00193&amp;sourceID=14","0.00193")</f>
        <v>0.00193</v>
      </c>
    </row>
    <row r="808" spans="1:7">
      <c r="A808" s="3"/>
      <c r="B808" s="3"/>
      <c r="C808" s="3"/>
      <c r="D808" s="3"/>
      <c r="E808" s="3">
        <v>5</v>
      </c>
      <c r="F808" s="4" t="str">
        <f>HYPERLINK("http://141.218.60.56/~jnz1568/getInfo.php?workbook=20_10.xlsx&amp;sheet=U0&amp;row=808&amp;col=6&amp;number=3.4&amp;sourceID=14","3.4")</f>
        <v>3.4</v>
      </c>
      <c r="G808" s="4" t="str">
        <f>HYPERLINK("http://141.218.60.56/~jnz1568/getInfo.php?workbook=20_10.xlsx&amp;sheet=U0&amp;row=808&amp;col=7&amp;number=0.00193&amp;sourceID=14","0.00193")</f>
        <v>0.00193</v>
      </c>
    </row>
    <row r="809" spans="1:7">
      <c r="A809" s="3"/>
      <c r="B809" s="3"/>
      <c r="C809" s="3"/>
      <c r="D809" s="3"/>
      <c r="E809" s="3">
        <v>6</v>
      </c>
      <c r="F809" s="4" t="str">
        <f>HYPERLINK("http://141.218.60.56/~jnz1568/getInfo.php?workbook=20_10.xlsx&amp;sheet=U0&amp;row=809&amp;col=6&amp;number=3.5&amp;sourceID=14","3.5")</f>
        <v>3.5</v>
      </c>
      <c r="G809" s="4" t="str">
        <f>HYPERLINK("http://141.218.60.56/~jnz1568/getInfo.php?workbook=20_10.xlsx&amp;sheet=U0&amp;row=809&amp;col=7&amp;number=0.00193&amp;sourceID=14","0.00193")</f>
        <v>0.00193</v>
      </c>
    </row>
    <row r="810" spans="1:7">
      <c r="A810" s="3"/>
      <c r="B810" s="3"/>
      <c r="C810" s="3"/>
      <c r="D810" s="3"/>
      <c r="E810" s="3">
        <v>7</v>
      </c>
      <c r="F810" s="4" t="str">
        <f>HYPERLINK("http://141.218.60.56/~jnz1568/getInfo.php?workbook=20_10.xlsx&amp;sheet=U0&amp;row=810&amp;col=6&amp;number=3.6&amp;sourceID=14","3.6")</f>
        <v>3.6</v>
      </c>
      <c r="G810" s="4" t="str">
        <f>HYPERLINK("http://141.218.60.56/~jnz1568/getInfo.php?workbook=20_10.xlsx&amp;sheet=U0&amp;row=810&amp;col=7&amp;number=0.00193&amp;sourceID=14","0.00193")</f>
        <v>0.00193</v>
      </c>
    </row>
    <row r="811" spans="1:7">
      <c r="A811" s="3"/>
      <c r="B811" s="3"/>
      <c r="C811" s="3"/>
      <c r="D811" s="3"/>
      <c r="E811" s="3">
        <v>8</v>
      </c>
      <c r="F811" s="4" t="str">
        <f>HYPERLINK("http://141.218.60.56/~jnz1568/getInfo.php?workbook=20_10.xlsx&amp;sheet=U0&amp;row=811&amp;col=6&amp;number=3.7&amp;sourceID=14","3.7")</f>
        <v>3.7</v>
      </c>
      <c r="G811" s="4" t="str">
        <f>HYPERLINK("http://141.218.60.56/~jnz1568/getInfo.php?workbook=20_10.xlsx&amp;sheet=U0&amp;row=811&amp;col=7&amp;number=0.00193&amp;sourceID=14","0.00193")</f>
        <v>0.00193</v>
      </c>
    </row>
    <row r="812" spans="1:7">
      <c r="A812" s="3"/>
      <c r="B812" s="3"/>
      <c r="C812" s="3"/>
      <c r="D812" s="3"/>
      <c r="E812" s="3">
        <v>9</v>
      </c>
      <c r="F812" s="4" t="str">
        <f>HYPERLINK("http://141.218.60.56/~jnz1568/getInfo.php?workbook=20_10.xlsx&amp;sheet=U0&amp;row=812&amp;col=6&amp;number=3.8&amp;sourceID=14","3.8")</f>
        <v>3.8</v>
      </c>
      <c r="G812" s="4" t="str">
        <f>HYPERLINK("http://141.218.60.56/~jnz1568/getInfo.php?workbook=20_10.xlsx&amp;sheet=U0&amp;row=812&amp;col=7&amp;number=0.00193&amp;sourceID=14","0.00193")</f>
        <v>0.00193</v>
      </c>
    </row>
    <row r="813" spans="1:7">
      <c r="A813" s="3"/>
      <c r="B813" s="3"/>
      <c r="C813" s="3"/>
      <c r="D813" s="3"/>
      <c r="E813" s="3">
        <v>10</v>
      </c>
      <c r="F813" s="4" t="str">
        <f>HYPERLINK("http://141.218.60.56/~jnz1568/getInfo.php?workbook=20_10.xlsx&amp;sheet=U0&amp;row=813&amp;col=6&amp;number=3.9&amp;sourceID=14","3.9")</f>
        <v>3.9</v>
      </c>
      <c r="G813" s="4" t="str">
        <f>HYPERLINK("http://141.218.60.56/~jnz1568/getInfo.php?workbook=20_10.xlsx&amp;sheet=U0&amp;row=813&amp;col=7&amp;number=0.00193&amp;sourceID=14","0.00193")</f>
        <v>0.00193</v>
      </c>
    </row>
    <row r="814" spans="1:7">
      <c r="A814" s="3"/>
      <c r="B814" s="3"/>
      <c r="C814" s="3"/>
      <c r="D814" s="3"/>
      <c r="E814" s="3">
        <v>11</v>
      </c>
      <c r="F814" s="4" t="str">
        <f>HYPERLINK("http://141.218.60.56/~jnz1568/getInfo.php?workbook=20_10.xlsx&amp;sheet=U0&amp;row=814&amp;col=6&amp;number=4&amp;sourceID=14","4")</f>
        <v>4</v>
      </c>
      <c r="G814" s="4" t="str">
        <f>HYPERLINK("http://141.218.60.56/~jnz1568/getInfo.php?workbook=20_10.xlsx&amp;sheet=U0&amp;row=814&amp;col=7&amp;number=0.00193&amp;sourceID=14","0.00193")</f>
        <v>0.00193</v>
      </c>
    </row>
    <row r="815" spans="1:7">
      <c r="A815" s="3"/>
      <c r="B815" s="3"/>
      <c r="C815" s="3"/>
      <c r="D815" s="3"/>
      <c r="E815" s="3">
        <v>12</v>
      </c>
      <c r="F815" s="4" t="str">
        <f>HYPERLINK("http://141.218.60.56/~jnz1568/getInfo.php?workbook=20_10.xlsx&amp;sheet=U0&amp;row=815&amp;col=6&amp;number=4.1&amp;sourceID=14","4.1")</f>
        <v>4.1</v>
      </c>
      <c r="G815" s="4" t="str">
        <f>HYPERLINK("http://141.218.60.56/~jnz1568/getInfo.php?workbook=20_10.xlsx&amp;sheet=U0&amp;row=815&amp;col=7&amp;number=0.00193&amp;sourceID=14","0.00193")</f>
        <v>0.00193</v>
      </c>
    </row>
    <row r="816" spans="1:7">
      <c r="A816" s="3"/>
      <c r="B816" s="3"/>
      <c r="C816" s="3"/>
      <c r="D816" s="3"/>
      <c r="E816" s="3">
        <v>13</v>
      </c>
      <c r="F816" s="4" t="str">
        <f>HYPERLINK("http://141.218.60.56/~jnz1568/getInfo.php?workbook=20_10.xlsx&amp;sheet=U0&amp;row=816&amp;col=6&amp;number=4.2&amp;sourceID=14","4.2")</f>
        <v>4.2</v>
      </c>
      <c r="G816" s="4" t="str">
        <f>HYPERLINK("http://141.218.60.56/~jnz1568/getInfo.php?workbook=20_10.xlsx&amp;sheet=U0&amp;row=816&amp;col=7&amp;number=0.00193&amp;sourceID=14","0.00193")</f>
        <v>0.00193</v>
      </c>
    </row>
    <row r="817" spans="1:7">
      <c r="A817" s="3"/>
      <c r="B817" s="3"/>
      <c r="C817" s="3"/>
      <c r="D817" s="3"/>
      <c r="E817" s="3">
        <v>14</v>
      </c>
      <c r="F817" s="4" t="str">
        <f>HYPERLINK("http://141.218.60.56/~jnz1568/getInfo.php?workbook=20_10.xlsx&amp;sheet=U0&amp;row=817&amp;col=6&amp;number=4.3&amp;sourceID=14","4.3")</f>
        <v>4.3</v>
      </c>
      <c r="G817" s="4" t="str">
        <f>HYPERLINK("http://141.218.60.56/~jnz1568/getInfo.php?workbook=20_10.xlsx&amp;sheet=U0&amp;row=817&amp;col=7&amp;number=0.00193&amp;sourceID=14","0.00193")</f>
        <v>0.00193</v>
      </c>
    </row>
    <row r="818" spans="1:7">
      <c r="A818" s="3"/>
      <c r="B818" s="3"/>
      <c r="C818" s="3"/>
      <c r="D818" s="3"/>
      <c r="E818" s="3">
        <v>15</v>
      </c>
      <c r="F818" s="4" t="str">
        <f>HYPERLINK("http://141.218.60.56/~jnz1568/getInfo.php?workbook=20_10.xlsx&amp;sheet=U0&amp;row=818&amp;col=6&amp;number=4.4&amp;sourceID=14","4.4")</f>
        <v>4.4</v>
      </c>
      <c r="G818" s="4" t="str">
        <f>HYPERLINK("http://141.218.60.56/~jnz1568/getInfo.php?workbook=20_10.xlsx&amp;sheet=U0&amp;row=818&amp;col=7&amp;number=0.00193&amp;sourceID=14","0.00193")</f>
        <v>0.00193</v>
      </c>
    </row>
    <row r="819" spans="1:7">
      <c r="A819" s="3"/>
      <c r="B819" s="3"/>
      <c r="C819" s="3"/>
      <c r="D819" s="3"/>
      <c r="E819" s="3">
        <v>16</v>
      </c>
      <c r="F819" s="4" t="str">
        <f>HYPERLINK("http://141.218.60.56/~jnz1568/getInfo.php?workbook=20_10.xlsx&amp;sheet=U0&amp;row=819&amp;col=6&amp;number=4.5&amp;sourceID=14","4.5")</f>
        <v>4.5</v>
      </c>
      <c r="G819" s="4" t="str">
        <f>HYPERLINK("http://141.218.60.56/~jnz1568/getInfo.php?workbook=20_10.xlsx&amp;sheet=U0&amp;row=819&amp;col=7&amp;number=0.00192&amp;sourceID=14","0.00192")</f>
        <v>0.00192</v>
      </c>
    </row>
    <row r="820" spans="1:7">
      <c r="A820" s="3"/>
      <c r="B820" s="3"/>
      <c r="C820" s="3"/>
      <c r="D820" s="3"/>
      <c r="E820" s="3">
        <v>17</v>
      </c>
      <c r="F820" s="4" t="str">
        <f>HYPERLINK("http://141.218.60.56/~jnz1568/getInfo.php?workbook=20_10.xlsx&amp;sheet=U0&amp;row=820&amp;col=6&amp;number=4.6&amp;sourceID=14","4.6")</f>
        <v>4.6</v>
      </c>
      <c r="G820" s="4" t="str">
        <f>HYPERLINK("http://141.218.60.56/~jnz1568/getInfo.php?workbook=20_10.xlsx&amp;sheet=U0&amp;row=820&amp;col=7&amp;number=0.00192&amp;sourceID=14","0.00192")</f>
        <v>0.00192</v>
      </c>
    </row>
    <row r="821" spans="1:7">
      <c r="A821" s="3"/>
      <c r="B821" s="3"/>
      <c r="C821" s="3"/>
      <c r="D821" s="3"/>
      <c r="E821" s="3">
        <v>18</v>
      </c>
      <c r="F821" s="4" t="str">
        <f>HYPERLINK("http://141.218.60.56/~jnz1568/getInfo.php?workbook=20_10.xlsx&amp;sheet=U0&amp;row=821&amp;col=6&amp;number=4.7&amp;sourceID=14","4.7")</f>
        <v>4.7</v>
      </c>
      <c r="G821" s="4" t="str">
        <f>HYPERLINK("http://141.218.60.56/~jnz1568/getInfo.php?workbook=20_10.xlsx&amp;sheet=U0&amp;row=821&amp;col=7&amp;number=0.00192&amp;sourceID=14","0.00192")</f>
        <v>0.00192</v>
      </c>
    </row>
    <row r="822" spans="1:7">
      <c r="A822" s="3"/>
      <c r="B822" s="3"/>
      <c r="C822" s="3"/>
      <c r="D822" s="3"/>
      <c r="E822" s="3">
        <v>19</v>
      </c>
      <c r="F822" s="4" t="str">
        <f>HYPERLINK("http://141.218.60.56/~jnz1568/getInfo.php?workbook=20_10.xlsx&amp;sheet=U0&amp;row=822&amp;col=6&amp;number=4.8&amp;sourceID=14","4.8")</f>
        <v>4.8</v>
      </c>
      <c r="G822" s="4" t="str">
        <f>HYPERLINK("http://141.218.60.56/~jnz1568/getInfo.php?workbook=20_10.xlsx&amp;sheet=U0&amp;row=822&amp;col=7&amp;number=0.00192&amp;sourceID=14","0.00192")</f>
        <v>0.00192</v>
      </c>
    </row>
    <row r="823" spans="1:7">
      <c r="A823" s="3"/>
      <c r="B823" s="3"/>
      <c r="C823" s="3"/>
      <c r="D823" s="3"/>
      <c r="E823" s="3">
        <v>20</v>
      </c>
      <c r="F823" s="4" t="str">
        <f>HYPERLINK("http://141.218.60.56/~jnz1568/getInfo.php?workbook=20_10.xlsx&amp;sheet=U0&amp;row=823&amp;col=6&amp;number=4.9&amp;sourceID=14","4.9")</f>
        <v>4.9</v>
      </c>
      <c r="G823" s="4" t="str">
        <f>HYPERLINK("http://141.218.60.56/~jnz1568/getInfo.php?workbook=20_10.xlsx&amp;sheet=U0&amp;row=823&amp;col=7&amp;number=0.00192&amp;sourceID=14","0.00192")</f>
        <v>0.00192</v>
      </c>
    </row>
    <row r="824" spans="1:7">
      <c r="A824" s="3">
        <v>20</v>
      </c>
      <c r="B824" s="3">
        <v>10</v>
      </c>
      <c r="C824" s="3">
        <v>1</v>
      </c>
      <c r="D824" s="3">
        <v>43</v>
      </c>
      <c r="E824" s="3">
        <v>1</v>
      </c>
      <c r="F824" s="4" t="str">
        <f>HYPERLINK("http://141.218.60.56/~jnz1568/getInfo.php?workbook=20_10.xlsx&amp;sheet=U0&amp;row=824&amp;col=6&amp;number=3&amp;sourceID=14","3")</f>
        <v>3</v>
      </c>
      <c r="G824" s="4" t="str">
        <f>HYPERLINK("http://141.218.60.56/~jnz1568/getInfo.php?workbook=20_10.xlsx&amp;sheet=U0&amp;row=824&amp;col=7&amp;number=0.00372&amp;sourceID=14","0.00372")</f>
        <v>0.00372</v>
      </c>
    </row>
    <row r="825" spans="1:7">
      <c r="A825" s="3"/>
      <c r="B825" s="3"/>
      <c r="C825" s="3"/>
      <c r="D825" s="3"/>
      <c r="E825" s="3">
        <v>2</v>
      </c>
      <c r="F825" s="4" t="str">
        <f>HYPERLINK("http://141.218.60.56/~jnz1568/getInfo.php?workbook=20_10.xlsx&amp;sheet=U0&amp;row=825&amp;col=6&amp;number=3.1&amp;sourceID=14","3.1")</f>
        <v>3.1</v>
      </c>
      <c r="G825" s="4" t="str">
        <f>HYPERLINK("http://141.218.60.56/~jnz1568/getInfo.php?workbook=20_10.xlsx&amp;sheet=U0&amp;row=825&amp;col=7&amp;number=0.00372&amp;sourceID=14","0.00372")</f>
        <v>0.00372</v>
      </c>
    </row>
    <row r="826" spans="1:7">
      <c r="A826" s="3"/>
      <c r="B826" s="3"/>
      <c r="C826" s="3"/>
      <c r="D826" s="3"/>
      <c r="E826" s="3">
        <v>3</v>
      </c>
      <c r="F826" s="4" t="str">
        <f>HYPERLINK("http://141.218.60.56/~jnz1568/getInfo.php?workbook=20_10.xlsx&amp;sheet=U0&amp;row=826&amp;col=6&amp;number=3.2&amp;sourceID=14","3.2")</f>
        <v>3.2</v>
      </c>
      <c r="G826" s="4" t="str">
        <f>HYPERLINK("http://141.218.60.56/~jnz1568/getInfo.php?workbook=20_10.xlsx&amp;sheet=U0&amp;row=826&amp;col=7&amp;number=0.00372&amp;sourceID=14","0.00372")</f>
        <v>0.00372</v>
      </c>
    </row>
    <row r="827" spans="1:7">
      <c r="A827" s="3"/>
      <c r="B827" s="3"/>
      <c r="C827" s="3"/>
      <c r="D827" s="3"/>
      <c r="E827" s="3">
        <v>4</v>
      </c>
      <c r="F827" s="4" t="str">
        <f>HYPERLINK("http://141.218.60.56/~jnz1568/getInfo.php?workbook=20_10.xlsx&amp;sheet=U0&amp;row=827&amp;col=6&amp;number=3.3&amp;sourceID=14","3.3")</f>
        <v>3.3</v>
      </c>
      <c r="G827" s="4" t="str">
        <f>HYPERLINK("http://141.218.60.56/~jnz1568/getInfo.php?workbook=20_10.xlsx&amp;sheet=U0&amp;row=827&amp;col=7&amp;number=0.00372&amp;sourceID=14","0.00372")</f>
        <v>0.00372</v>
      </c>
    </row>
    <row r="828" spans="1:7">
      <c r="A828" s="3"/>
      <c r="B828" s="3"/>
      <c r="C828" s="3"/>
      <c r="D828" s="3"/>
      <c r="E828" s="3">
        <v>5</v>
      </c>
      <c r="F828" s="4" t="str">
        <f>HYPERLINK("http://141.218.60.56/~jnz1568/getInfo.php?workbook=20_10.xlsx&amp;sheet=U0&amp;row=828&amp;col=6&amp;number=3.4&amp;sourceID=14","3.4")</f>
        <v>3.4</v>
      </c>
      <c r="G828" s="4" t="str">
        <f>HYPERLINK("http://141.218.60.56/~jnz1568/getInfo.php?workbook=20_10.xlsx&amp;sheet=U0&amp;row=828&amp;col=7&amp;number=0.00372&amp;sourceID=14","0.00372")</f>
        <v>0.00372</v>
      </c>
    </row>
    <row r="829" spans="1:7">
      <c r="A829" s="3"/>
      <c r="B829" s="3"/>
      <c r="C829" s="3"/>
      <c r="D829" s="3"/>
      <c r="E829" s="3">
        <v>6</v>
      </c>
      <c r="F829" s="4" t="str">
        <f>HYPERLINK("http://141.218.60.56/~jnz1568/getInfo.php?workbook=20_10.xlsx&amp;sheet=U0&amp;row=829&amp;col=6&amp;number=3.5&amp;sourceID=14","3.5")</f>
        <v>3.5</v>
      </c>
      <c r="G829" s="4" t="str">
        <f>HYPERLINK("http://141.218.60.56/~jnz1568/getInfo.php?workbook=20_10.xlsx&amp;sheet=U0&amp;row=829&amp;col=7&amp;number=0.00372&amp;sourceID=14","0.00372")</f>
        <v>0.00372</v>
      </c>
    </row>
    <row r="830" spans="1:7">
      <c r="A830" s="3"/>
      <c r="B830" s="3"/>
      <c r="C830" s="3"/>
      <c r="D830" s="3"/>
      <c r="E830" s="3">
        <v>7</v>
      </c>
      <c r="F830" s="4" t="str">
        <f>HYPERLINK("http://141.218.60.56/~jnz1568/getInfo.php?workbook=20_10.xlsx&amp;sheet=U0&amp;row=830&amp;col=6&amp;number=3.6&amp;sourceID=14","3.6")</f>
        <v>3.6</v>
      </c>
      <c r="G830" s="4" t="str">
        <f>HYPERLINK("http://141.218.60.56/~jnz1568/getInfo.php?workbook=20_10.xlsx&amp;sheet=U0&amp;row=830&amp;col=7&amp;number=0.00372&amp;sourceID=14","0.00372")</f>
        <v>0.00372</v>
      </c>
    </row>
    <row r="831" spans="1:7">
      <c r="A831" s="3"/>
      <c r="B831" s="3"/>
      <c r="C831" s="3"/>
      <c r="D831" s="3"/>
      <c r="E831" s="3">
        <v>8</v>
      </c>
      <c r="F831" s="4" t="str">
        <f>HYPERLINK("http://141.218.60.56/~jnz1568/getInfo.php?workbook=20_10.xlsx&amp;sheet=U0&amp;row=831&amp;col=6&amp;number=3.7&amp;sourceID=14","3.7")</f>
        <v>3.7</v>
      </c>
      <c r="G831" s="4" t="str">
        <f>HYPERLINK("http://141.218.60.56/~jnz1568/getInfo.php?workbook=20_10.xlsx&amp;sheet=U0&amp;row=831&amp;col=7&amp;number=0.00372&amp;sourceID=14","0.00372")</f>
        <v>0.00372</v>
      </c>
    </row>
    <row r="832" spans="1:7">
      <c r="A832" s="3"/>
      <c r="B832" s="3"/>
      <c r="C832" s="3"/>
      <c r="D832" s="3"/>
      <c r="E832" s="3">
        <v>9</v>
      </c>
      <c r="F832" s="4" t="str">
        <f>HYPERLINK("http://141.218.60.56/~jnz1568/getInfo.php?workbook=20_10.xlsx&amp;sheet=U0&amp;row=832&amp;col=6&amp;number=3.8&amp;sourceID=14","3.8")</f>
        <v>3.8</v>
      </c>
      <c r="G832" s="4" t="str">
        <f>HYPERLINK("http://141.218.60.56/~jnz1568/getInfo.php?workbook=20_10.xlsx&amp;sheet=U0&amp;row=832&amp;col=7&amp;number=0.00372&amp;sourceID=14","0.00372")</f>
        <v>0.00372</v>
      </c>
    </row>
    <row r="833" spans="1:7">
      <c r="A833" s="3"/>
      <c r="B833" s="3"/>
      <c r="C833" s="3"/>
      <c r="D833" s="3"/>
      <c r="E833" s="3">
        <v>10</v>
      </c>
      <c r="F833" s="4" t="str">
        <f>HYPERLINK("http://141.218.60.56/~jnz1568/getInfo.php?workbook=20_10.xlsx&amp;sheet=U0&amp;row=833&amp;col=6&amp;number=3.9&amp;sourceID=14","3.9")</f>
        <v>3.9</v>
      </c>
      <c r="G833" s="4" t="str">
        <f>HYPERLINK("http://141.218.60.56/~jnz1568/getInfo.php?workbook=20_10.xlsx&amp;sheet=U0&amp;row=833&amp;col=7&amp;number=0.00372&amp;sourceID=14","0.00372")</f>
        <v>0.00372</v>
      </c>
    </row>
    <row r="834" spans="1:7">
      <c r="A834" s="3"/>
      <c r="B834" s="3"/>
      <c r="C834" s="3"/>
      <c r="D834" s="3"/>
      <c r="E834" s="3">
        <v>11</v>
      </c>
      <c r="F834" s="4" t="str">
        <f>HYPERLINK("http://141.218.60.56/~jnz1568/getInfo.php?workbook=20_10.xlsx&amp;sheet=U0&amp;row=834&amp;col=6&amp;number=4&amp;sourceID=14","4")</f>
        <v>4</v>
      </c>
      <c r="G834" s="4" t="str">
        <f>HYPERLINK("http://141.218.60.56/~jnz1568/getInfo.php?workbook=20_10.xlsx&amp;sheet=U0&amp;row=834&amp;col=7&amp;number=0.00372&amp;sourceID=14","0.00372")</f>
        <v>0.00372</v>
      </c>
    </row>
    <row r="835" spans="1:7">
      <c r="A835" s="3"/>
      <c r="B835" s="3"/>
      <c r="C835" s="3"/>
      <c r="D835" s="3"/>
      <c r="E835" s="3">
        <v>12</v>
      </c>
      <c r="F835" s="4" t="str">
        <f>HYPERLINK("http://141.218.60.56/~jnz1568/getInfo.php?workbook=20_10.xlsx&amp;sheet=U0&amp;row=835&amp;col=6&amp;number=4.1&amp;sourceID=14","4.1")</f>
        <v>4.1</v>
      </c>
      <c r="G835" s="4" t="str">
        <f>HYPERLINK("http://141.218.60.56/~jnz1568/getInfo.php?workbook=20_10.xlsx&amp;sheet=U0&amp;row=835&amp;col=7&amp;number=0.00372&amp;sourceID=14","0.00372")</f>
        <v>0.00372</v>
      </c>
    </row>
    <row r="836" spans="1:7">
      <c r="A836" s="3"/>
      <c r="B836" s="3"/>
      <c r="C836" s="3"/>
      <c r="D836" s="3"/>
      <c r="E836" s="3">
        <v>13</v>
      </c>
      <c r="F836" s="4" t="str">
        <f>HYPERLINK("http://141.218.60.56/~jnz1568/getInfo.php?workbook=20_10.xlsx&amp;sheet=U0&amp;row=836&amp;col=6&amp;number=4.2&amp;sourceID=14","4.2")</f>
        <v>4.2</v>
      </c>
      <c r="G836" s="4" t="str">
        <f>HYPERLINK("http://141.218.60.56/~jnz1568/getInfo.php?workbook=20_10.xlsx&amp;sheet=U0&amp;row=836&amp;col=7&amp;number=0.00372&amp;sourceID=14","0.00372")</f>
        <v>0.00372</v>
      </c>
    </row>
    <row r="837" spans="1:7">
      <c r="A837" s="3"/>
      <c r="B837" s="3"/>
      <c r="C837" s="3"/>
      <c r="D837" s="3"/>
      <c r="E837" s="3">
        <v>14</v>
      </c>
      <c r="F837" s="4" t="str">
        <f>HYPERLINK("http://141.218.60.56/~jnz1568/getInfo.php?workbook=20_10.xlsx&amp;sheet=U0&amp;row=837&amp;col=6&amp;number=4.3&amp;sourceID=14","4.3")</f>
        <v>4.3</v>
      </c>
      <c r="G837" s="4" t="str">
        <f>HYPERLINK("http://141.218.60.56/~jnz1568/getInfo.php?workbook=20_10.xlsx&amp;sheet=U0&amp;row=837&amp;col=7&amp;number=0.00372&amp;sourceID=14","0.00372")</f>
        <v>0.00372</v>
      </c>
    </row>
    <row r="838" spans="1:7">
      <c r="A838" s="3"/>
      <c r="B838" s="3"/>
      <c r="C838" s="3"/>
      <c r="D838" s="3"/>
      <c r="E838" s="3">
        <v>15</v>
      </c>
      <c r="F838" s="4" t="str">
        <f>HYPERLINK("http://141.218.60.56/~jnz1568/getInfo.php?workbook=20_10.xlsx&amp;sheet=U0&amp;row=838&amp;col=6&amp;number=4.4&amp;sourceID=14","4.4")</f>
        <v>4.4</v>
      </c>
      <c r="G838" s="4" t="str">
        <f>HYPERLINK("http://141.218.60.56/~jnz1568/getInfo.php?workbook=20_10.xlsx&amp;sheet=U0&amp;row=838&amp;col=7&amp;number=0.00372&amp;sourceID=14","0.00372")</f>
        <v>0.00372</v>
      </c>
    </row>
    <row r="839" spans="1:7">
      <c r="A839" s="3"/>
      <c r="B839" s="3"/>
      <c r="C839" s="3"/>
      <c r="D839" s="3"/>
      <c r="E839" s="3">
        <v>16</v>
      </c>
      <c r="F839" s="4" t="str">
        <f>HYPERLINK("http://141.218.60.56/~jnz1568/getInfo.php?workbook=20_10.xlsx&amp;sheet=U0&amp;row=839&amp;col=6&amp;number=4.5&amp;sourceID=14","4.5")</f>
        <v>4.5</v>
      </c>
      <c r="G839" s="4" t="str">
        <f>HYPERLINK("http://141.218.60.56/~jnz1568/getInfo.php?workbook=20_10.xlsx&amp;sheet=U0&amp;row=839&amp;col=7&amp;number=0.00373&amp;sourceID=14","0.00373")</f>
        <v>0.00373</v>
      </c>
    </row>
    <row r="840" spans="1:7">
      <c r="A840" s="3"/>
      <c r="B840" s="3"/>
      <c r="C840" s="3"/>
      <c r="D840" s="3"/>
      <c r="E840" s="3">
        <v>17</v>
      </c>
      <c r="F840" s="4" t="str">
        <f>HYPERLINK("http://141.218.60.56/~jnz1568/getInfo.php?workbook=20_10.xlsx&amp;sheet=U0&amp;row=840&amp;col=6&amp;number=4.6&amp;sourceID=14","4.6")</f>
        <v>4.6</v>
      </c>
      <c r="G840" s="4" t="str">
        <f>HYPERLINK("http://141.218.60.56/~jnz1568/getInfo.php?workbook=20_10.xlsx&amp;sheet=U0&amp;row=840&amp;col=7&amp;number=0.00373&amp;sourceID=14","0.00373")</f>
        <v>0.00373</v>
      </c>
    </row>
    <row r="841" spans="1:7">
      <c r="A841" s="3"/>
      <c r="B841" s="3"/>
      <c r="C841" s="3"/>
      <c r="D841" s="3"/>
      <c r="E841" s="3">
        <v>18</v>
      </c>
      <c r="F841" s="4" t="str">
        <f>HYPERLINK("http://141.218.60.56/~jnz1568/getInfo.php?workbook=20_10.xlsx&amp;sheet=U0&amp;row=841&amp;col=6&amp;number=4.7&amp;sourceID=14","4.7")</f>
        <v>4.7</v>
      </c>
      <c r="G841" s="4" t="str">
        <f>HYPERLINK("http://141.218.60.56/~jnz1568/getInfo.php?workbook=20_10.xlsx&amp;sheet=U0&amp;row=841&amp;col=7&amp;number=0.00373&amp;sourceID=14","0.00373")</f>
        <v>0.00373</v>
      </c>
    </row>
    <row r="842" spans="1:7">
      <c r="A842" s="3"/>
      <c r="B842" s="3"/>
      <c r="C842" s="3"/>
      <c r="D842" s="3"/>
      <c r="E842" s="3">
        <v>19</v>
      </c>
      <c r="F842" s="4" t="str">
        <f>HYPERLINK("http://141.218.60.56/~jnz1568/getInfo.php?workbook=20_10.xlsx&amp;sheet=U0&amp;row=842&amp;col=6&amp;number=4.8&amp;sourceID=14","4.8")</f>
        <v>4.8</v>
      </c>
      <c r="G842" s="4" t="str">
        <f>HYPERLINK("http://141.218.60.56/~jnz1568/getInfo.php?workbook=20_10.xlsx&amp;sheet=U0&amp;row=842&amp;col=7&amp;number=0.00373&amp;sourceID=14","0.00373")</f>
        <v>0.00373</v>
      </c>
    </row>
    <row r="843" spans="1:7">
      <c r="A843" s="3"/>
      <c r="B843" s="3"/>
      <c r="C843" s="3"/>
      <c r="D843" s="3"/>
      <c r="E843" s="3">
        <v>20</v>
      </c>
      <c r="F843" s="4" t="str">
        <f>HYPERLINK("http://141.218.60.56/~jnz1568/getInfo.php?workbook=20_10.xlsx&amp;sheet=U0&amp;row=843&amp;col=6&amp;number=4.9&amp;sourceID=14","4.9")</f>
        <v>4.9</v>
      </c>
      <c r="G843" s="4" t="str">
        <f>HYPERLINK("http://141.218.60.56/~jnz1568/getInfo.php?workbook=20_10.xlsx&amp;sheet=U0&amp;row=843&amp;col=7&amp;number=0.00373&amp;sourceID=14","0.00373")</f>
        <v>0.00373</v>
      </c>
    </row>
    <row r="844" spans="1:7">
      <c r="A844" s="3">
        <v>20</v>
      </c>
      <c r="B844" s="3">
        <v>10</v>
      </c>
      <c r="C844" s="3">
        <v>1</v>
      </c>
      <c r="D844" s="3">
        <v>44</v>
      </c>
      <c r="E844" s="3">
        <v>1</v>
      </c>
      <c r="F844" s="4" t="str">
        <f>HYPERLINK("http://141.218.60.56/~jnz1568/getInfo.php?workbook=20_10.xlsx&amp;sheet=U0&amp;row=844&amp;col=6&amp;number=3&amp;sourceID=14","3")</f>
        <v>3</v>
      </c>
      <c r="G844" s="4" t="str">
        <f>HYPERLINK("http://141.218.60.56/~jnz1568/getInfo.php?workbook=20_10.xlsx&amp;sheet=U0&amp;row=844&amp;col=7&amp;number=0.00146&amp;sourceID=14","0.00146")</f>
        <v>0.00146</v>
      </c>
    </row>
    <row r="845" spans="1:7">
      <c r="A845" s="3"/>
      <c r="B845" s="3"/>
      <c r="C845" s="3"/>
      <c r="D845" s="3"/>
      <c r="E845" s="3">
        <v>2</v>
      </c>
      <c r="F845" s="4" t="str">
        <f>HYPERLINK("http://141.218.60.56/~jnz1568/getInfo.php?workbook=20_10.xlsx&amp;sheet=U0&amp;row=845&amp;col=6&amp;number=3.1&amp;sourceID=14","3.1")</f>
        <v>3.1</v>
      </c>
      <c r="G845" s="4" t="str">
        <f>HYPERLINK("http://141.218.60.56/~jnz1568/getInfo.php?workbook=20_10.xlsx&amp;sheet=U0&amp;row=845&amp;col=7&amp;number=0.00146&amp;sourceID=14","0.00146")</f>
        <v>0.00146</v>
      </c>
    </row>
    <row r="846" spans="1:7">
      <c r="A846" s="3"/>
      <c r="B846" s="3"/>
      <c r="C846" s="3"/>
      <c r="D846" s="3"/>
      <c r="E846" s="3">
        <v>3</v>
      </c>
      <c r="F846" s="4" t="str">
        <f>HYPERLINK("http://141.218.60.56/~jnz1568/getInfo.php?workbook=20_10.xlsx&amp;sheet=U0&amp;row=846&amp;col=6&amp;number=3.2&amp;sourceID=14","3.2")</f>
        <v>3.2</v>
      </c>
      <c r="G846" s="4" t="str">
        <f>HYPERLINK("http://141.218.60.56/~jnz1568/getInfo.php?workbook=20_10.xlsx&amp;sheet=U0&amp;row=846&amp;col=7&amp;number=0.00146&amp;sourceID=14","0.00146")</f>
        <v>0.00146</v>
      </c>
    </row>
    <row r="847" spans="1:7">
      <c r="A847" s="3"/>
      <c r="B847" s="3"/>
      <c r="C847" s="3"/>
      <c r="D847" s="3"/>
      <c r="E847" s="3">
        <v>4</v>
      </c>
      <c r="F847" s="4" t="str">
        <f>HYPERLINK("http://141.218.60.56/~jnz1568/getInfo.php?workbook=20_10.xlsx&amp;sheet=U0&amp;row=847&amp;col=6&amp;number=3.3&amp;sourceID=14","3.3")</f>
        <v>3.3</v>
      </c>
      <c r="G847" s="4" t="str">
        <f>HYPERLINK("http://141.218.60.56/~jnz1568/getInfo.php?workbook=20_10.xlsx&amp;sheet=U0&amp;row=847&amp;col=7&amp;number=0.00146&amp;sourceID=14","0.00146")</f>
        <v>0.00146</v>
      </c>
    </row>
    <row r="848" spans="1:7">
      <c r="A848" s="3"/>
      <c r="B848" s="3"/>
      <c r="C848" s="3"/>
      <c r="D848" s="3"/>
      <c r="E848" s="3">
        <v>5</v>
      </c>
      <c r="F848" s="4" t="str">
        <f>HYPERLINK("http://141.218.60.56/~jnz1568/getInfo.php?workbook=20_10.xlsx&amp;sheet=U0&amp;row=848&amp;col=6&amp;number=3.4&amp;sourceID=14","3.4")</f>
        <v>3.4</v>
      </c>
      <c r="G848" s="4" t="str">
        <f>HYPERLINK("http://141.218.60.56/~jnz1568/getInfo.php?workbook=20_10.xlsx&amp;sheet=U0&amp;row=848&amp;col=7&amp;number=0.00146&amp;sourceID=14","0.00146")</f>
        <v>0.00146</v>
      </c>
    </row>
    <row r="849" spans="1:7">
      <c r="A849" s="3"/>
      <c r="B849" s="3"/>
      <c r="C849" s="3"/>
      <c r="D849" s="3"/>
      <c r="E849" s="3">
        <v>6</v>
      </c>
      <c r="F849" s="4" t="str">
        <f>HYPERLINK("http://141.218.60.56/~jnz1568/getInfo.php?workbook=20_10.xlsx&amp;sheet=U0&amp;row=849&amp;col=6&amp;number=3.5&amp;sourceID=14","3.5")</f>
        <v>3.5</v>
      </c>
      <c r="G849" s="4" t="str">
        <f>HYPERLINK("http://141.218.60.56/~jnz1568/getInfo.php?workbook=20_10.xlsx&amp;sheet=U0&amp;row=849&amp;col=7&amp;number=0.00146&amp;sourceID=14","0.00146")</f>
        <v>0.00146</v>
      </c>
    </row>
    <row r="850" spans="1:7">
      <c r="A850" s="3"/>
      <c r="B850" s="3"/>
      <c r="C850" s="3"/>
      <c r="D850" s="3"/>
      <c r="E850" s="3">
        <v>7</v>
      </c>
      <c r="F850" s="4" t="str">
        <f>HYPERLINK("http://141.218.60.56/~jnz1568/getInfo.php?workbook=20_10.xlsx&amp;sheet=U0&amp;row=850&amp;col=6&amp;number=3.6&amp;sourceID=14","3.6")</f>
        <v>3.6</v>
      </c>
      <c r="G850" s="4" t="str">
        <f>HYPERLINK("http://141.218.60.56/~jnz1568/getInfo.php?workbook=20_10.xlsx&amp;sheet=U0&amp;row=850&amp;col=7&amp;number=0.00146&amp;sourceID=14","0.00146")</f>
        <v>0.00146</v>
      </c>
    </row>
    <row r="851" spans="1:7">
      <c r="A851" s="3"/>
      <c r="B851" s="3"/>
      <c r="C851" s="3"/>
      <c r="D851" s="3"/>
      <c r="E851" s="3">
        <v>8</v>
      </c>
      <c r="F851" s="4" t="str">
        <f>HYPERLINK("http://141.218.60.56/~jnz1568/getInfo.php?workbook=20_10.xlsx&amp;sheet=U0&amp;row=851&amp;col=6&amp;number=3.7&amp;sourceID=14","3.7")</f>
        <v>3.7</v>
      </c>
      <c r="G851" s="4" t="str">
        <f>HYPERLINK("http://141.218.60.56/~jnz1568/getInfo.php?workbook=20_10.xlsx&amp;sheet=U0&amp;row=851&amp;col=7&amp;number=0.00146&amp;sourceID=14","0.00146")</f>
        <v>0.00146</v>
      </c>
    </row>
    <row r="852" spans="1:7">
      <c r="A852" s="3"/>
      <c r="B852" s="3"/>
      <c r="C852" s="3"/>
      <c r="D852" s="3"/>
      <c r="E852" s="3">
        <v>9</v>
      </c>
      <c r="F852" s="4" t="str">
        <f>HYPERLINK("http://141.218.60.56/~jnz1568/getInfo.php?workbook=20_10.xlsx&amp;sheet=U0&amp;row=852&amp;col=6&amp;number=3.8&amp;sourceID=14","3.8")</f>
        <v>3.8</v>
      </c>
      <c r="G852" s="4" t="str">
        <f>HYPERLINK("http://141.218.60.56/~jnz1568/getInfo.php?workbook=20_10.xlsx&amp;sheet=U0&amp;row=852&amp;col=7&amp;number=0.00146&amp;sourceID=14","0.00146")</f>
        <v>0.00146</v>
      </c>
    </row>
    <row r="853" spans="1:7">
      <c r="A853" s="3"/>
      <c r="B853" s="3"/>
      <c r="C853" s="3"/>
      <c r="D853" s="3"/>
      <c r="E853" s="3">
        <v>10</v>
      </c>
      <c r="F853" s="4" t="str">
        <f>HYPERLINK("http://141.218.60.56/~jnz1568/getInfo.php?workbook=20_10.xlsx&amp;sheet=U0&amp;row=853&amp;col=6&amp;number=3.9&amp;sourceID=14","3.9")</f>
        <v>3.9</v>
      </c>
      <c r="G853" s="4" t="str">
        <f>HYPERLINK("http://141.218.60.56/~jnz1568/getInfo.php?workbook=20_10.xlsx&amp;sheet=U0&amp;row=853&amp;col=7&amp;number=0.00145&amp;sourceID=14","0.00145")</f>
        <v>0.00145</v>
      </c>
    </row>
    <row r="854" spans="1:7">
      <c r="A854" s="3"/>
      <c r="B854" s="3"/>
      <c r="C854" s="3"/>
      <c r="D854" s="3"/>
      <c r="E854" s="3">
        <v>11</v>
      </c>
      <c r="F854" s="4" t="str">
        <f>HYPERLINK("http://141.218.60.56/~jnz1568/getInfo.php?workbook=20_10.xlsx&amp;sheet=U0&amp;row=854&amp;col=6&amp;number=4&amp;sourceID=14","4")</f>
        <v>4</v>
      </c>
      <c r="G854" s="4" t="str">
        <f>HYPERLINK("http://141.218.60.56/~jnz1568/getInfo.php?workbook=20_10.xlsx&amp;sheet=U0&amp;row=854&amp;col=7&amp;number=0.00145&amp;sourceID=14","0.00145")</f>
        <v>0.00145</v>
      </c>
    </row>
    <row r="855" spans="1:7">
      <c r="A855" s="3"/>
      <c r="B855" s="3"/>
      <c r="C855" s="3"/>
      <c r="D855" s="3"/>
      <c r="E855" s="3">
        <v>12</v>
      </c>
      <c r="F855" s="4" t="str">
        <f>HYPERLINK("http://141.218.60.56/~jnz1568/getInfo.php?workbook=20_10.xlsx&amp;sheet=U0&amp;row=855&amp;col=6&amp;number=4.1&amp;sourceID=14","4.1")</f>
        <v>4.1</v>
      </c>
      <c r="G855" s="4" t="str">
        <f>HYPERLINK("http://141.218.60.56/~jnz1568/getInfo.php?workbook=20_10.xlsx&amp;sheet=U0&amp;row=855&amp;col=7&amp;number=0.00145&amp;sourceID=14","0.00145")</f>
        <v>0.00145</v>
      </c>
    </row>
    <row r="856" spans="1:7">
      <c r="A856" s="3"/>
      <c r="B856" s="3"/>
      <c r="C856" s="3"/>
      <c r="D856" s="3"/>
      <c r="E856" s="3">
        <v>13</v>
      </c>
      <c r="F856" s="4" t="str">
        <f>HYPERLINK("http://141.218.60.56/~jnz1568/getInfo.php?workbook=20_10.xlsx&amp;sheet=U0&amp;row=856&amp;col=6&amp;number=4.2&amp;sourceID=14","4.2")</f>
        <v>4.2</v>
      </c>
      <c r="G856" s="4" t="str">
        <f>HYPERLINK("http://141.218.60.56/~jnz1568/getInfo.php?workbook=20_10.xlsx&amp;sheet=U0&amp;row=856&amp;col=7&amp;number=0.00145&amp;sourceID=14","0.00145")</f>
        <v>0.00145</v>
      </c>
    </row>
    <row r="857" spans="1:7">
      <c r="A857" s="3"/>
      <c r="B857" s="3"/>
      <c r="C857" s="3"/>
      <c r="D857" s="3"/>
      <c r="E857" s="3">
        <v>14</v>
      </c>
      <c r="F857" s="4" t="str">
        <f>HYPERLINK("http://141.218.60.56/~jnz1568/getInfo.php?workbook=20_10.xlsx&amp;sheet=U0&amp;row=857&amp;col=6&amp;number=4.3&amp;sourceID=14","4.3")</f>
        <v>4.3</v>
      </c>
      <c r="G857" s="4" t="str">
        <f>HYPERLINK("http://141.218.60.56/~jnz1568/getInfo.php?workbook=20_10.xlsx&amp;sheet=U0&amp;row=857&amp;col=7&amp;number=0.00145&amp;sourceID=14","0.00145")</f>
        <v>0.00145</v>
      </c>
    </row>
    <row r="858" spans="1:7">
      <c r="A858" s="3"/>
      <c r="B858" s="3"/>
      <c r="C858" s="3"/>
      <c r="D858" s="3"/>
      <c r="E858" s="3">
        <v>15</v>
      </c>
      <c r="F858" s="4" t="str">
        <f>HYPERLINK("http://141.218.60.56/~jnz1568/getInfo.php?workbook=20_10.xlsx&amp;sheet=U0&amp;row=858&amp;col=6&amp;number=4.4&amp;sourceID=14","4.4")</f>
        <v>4.4</v>
      </c>
      <c r="G858" s="4" t="str">
        <f>HYPERLINK("http://141.218.60.56/~jnz1568/getInfo.php?workbook=20_10.xlsx&amp;sheet=U0&amp;row=858&amp;col=7&amp;number=0.00145&amp;sourceID=14","0.00145")</f>
        <v>0.00145</v>
      </c>
    </row>
    <row r="859" spans="1:7">
      <c r="A859" s="3"/>
      <c r="B859" s="3"/>
      <c r="C859" s="3"/>
      <c r="D859" s="3"/>
      <c r="E859" s="3">
        <v>16</v>
      </c>
      <c r="F859" s="4" t="str">
        <f>HYPERLINK("http://141.218.60.56/~jnz1568/getInfo.php?workbook=20_10.xlsx&amp;sheet=U0&amp;row=859&amp;col=6&amp;number=4.5&amp;sourceID=14","4.5")</f>
        <v>4.5</v>
      </c>
      <c r="G859" s="4" t="str">
        <f>HYPERLINK("http://141.218.60.56/~jnz1568/getInfo.php?workbook=20_10.xlsx&amp;sheet=U0&amp;row=859&amp;col=7&amp;number=0.00145&amp;sourceID=14","0.00145")</f>
        <v>0.00145</v>
      </c>
    </row>
    <row r="860" spans="1:7">
      <c r="A860" s="3"/>
      <c r="B860" s="3"/>
      <c r="C860" s="3"/>
      <c r="D860" s="3"/>
      <c r="E860" s="3">
        <v>17</v>
      </c>
      <c r="F860" s="4" t="str">
        <f>HYPERLINK("http://141.218.60.56/~jnz1568/getInfo.php?workbook=20_10.xlsx&amp;sheet=U0&amp;row=860&amp;col=6&amp;number=4.6&amp;sourceID=14","4.6")</f>
        <v>4.6</v>
      </c>
      <c r="G860" s="4" t="str">
        <f>HYPERLINK("http://141.218.60.56/~jnz1568/getInfo.php?workbook=20_10.xlsx&amp;sheet=U0&amp;row=860&amp;col=7&amp;number=0.00144&amp;sourceID=14","0.00144")</f>
        <v>0.00144</v>
      </c>
    </row>
    <row r="861" spans="1:7">
      <c r="A861" s="3"/>
      <c r="B861" s="3"/>
      <c r="C861" s="3"/>
      <c r="D861" s="3"/>
      <c r="E861" s="3">
        <v>18</v>
      </c>
      <c r="F861" s="4" t="str">
        <f>HYPERLINK("http://141.218.60.56/~jnz1568/getInfo.php?workbook=20_10.xlsx&amp;sheet=U0&amp;row=861&amp;col=6&amp;number=4.7&amp;sourceID=14","4.7")</f>
        <v>4.7</v>
      </c>
      <c r="G861" s="4" t="str">
        <f>HYPERLINK("http://141.218.60.56/~jnz1568/getInfo.php?workbook=20_10.xlsx&amp;sheet=U0&amp;row=861&amp;col=7&amp;number=0.00144&amp;sourceID=14","0.00144")</f>
        <v>0.00144</v>
      </c>
    </row>
    <row r="862" spans="1:7">
      <c r="A862" s="3"/>
      <c r="B862" s="3"/>
      <c r="C862" s="3"/>
      <c r="D862" s="3"/>
      <c r="E862" s="3">
        <v>19</v>
      </c>
      <c r="F862" s="4" t="str">
        <f>HYPERLINK("http://141.218.60.56/~jnz1568/getInfo.php?workbook=20_10.xlsx&amp;sheet=U0&amp;row=862&amp;col=6&amp;number=4.8&amp;sourceID=14","4.8")</f>
        <v>4.8</v>
      </c>
      <c r="G862" s="4" t="str">
        <f>HYPERLINK("http://141.218.60.56/~jnz1568/getInfo.php?workbook=20_10.xlsx&amp;sheet=U0&amp;row=862&amp;col=7&amp;number=0.00144&amp;sourceID=14","0.00144")</f>
        <v>0.00144</v>
      </c>
    </row>
    <row r="863" spans="1:7">
      <c r="A863" s="3"/>
      <c r="B863" s="3"/>
      <c r="C863" s="3"/>
      <c r="D863" s="3"/>
      <c r="E863" s="3">
        <v>20</v>
      </c>
      <c r="F863" s="4" t="str">
        <f>HYPERLINK("http://141.218.60.56/~jnz1568/getInfo.php?workbook=20_10.xlsx&amp;sheet=U0&amp;row=863&amp;col=6&amp;number=4.9&amp;sourceID=14","4.9")</f>
        <v>4.9</v>
      </c>
      <c r="G863" s="4" t="str">
        <f>HYPERLINK("http://141.218.60.56/~jnz1568/getInfo.php?workbook=20_10.xlsx&amp;sheet=U0&amp;row=863&amp;col=7&amp;number=0.00143&amp;sourceID=14","0.00143")</f>
        <v>0.00143</v>
      </c>
    </row>
    <row r="864" spans="1:7">
      <c r="A864" s="3">
        <v>20</v>
      </c>
      <c r="B864" s="3">
        <v>10</v>
      </c>
      <c r="C864" s="3">
        <v>1</v>
      </c>
      <c r="D864" s="3">
        <v>45</v>
      </c>
      <c r="E864" s="3">
        <v>1</v>
      </c>
      <c r="F864" s="4" t="str">
        <f>HYPERLINK("http://141.218.60.56/~jnz1568/getInfo.php?workbook=20_10.xlsx&amp;sheet=U0&amp;row=864&amp;col=6&amp;number=3&amp;sourceID=14","3")</f>
        <v>3</v>
      </c>
      <c r="G864" s="4" t="str">
        <f>HYPERLINK("http://141.218.60.56/~jnz1568/getInfo.php?workbook=20_10.xlsx&amp;sheet=U0&amp;row=864&amp;col=7&amp;number=0.00147&amp;sourceID=14","0.00147")</f>
        <v>0.00147</v>
      </c>
    </row>
    <row r="865" spans="1:7">
      <c r="A865" s="3"/>
      <c r="B865" s="3"/>
      <c r="C865" s="3"/>
      <c r="D865" s="3"/>
      <c r="E865" s="3">
        <v>2</v>
      </c>
      <c r="F865" s="4" t="str">
        <f>HYPERLINK("http://141.218.60.56/~jnz1568/getInfo.php?workbook=20_10.xlsx&amp;sheet=U0&amp;row=865&amp;col=6&amp;number=3.1&amp;sourceID=14","3.1")</f>
        <v>3.1</v>
      </c>
      <c r="G865" s="4" t="str">
        <f>HYPERLINK("http://141.218.60.56/~jnz1568/getInfo.php?workbook=20_10.xlsx&amp;sheet=U0&amp;row=865&amp;col=7&amp;number=0.00147&amp;sourceID=14","0.00147")</f>
        <v>0.00147</v>
      </c>
    </row>
    <row r="866" spans="1:7">
      <c r="A866" s="3"/>
      <c r="B866" s="3"/>
      <c r="C866" s="3"/>
      <c r="D866" s="3"/>
      <c r="E866" s="3">
        <v>3</v>
      </c>
      <c r="F866" s="4" t="str">
        <f>HYPERLINK("http://141.218.60.56/~jnz1568/getInfo.php?workbook=20_10.xlsx&amp;sheet=U0&amp;row=866&amp;col=6&amp;number=3.2&amp;sourceID=14","3.2")</f>
        <v>3.2</v>
      </c>
      <c r="G866" s="4" t="str">
        <f>HYPERLINK("http://141.218.60.56/~jnz1568/getInfo.php?workbook=20_10.xlsx&amp;sheet=U0&amp;row=866&amp;col=7&amp;number=0.00147&amp;sourceID=14","0.00147")</f>
        <v>0.00147</v>
      </c>
    </row>
    <row r="867" spans="1:7">
      <c r="A867" s="3"/>
      <c r="B867" s="3"/>
      <c r="C867" s="3"/>
      <c r="D867" s="3"/>
      <c r="E867" s="3">
        <v>4</v>
      </c>
      <c r="F867" s="4" t="str">
        <f>HYPERLINK("http://141.218.60.56/~jnz1568/getInfo.php?workbook=20_10.xlsx&amp;sheet=U0&amp;row=867&amp;col=6&amp;number=3.3&amp;sourceID=14","3.3")</f>
        <v>3.3</v>
      </c>
      <c r="G867" s="4" t="str">
        <f>HYPERLINK("http://141.218.60.56/~jnz1568/getInfo.php?workbook=20_10.xlsx&amp;sheet=U0&amp;row=867&amp;col=7&amp;number=0.00147&amp;sourceID=14","0.00147")</f>
        <v>0.00147</v>
      </c>
    </row>
    <row r="868" spans="1:7">
      <c r="A868" s="3"/>
      <c r="B868" s="3"/>
      <c r="C868" s="3"/>
      <c r="D868" s="3"/>
      <c r="E868" s="3">
        <v>5</v>
      </c>
      <c r="F868" s="4" t="str">
        <f>HYPERLINK("http://141.218.60.56/~jnz1568/getInfo.php?workbook=20_10.xlsx&amp;sheet=U0&amp;row=868&amp;col=6&amp;number=3.4&amp;sourceID=14","3.4")</f>
        <v>3.4</v>
      </c>
      <c r="G868" s="4" t="str">
        <f>HYPERLINK("http://141.218.60.56/~jnz1568/getInfo.php?workbook=20_10.xlsx&amp;sheet=U0&amp;row=868&amp;col=7&amp;number=0.00147&amp;sourceID=14","0.00147")</f>
        <v>0.00147</v>
      </c>
    </row>
    <row r="869" spans="1:7">
      <c r="A869" s="3"/>
      <c r="B869" s="3"/>
      <c r="C869" s="3"/>
      <c r="D869" s="3"/>
      <c r="E869" s="3">
        <v>6</v>
      </c>
      <c r="F869" s="4" t="str">
        <f>HYPERLINK("http://141.218.60.56/~jnz1568/getInfo.php?workbook=20_10.xlsx&amp;sheet=U0&amp;row=869&amp;col=6&amp;number=3.5&amp;sourceID=14","3.5")</f>
        <v>3.5</v>
      </c>
      <c r="G869" s="4" t="str">
        <f>HYPERLINK("http://141.218.60.56/~jnz1568/getInfo.php?workbook=20_10.xlsx&amp;sheet=U0&amp;row=869&amp;col=7&amp;number=0.00147&amp;sourceID=14","0.00147")</f>
        <v>0.00147</v>
      </c>
    </row>
    <row r="870" spans="1:7">
      <c r="A870" s="3"/>
      <c r="B870" s="3"/>
      <c r="C870" s="3"/>
      <c r="D870" s="3"/>
      <c r="E870" s="3">
        <v>7</v>
      </c>
      <c r="F870" s="4" t="str">
        <f>HYPERLINK("http://141.218.60.56/~jnz1568/getInfo.php?workbook=20_10.xlsx&amp;sheet=U0&amp;row=870&amp;col=6&amp;number=3.6&amp;sourceID=14","3.6")</f>
        <v>3.6</v>
      </c>
      <c r="G870" s="4" t="str">
        <f>HYPERLINK("http://141.218.60.56/~jnz1568/getInfo.php?workbook=20_10.xlsx&amp;sheet=U0&amp;row=870&amp;col=7&amp;number=0.00147&amp;sourceID=14","0.00147")</f>
        <v>0.00147</v>
      </c>
    </row>
    <row r="871" spans="1:7">
      <c r="A871" s="3"/>
      <c r="B871" s="3"/>
      <c r="C871" s="3"/>
      <c r="D871" s="3"/>
      <c r="E871" s="3">
        <v>8</v>
      </c>
      <c r="F871" s="4" t="str">
        <f>HYPERLINK("http://141.218.60.56/~jnz1568/getInfo.php?workbook=20_10.xlsx&amp;sheet=U0&amp;row=871&amp;col=6&amp;number=3.7&amp;sourceID=14","3.7")</f>
        <v>3.7</v>
      </c>
      <c r="G871" s="4" t="str">
        <f>HYPERLINK("http://141.218.60.56/~jnz1568/getInfo.php?workbook=20_10.xlsx&amp;sheet=U0&amp;row=871&amp;col=7&amp;number=0.00147&amp;sourceID=14","0.00147")</f>
        <v>0.00147</v>
      </c>
    </row>
    <row r="872" spans="1:7">
      <c r="A872" s="3"/>
      <c r="B872" s="3"/>
      <c r="C872" s="3"/>
      <c r="D872" s="3"/>
      <c r="E872" s="3">
        <v>9</v>
      </c>
      <c r="F872" s="4" t="str">
        <f>HYPERLINK("http://141.218.60.56/~jnz1568/getInfo.php?workbook=20_10.xlsx&amp;sheet=U0&amp;row=872&amp;col=6&amp;number=3.8&amp;sourceID=14","3.8")</f>
        <v>3.8</v>
      </c>
      <c r="G872" s="4" t="str">
        <f>HYPERLINK("http://141.218.60.56/~jnz1568/getInfo.php?workbook=20_10.xlsx&amp;sheet=U0&amp;row=872&amp;col=7&amp;number=0.00147&amp;sourceID=14","0.00147")</f>
        <v>0.00147</v>
      </c>
    </row>
    <row r="873" spans="1:7">
      <c r="A873" s="3"/>
      <c r="B873" s="3"/>
      <c r="C873" s="3"/>
      <c r="D873" s="3"/>
      <c r="E873" s="3">
        <v>10</v>
      </c>
      <c r="F873" s="4" t="str">
        <f>HYPERLINK("http://141.218.60.56/~jnz1568/getInfo.php?workbook=20_10.xlsx&amp;sheet=U0&amp;row=873&amp;col=6&amp;number=3.9&amp;sourceID=14","3.9")</f>
        <v>3.9</v>
      </c>
      <c r="G873" s="4" t="str">
        <f>HYPERLINK("http://141.218.60.56/~jnz1568/getInfo.php?workbook=20_10.xlsx&amp;sheet=U0&amp;row=873&amp;col=7&amp;number=0.00147&amp;sourceID=14","0.00147")</f>
        <v>0.00147</v>
      </c>
    </row>
    <row r="874" spans="1:7">
      <c r="A874" s="3"/>
      <c r="B874" s="3"/>
      <c r="C874" s="3"/>
      <c r="D874" s="3"/>
      <c r="E874" s="3">
        <v>11</v>
      </c>
      <c r="F874" s="4" t="str">
        <f>HYPERLINK("http://141.218.60.56/~jnz1568/getInfo.php?workbook=20_10.xlsx&amp;sheet=U0&amp;row=874&amp;col=6&amp;number=4&amp;sourceID=14","4")</f>
        <v>4</v>
      </c>
      <c r="G874" s="4" t="str">
        <f>HYPERLINK("http://141.218.60.56/~jnz1568/getInfo.php?workbook=20_10.xlsx&amp;sheet=U0&amp;row=874&amp;col=7&amp;number=0.00147&amp;sourceID=14","0.00147")</f>
        <v>0.00147</v>
      </c>
    </row>
    <row r="875" spans="1:7">
      <c r="A875" s="3"/>
      <c r="B875" s="3"/>
      <c r="C875" s="3"/>
      <c r="D875" s="3"/>
      <c r="E875" s="3">
        <v>12</v>
      </c>
      <c r="F875" s="4" t="str">
        <f>HYPERLINK("http://141.218.60.56/~jnz1568/getInfo.php?workbook=20_10.xlsx&amp;sheet=U0&amp;row=875&amp;col=6&amp;number=4.1&amp;sourceID=14","4.1")</f>
        <v>4.1</v>
      </c>
      <c r="G875" s="4" t="str">
        <f>HYPERLINK("http://141.218.60.56/~jnz1568/getInfo.php?workbook=20_10.xlsx&amp;sheet=U0&amp;row=875&amp;col=7&amp;number=0.00147&amp;sourceID=14","0.00147")</f>
        <v>0.00147</v>
      </c>
    </row>
    <row r="876" spans="1:7">
      <c r="A876" s="3"/>
      <c r="B876" s="3"/>
      <c r="C876" s="3"/>
      <c r="D876" s="3"/>
      <c r="E876" s="3">
        <v>13</v>
      </c>
      <c r="F876" s="4" t="str">
        <f>HYPERLINK("http://141.218.60.56/~jnz1568/getInfo.php?workbook=20_10.xlsx&amp;sheet=U0&amp;row=876&amp;col=6&amp;number=4.2&amp;sourceID=14","4.2")</f>
        <v>4.2</v>
      </c>
      <c r="G876" s="4" t="str">
        <f>HYPERLINK("http://141.218.60.56/~jnz1568/getInfo.php?workbook=20_10.xlsx&amp;sheet=U0&amp;row=876&amp;col=7&amp;number=0.00147&amp;sourceID=14","0.00147")</f>
        <v>0.00147</v>
      </c>
    </row>
    <row r="877" spans="1:7">
      <c r="A877" s="3"/>
      <c r="B877" s="3"/>
      <c r="C877" s="3"/>
      <c r="D877" s="3"/>
      <c r="E877" s="3">
        <v>14</v>
      </c>
      <c r="F877" s="4" t="str">
        <f>HYPERLINK("http://141.218.60.56/~jnz1568/getInfo.php?workbook=20_10.xlsx&amp;sheet=U0&amp;row=877&amp;col=6&amp;number=4.3&amp;sourceID=14","4.3")</f>
        <v>4.3</v>
      </c>
      <c r="G877" s="4" t="str">
        <f>HYPERLINK("http://141.218.60.56/~jnz1568/getInfo.php?workbook=20_10.xlsx&amp;sheet=U0&amp;row=877&amp;col=7&amp;number=0.00147&amp;sourceID=14","0.00147")</f>
        <v>0.00147</v>
      </c>
    </row>
    <row r="878" spans="1:7">
      <c r="A878" s="3"/>
      <c r="B878" s="3"/>
      <c r="C878" s="3"/>
      <c r="D878" s="3"/>
      <c r="E878" s="3">
        <v>15</v>
      </c>
      <c r="F878" s="4" t="str">
        <f>HYPERLINK("http://141.218.60.56/~jnz1568/getInfo.php?workbook=20_10.xlsx&amp;sheet=U0&amp;row=878&amp;col=6&amp;number=4.4&amp;sourceID=14","4.4")</f>
        <v>4.4</v>
      </c>
      <c r="G878" s="4" t="str">
        <f>HYPERLINK("http://141.218.60.56/~jnz1568/getInfo.php?workbook=20_10.xlsx&amp;sheet=U0&amp;row=878&amp;col=7&amp;number=0.00147&amp;sourceID=14","0.00147")</f>
        <v>0.00147</v>
      </c>
    </row>
    <row r="879" spans="1:7">
      <c r="A879" s="3"/>
      <c r="B879" s="3"/>
      <c r="C879" s="3"/>
      <c r="D879" s="3"/>
      <c r="E879" s="3">
        <v>16</v>
      </c>
      <c r="F879" s="4" t="str">
        <f>HYPERLINK("http://141.218.60.56/~jnz1568/getInfo.php?workbook=20_10.xlsx&amp;sheet=U0&amp;row=879&amp;col=6&amp;number=4.5&amp;sourceID=14","4.5")</f>
        <v>4.5</v>
      </c>
      <c r="G879" s="4" t="str">
        <f>HYPERLINK("http://141.218.60.56/~jnz1568/getInfo.php?workbook=20_10.xlsx&amp;sheet=U0&amp;row=879&amp;col=7&amp;number=0.00146&amp;sourceID=14","0.00146")</f>
        <v>0.00146</v>
      </c>
    </row>
    <row r="880" spans="1:7">
      <c r="A880" s="3"/>
      <c r="B880" s="3"/>
      <c r="C880" s="3"/>
      <c r="D880" s="3"/>
      <c r="E880" s="3">
        <v>17</v>
      </c>
      <c r="F880" s="4" t="str">
        <f>HYPERLINK("http://141.218.60.56/~jnz1568/getInfo.php?workbook=20_10.xlsx&amp;sheet=U0&amp;row=880&amp;col=6&amp;number=4.6&amp;sourceID=14","4.6")</f>
        <v>4.6</v>
      </c>
      <c r="G880" s="4" t="str">
        <f>HYPERLINK("http://141.218.60.56/~jnz1568/getInfo.php?workbook=20_10.xlsx&amp;sheet=U0&amp;row=880&amp;col=7&amp;number=0.00146&amp;sourceID=14","0.00146")</f>
        <v>0.00146</v>
      </c>
    </row>
    <row r="881" spans="1:7">
      <c r="A881" s="3"/>
      <c r="B881" s="3"/>
      <c r="C881" s="3"/>
      <c r="D881" s="3"/>
      <c r="E881" s="3">
        <v>18</v>
      </c>
      <c r="F881" s="4" t="str">
        <f>HYPERLINK("http://141.218.60.56/~jnz1568/getInfo.php?workbook=20_10.xlsx&amp;sheet=U0&amp;row=881&amp;col=6&amp;number=4.7&amp;sourceID=14","4.7")</f>
        <v>4.7</v>
      </c>
      <c r="G881" s="4" t="str">
        <f>HYPERLINK("http://141.218.60.56/~jnz1568/getInfo.php?workbook=20_10.xlsx&amp;sheet=U0&amp;row=881&amp;col=7&amp;number=0.00146&amp;sourceID=14","0.00146")</f>
        <v>0.00146</v>
      </c>
    </row>
    <row r="882" spans="1:7">
      <c r="A882" s="3"/>
      <c r="B882" s="3"/>
      <c r="C882" s="3"/>
      <c r="D882" s="3"/>
      <c r="E882" s="3">
        <v>19</v>
      </c>
      <c r="F882" s="4" t="str">
        <f>HYPERLINK("http://141.218.60.56/~jnz1568/getInfo.php?workbook=20_10.xlsx&amp;sheet=U0&amp;row=882&amp;col=6&amp;number=4.8&amp;sourceID=14","4.8")</f>
        <v>4.8</v>
      </c>
      <c r="G882" s="4" t="str">
        <f>HYPERLINK("http://141.218.60.56/~jnz1568/getInfo.php?workbook=20_10.xlsx&amp;sheet=U0&amp;row=882&amp;col=7&amp;number=0.00145&amp;sourceID=14","0.00145")</f>
        <v>0.00145</v>
      </c>
    </row>
    <row r="883" spans="1:7">
      <c r="A883" s="3"/>
      <c r="B883" s="3"/>
      <c r="C883" s="3"/>
      <c r="D883" s="3"/>
      <c r="E883" s="3">
        <v>20</v>
      </c>
      <c r="F883" s="4" t="str">
        <f>HYPERLINK("http://141.218.60.56/~jnz1568/getInfo.php?workbook=20_10.xlsx&amp;sheet=U0&amp;row=883&amp;col=6&amp;number=4.9&amp;sourceID=14","4.9")</f>
        <v>4.9</v>
      </c>
      <c r="G883" s="4" t="str">
        <f>HYPERLINK("http://141.218.60.56/~jnz1568/getInfo.php?workbook=20_10.xlsx&amp;sheet=U0&amp;row=883&amp;col=7&amp;number=0.00145&amp;sourceID=14","0.00145")</f>
        <v>0.00145</v>
      </c>
    </row>
    <row r="884" spans="1:7">
      <c r="A884" s="3">
        <v>20</v>
      </c>
      <c r="B884" s="3">
        <v>10</v>
      </c>
      <c r="C884" s="3">
        <v>1</v>
      </c>
      <c r="D884" s="3">
        <v>46</v>
      </c>
      <c r="E884" s="3">
        <v>1</v>
      </c>
      <c r="F884" s="4" t="str">
        <f>HYPERLINK("http://141.218.60.56/~jnz1568/getInfo.php?workbook=20_10.xlsx&amp;sheet=U0&amp;row=884&amp;col=6&amp;number=3&amp;sourceID=14","3")</f>
        <v>3</v>
      </c>
      <c r="G884" s="4" t="str">
        <f>HYPERLINK("http://141.218.60.56/~jnz1568/getInfo.php?workbook=20_10.xlsx&amp;sheet=U0&amp;row=884&amp;col=7&amp;number=0.00245&amp;sourceID=14","0.00245")</f>
        <v>0.00245</v>
      </c>
    </row>
    <row r="885" spans="1:7">
      <c r="A885" s="3"/>
      <c r="B885" s="3"/>
      <c r="C885" s="3"/>
      <c r="D885" s="3"/>
      <c r="E885" s="3">
        <v>2</v>
      </c>
      <c r="F885" s="4" t="str">
        <f>HYPERLINK("http://141.218.60.56/~jnz1568/getInfo.php?workbook=20_10.xlsx&amp;sheet=U0&amp;row=885&amp;col=6&amp;number=3.1&amp;sourceID=14","3.1")</f>
        <v>3.1</v>
      </c>
      <c r="G885" s="4" t="str">
        <f>HYPERLINK("http://141.218.60.56/~jnz1568/getInfo.php?workbook=20_10.xlsx&amp;sheet=U0&amp;row=885&amp;col=7&amp;number=0.00245&amp;sourceID=14","0.00245")</f>
        <v>0.00245</v>
      </c>
    </row>
    <row r="886" spans="1:7">
      <c r="A886" s="3"/>
      <c r="B886" s="3"/>
      <c r="C886" s="3"/>
      <c r="D886" s="3"/>
      <c r="E886" s="3">
        <v>3</v>
      </c>
      <c r="F886" s="4" t="str">
        <f>HYPERLINK("http://141.218.60.56/~jnz1568/getInfo.php?workbook=20_10.xlsx&amp;sheet=U0&amp;row=886&amp;col=6&amp;number=3.2&amp;sourceID=14","3.2")</f>
        <v>3.2</v>
      </c>
      <c r="G886" s="4" t="str">
        <f>HYPERLINK("http://141.218.60.56/~jnz1568/getInfo.php?workbook=20_10.xlsx&amp;sheet=U0&amp;row=886&amp;col=7&amp;number=0.00245&amp;sourceID=14","0.00245")</f>
        <v>0.00245</v>
      </c>
    </row>
    <row r="887" spans="1:7">
      <c r="A887" s="3"/>
      <c r="B887" s="3"/>
      <c r="C887" s="3"/>
      <c r="D887" s="3"/>
      <c r="E887" s="3">
        <v>4</v>
      </c>
      <c r="F887" s="4" t="str">
        <f>HYPERLINK("http://141.218.60.56/~jnz1568/getInfo.php?workbook=20_10.xlsx&amp;sheet=U0&amp;row=887&amp;col=6&amp;number=3.3&amp;sourceID=14","3.3")</f>
        <v>3.3</v>
      </c>
      <c r="G887" s="4" t="str">
        <f>HYPERLINK("http://141.218.60.56/~jnz1568/getInfo.php?workbook=20_10.xlsx&amp;sheet=U0&amp;row=887&amp;col=7&amp;number=0.00245&amp;sourceID=14","0.00245")</f>
        <v>0.00245</v>
      </c>
    </row>
    <row r="888" spans="1:7">
      <c r="A888" s="3"/>
      <c r="B888" s="3"/>
      <c r="C888" s="3"/>
      <c r="D888" s="3"/>
      <c r="E888" s="3">
        <v>5</v>
      </c>
      <c r="F888" s="4" t="str">
        <f>HYPERLINK("http://141.218.60.56/~jnz1568/getInfo.php?workbook=20_10.xlsx&amp;sheet=U0&amp;row=888&amp;col=6&amp;number=3.4&amp;sourceID=14","3.4")</f>
        <v>3.4</v>
      </c>
      <c r="G888" s="4" t="str">
        <f>HYPERLINK("http://141.218.60.56/~jnz1568/getInfo.php?workbook=20_10.xlsx&amp;sheet=U0&amp;row=888&amp;col=7&amp;number=0.00245&amp;sourceID=14","0.00245")</f>
        <v>0.00245</v>
      </c>
    </row>
    <row r="889" spans="1:7">
      <c r="A889" s="3"/>
      <c r="B889" s="3"/>
      <c r="C889" s="3"/>
      <c r="D889" s="3"/>
      <c r="E889" s="3">
        <v>6</v>
      </c>
      <c r="F889" s="4" t="str">
        <f>HYPERLINK("http://141.218.60.56/~jnz1568/getInfo.php?workbook=20_10.xlsx&amp;sheet=U0&amp;row=889&amp;col=6&amp;number=3.5&amp;sourceID=14","3.5")</f>
        <v>3.5</v>
      </c>
      <c r="G889" s="4" t="str">
        <f>HYPERLINK("http://141.218.60.56/~jnz1568/getInfo.php?workbook=20_10.xlsx&amp;sheet=U0&amp;row=889&amp;col=7&amp;number=0.00245&amp;sourceID=14","0.00245")</f>
        <v>0.00245</v>
      </c>
    </row>
    <row r="890" spans="1:7">
      <c r="A890" s="3"/>
      <c r="B890" s="3"/>
      <c r="C890" s="3"/>
      <c r="D890" s="3"/>
      <c r="E890" s="3">
        <v>7</v>
      </c>
      <c r="F890" s="4" t="str">
        <f>HYPERLINK("http://141.218.60.56/~jnz1568/getInfo.php?workbook=20_10.xlsx&amp;sheet=U0&amp;row=890&amp;col=6&amp;number=3.6&amp;sourceID=14","3.6")</f>
        <v>3.6</v>
      </c>
      <c r="G890" s="4" t="str">
        <f>HYPERLINK("http://141.218.60.56/~jnz1568/getInfo.php?workbook=20_10.xlsx&amp;sheet=U0&amp;row=890&amp;col=7&amp;number=0.00245&amp;sourceID=14","0.00245")</f>
        <v>0.00245</v>
      </c>
    </row>
    <row r="891" spans="1:7">
      <c r="A891" s="3"/>
      <c r="B891" s="3"/>
      <c r="C891" s="3"/>
      <c r="D891" s="3"/>
      <c r="E891" s="3">
        <v>8</v>
      </c>
      <c r="F891" s="4" t="str">
        <f>HYPERLINK("http://141.218.60.56/~jnz1568/getInfo.php?workbook=20_10.xlsx&amp;sheet=U0&amp;row=891&amp;col=6&amp;number=3.7&amp;sourceID=14","3.7")</f>
        <v>3.7</v>
      </c>
      <c r="G891" s="4" t="str">
        <f>HYPERLINK("http://141.218.60.56/~jnz1568/getInfo.php?workbook=20_10.xlsx&amp;sheet=U0&amp;row=891&amp;col=7&amp;number=0.00244&amp;sourceID=14","0.00244")</f>
        <v>0.00244</v>
      </c>
    </row>
    <row r="892" spans="1:7">
      <c r="A892" s="3"/>
      <c r="B892" s="3"/>
      <c r="C892" s="3"/>
      <c r="D892" s="3"/>
      <c r="E892" s="3">
        <v>9</v>
      </c>
      <c r="F892" s="4" t="str">
        <f>HYPERLINK("http://141.218.60.56/~jnz1568/getInfo.php?workbook=20_10.xlsx&amp;sheet=U0&amp;row=892&amp;col=6&amp;number=3.8&amp;sourceID=14","3.8")</f>
        <v>3.8</v>
      </c>
      <c r="G892" s="4" t="str">
        <f>HYPERLINK("http://141.218.60.56/~jnz1568/getInfo.php?workbook=20_10.xlsx&amp;sheet=U0&amp;row=892&amp;col=7&amp;number=0.00244&amp;sourceID=14","0.00244")</f>
        <v>0.00244</v>
      </c>
    </row>
    <row r="893" spans="1:7">
      <c r="A893" s="3"/>
      <c r="B893" s="3"/>
      <c r="C893" s="3"/>
      <c r="D893" s="3"/>
      <c r="E893" s="3">
        <v>10</v>
      </c>
      <c r="F893" s="4" t="str">
        <f>HYPERLINK("http://141.218.60.56/~jnz1568/getInfo.php?workbook=20_10.xlsx&amp;sheet=U0&amp;row=893&amp;col=6&amp;number=3.9&amp;sourceID=14","3.9")</f>
        <v>3.9</v>
      </c>
      <c r="G893" s="4" t="str">
        <f>HYPERLINK("http://141.218.60.56/~jnz1568/getInfo.php?workbook=20_10.xlsx&amp;sheet=U0&amp;row=893&amp;col=7&amp;number=0.00244&amp;sourceID=14","0.00244")</f>
        <v>0.00244</v>
      </c>
    </row>
    <row r="894" spans="1:7">
      <c r="A894" s="3"/>
      <c r="B894" s="3"/>
      <c r="C894" s="3"/>
      <c r="D894" s="3"/>
      <c r="E894" s="3">
        <v>11</v>
      </c>
      <c r="F894" s="4" t="str">
        <f>HYPERLINK("http://141.218.60.56/~jnz1568/getInfo.php?workbook=20_10.xlsx&amp;sheet=U0&amp;row=894&amp;col=6&amp;number=4&amp;sourceID=14","4")</f>
        <v>4</v>
      </c>
      <c r="G894" s="4" t="str">
        <f>HYPERLINK("http://141.218.60.56/~jnz1568/getInfo.php?workbook=20_10.xlsx&amp;sheet=U0&amp;row=894&amp;col=7&amp;number=0.00244&amp;sourceID=14","0.00244")</f>
        <v>0.00244</v>
      </c>
    </row>
    <row r="895" spans="1:7">
      <c r="A895" s="3"/>
      <c r="B895" s="3"/>
      <c r="C895" s="3"/>
      <c r="D895" s="3"/>
      <c r="E895" s="3">
        <v>12</v>
      </c>
      <c r="F895" s="4" t="str">
        <f>HYPERLINK("http://141.218.60.56/~jnz1568/getInfo.php?workbook=20_10.xlsx&amp;sheet=U0&amp;row=895&amp;col=6&amp;number=4.1&amp;sourceID=14","4.1")</f>
        <v>4.1</v>
      </c>
      <c r="G895" s="4" t="str">
        <f>HYPERLINK("http://141.218.60.56/~jnz1568/getInfo.php?workbook=20_10.xlsx&amp;sheet=U0&amp;row=895&amp;col=7&amp;number=0.00244&amp;sourceID=14","0.00244")</f>
        <v>0.00244</v>
      </c>
    </row>
    <row r="896" spans="1:7">
      <c r="A896" s="3"/>
      <c r="B896" s="3"/>
      <c r="C896" s="3"/>
      <c r="D896" s="3"/>
      <c r="E896" s="3">
        <v>13</v>
      </c>
      <c r="F896" s="4" t="str">
        <f>HYPERLINK("http://141.218.60.56/~jnz1568/getInfo.php?workbook=20_10.xlsx&amp;sheet=U0&amp;row=896&amp;col=6&amp;number=4.2&amp;sourceID=14","4.2")</f>
        <v>4.2</v>
      </c>
      <c r="G896" s="4" t="str">
        <f>HYPERLINK("http://141.218.60.56/~jnz1568/getInfo.php?workbook=20_10.xlsx&amp;sheet=U0&amp;row=896&amp;col=7&amp;number=0.00244&amp;sourceID=14","0.00244")</f>
        <v>0.00244</v>
      </c>
    </row>
    <row r="897" spans="1:7">
      <c r="A897" s="3"/>
      <c r="B897" s="3"/>
      <c r="C897" s="3"/>
      <c r="D897" s="3"/>
      <c r="E897" s="3">
        <v>14</v>
      </c>
      <c r="F897" s="4" t="str">
        <f>HYPERLINK("http://141.218.60.56/~jnz1568/getInfo.php?workbook=20_10.xlsx&amp;sheet=U0&amp;row=897&amp;col=6&amp;number=4.3&amp;sourceID=14","4.3")</f>
        <v>4.3</v>
      </c>
      <c r="G897" s="4" t="str">
        <f>HYPERLINK("http://141.218.60.56/~jnz1568/getInfo.php?workbook=20_10.xlsx&amp;sheet=U0&amp;row=897&amp;col=7&amp;number=0.00244&amp;sourceID=14","0.00244")</f>
        <v>0.00244</v>
      </c>
    </row>
    <row r="898" spans="1:7">
      <c r="A898" s="3"/>
      <c r="B898" s="3"/>
      <c r="C898" s="3"/>
      <c r="D898" s="3"/>
      <c r="E898" s="3">
        <v>15</v>
      </c>
      <c r="F898" s="4" t="str">
        <f>HYPERLINK("http://141.218.60.56/~jnz1568/getInfo.php?workbook=20_10.xlsx&amp;sheet=U0&amp;row=898&amp;col=6&amp;number=4.4&amp;sourceID=14","4.4")</f>
        <v>4.4</v>
      </c>
      <c r="G898" s="4" t="str">
        <f>HYPERLINK("http://141.218.60.56/~jnz1568/getInfo.php?workbook=20_10.xlsx&amp;sheet=U0&amp;row=898&amp;col=7&amp;number=0.00244&amp;sourceID=14","0.00244")</f>
        <v>0.00244</v>
      </c>
    </row>
    <row r="899" spans="1:7">
      <c r="A899" s="3"/>
      <c r="B899" s="3"/>
      <c r="C899" s="3"/>
      <c r="D899" s="3"/>
      <c r="E899" s="3">
        <v>16</v>
      </c>
      <c r="F899" s="4" t="str">
        <f>HYPERLINK("http://141.218.60.56/~jnz1568/getInfo.php?workbook=20_10.xlsx&amp;sheet=U0&amp;row=899&amp;col=6&amp;number=4.5&amp;sourceID=14","4.5")</f>
        <v>4.5</v>
      </c>
      <c r="G899" s="4" t="str">
        <f>HYPERLINK("http://141.218.60.56/~jnz1568/getInfo.php?workbook=20_10.xlsx&amp;sheet=U0&amp;row=899&amp;col=7&amp;number=0.00244&amp;sourceID=14","0.00244")</f>
        <v>0.00244</v>
      </c>
    </row>
    <row r="900" spans="1:7">
      <c r="A900" s="3"/>
      <c r="B900" s="3"/>
      <c r="C900" s="3"/>
      <c r="D900" s="3"/>
      <c r="E900" s="3">
        <v>17</v>
      </c>
      <c r="F900" s="4" t="str">
        <f>HYPERLINK("http://141.218.60.56/~jnz1568/getInfo.php?workbook=20_10.xlsx&amp;sheet=U0&amp;row=900&amp;col=6&amp;number=4.6&amp;sourceID=14","4.6")</f>
        <v>4.6</v>
      </c>
      <c r="G900" s="4" t="str">
        <f>HYPERLINK("http://141.218.60.56/~jnz1568/getInfo.php?workbook=20_10.xlsx&amp;sheet=U0&amp;row=900&amp;col=7&amp;number=0.00244&amp;sourceID=14","0.00244")</f>
        <v>0.00244</v>
      </c>
    </row>
    <row r="901" spans="1:7">
      <c r="A901" s="3"/>
      <c r="B901" s="3"/>
      <c r="C901" s="3"/>
      <c r="D901" s="3"/>
      <c r="E901" s="3">
        <v>18</v>
      </c>
      <c r="F901" s="4" t="str">
        <f>HYPERLINK("http://141.218.60.56/~jnz1568/getInfo.php?workbook=20_10.xlsx&amp;sheet=U0&amp;row=901&amp;col=6&amp;number=4.7&amp;sourceID=14","4.7")</f>
        <v>4.7</v>
      </c>
      <c r="G901" s="4" t="str">
        <f>HYPERLINK("http://141.218.60.56/~jnz1568/getInfo.php?workbook=20_10.xlsx&amp;sheet=U0&amp;row=901&amp;col=7&amp;number=0.00243&amp;sourceID=14","0.00243")</f>
        <v>0.00243</v>
      </c>
    </row>
    <row r="902" spans="1:7">
      <c r="A902" s="3"/>
      <c r="B902" s="3"/>
      <c r="C902" s="3"/>
      <c r="D902" s="3"/>
      <c r="E902" s="3">
        <v>19</v>
      </c>
      <c r="F902" s="4" t="str">
        <f>HYPERLINK("http://141.218.60.56/~jnz1568/getInfo.php?workbook=20_10.xlsx&amp;sheet=U0&amp;row=902&amp;col=6&amp;number=4.8&amp;sourceID=14","4.8")</f>
        <v>4.8</v>
      </c>
      <c r="G902" s="4" t="str">
        <f>HYPERLINK("http://141.218.60.56/~jnz1568/getInfo.php?workbook=20_10.xlsx&amp;sheet=U0&amp;row=902&amp;col=7&amp;number=0.00243&amp;sourceID=14","0.00243")</f>
        <v>0.00243</v>
      </c>
    </row>
    <row r="903" spans="1:7">
      <c r="A903" s="3"/>
      <c r="B903" s="3"/>
      <c r="C903" s="3"/>
      <c r="D903" s="3"/>
      <c r="E903" s="3">
        <v>20</v>
      </c>
      <c r="F903" s="4" t="str">
        <f>HYPERLINK("http://141.218.60.56/~jnz1568/getInfo.php?workbook=20_10.xlsx&amp;sheet=U0&amp;row=903&amp;col=6&amp;number=4.9&amp;sourceID=14","4.9")</f>
        <v>4.9</v>
      </c>
      <c r="G903" s="4" t="str">
        <f>HYPERLINK("http://141.218.60.56/~jnz1568/getInfo.php?workbook=20_10.xlsx&amp;sheet=U0&amp;row=903&amp;col=7&amp;number=0.00243&amp;sourceID=14","0.00243")</f>
        <v>0.00243</v>
      </c>
    </row>
    <row r="904" spans="1:7">
      <c r="A904" s="3">
        <v>20</v>
      </c>
      <c r="B904" s="3">
        <v>10</v>
      </c>
      <c r="C904" s="3">
        <v>1</v>
      </c>
      <c r="D904" s="3">
        <v>47</v>
      </c>
      <c r="E904" s="3">
        <v>1</v>
      </c>
      <c r="F904" s="4" t="str">
        <f>HYPERLINK("http://141.218.60.56/~jnz1568/getInfo.php?workbook=20_10.xlsx&amp;sheet=U0&amp;row=904&amp;col=6&amp;number=3&amp;sourceID=14","3")</f>
        <v>3</v>
      </c>
      <c r="G904" s="4" t="str">
        <f>HYPERLINK("http://141.218.60.56/~jnz1568/getInfo.php?workbook=20_10.xlsx&amp;sheet=U0&amp;row=904&amp;col=7&amp;number=0.0163&amp;sourceID=14","0.0163")</f>
        <v>0.0163</v>
      </c>
    </row>
    <row r="905" spans="1:7">
      <c r="A905" s="3"/>
      <c r="B905" s="3"/>
      <c r="C905" s="3"/>
      <c r="D905" s="3"/>
      <c r="E905" s="3">
        <v>2</v>
      </c>
      <c r="F905" s="4" t="str">
        <f>HYPERLINK("http://141.218.60.56/~jnz1568/getInfo.php?workbook=20_10.xlsx&amp;sheet=U0&amp;row=905&amp;col=6&amp;number=3.1&amp;sourceID=14","3.1")</f>
        <v>3.1</v>
      </c>
      <c r="G905" s="4" t="str">
        <f>HYPERLINK("http://141.218.60.56/~jnz1568/getInfo.php?workbook=20_10.xlsx&amp;sheet=U0&amp;row=905&amp;col=7&amp;number=0.0163&amp;sourceID=14","0.0163")</f>
        <v>0.0163</v>
      </c>
    </row>
    <row r="906" spans="1:7">
      <c r="A906" s="3"/>
      <c r="B906" s="3"/>
      <c r="C906" s="3"/>
      <c r="D906" s="3"/>
      <c r="E906" s="3">
        <v>3</v>
      </c>
      <c r="F906" s="4" t="str">
        <f>HYPERLINK("http://141.218.60.56/~jnz1568/getInfo.php?workbook=20_10.xlsx&amp;sheet=U0&amp;row=906&amp;col=6&amp;number=3.2&amp;sourceID=14","3.2")</f>
        <v>3.2</v>
      </c>
      <c r="G906" s="4" t="str">
        <f>HYPERLINK("http://141.218.60.56/~jnz1568/getInfo.php?workbook=20_10.xlsx&amp;sheet=U0&amp;row=906&amp;col=7&amp;number=0.0163&amp;sourceID=14","0.0163")</f>
        <v>0.0163</v>
      </c>
    </row>
    <row r="907" spans="1:7">
      <c r="A907" s="3"/>
      <c r="B907" s="3"/>
      <c r="C907" s="3"/>
      <c r="D907" s="3"/>
      <c r="E907" s="3">
        <v>4</v>
      </c>
      <c r="F907" s="4" t="str">
        <f>HYPERLINK("http://141.218.60.56/~jnz1568/getInfo.php?workbook=20_10.xlsx&amp;sheet=U0&amp;row=907&amp;col=6&amp;number=3.3&amp;sourceID=14","3.3")</f>
        <v>3.3</v>
      </c>
      <c r="G907" s="4" t="str">
        <f>HYPERLINK("http://141.218.60.56/~jnz1568/getInfo.php?workbook=20_10.xlsx&amp;sheet=U0&amp;row=907&amp;col=7&amp;number=0.0163&amp;sourceID=14","0.0163")</f>
        <v>0.0163</v>
      </c>
    </row>
    <row r="908" spans="1:7">
      <c r="A908" s="3"/>
      <c r="B908" s="3"/>
      <c r="C908" s="3"/>
      <c r="D908" s="3"/>
      <c r="E908" s="3">
        <v>5</v>
      </c>
      <c r="F908" s="4" t="str">
        <f>HYPERLINK("http://141.218.60.56/~jnz1568/getInfo.php?workbook=20_10.xlsx&amp;sheet=U0&amp;row=908&amp;col=6&amp;number=3.4&amp;sourceID=14","3.4")</f>
        <v>3.4</v>
      </c>
      <c r="G908" s="4" t="str">
        <f>HYPERLINK("http://141.218.60.56/~jnz1568/getInfo.php?workbook=20_10.xlsx&amp;sheet=U0&amp;row=908&amp;col=7&amp;number=0.0163&amp;sourceID=14","0.0163")</f>
        <v>0.0163</v>
      </c>
    </row>
    <row r="909" spans="1:7">
      <c r="A909" s="3"/>
      <c r="B909" s="3"/>
      <c r="C909" s="3"/>
      <c r="D909" s="3"/>
      <c r="E909" s="3">
        <v>6</v>
      </c>
      <c r="F909" s="4" t="str">
        <f>HYPERLINK("http://141.218.60.56/~jnz1568/getInfo.php?workbook=20_10.xlsx&amp;sheet=U0&amp;row=909&amp;col=6&amp;number=3.5&amp;sourceID=14","3.5")</f>
        <v>3.5</v>
      </c>
      <c r="G909" s="4" t="str">
        <f>HYPERLINK("http://141.218.60.56/~jnz1568/getInfo.php?workbook=20_10.xlsx&amp;sheet=U0&amp;row=909&amp;col=7&amp;number=0.0163&amp;sourceID=14","0.0163")</f>
        <v>0.0163</v>
      </c>
    </row>
    <row r="910" spans="1:7">
      <c r="A910" s="3"/>
      <c r="B910" s="3"/>
      <c r="C910" s="3"/>
      <c r="D910" s="3"/>
      <c r="E910" s="3">
        <v>7</v>
      </c>
      <c r="F910" s="4" t="str">
        <f>HYPERLINK("http://141.218.60.56/~jnz1568/getInfo.php?workbook=20_10.xlsx&amp;sheet=U0&amp;row=910&amp;col=6&amp;number=3.6&amp;sourceID=14","3.6")</f>
        <v>3.6</v>
      </c>
      <c r="G910" s="4" t="str">
        <f>HYPERLINK("http://141.218.60.56/~jnz1568/getInfo.php?workbook=20_10.xlsx&amp;sheet=U0&amp;row=910&amp;col=7&amp;number=0.0163&amp;sourceID=14","0.0163")</f>
        <v>0.0163</v>
      </c>
    </row>
    <row r="911" spans="1:7">
      <c r="A911" s="3"/>
      <c r="B911" s="3"/>
      <c r="C911" s="3"/>
      <c r="D911" s="3"/>
      <c r="E911" s="3">
        <v>8</v>
      </c>
      <c r="F911" s="4" t="str">
        <f>HYPERLINK("http://141.218.60.56/~jnz1568/getInfo.php?workbook=20_10.xlsx&amp;sheet=U0&amp;row=911&amp;col=6&amp;number=3.7&amp;sourceID=14","3.7")</f>
        <v>3.7</v>
      </c>
      <c r="G911" s="4" t="str">
        <f>HYPERLINK("http://141.218.60.56/~jnz1568/getInfo.php?workbook=20_10.xlsx&amp;sheet=U0&amp;row=911&amp;col=7&amp;number=0.0163&amp;sourceID=14","0.0163")</f>
        <v>0.0163</v>
      </c>
    </row>
    <row r="912" spans="1:7">
      <c r="A912" s="3"/>
      <c r="B912" s="3"/>
      <c r="C912" s="3"/>
      <c r="D912" s="3"/>
      <c r="E912" s="3">
        <v>9</v>
      </c>
      <c r="F912" s="4" t="str">
        <f>HYPERLINK("http://141.218.60.56/~jnz1568/getInfo.php?workbook=20_10.xlsx&amp;sheet=U0&amp;row=912&amp;col=6&amp;number=3.8&amp;sourceID=14","3.8")</f>
        <v>3.8</v>
      </c>
      <c r="G912" s="4" t="str">
        <f>HYPERLINK("http://141.218.60.56/~jnz1568/getInfo.php?workbook=20_10.xlsx&amp;sheet=U0&amp;row=912&amp;col=7&amp;number=0.0163&amp;sourceID=14","0.0163")</f>
        <v>0.0163</v>
      </c>
    </row>
    <row r="913" spans="1:7">
      <c r="A913" s="3"/>
      <c r="B913" s="3"/>
      <c r="C913" s="3"/>
      <c r="D913" s="3"/>
      <c r="E913" s="3">
        <v>10</v>
      </c>
      <c r="F913" s="4" t="str">
        <f>HYPERLINK("http://141.218.60.56/~jnz1568/getInfo.php?workbook=20_10.xlsx&amp;sheet=U0&amp;row=913&amp;col=6&amp;number=3.9&amp;sourceID=14","3.9")</f>
        <v>3.9</v>
      </c>
      <c r="G913" s="4" t="str">
        <f>HYPERLINK("http://141.218.60.56/~jnz1568/getInfo.php?workbook=20_10.xlsx&amp;sheet=U0&amp;row=913&amp;col=7&amp;number=0.0163&amp;sourceID=14","0.0163")</f>
        <v>0.0163</v>
      </c>
    </row>
    <row r="914" spans="1:7">
      <c r="A914" s="3"/>
      <c r="B914" s="3"/>
      <c r="C914" s="3"/>
      <c r="D914" s="3"/>
      <c r="E914" s="3">
        <v>11</v>
      </c>
      <c r="F914" s="4" t="str">
        <f>HYPERLINK("http://141.218.60.56/~jnz1568/getInfo.php?workbook=20_10.xlsx&amp;sheet=U0&amp;row=914&amp;col=6&amp;number=4&amp;sourceID=14","4")</f>
        <v>4</v>
      </c>
      <c r="G914" s="4" t="str">
        <f>HYPERLINK("http://141.218.60.56/~jnz1568/getInfo.php?workbook=20_10.xlsx&amp;sheet=U0&amp;row=914&amp;col=7&amp;number=0.0163&amp;sourceID=14","0.0163")</f>
        <v>0.0163</v>
      </c>
    </row>
    <row r="915" spans="1:7">
      <c r="A915" s="3"/>
      <c r="B915" s="3"/>
      <c r="C915" s="3"/>
      <c r="D915" s="3"/>
      <c r="E915" s="3">
        <v>12</v>
      </c>
      <c r="F915" s="4" t="str">
        <f>HYPERLINK("http://141.218.60.56/~jnz1568/getInfo.php?workbook=20_10.xlsx&amp;sheet=U0&amp;row=915&amp;col=6&amp;number=4.1&amp;sourceID=14","4.1")</f>
        <v>4.1</v>
      </c>
      <c r="G915" s="4" t="str">
        <f>HYPERLINK("http://141.218.60.56/~jnz1568/getInfo.php?workbook=20_10.xlsx&amp;sheet=U0&amp;row=915&amp;col=7&amp;number=0.0163&amp;sourceID=14","0.0163")</f>
        <v>0.0163</v>
      </c>
    </row>
    <row r="916" spans="1:7">
      <c r="A916" s="3"/>
      <c r="B916" s="3"/>
      <c r="C916" s="3"/>
      <c r="D916" s="3"/>
      <c r="E916" s="3">
        <v>13</v>
      </c>
      <c r="F916" s="4" t="str">
        <f>HYPERLINK("http://141.218.60.56/~jnz1568/getInfo.php?workbook=20_10.xlsx&amp;sheet=U0&amp;row=916&amp;col=6&amp;number=4.2&amp;sourceID=14","4.2")</f>
        <v>4.2</v>
      </c>
      <c r="G916" s="4" t="str">
        <f>HYPERLINK("http://141.218.60.56/~jnz1568/getInfo.php?workbook=20_10.xlsx&amp;sheet=U0&amp;row=916&amp;col=7&amp;number=0.0163&amp;sourceID=14","0.0163")</f>
        <v>0.0163</v>
      </c>
    </row>
    <row r="917" spans="1:7">
      <c r="A917" s="3"/>
      <c r="B917" s="3"/>
      <c r="C917" s="3"/>
      <c r="D917" s="3"/>
      <c r="E917" s="3">
        <v>14</v>
      </c>
      <c r="F917" s="4" t="str">
        <f>HYPERLINK("http://141.218.60.56/~jnz1568/getInfo.php?workbook=20_10.xlsx&amp;sheet=U0&amp;row=917&amp;col=6&amp;number=4.3&amp;sourceID=14","4.3")</f>
        <v>4.3</v>
      </c>
      <c r="G917" s="4" t="str">
        <f>HYPERLINK("http://141.218.60.56/~jnz1568/getInfo.php?workbook=20_10.xlsx&amp;sheet=U0&amp;row=917&amp;col=7&amp;number=0.0163&amp;sourceID=14","0.0163")</f>
        <v>0.0163</v>
      </c>
    </row>
    <row r="918" spans="1:7">
      <c r="A918" s="3"/>
      <c r="B918" s="3"/>
      <c r="C918" s="3"/>
      <c r="D918" s="3"/>
      <c r="E918" s="3">
        <v>15</v>
      </c>
      <c r="F918" s="4" t="str">
        <f>HYPERLINK("http://141.218.60.56/~jnz1568/getInfo.php?workbook=20_10.xlsx&amp;sheet=U0&amp;row=918&amp;col=6&amp;number=4.4&amp;sourceID=14","4.4")</f>
        <v>4.4</v>
      </c>
      <c r="G918" s="4" t="str">
        <f>HYPERLINK("http://141.218.60.56/~jnz1568/getInfo.php?workbook=20_10.xlsx&amp;sheet=U0&amp;row=918&amp;col=7&amp;number=0.0163&amp;sourceID=14","0.0163")</f>
        <v>0.0163</v>
      </c>
    </row>
    <row r="919" spans="1:7">
      <c r="A919" s="3"/>
      <c r="B919" s="3"/>
      <c r="C919" s="3"/>
      <c r="D919" s="3"/>
      <c r="E919" s="3">
        <v>16</v>
      </c>
      <c r="F919" s="4" t="str">
        <f>HYPERLINK("http://141.218.60.56/~jnz1568/getInfo.php?workbook=20_10.xlsx&amp;sheet=U0&amp;row=919&amp;col=6&amp;number=4.5&amp;sourceID=14","4.5")</f>
        <v>4.5</v>
      </c>
      <c r="G919" s="4" t="str">
        <f>HYPERLINK("http://141.218.60.56/~jnz1568/getInfo.php?workbook=20_10.xlsx&amp;sheet=U0&amp;row=919&amp;col=7&amp;number=0.0163&amp;sourceID=14","0.0163")</f>
        <v>0.0163</v>
      </c>
    </row>
    <row r="920" spans="1:7">
      <c r="A920" s="3"/>
      <c r="B920" s="3"/>
      <c r="C920" s="3"/>
      <c r="D920" s="3"/>
      <c r="E920" s="3">
        <v>17</v>
      </c>
      <c r="F920" s="4" t="str">
        <f>HYPERLINK("http://141.218.60.56/~jnz1568/getInfo.php?workbook=20_10.xlsx&amp;sheet=U0&amp;row=920&amp;col=6&amp;number=4.6&amp;sourceID=14","4.6")</f>
        <v>4.6</v>
      </c>
      <c r="G920" s="4" t="str">
        <f>HYPERLINK("http://141.218.60.56/~jnz1568/getInfo.php?workbook=20_10.xlsx&amp;sheet=U0&amp;row=920&amp;col=7&amp;number=0.0163&amp;sourceID=14","0.0163")</f>
        <v>0.0163</v>
      </c>
    </row>
    <row r="921" spans="1:7">
      <c r="A921" s="3"/>
      <c r="B921" s="3"/>
      <c r="C921" s="3"/>
      <c r="D921" s="3"/>
      <c r="E921" s="3">
        <v>18</v>
      </c>
      <c r="F921" s="4" t="str">
        <f>HYPERLINK("http://141.218.60.56/~jnz1568/getInfo.php?workbook=20_10.xlsx&amp;sheet=U0&amp;row=921&amp;col=6&amp;number=4.7&amp;sourceID=14","4.7")</f>
        <v>4.7</v>
      </c>
      <c r="G921" s="4" t="str">
        <f>HYPERLINK("http://141.218.60.56/~jnz1568/getInfo.php?workbook=20_10.xlsx&amp;sheet=U0&amp;row=921&amp;col=7&amp;number=0.0163&amp;sourceID=14","0.0163")</f>
        <v>0.0163</v>
      </c>
    </row>
    <row r="922" spans="1:7">
      <c r="A922" s="3"/>
      <c r="B922" s="3"/>
      <c r="C922" s="3"/>
      <c r="D922" s="3"/>
      <c r="E922" s="3">
        <v>19</v>
      </c>
      <c r="F922" s="4" t="str">
        <f>HYPERLINK("http://141.218.60.56/~jnz1568/getInfo.php?workbook=20_10.xlsx&amp;sheet=U0&amp;row=922&amp;col=6&amp;number=4.8&amp;sourceID=14","4.8")</f>
        <v>4.8</v>
      </c>
      <c r="G922" s="4" t="str">
        <f>HYPERLINK("http://141.218.60.56/~jnz1568/getInfo.php?workbook=20_10.xlsx&amp;sheet=U0&amp;row=922&amp;col=7&amp;number=0.0163&amp;sourceID=14","0.0163")</f>
        <v>0.0163</v>
      </c>
    </row>
    <row r="923" spans="1:7">
      <c r="A923" s="3"/>
      <c r="B923" s="3"/>
      <c r="C923" s="3"/>
      <c r="D923" s="3"/>
      <c r="E923" s="3">
        <v>20</v>
      </c>
      <c r="F923" s="4" t="str">
        <f>HYPERLINK("http://141.218.60.56/~jnz1568/getInfo.php?workbook=20_10.xlsx&amp;sheet=U0&amp;row=923&amp;col=6&amp;number=4.9&amp;sourceID=14","4.9")</f>
        <v>4.9</v>
      </c>
      <c r="G923" s="4" t="str">
        <f>HYPERLINK("http://141.218.60.56/~jnz1568/getInfo.php?workbook=20_10.xlsx&amp;sheet=U0&amp;row=923&amp;col=7&amp;number=0.0163&amp;sourceID=14","0.0163")</f>
        <v>0.0163</v>
      </c>
    </row>
    <row r="924" spans="1:7">
      <c r="A924" s="3">
        <v>20</v>
      </c>
      <c r="B924" s="3">
        <v>10</v>
      </c>
      <c r="C924" s="3">
        <v>1</v>
      </c>
      <c r="D924" s="3">
        <v>48</v>
      </c>
      <c r="E924" s="3">
        <v>1</v>
      </c>
      <c r="F924" s="4" t="str">
        <f>HYPERLINK("http://141.218.60.56/~jnz1568/getInfo.php?workbook=20_10.xlsx&amp;sheet=U0&amp;row=924&amp;col=6&amp;number=3&amp;sourceID=14","3")</f>
        <v>3</v>
      </c>
      <c r="G924" s="4" t="str">
        <f>HYPERLINK("http://141.218.60.56/~jnz1568/getInfo.php?workbook=20_10.xlsx&amp;sheet=U0&amp;row=924&amp;col=7&amp;number=0.00165&amp;sourceID=14","0.00165")</f>
        <v>0.00165</v>
      </c>
    </row>
    <row r="925" spans="1:7">
      <c r="A925" s="3"/>
      <c r="B925" s="3"/>
      <c r="C925" s="3"/>
      <c r="D925" s="3"/>
      <c r="E925" s="3">
        <v>2</v>
      </c>
      <c r="F925" s="4" t="str">
        <f>HYPERLINK("http://141.218.60.56/~jnz1568/getInfo.php?workbook=20_10.xlsx&amp;sheet=U0&amp;row=925&amp;col=6&amp;number=3.1&amp;sourceID=14","3.1")</f>
        <v>3.1</v>
      </c>
      <c r="G925" s="4" t="str">
        <f>HYPERLINK("http://141.218.60.56/~jnz1568/getInfo.php?workbook=20_10.xlsx&amp;sheet=U0&amp;row=925&amp;col=7&amp;number=0.00165&amp;sourceID=14","0.00165")</f>
        <v>0.00165</v>
      </c>
    </row>
    <row r="926" spans="1:7">
      <c r="A926" s="3"/>
      <c r="B926" s="3"/>
      <c r="C926" s="3"/>
      <c r="D926" s="3"/>
      <c r="E926" s="3">
        <v>3</v>
      </c>
      <c r="F926" s="4" t="str">
        <f>HYPERLINK("http://141.218.60.56/~jnz1568/getInfo.php?workbook=20_10.xlsx&amp;sheet=U0&amp;row=926&amp;col=6&amp;number=3.2&amp;sourceID=14","3.2")</f>
        <v>3.2</v>
      </c>
      <c r="G926" s="4" t="str">
        <f>HYPERLINK("http://141.218.60.56/~jnz1568/getInfo.php?workbook=20_10.xlsx&amp;sheet=U0&amp;row=926&amp;col=7&amp;number=0.00165&amp;sourceID=14","0.00165")</f>
        <v>0.00165</v>
      </c>
    </row>
    <row r="927" spans="1:7">
      <c r="A927" s="3"/>
      <c r="B927" s="3"/>
      <c r="C927" s="3"/>
      <c r="D927" s="3"/>
      <c r="E927" s="3">
        <v>4</v>
      </c>
      <c r="F927" s="4" t="str">
        <f>HYPERLINK("http://141.218.60.56/~jnz1568/getInfo.php?workbook=20_10.xlsx&amp;sheet=U0&amp;row=927&amp;col=6&amp;number=3.3&amp;sourceID=14","3.3")</f>
        <v>3.3</v>
      </c>
      <c r="G927" s="4" t="str">
        <f>HYPERLINK("http://141.218.60.56/~jnz1568/getInfo.php?workbook=20_10.xlsx&amp;sheet=U0&amp;row=927&amp;col=7&amp;number=0.00165&amp;sourceID=14","0.00165")</f>
        <v>0.00165</v>
      </c>
    </row>
    <row r="928" spans="1:7">
      <c r="A928" s="3"/>
      <c r="B928" s="3"/>
      <c r="C928" s="3"/>
      <c r="D928" s="3"/>
      <c r="E928" s="3">
        <v>5</v>
      </c>
      <c r="F928" s="4" t="str">
        <f>HYPERLINK("http://141.218.60.56/~jnz1568/getInfo.php?workbook=20_10.xlsx&amp;sheet=U0&amp;row=928&amp;col=6&amp;number=3.4&amp;sourceID=14","3.4")</f>
        <v>3.4</v>
      </c>
      <c r="G928" s="4" t="str">
        <f>HYPERLINK("http://141.218.60.56/~jnz1568/getInfo.php?workbook=20_10.xlsx&amp;sheet=U0&amp;row=928&amp;col=7&amp;number=0.00165&amp;sourceID=14","0.00165")</f>
        <v>0.00165</v>
      </c>
    </row>
    <row r="929" spans="1:7">
      <c r="A929" s="3"/>
      <c r="B929" s="3"/>
      <c r="C929" s="3"/>
      <c r="D929" s="3"/>
      <c r="E929" s="3">
        <v>6</v>
      </c>
      <c r="F929" s="4" t="str">
        <f>HYPERLINK("http://141.218.60.56/~jnz1568/getInfo.php?workbook=20_10.xlsx&amp;sheet=U0&amp;row=929&amp;col=6&amp;number=3.5&amp;sourceID=14","3.5")</f>
        <v>3.5</v>
      </c>
      <c r="G929" s="4" t="str">
        <f>HYPERLINK("http://141.218.60.56/~jnz1568/getInfo.php?workbook=20_10.xlsx&amp;sheet=U0&amp;row=929&amp;col=7&amp;number=0.00165&amp;sourceID=14","0.00165")</f>
        <v>0.00165</v>
      </c>
    </row>
    <row r="930" spans="1:7">
      <c r="A930" s="3"/>
      <c r="B930" s="3"/>
      <c r="C930" s="3"/>
      <c r="D930" s="3"/>
      <c r="E930" s="3">
        <v>7</v>
      </c>
      <c r="F930" s="4" t="str">
        <f>HYPERLINK("http://141.218.60.56/~jnz1568/getInfo.php?workbook=20_10.xlsx&amp;sheet=U0&amp;row=930&amp;col=6&amp;number=3.6&amp;sourceID=14","3.6")</f>
        <v>3.6</v>
      </c>
      <c r="G930" s="4" t="str">
        <f>HYPERLINK("http://141.218.60.56/~jnz1568/getInfo.php?workbook=20_10.xlsx&amp;sheet=U0&amp;row=930&amp;col=7&amp;number=0.00165&amp;sourceID=14","0.00165")</f>
        <v>0.00165</v>
      </c>
    </row>
    <row r="931" spans="1:7">
      <c r="A931" s="3"/>
      <c r="B931" s="3"/>
      <c r="C931" s="3"/>
      <c r="D931" s="3"/>
      <c r="E931" s="3">
        <v>8</v>
      </c>
      <c r="F931" s="4" t="str">
        <f>HYPERLINK("http://141.218.60.56/~jnz1568/getInfo.php?workbook=20_10.xlsx&amp;sheet=U0&amp;row=931&amp;col=6&amp;number=3.7&amp;sourceID=14","3.7")</f>
        <v>3.7</v>
      </c>
      <c r="G931" s="4" t="str">
        <f>HYPERLINK("http://141.218.60.56/~jnz1568/getInfo.php?workbook=20_10.xlsx&amp;sheet=U0&amp;row=931&amp;col=7&amp;number=0.00165&amp;sourceID=14","0.00165")</f>
        <v>0.00165</v>
      </c>
    </row>
    <row r="932" spans="1:7">
      <c r="A932" s="3"/>
      <c r="B932" s="3"/>
      <c r="C932" s="3"/>
      <c r="D932" s="3"/>
      <c r="E932" s="3">
        <v>9</v>
      </c>
      <c r="F932" s="4" t="str">
        <f>HYPERLINK("http://141.218.60.56/~jnz1568/getInfo.php?workbook=20_10.xlsx&amp;sheet=U0&amp;row=932&amp;col=6&amp;number=3.8&amp;sourceID=14","3.8")</f>
        <v>3.8</v>
      </c>
      <c r="G932" s="4" t="str">
        <f>HYPERLINK("http://141.218.60.56/~jnz1568/getInfo.php?workbook=20_10.xlsx&amp;sheet=U0&amp;row=932&amp;col=7&amp;number=0.00165&amp;sourceID=14","0.00165")</f>
        <v>0.00165</v>
      </c>
    </row>
    <row r="933" spans="1:7">
      <c r="A933" s="3"/>
      <c r="B933" s="3"/>
      <c r="C933" s="3"/>
      <c r="D933" s="3"/>
      <c r="E933" s="3">
        <v>10</v>
      </c>
      <c r="F933" s="4" t="str">
        <f>HYPERLINK("http://141.218.60.56/~jnz1568/getInfo.php?workbook=20_10.xlsx&amp;sheet=U0&amp;row=933&amp;col=6&amp;number=3.9&amp;sourceID=14","3.9")</f>
        <v>3.9</v>
      </c>
      <c r="G933" s="4" t="str">
        <f>HYPERLINK("http://141.218.60.56/~jnz1568/getInfo.php?workbook=20_10.xlsx&amp;sheet=U0&amp;row=933&amp;col=7&amp;number=0.00165&amp;sourceID=14","0.00165")</f>
        <v>0.00165</v>
      </c>
    </row>
    <row r="934" spans="1:7">
      <c r="A934" s="3"/>
      <c r="B934" s="3"/>
      <c r="C934" s="3"/>
      <c r="D934" s="3"/>
      <c r="E934" s="3">
        <v>11</v>
      </c>
      <c r="F934" s="4" t="str">
        <f>HYPERLINK("http://141.218.60.56/~jnz1568/getInfo.php?workbook=20_10.xlsx&amp;sheet=U0&amp;row=934&amp;col=6&amp;number=4&amp;sourceID=14","4")</f>
        <v>4</v>
      </c>
      <c r="G934" s="4" t="str">
        <f>HYPERLINK("http://141.218.60.56/~jnz1568/getInfo.php?workbook=20_10.xlsx&amp;sheet=U0&amp;row=934&amp;col=7&amp;number=0.00165&amp;sourceID=14","0.00165")</f>
        <v>0.00165</v>
      </c>
    </row>
    <row r="935" spans="1:7">
      <c r="A935" s="3"/>
      <c r="B935" s="3"/>
      <c r="C935" s="3"/>
      <c r="D935" s="3"/>
      <c r="E935" s="3">
        <v>12</v>
      </c>
      <c r="F935" s="4" t="str">
        <f>HYPERLINK("http://141.218.60.56/~jnz1568/getInfo.php?workbook=20_10.xlsx&amp;sheet=U0&amp;row=935&amp;col=6&amp;number=4.1&amp;sourceID=14","4.1")</f>
        <v>4.1</v>
      </c>
      <c r="G935" s="4" t="str">
        <f>HYPERLINK("http://141.218.60.56/~jnz1568/getInfo.php?workbook=20_10.xlsx&amp;sheet=U0&amp;row=935&amp;col=7&amp;number=0.00165&amp;sourceID=14","0.00165")</f>
        <v>0.00165</v>
      </c>
    </row>
    <row r="936" spans="1:7">
      <c r="A936" s="3"/>
      <c r="B936" s="3"/>
      <c r="C936" s="3"/>
      <c r="D936" s="3"/>
      <c r="E936" s="3">
        <v>13</v>
      </c>
      <c r="F936" s="4" t="str">
        <f>HYPERLINK("http://141.218.60.56/~jnz1568/getInfo.php?workbook=20_10.xlsx&amp;sheet=U0&amp;row=936&amp;col=6&amp;number=4.2&amp;sourceID=14","4.2")</f>
        <v>4.2</v>
      </c>
      <c r="G936" s="4" t="str">
        <f>HYPERLINK("http://141.218.60.56/~jnz1568/getInfo.php?workbook=20_10.xlsx&amp;sheet=U0&amp;row=936&amp;col=7&amp;number=0.00165&amp;sourceID=14","0.00165")</f>
        <v>0.00165</v>
      </c>
    </row>
    <row r="937" spans="1:7">
      <c r="A937" s="3"/>
      <c r="B937" s="3"/>
      <c r="C937" s="3"/>
      <c r="D937" s="3"/>
      <c r="E937" s="3">
        <v>14</v>
      </c>
      <c r="F937" s="4" t="str">
        <f>HYPERLINK("http://141.218.60.56/~jnz1568/getInfo.php?workbook=20_10.xlsx&amp;sheet=U0&amp;row=937&amp;col=6&amp;number=4.3&amp;sourceID=14","4.3")</f>
        <v>4.3</v>
      </c>
      <c r="G937" s="4" t="str">
        <f>HYPERLINK("http://141.218.60.56/~jnz1568/getInfo.php?workbook=20_10.xlsx&amp;sheet=U0&amp;row=937&amp;col=7&amp;number=0.00164&amp;sourceID=14","0.00164")</f>
        <v>0.00164</v>
      </c>
    </row>
    <row r="938" spans="1:7">
      <c r="A938" s="3"/>
      <c r="B938" s="3"/>
      <c r="C938" s="3"/>
      <c r="D938" s="3"/>
      <c r="E938" s="3">
        <v>15</v>
      </c>
      <c r="F938" s="4" t="str">
        <f>HYPERLINK("http://141.218.60.56/~jnz1568/getInfo.php?workbook=20_10.xlsx&amp;sheet=U0&amp;row=938&amp;col=6&amp;number=4.4&amp;sourceID=14","4.4")</f>
        <v>4.4</v>
      </c>
      <c r="G938" s="4" t="str">
        <f>HYPERLINK("http://141.218.60.56/~jnz1568/getInfo.php?workbook=20_10.xlsx&amp;sheet=U0&amp;row=938&amp;col=7&amp;number=0.00164&amp;sourceID=14","0.00164")</f>
        <v>0.00164</v>
      </c>
    </row>
    <row r="939" spans="1:7">
      <c r="A939" s="3"/>
      <c r="B939" s="3"/>
      <c r="C939" s="3"/>
      <c r="D939" s="3"/>
      <c r="E939" s="3">
        <v>16</v>
      </c>
      <c r="F939" s="4" t="str">
        <f>HYPERLINK("http://141.218.60.56/~jnz1568/getInfo.php?workbook=20_10.xlsx&amp;sheet=U0&amp;row=939&amp;col=6&amp;number=4.5&amp;sourceID=14","4.5")</f>
        <v>4.5</v>
      </c>
      <c r="G939" s="4" t="str">
        <f>HYPERLINK("http://141.218.60.56/~jnz1568/getInfo.php?workbook=20_10.xlsx&amp;sheet=U0&amp;row=939&amp;col=7&amp;number=0.00164&amp;sourceID=14","0.00164")</f>
        <v>0.00164</v>
      </c>
    </row>
    <row r="940" spans="1:7">
      <c r="A940" s="3"/>
      <c r="B940" s="3"/>
      <c r="C940" s="3"/>
      <c r="D940" s="3"/>
      <c r="E940" s="3">
        <v>17</v>
      </c>
      <c r="F940" s="4" t="str">
        <f>HYPERLINK("http://141.218.60.56/~jnz1568/getInfo.php?workbook=20_10.xlsx&amp;sheet=U0&amp;row=940&amp;col=6&amp;number=4.6&amp;sourceID=14","4.6")</f>
        <v>4.6</v>
      </c>
      <c r="G940" s="4" t="str">
        <f>HYPERLINK("http://141.218.60.56/~jnz1568/getInfo.php?workbook=20_10.xlsx&amp;sheet=U0&amp;row=940&amp;col=7&amp;number=0.00164&amp;sourceID=14","0.00164")</f>
        <v>0.00164</v>
      </c>
    </row>
    <row r="941" spans="1:7">
      <c r="A941" s="3"/>
      <c r="B941" s="3"/>
      <c r="C941" s="3"/>
      <c r="D941" s="3"/>
      <c r="E941" s="3">
        <v>18</v>
      </c>
      <c r="F941" s="4" t="str">
        <f>HYPERLINK("http://141.218.60.56/~jnz1568/getInfo.php?workbook=20_10.xlsx&amp;sheet=U0&amp;row=941&amp;col=6&amp;number=4.7&amp;sourceID=14","4.7")</f>
        <v>4.7</v>
      </c>
      <c r="G941" s="4" t="str">
        <f>HYPERLINK("http://141.218.60.56/~jnz1568/getInfo.php?workbook=20_10.xlsx&amp;sheet=U0&amp;row=941&amp;col=7&amp;number=0.00163&amp;sourceID=14","0.00163")</f>
        <v>0.00163</v>
      </c>
    </row>
    <row r="942" spans="1:7">
      <c r="A942" s="3"/>
      <c r="B942" s="3"/>
      <c r="C942" s="3"/>
      <c r="D942" s="3"/>
      <c r="E942" s="3">
        <v>19</v>
      </c>
      <c r="F942" s="4" t="str">
        <f>HYPERLINK("http://141.218.60.56/~jnz1568/getInfo.php?workbook=20_10.xlsx&amp;sheet=U0&amp;row=942&amp;col=6&amp;number=4.8&amp;sourceID=14","4.8")</f>
        <v>4.8</v>
      </c>
      <c r="G942" s="4" t="str">
        <f>HYPERLINK("http://141.218.60.56/~jnz1568/getInfo.php?workbook=20_10.xlsx&amp;sheet=U0&amp;row=942&amp;col=7&amp;number=0.00163&amp;sourceID=14","0.00163")</f>
        <v>0.00163</v>
      </c>
    </row>
    <row r="943" spans="1:7">
      <c r="A943" s="3"/>
      <c r="B943" s="3"/>
      <c r="C943" s="3"/>
      <c r="D943" s="3"/>
      <c r="E943" s="3">
        <v>20</v>
      </c>
      <c r="F943" s="4" t="str">
        <f>HYPERLINK("http://141.218.60.56/~jnz1568/getInfo.php?workbook=20_10.xlsx&amp;sheet=U0&amp;row=943&amp;col=6&amp;number=4.9&amp;sourceID=14","4.9")</f>
        <v>4.9</v>
      </c>
      <c r="G943" s="4" t="str">
        <f>HYPERLINK("http://141.218.60.56/~jnz1568/getInfo.php?workbook=20_10.xlsx&amp;sheet=U0&amp;row=943&amp;col=7&amp;number=0.00162&amp;sourceID=14","0.00162")</f>
        <v>0.00162</v>
      </c>
    </row>
    <row r="944" spans="1:7">
      <c r="A944" s="3">
        <v>20</v>
      </c>
      <c r="B944" s="3">
        <v>10</v>
      </c>
      <c r="C944" s="3">
        <v>1</v>
      </c>
      <c r="D944" s="3">
        <v>49</v>
      </c>
      <c r="E944" s="3">
        <v>1</v>
      </c>
      <c r="F944" s="4" t="str">
        <f>HYPERLINK("http://141.218.60.56/~jnz1568/getInfo.php?workbook=20_10.xlsx&amp;sheet=U0&amp;row=944&amp;col=6&amp;number=3&amp;sourceID=14","3")</f>
        <v>3</v>
      </c>
      <c r="G944" s="4" t="str">
        <f>HYPERLINK("http://141.218.60.56/~jnz1568/getInfo.php?workbook=20_10.xlsx&amp;sheet=U0&amp;row=944&amp;col=7&amp;number=0.0048&amp;sourceID=14","0.0048")</f>
        <v>0.0048</v>
      </c>
    </row>
    <row r="945" spans="1:7">
      <c r="A945" s="3"/>
      <c r="B945" s="3"/>
      <c r="C945" s="3"/>
      <c r="D945" s="3"/>
      <c r="E945" s="3">
        <v>2</v>
      </c>
      <c r="F945" s="4" t="str">
        <f>HYPERLINK("http://141.218.60.56/~jnz1568/getInfo.php?workbook=20_10.xlsx&amp;sheet=U0&amp;row=945&amp;col=6&amp;number=3.1&amp;sourceID=14","3.1")</f>
        <v>3.1</v>
      </c>
      <c r="G945" s="4" t="str">
        <f>HYPERLINK("http://141.218.60.56/~jnz1568/getInfo.php?workbook=20_10.xlsx&amp;sheet=U0&amp;row=945&amp;col=7&amp;number=0.0048&amp;sourceID=14","0.0048")</f>
        <v>0.0048</v>
      </c>
    </row>
    <row r="946" spans="1:7">
      <c r="A946" s="3"/>
      <c r="B946" s="3"/>
      <c r="C946" s="3"/>
      <c r="D946" s="3"/>
      <c r="E946" s="3">
        <v>3</v>
      </c>
      <c r="F946" s="4" t="str">
        <f>HYPERLINK("http://141.218.60.56/~jnz1568/getInfo.php?workbook=20_10.xlsx&amp;sheet=U0&amp;row=946&amp;col=6&amp;number=3.2&amp;sourceID=14","3.2")</f>
        <v>3.2</v>
      </c>
      <c r="G946" s="4" t="str">
        <f>HYPERLINK("http://141.218.60.56/~jnz1568/getInfo.php?workbook=20_10.xlsx&amp;sheet=U0&amp;row=946&amp;col=7&amp;number=0.0048&amp;sourceID=14","0.0048")</f>
        <v>0.0048</v>
      </c>
    </row>
    <row r="947" spans="1:7">
      <c r="A947" s="3"/>
      <c r="B947" s="3"/>
      <c r="C947" s="3"/>
      <c r="D947" s="3"/>
      <c r="E947" s="3">
        <v>4</v>
      </c>
      <c r="F947" s="4" t="str">
        <f>HYPERLINK("http://141.218.60.56/~jnz1568/getInfo.php?workbook=20_10.xlsx&amp;sheet=U0&amp;row=947&amp;col=6&amp;number=3.3&amp;sourceID=14","3.3")</f>
        <v>3.3</v>
      </c>
      <c r="G947" s="4" t="str">
        <f>HYPERLINK("http://141.218.60.56/~jnz1568/getInfo.php?workbook=20_10.xlsx&amp;sheet=U0&amp;row=947&amp;col=7&amp;number=0.0048&amp;sourceID=14","0.0048")</f>
        <v>0.0048</v>
      </c>
    </row>
    <row r="948" spans="1:7">
      <c r="A948" s="3"/>
      <c r="B948" s="3"/>
      <c r="C948" s="3"/>
      <c r="D948" s="3"/>
      <c r="E948" s="3">
        <v>5</v>
      </c>
      <c r="F948" s="4" t="str">
        <f>HYPERLINK("http://141.218.60.56/~jnz1568/getInfo.php?workbook=20_10.xlsx&amp;sheet=U0&amp;row=948&amp;col=6&amp;number=3.4&amp;sourceID=14","3.4")</f>
        <v>3.4</v>
      </c>
      <c r="G948" s="4" t="str">
        <f>HYPERLINK("http://141.218.60.56/~jnz1568/getInfo.php?workbook=20_10.xlsx&amp;sheet=U0&amp;row=948&amp;col=7&amp;number=0.0048&amp;sourceID=14","0.0048")</f>
        <v>0.0048</v>
      </c>
    </row>
    <row r="949" spans="1:7">
      <c r="A949" s="3"/>
      <c r="B949" s="3"/>
      <c r="C949" s="3"/>
      <c r="D949" s="3"/>
      <c r="E949" s="3">
        <v>6</v>
      </c>
      <c r="F949" s="4" t="str">
        <f>HYPERLINK("http://141.218.60.56/~jnz1568/getInfo.php?workbook=20_10.xlsx&amp;sheet=U0&amp;row=949&amp;col=6&amp;number=3.5&amp;sourceID=14","3.5")</f>
        <v>3.5</v>
      </c>
      <c r="G949" s="4" t="str">
        <f>HYPERLINK("http://141.218.60.56/~jnz1568/getInfo.php?workbook=20_10.xlsx&amp;sheet=U0&amp;row=949&amp;col=7&amp;number=0.0048&amp;sourceID=14","0.0048")</f>
        <v>0.0048</v>
      </c>
    </row>
    <row r="950" spans="1:7">
      <c r="A950" s="3"/>
      <c r="B950" s="3"/>
      <c r="C950" s="3"/>
      <c r="D950" s="3"/>
      <c r="E950" s="3">
        <v>7</v>
      </c>
      <c r="F950" s="4" t="str">
        <f>HYPERLINK("http://141.218.60.56/~jnz1568/getInfo.php?workbook=20_10.xlsx&amp;sheet=U0&amp;row=950&amp;col=6&amp;number=3.6&amp;sourceID=14","3.6")</f>
        <v>3.6</v>
      </c>
      <c r="G950" s="4" t="str">
        <f>HYPERLINK("http://141.218.60.56/~jnz1568/getInfo.php?workbook=20_10.xlsx&amp;sheet=U0&amp;row=950&amp;col=7&amp;number=0.0048&amp;sourceID=14","0.0048")</f>
        <v>0.0048</v>
      </c>
    </row>
    <row r="951" spans="1:7">
      <c r="A951" s="3"/>
      <c r="B951" s="3"/>
      <c r="C951" s="3"/>
      <c r="D951" s="3"/>
      <c r="E951" s="3">
        <v>8</v>
      </c>
      <c r="F951" s="4" t="str">
        <f>HYPERLINK("http://141.218.60.56/~jnz1568/getInfo.php?workbook=20_10.xlsx&amp;sheet=U0&amp;row=951&amp;col=6&amp;number=3.7&amp;sourceID=14","3.7")</f>
        <v>3.7</v>
      </c>
      <c r="G951" s="4" t="str">
        <f>HYPERLINK("http://141.218.60.56/~jnz1568/getInfo.php?workbook=20_10.xlsx&amp;sheet=U0&amp;row=951&amp;col=7&amp;number=0.00479&amp;sourceID=14","0.00479")</f>
        <v>0.00479</v>
      </c>
    </row>
    <row r="952" spans="1:7">
      <c r="A952" s="3"/>
      <c r="B952" s="3"/>
      <c r="C952" s="3"/>
      <c r="D952" s="3"/>
      <c r="E952" s="3">
        <v>9</v>
      </c>
      <c r="F952" s="4" t="str">
        <f>HYPERLINK("http://141.218.60.56/~jnz1568/getInfo.php?workbook=20_10.xlsx&amp;sheet=U0&amp;row=952&amp;col=6&amp;number=3.8&amp;sourceID=14","3.8")</f>
        <v>3.8</v>
      </c>
      <c r="G952" s="4" t="str">
        <f>HYPERLINK("http://141.218.60.56/~jnz1568/getInfo.php?workbook=20_10.xlsx&amp;sheet=U0&amp;row=952&amp;col=7&amp;number=0.00479&amp;sourceID=14","0.00479")</f>
        <v>0.00479</v>
      </c>
    </row>
    <row r="953" spans="1:7">
      <c r="A953" s="3"/>
      <c r="B953" s="3"/>
      <c r="C953" s="3"/>
      <c r="D953" s="3"/>
      <c r="E953" s="3">
        <v>10</v>
      </c>
      <c r="F953" s="4" t="str">
        <f>HYPERLINK("http://141.218.60.56/~jnz1568/getInfo.php?workbook=20_10.xlsx&amp;sheet=U0&amp;row=953&amp;col=6&amp;number=3.9&amp;sourceID=14","3.9")</f>
        <v>3.9</v>
      </c>
      <c r="G953" s="4" t="str">
        <f>HYPERLINK("http://141.218.60.56/~jnz1568/getInfo.php?workbook=20_10.xlsx&amp;sheet=U0&amp;row=953&amp;col=7&amp;number=0.00479&amp;sourceID=14","0.00479")</f>
        <v>0.00479</v>
      </c>
    </row>
    <row r="954" spans="1:7">
      <c r="A954" s="3"/>
      <c r="B954" s="3"/>
      <c r="C954" s="3"/>
      <c r="D954" s="3"/>
      <c r="E954" s="3">
        <v>11</v>
      </c>
      <c r="F954" s="4" t="str">
        <f>HYPERLINK("http://141.218.60.56/~jnz1568/getInfo.php?workbook=20_10.xlsx&amp;sheet=U0&amp;row=954&amp;col=6&amp;number=4&amp;sourceID=14","4")</f>
        <v>4</v>
      </c>
      <c r="G954" s="4" t="str">
        <f>HYPERLINK("http://141.218.60.56/~jnz1568/getInfo.php?workbook=20_10.xlsx&amp;sheet=U0&amp;row=954&amp;col=7&amp;number=0.00479&amp;sourceID=14","0.00479")</f>
        <v>0.00479</v>
      </c>
    </row>
    <row r="955" spans="1:7">
      <c r="A955" s="3"/>
      <c r="B955" s="3"/>
      <c r="C955" s="3"/>
      <c r="D955" s="3"/>
      <c r="E955" s="3">
        <v>12</v>
      </c>
      <c r="F955" s="4" t="str">
        <f>HYPERLINK("http://141.218.60.56/~jnz1568/getInfo.php?workbook=20_10.xlsx&amp;sheet=U0&amp;row=955&amp;col=6&amp;number=4.1&amp;sourceID=14","4.1")</f>
        <v>4.1</v>
      </c>
      <c r="G955" s="4" t="str">
        <f>HYPERLINK("http://141.218.60.56/~jnz1568/getInfo.php?workbook=20_10.xlsx&amp;sheet=U0&amp;row=955&amp;col=7&amp;number=0.00479&amp;sourceID=14","0.00479")</f>
        <v>0.00479</v>
      </c>
    </row>
    <row r="956" spans="1:7">
      <c r="A956" s="3"/>
      <c r="B956" s="3"/>
      <c r="C956" s="3"/>
      <c r="D956" s="3"/>
      <c r="E956" s="3">
        <v>13</v>
      </c>
      <c r="F956" s="4" t="str">
        <f>HYPERLINK("http://141.218.60.56/~jnz1568/getInfo.php?workbook=20_10.xlsx&amp;sheet=U0&amp;row=956&amp;col=6&amp;number=4.2&amp;sourceID=14","4.2")</f>
        <v>4.2</v>
      </c>
      <c r="G956" s="4" t="str">
        <f>HYPERLINK("http://141.218.60.56/~jnz1568/getInfo.php?workbook=20_10.xlsx&amp;sheet=U0&amp;row=956&amp;col=7&amp;number=0.00478&amp;sourceID=14","0.00478")</f>
        <v>0.00478</v>
      </c>
    </row>
    <row r="957" spans="1:7">
      <c r="A957" s="3"/>
      <c r="B957" s="3"/>
      <c r="C957" s="3"/>
      <c r="D957" s="3"/>
      <c r="E957" s="3">
        <v>14</v>
      </c>
      <c r="F957" s="4" t="str">
        <f>HYPERLINK("http://141.218.60.56/~jnz1568/getInfo.php?workbook=20_10.xlsx&amp;sheet=U0&amp;row=957&amp;col=6&amp;number=4.3&amp;sourceID=14","4.3")</f>
        <v>4.3</v>
      </c>
      <c r="G957" s="4" t="str">
        <f>HYPERLINK("http://141.218.60.56/~jnz1568/getInfo.php?workbook=20_10.xlsx&amp;sheet=U0&amp;row=957&amp;col=7&amp;number=0.00478&amp;sourceID=14","0.00478")</f>
        <v>0.00478</v>
      </c>
    </row>
    <row r="958" spans="1:7">
      <c r="A958" s="3"/>
      <c r="B958" s="3"/>
      <c r="C958" s="3"/>
      <c r="D958" s="3"/>
      <c r="E958" s="3">
        <v>15</v>
      </c>
      <c r="F958" s="4" t="str">
        <f>HYPERLINK("http://141.218.60.56/~jnz1568/getInfo.php?workbook=20_10.xlsx&amp;sheet=U0&amp;row=958&amp;col=6&amp;number=4.4&amp;sourceID=14","4.4")</f>
        <v>4.4</v>
      </c>
      <c r="G958" s="4" t="str">
        <f>HYPERLINK("http://141.218.60.56/~jnz1568/getInfo.php?workbook=20_10.xlsx&amp;sheet=U0&amp;row=958&amp;col=7&amp;number=0.00477&amp;sourceID=14","0.00477")</f>
        <v>0.00477</v>
      </c>
    </row>
    <row r="959" spans="1:7">
      <c r="A959" s="3"/>
      <c r="B959" s="3"/>
      <c r="C959" s="3"/>
      <c r="D959" s="3"/>
      <c r="E959" s="3">
        <v>16</v>
      </c>
      <c r="F959" s="4" t="str">
        <f>HYPERLINK("http://141.218.60.56/~jnz1568/getInfo.php?workbook=20_10.xlsx&amp;sheet=U0&amp;row=959&amp;col=6&amp;number=4.5&amp;sourceID=14","4.5")</f>
        <v>4.5</v>
      </c>
      <c r="G959" s="4" t="str">
        <f>HYPERLINK("http://141.218.60.56/~jnz1568/getInfo.php?workbook=20_10.xlsx&amp;sheet=U0&amp;row=959&amp;col=7&amp;number=0.00477&amp;sourceID=14","0.00477")</f>
        <v>0.00477</v>
      </c>
    </row>
    <row r="960" spans="1:7">
      <c r="A960" s="3"/>
      <c r="B960" s="3"/>
      <c r="C960" s="3"/>
      <c r="D960" s="3"/>
      <c r="E960" s="3">
        <v>17</v>
      </c>
      <c r="F960" s="4" t="str">
        <f>HYPERLINK("http://141.218.60.56/~jnz1568/getInfo.php?workbook=20_10.xlsx&amp;sheet=U0&amp;row=960&amp;col=6&amp;number=4.6&amp;sourceID=14","4.6")</f>
        <v>4.6</v>
      </c>
      <c r="G960" s="4" t="str">
        <f>HYPERLINK("http://141.218.60.56/~jnz1568/getInfo.php?workbook=20_10.xlsx&amp;sheet=U0&amp;row=960&amp;col=7&amp;number=0.00476&amp;sourceID=14","0.00476")</f>
        <v>0.00476</v>
      </c>
    </row>
    <row r="961" spans="1:7">
      <c r="A961" s="3"/>
      <c r="B961" s="3"/>
      <c r="C961" s="3"/>
      <c r="D961" s="3"/>
      <c r="E961" s="3">
        <v>18</v>
      </c>
      <c r="F961" s="4" t="str">
        <f>HYPERLINK("http://141.218.60.56/~jnz1568/getInfo.php?workbook=20_10.xlsx&amp;sheet=U0&amp;row=961&amp;col=6&amp;number=4.7&amp;sourceID=14","4.7")</f>
        <v>4.7</v>
      </c>
      <c r="G961" s="4" t="str">
        <f>HYPERLINK("http://141.218.60.56/~jnz1568/getInfo.php?workbook=20_10.xlsx&amp;sheet=U0&amp;row=961&amp;col=7&amp;number=0.00475&amp;sourceID=14","0.00475")</f>
        <v>0.00475</v>
      </c>
    </row>
    <row r="962" spans="1:7">
      <c r="A962" s="3"/>
      <c r="B962" s="3"/>
      <c r="C962" s="3"/>
      <c r="D962" s="3"/>
      <c r="E962" s="3">
        <v>19</v>
      </c>
      <c r="F962" s="4" t="str">
        <f>HYPERLINK("http://141.218.60.56/~jnz1568/getInfo.php?workbook=20_10.xlsx&amp;sheet=U0&amp;row=962&amp;col=6&amp;number=4.8&amp;sourceID=14","4.8")</f>
        <v>4.8</v>
      </c>
      <c r="G962" s="4" t="str">
        <f>HYPERLINK("http://141.218.60.56/~jnz1568/getInfo.php?workbook=20_10.xlsx&amp;sheet=U0&amp;row=962&amp;col=7&amp;number=0.00474&amp;sourceID=14","0.00474")</f>
        <v>0.00474</v>
      </c>
    </row>
    <row r="963" spans="1:7">
      <c r="A963" s="3"/>
      <c r="B963" s="3"/>
      <c r="C963" s="3"/>
      <c r="D963" s="3"/>
      <c r="E963" s="3">
        <v>20</v>
      </c>
      <c r="F963" s="4" t="str">
        <f>HYPERLINK("http://141.218.60.56/~jnz1568/getInfo.php?workbook=20_10.xlsx&amp;sheet=U0&amp;row=963&amp;col=6&amp;number=4.9&amp;sourceID=14","4.9")</f>
        <v>4.9</v>
      </c>
      <c r="G963" s="4" t="str">
        <f>HYPERLINK("http://141.218.60.56/~jnz1568/getInfo.php?workbook=20_10.xlsx&amp;sheet=U0&amp;row=963&amp;col=7&amp;number=0.00472&amp;sourceID=14","0.00472")</f>
        <v>0.00472</v>
      </c>
    </row>
    <row r="964" spans="1:7">
      <c r="A964" s="3">
        <v>20</v>
      </c>
      <c r="B964" s="3">
        <v>10</v>
      </c>
      <c r="C964" s="3">
        <v>1</v>
      </c>
      <c r="D964" s="3">
        <v>50</v>
      </c>
      <c r="E964" s="3">
        <v>1</v>
      </c>
      <c r="F964" s="4" t="str">
        <f>HYPERLINK("http://141.218.60.56/~jnz1568/getInfo.php?workbook=20_10.xlsx&amp;sheet=U0&amp;row=964&amp;col=6&amp;number=3&amp;sourceID=14","3")</f>
        <v>3</v>
      </c>
      <c r="G964" s="4" t="str">
        <f>HYPERLINK("http://141.218.60.56/~jnz1568/getInfo.php?workbook=20_10.xlsx&amp;sheet=U0&amp;row=964&amp;col=7&amp;number=0.00582&amp;sourceID=14","0.00582")</f>
        <v>0.00582</v>
      </c>
    </row>
    <row r="965" spans="1:7">
      <c r="A965" s="3"/>
      <c r="B965" s="3"/>
      <c r="C965" s="3"/>
      <c r="D965" s="3"/>
      <c r="E965" s="3">
        <v>2</v>
      </c>
      <c r="F965" s="4" t="str">
        <f>HYPERLINK("http://141.218.60.56/~jnz1568/getInfo.php?workbook=20_10.xlsx&amp;sheet=U0&amp;row=965&amp;col=6&amp;number=3.1&amp;sourceID=14","3.1")</f>
        <v>3.1</v>
      </c>
      <c r="G965" s="4" t="str">
        <f>HYPERLINK("http://141.218.60.56/~jnz1568/getInfo.php?workbook=20_10.xlsx&amp;sheet=U0&amp;row=965&amp;col=7&amp;number=0.00582&amp;sourceID=14","0.00582")</f>
        <v>0.00582</v>
      </c>
    </row>
    <row r="966" spans="1:7">
      <c r="A966" s="3"/>
      <c r="B966" s="3"/>
      <c r="C966" s="3"/>
      <c r="D966" s="3"/>
      <c r="E966" s="3">
        <v>3</v>
      </c>
      <c r="F966" s="4" t="str">
        <f>HYPERLINK("http://141.218.60.56/~jnz1568/getInfo.php?workbook=20_10.xlsx&amp;sheet=U0&amp;row=966&amp;col=6&amp;number=3.2&amp;sourceID=14","3.2")</f>
        <v>3.2</v>
      </c>
      <c r="G966" s="4" t="str">
        <f>HYPERLINK("http://141.218.60.56/~jnz1568/getInfo.php?workbook=20_10.xlsx&amp;sheet=U0&amp;row=966&amp;col=7&amp;number=0.00582&amp;sourceID=14","0.00582")</f>
        <v>0.00582</v>
      </c>
    </row>
    <row r="967" spans="1:7">
      <c r="A967" s="3"/>
      <c r="B967" s="3"/>
      <c r="C967" s="3"/>
      <c r="D967" s="3"/>
      <c r="E967" s="3">
        <v>4</v>
      </c>
      <c r="F967" s="4" t="str">
        <f>HYPERLINK("http://141.218.60.56/~jnz1568/getInfo.php?workbook=20_10.xlsx&amp;sheet=U0&amp;row=967&amp;col=6&amp;number=3.3&amp;sourceID=14","3.3")</f>
        <v>3.3</v>
      </c>
      <c r="G967" s="4" t="str">
        <f>HYPERLINK("http://141.218.60.56/~jnz1568/getInfo.php?workbook=20_10.xlsx&amp;sheet=U0&amp;row=967&amp;col=7&amp;number=0.00582&amp;sourceID=14","0.00582")</f>
        <v>0.00582</v>
      </c>
    </row>
    <row r="968" spans="1:7">
      <c r="A968" s="3"/>
      <c r="B968" s="3"/>
      <c r="C968" s="3"/>
      <c r="D968" s="3"/>
      <c r="E968" s="3">
        <v>5</v>
      </c>
      <c r="F968" s="4" t="str">
        <f>HYPERLINK("http://141.218.60.56/~jnz1568/getInfo.php?workbook=20_10.xlsx&amp;sheet=U0&amp;row=968&amp;col=6&amp;number=3.4&amp;sourceID=14","3.4")</f>
        <v>3.4</v>
      </c>
      <c r="G968" s="4" t="str">
        <f>HYPERLINK("http://141.218.60.56/~jnz1568/getInfo.php?workbook=20_10.xlsx&amp;sheet=U0&amp;row=968&amp;col=7&amp;number=0.00582&amp;sourceID=14","0.00582")</f>
        <v>0.00582</v>
      </c>
    </row>
    <row r="969" spans="1:7">
      <c r="A969" s="3"/>
      <c r="B969" s="3"/>
      <c r="C969" s="3"/>
      <c r="D969" s="3"/>
      <c r="E969" s="3">
        <v>6</v>
      </c>
      <c r="F969" s="4" t="str">
        <f>HYPERLINK("http://141.218.60.56/~jnz1568/getInfo.php?workbook=20_10.xlsx&amp;sheet=U0&amp;row=969&amp;col=6&amp;number=3.5&amp;sourceID=14","3.5")</f>
        <v>3.5</v>
      </c>
      <c r="G969" s="4" t="str">
        <f>HYPERLINK("http://141.218.60.56/~jnz1568/getInfo.php?workbook=20_10.xlsx&amp;sheet=U0&amp;row=969&amp;col=7&amp;number=0.00582&amp;sourceID=14","0.00582")</f>
        <v>0.00582</v>
      </c>
    </row>
    <row r="970" spans="1:7">
      <c r="A970" s="3"/>
      <c r="B970" s="3"/>
      <c r="C970" s="3"/>
      <c r="D970" s="3"/>
      <c r="E970" s="3">
        <v>7</v>
      </c>
      <c r="F970" s="4" t="str">
        <f>HYPERLINK("http://141.218.60.56/~jnz1568/getInfo.php?workbook=20_10.xlsx&amp;sheet=U0&amp;row=970&amp;col=6&amp;number=3.6&amp;sourceID=14","3.6")</f>
        <v>3.6</v>
      </c>
      <c r="G970" s="4" t="str">
        <f>HYPERLINK("http://141.218.60.56/~jnz1568/getInfo.php?workbook=20_10.xlsx&amp;sheet=U0&amp;row=970&amp;col=7&amp;number=0.00581&amp;sourceID=14","0.00581")</f>
        <v>0.00581</v>
      </c>
    </row>
    <row r="971" spans="1:7">
      <c r="A971" s="3"/>
      <c r="B971" s="3"/>
      <c r="C971" s="3"/>
      <c r="D971" s="3"/>
      <c r="E971" s="3">
        <v>8</v>
      </c>
      <c r="F971" s="4" t="str">
        <f>HYPERLINK("http://141.218.60.56/~jnz1568/getInfo.php?workbook=20_10.xlsx&amp;sheet=U0&amp;row=971&amp;col=6&amp;number=3.7&amp;sourceID=14","3.7")</f>
        <v>3.7</v>
      </c>
      <c r="G971" s="4" t="str">
        <f>HYPERLINK("http://141.218.60.56/~jnz1568/getInfo.php?workbook=20_10.xlsx&amp;sheet=U0&amp;row=971&amp;col=7&amp;number=0.00581&amp;sourceID=14","0.00581")</f>
        <v>0.00581</v>
      </c>
    </row>
    <row r="972" spans="1:7">
      <c r="A972" s="3"/>
      <c r="B972" s="3"/>
      <c r="C972" s="3"/>
      <c r="D972" s="3"/>
      <c r="E972" s="3">
        <v>9</v>
      </c>
      <c r="F972" s="4" t="str">
        <f>HYPERLINK("http://141.218.60.56/~jnz1568/getInfo.php?workbook=20_10.xlsx&amp;sheet=U0&amp;row=972&amp;col=6&amp;number=3.8&amp;sourceID=14","3.8")</f>
        <v>3.8</v>
      </c>
      <c r="G972" s="4" t="str">
        <f>HYPERLINK("http://141.218.60.56/~jnz1568/getInfo.php?workbook=20_10.xlsx&amp;sheet=U0&amp;row=972&amp;col=7&amp;number=0.00581&amp;sourceID=14","0.00581")</f>
        <v>0.00581</v>
      </c>
    </row>
    <row r="973" spans="1:7">
      <c r="A973" s="3"/>
      <c r="B973" s="3"/>
      <c r="C973" s="3"/>
      <c r="D973" s="3"/>
      <c r="E973" s="3">
        <v>10</v>
      </c>
      <c r="F973" s="4" t="str">
        <f>HYPERLINK("http://141.218.60.56/~jnz1568/getInfo.php?workbook=20_10.xlsx&amp;sheet=U0&amp;row=973&amp;col=6&amp;number=3.9&amp;sourceID=14","3.9")</f>
        <v>3.9</v>
      </c>
      <c r="G973" s="4" t="str">
        <f>HYPERLINK("http://141.218.60.56/~jnz1568/getInfo.php?workbook=20_10.xlsx&amp;sheet=U0&amp;row=973&amp;col=7&amp;number=0.00581&amp;sourceID=14","0.00581")</f>
        <v>0.00581</v>
      </c>
    </row>
    <row r="974" spans="1:7">
      <c r="A974" s="3"/>
      <c r="B974" s="3"/>
      <c r="C974" s="3"/>
      <c r="D974" s="3"/>
      <c r="E974" s="3">
        <v>11</v>
      </c>
      <c r="F974" s="4" t="str">
        <f>HYPERLINK("http://141.218.60.56/~jnz1568/getInfo.php?workbook=20_10.xlsx&amp;sheet=U0&amp;row=974&amp;col=6&amp;number=4&amp;sourceID=14","4")</f>
        <v>4</v>
      </c>
      <c r="G974" s="4" t="str">
        <f>HYPERLINK("http://141.218.60.56/~jnz1568/getInfo.php?workbook=20_10.xlsx&amp;sheet=U0&amp;row=974&amp;col=7&amp;number=0.00581&amp;sourceID=14","0.00581")</f>
        <v>0.00581</v>
      </c>
    </row>
    <row r="975" spans="1:7">
      <c r="A975" s="3"/>
      <c r="B975" s="3"/>
      <c r="C975" s="3"/>
      <c r="D975" s="3"/>
      <c r="E975" s="3">
        <v>12</v>
      </c>
      <c r="F975" s="4" t="str">
        <f>HYPERLINK("http://141.218.60.56/~jnz1568/getInfo.php?workbook=20_10.xlsx&amp;sheet=U0&amp;row=975&amp;col=6&amp;number=4.1&amp;sourceID=14","4.1")</f>
        <v>4.1</v>
      </c>
      <c r="G975" s="4" t="str">
        <f>HYPERLINK("http://141.218.60.56/~jnz1568/getInfo.php?workbook=20_10.xlsx&amp;sheet=U0&amp;row=975&amp;col=7&amp;number=0.0058&amp;sourceID=14","0.0058")</f>
        <v>0.0058</v>
      </c>
    </row>
    <row r="976" spans="1:7">
      <c r="A976" s="3"/>
      <c r="B976" s="3"/>
      <c r="C976" s="3"/>
      <c r="D976" s="3"/>
      <c r="E976" s="3">
        <v>13</v>
      </c>
      <c r="F976" s="4" t="str">
        <f>HYPERLINK("http://141.218.60.56/~jnz1568/getInfo.php?workbook=20_10.xlsx&amp;sheet=U0&amp;row=976&amp;col=6&amp;number=4.2&amp;sourceID=14","4.2")</f>
        <v>4.2</v>
      </c>
      <c r="G976" s="4" t="str">
        <f>HYPERLINK("http://141.218.60.56/~jnz1568/getInfo.php?workbook=20_10.xlsx&amp;sheet=U0&amp;row=976&amp;col=7&amp;number=0.0058&amp;sourceID=14","0.0058")</f>
        <v>0.0058</v>
      </c>
    </row>
    <row r="977" spans="1:7">
      <c r="A977" s="3"/>
      <c r="B977" s="3"/>
      <c r="C977" s="3"/>
      <c r="D977" s="3"/>
      <c r="E977" s="3">
        <v>14</v>
      </c>
      <c r="F977" s="4" t="str">
        <f>HYPERLINK("http://141.218.60.56/~jnz1568/getInfo.php?workbook=20_10.xlsx&amp;sheet=U0&amp;row=977&amp;col=6&amp;number=4.3&amp;sourceID=14","4.3")</f>
        <v>4.3</v>
      </c>
      <c r="G977" s="4" t="str">
        <f>HYPERLINK("http://141.218.60.56/~jnz1568/getInfo.php?workbook=20_10.xlsx&amp;sheet=U0&amp;row=977&amp;col=7&amp;number=0.00579&amp;sourceID=14","0.00579")</f>
        <v>0.00579</v>
      </c>
    </row>
    <row r="978" spans="1:7">
      <c r="A978" s="3"/>
      <c r="B978" s="3"/>
      <c r="C978" s="3"/>
      <c r="D978" s="3"/>
      <c r="E978" s="3">
        <v>15</v>
      </c>
      <c r="F978" s="4" t="str">
        <f>HYPERLINK("http://141.218.60.56/~jnz1568/getInfo.php?workbook=20_10.xlsx&amp;sheet=U0&amp;row=978&amp;col=6&amp;number=4.4&amp;sourceID=14","4.4")</f>
        <v>4.4</v>
      </c>
      <c r="G978" s="4" t="str">
        <f>HYPERLINK("http://141.218.60.56/~jnz1568/getInfo.php?workbook=20_10.xlsx&amp;sheet=U0&amp;row=978&amp;col=7&amp;number=0.00579&amp;sourceID=14","0.00579")</f>
        <v>0.00579</v>
      </c>
    </row>
    <row r="979" spans="1:7">
      <c r="A979" s="3"/>
      <c r="B979" s="3"/>
      <c r="C979" s="3"/>
      <c r="D979" s="3"/>
      <c r="E979" s="3">
        <v>16</v>
      </c>
      <c r="F979" s="4" t="str">
        <f>HYPERLINK("http://141.218.60.56/~jnz1568/getInfo.php?workbook=20_10.xlsx&amp;sheet=U0&amp;row=979&amp;col=6&amp;number=4.5&amp;sourceID=14","4.5")</f>
        <v>4.5</v>
      </c>
      <c r="G979" s="4" t="str">
        <f>HYPERLINK("http://141.218.60.56/~jnz1568/getInfo.php?workbook=20_10.xlsx&amp;sheet=U0&amp;row=979&amp;col=7&amp;number=0.00578&amp;sourceID=14","0.00578")</f>
        <v>0.00578</v>
      </c>
    </row>
    <row r="980" spans="1:7">
      <c r="A980" s="3"/>
      <c r="B980" s="3"/>
      <c r="C980" s="3"/>
      <c r="D980" s="3"/>
      <c r="E980" s="3">
        <v>17</v>
      </c>
      <c r="F980" s="4" t="str">
        <f>HYPERLINK("http://141.218.60.56/~jnz1568/getInfo.php?workbook=20_10.xlsx&amp;sheet=U0&amp;row=980&amp;col=6&amp;number=4.6&amp;sourceID=14","4.6")</f>
        <v>4.6</v>
      </c>
      <c r="G980" s="4" t="str">
        <f>HYPERLINK("http://141.218.60.56/~jnz1568/getInfo.php?workbook=20_10.xlsx&amp;sheet=U0&amp;row=980&amp;col=7&amp;number=0.00576&amp;sourceID=14","0.00576")</f>
        <v>0.00576</v>
      </c>
    </row>
    <row r="981" spans="1:7">
      <c r="A981" s="3"/>
      <c r="B981" s="3"/>
      <c r="C981" s="3"/>
      <c r="D981" s="3"/>
      <c r="E981" s="3">
        <v>18</v>
      </c>
      <c r="F981" s="4" t="str">
        <f>HYPERLINK("http://141.218.60.56/~jnz1568/getInfo.php?workbook=20_10.xlsx&amp;sheet=U0&amp;row=981&amp;col=6&amp;number=4.7&amp;sourceID=14","4.7")</f>
        <v>4.7</v>
      </c>
      <c r="G981" s="4" t="str">
        <f>HYPERLINK("http://141.218.60.56/~jnz1568/getInfo.php?workbook=20_10.xlsx&amp;sheet=U0&amp;row=981&amp;col=7&amp;number=0.00575&amp;sourceID=14","0.00575")</f>
        <v>0.00575</v>
      </c>
    </row>
    <row r="982" spans="1:7">
      <c r="A982" s="3"/>
      <c r="B982" s="3"/>
      <c r="C982" s="3"/>
      <c r="D982" s="3"/>
      <c r="E982" s="3">
        <v>19</v>
      </c>
      <c r="F982" s="4" t="str">
        <f>HYPERLINK("http://141.218.60.56/~jnz1568/getInfo.php?workbook=20_10.xlsx&amp;sheet=U0&amp;row=982&amp;col=6&amp;number=4.8&amp;sourceID=14","4.8")</f>
        <v>4.8</v>
      </c>
      <c r="G982" s="4" t="str">
        <f>HYPERLINK("http://141.218.60.56/~jnz1568/getInfo.php?workbook=20_10.xlsx&amp;sheet=U0&amp;row=982&amp;col=7&amp;number=0.00573&amp;sourceID=14","0.00573")</f>
        <v>0.00573</v>
      </c>
    </row>
    <row r="983" spans="1:7">
      <c r="A983" s="3"/>
      <c r="B983" s="3"/>
      <c r="C983" s="3"/>
      <c r="D983" s="3"/>
      <c r="E983" s="3">
        <v>20</v>
      </c>
      <c r="F983" s="4" t="str">
        <f>HYPERLINK("http://141.218.60.56/~jnz1568/getInfo.php?workbook=20_10.xlsx&amp;sheet=U0&amp;row=983&amp;col=6&amp;number=4.9&amp;sourceID=14","4.9")</f>
        <v>4.9</v>
      </c>
      <c r="G983" s="4" t="str">
        <f>HYPERLINK("http://141.218.60.56/~jnz1568/getInfo.php?workbook=20_10.xlsx&amp;sheet=U0&amp;row=983&amp;col=7&amp;number=0.00571&amp;sourceID=14","0.00571")</f>
        <v>0.00571</v>
      </c>
    </row>
    <row r="984" spans="1:7">
      <c r="A984" s="3">
        <v>20</v>
      </c>
      <c r="B984" s="3">
        <v>10</v>
      </c>
      <c r="C984" s="3">
        <v>1</v>
      </c>
      <c r="D984" s="3">
        <v>51</v>
      </c>
      <c r="E984" s="3">
        <v>1</v>
      </c>
      <c r="F984" s="4" t="str">
        <f>HYPERLINK("http://141.218.60.56/~jnz1568/getInfo.php?workbook=20_10.xlsx&amp;sheet=U0&amp;row=984&amp;col=6&amp;number=3&amp;sourceID=14","3")</f>
        <v>3</v>
      </c>
      <c r="G984" s="4" t="str">
        <f>HYPERLINK("http://141.218.60.56/~jnz1568/getInfo.php?workbook=20_10.xlsx&amp;sheet=U0&amp;row=984&amp;col=7&amp;number=0.00605&amp;sourceID=14","0.00605")</f>
        <v>0.00605</v>
      </c>
    </row>
    <row r="985" spans="1:7">
      <c r="A985" s="3"/>
      <c r="B985" s="3"/>
      <c r="C985" s="3"/>
      <c r="D985" s="3"/>
      <c r="E985" s="3">
        <v>2</v>
      </c>
      <c r="F985" s="4" t="str">
        <f>HYPERLINK("http://141.218.60.56/~jnz1568/getInfo.php?workbook=20_10.xlsx&amp;sheet=U0&amp;row=985&amp;col=6&amp;number=3.1&amp;sourceID=14","3.1")</f>
        <v>3.1</v>
      </c>
      <c r="G985" s="4" t="str">
        <f>HYPERLINK("http://141.218.60.56/~jnz1568/getInfo.php?workbook=20_10.xlsx&amp;sheet=U0&amp;row=985&amp;col=7&amp;number=0.00605&amp;sourceID=14","0.00605")</f>
        <v>0.00605</v>
      </c>
    </row>
    <row r="986" spans="1:7">
      <c r="A986" s="3"/>
      <c r="B986" s="3"/>
      <c r="C986" s="3"/>
      <c r="D986" s="3"/>
      <c r="E986" s="3">
        <v>3</v>
      </c>
      <c r="F986" s="4" t="str">
        <f>HYPERLINK("http://141.218.60.56/~jnz1568/getInfo.php?workbook=20_10.xlsx&amp;sheet=U0&amp;row=986&amp;col=6&amp;number=3.2&amp;sourceID=14","3.2")</f>
        <v>3.2</v>
      </c>
      <c r="G986" s="4" t="str">
        <f>HYPERLINK("http://141.218.60.56/~jnz1568/getInfo.php?workbook=20_10.xlsx&amp;sheet=U0&amp;row=986&amp;col=7&amp;number=0.00605&amp;sourceID=14","0.00605")</f>
        <v>0.00605</v>
      </c>
    </row>
    <row r="987" spans="1:7">
      <c r="A987" s="3"/>
      <c r="B987" s="3"/>
      <c r="C987" s="3"/>
      <c r="D987" s="3"/>
      <c r="E987" s="3">
        <v>4</v>
      </c>
      <c r="F987" s="4" t="str">
        <f>HYPERLINK("http://141.218.60.56/~jnz1568/getInfo.php?workbook=20_10.xlsx&amp;sheet=U0&amp;row=987&amp;col=6&amp;number=3.3&amp;sourceID=14","3.3")</f>
        <v>3.3</v>
      </c>
      <c r="G987" s="4" t="str">
        <f>HYPERLINK("http://141.218.60.56/~jnz1568/getInfo.php?workbook=20_10.xlsx&amp;sheet=U0&amp;row=987&amp;col=7&amp;number=0.00605&amp;sourceID=14","0.00605")</f>
        <v>0.00605</v>
      </c>
    </row>
    <row r="988" spans="1:7">
      <c r="A988" s="3"/>
      <c r="B988" s="3"/>
      <c r="C988" s="3"/>
      <c r="D988" s="3"/>
      <c r="E988" s="3">
        <v>5</v>
      </c>
      <c r="F988" s="4" t="str">
        <f>HYPERLINK("http://141.218.60.56/~jnz1568/getInfo.php?workbook=20_10.xlsx&amp;sheet=U0&amp;row=988&amp;col=6&amp;number=3.4&amp;sourceID=14","3.4")</f>
        <v>3.4</v>
      </c>
      <c r="G988" s="4" t="str">
        <f>HYPERLINK("http://141.218.60.56/~jnz1568/getInfo.php?workbook=20_10.xlsx&amp;sheet=U0&amp;row=988&amp;col=7&amp;number=0.00605&amp;sourceID=14","0.00605")</f>
        <v>0.00605</v>
      </c>
    </row>
    <row r="989" spans="1:7">
      <c r="A989" s="3"/>
      <c r="B989" s="3"/>
      <c r="C989" s="3"/>
      <c r="D989" s="3"/>
      <c r="E989" s="3">
        <v>6</v>
      </c>
      <c r="F989" s="4" t="str">
        <f>HYPERLINK("http://141.218.60.56/~jnz1568/getInfo.php?workbook=20_10.xlsx&amp;sheet=U0&amp;row=989&amp;col=6&amp;number=3.5&amp;sourceID=14","3.5")</f>
        <v>3.5</v>
      </c>
      <c r="G989" s="4" t="str">
        <f>HYPERLINK("http://141.218.60.56/~jnz1568/getInfo.php?workbook=20_10.xlsx&amp;sheet=U0&amp;row=989&amp;col=7&amp;number=0.00605&amp;sourceID=14","0.00605")</f>
        <v>0.00605</v>
      </c>
    </row>
    <row r="990" spans="1:7">
      <c r="A990" s="3"/>
      <c r="B990" s="3"/>
      <c r="C990" s="3"/>
      <c r="D990" s="3"/>
      <c r="E990" s="3">
        <v>7</v>
      </c>
      <c r="F990" s="4" t="str">
        <f>HYPERLINK("http://141.218.60.56/~jnz1568/getInfo.php?workbook=20_10.xlsx&amp;sheet=U0&amp;row=990&amp;col=6&amp;number=3.6&amp;sourceID=14","3.6")</f>
        <v>3.6</v>
      </c>
      <c r="G990" s="4" t="str">
        <f>HYPERLINK("http://141.218.60.56/~jnz1568/getInfo.php?workbook=20_10.xlsx&amp;sheet=U0&amp;row=990&amp;col=7&amp;number=0.00605&amp;sourceID=14","0.00605")</f>
        <v>0.00605</v>
      </c>
    </row>
    <row r="991" spans="1:7">
      <c r="A991" s="3"/>
      <c r="B991" s="3"/>
      <c r="C991" s="3"/>
      <c r="D991" s="3"/>
      <c r="E991" s="3">
        <v>8</v>
      </c>
      <c r="F991" s="4" t="str">
        <f>HYPERLINK("http://141.218.60.56/~jnz1568/getInfo.php?workbook=20_10.xlsx&amp;sheet=U0&amp;row=991&amp;col=6&amp;number=3.7&amp;sourceID=14","3.7")</f>
        <v>3.7</v>
      </c>
      <c r="G991" s="4" t="str">
        <f>HYPERLINK("http://141.218.60.56/~jnz1568/getInfo.php?workbook=20_10.xlsx&amp;sheet=U0&amp;row=991&amp;col=7&amp;number=0.00605&amp;sourceID=14","0.00605")</f>
        <v>0.00605</v>
      </c>
    </row>
    <row r="992" spans="1:7">
      <c r="A992" s="3"/>
      <c r="B992" s="3"/>
      <c r="C992" s="3"/>
      <c r="D992" s="3"/>
      <c r="E992" s="3">
        <v>9</v>
      </c>
      <c r="F992" s="4" t="str">
        <f>HYPERLINK("http://141.218.60.56/~jnz1568/getInfo.php?workbook=20_10.xlsx&amp;sheet=U0&amp;row=992&amp;col=6&amp;number=3.8&amp;sourceID=14","3.8")</f>
        <v>3.8</v>
      </c>
      <c r="G992" s="4" t="str">
        <f>HYPERLINK("http://141.218.60.56/~jnz1568/getInfo.php?workbook=20_10.xlsx&amp;sheet=U0&amp;row=992&amp;col=7&amp;number=0.00604&amp;sourceID=14","0.00604")</f>
        <v>0.00604</v>
      </c>
    </row>
    <row r="993" spans="1:7">
      <c r="A993" s="3"/>
      <c r="B993" s="3"/>
      <c r="C993" s="3"/>
      <c r="D993" s="3"/>
      <c r="E993" s="3">
        <v>10</v>
      </c>
      <c r="F993" s="4" t="str">
        <f>HYPERLINK("http://141.218.60.56/~jnz1568/getInfo.php?workbook=20_10.xlsx&amp;sheet=U0&amp;row=993&amp;col=6&amp;number=3.9&amp;sourceID=14","3.9")</f>
        <v>3.9</v>
      </c>
      <c r="G993" s="4" t="str">
        <f>HYPERLINK("http://141.218.60.56/~jnz1568/getInfo.php?workbook=20_10.xlsx&amp;sheet=U0&amp;row=993&amp;col=7&amp;number=0.00604&amp;sourceID=14","0.00604")</f>
        <v>0.00604</v>
      </c>
    </row>
    <row r="994" spans="1:7">
      <c r="A994" s="3"/>
      <c r="B994" s="3"/>
      <c r="C994" s="3"/>
      <c r="D994" s="3"/>
      <c r="E994" s="3">
        <v>11</v>
      </c>
      <c r="F994" s="4" t="str">
        <f>HYPERLINK("http://141.218.60.56/~jnz1568/getInfo.php?workbook=20_10.xlsx&amp;sheet=U0&amp;row=994&amp;col=6&amp;number=4&amp;sourceID=14","4")</f>
        <v>4</v>
      </c>
      <c r="G994" s="4" t="str">
        <f>HYPERLINK("http://141.218.60.56/~jnz1568/getInfo.php?workbook=20_10.xlsx&amp;sheet=U0&amp;row=994&amp;col=7&amp;number=0.00604&amp;sourceID=14","0.00604")</f>
        <v>0.00604</v>
      </c>
    </row>
    <row r="995" spans="1:7">
      <c r="A995" s="3"/>
      <c r="B995" s="3"/>
      <c r="C995" s="3"/>
      <c r="D995" s="3"/>
      <c r="E995" s="3">
        <v>12</v>
      </c>
      <c r="F995" s="4" t="str">
        <f>HYPERLINK("http://141.218.60.56/~jnz1568/getInfo.php?workbook=20_10.xlsx&amp;sheet=U0&amp;row=995&amp;col=6&amp;number=4.1&amp;sourceID=14","4.1")</f>
        <v>4.1</v>
      </c>
      <c r="G995" s="4" t="str">
        <f>HYPERLINK("http://141.218.60.56/~jnz1568/getInfo.php?workbook=20_10.xlsx&amp;sheet=U0&amp;row=995&amp;col=7&amp;number=0.00603&amp;sourceID=14","0.00603")</f>
        <v>0.00603</v>
      </c>
    </row>
    <row r="996" spans="1:7">
      <c r="A996" s="3"/>
      <c r="B996" s="3"/>
      <c r="C996" s="3"/>
      <c r="D996" s="3"/>
      <c r="E996" s="3">
        <v>13</v>
      </c>
      <c r="F996" s="4" t="str">
        <f>HYPERLINK("http://141.218.60.56/~jnz1568/getInfo.php?workbook=20_10.xlsx&amp;sheet=U0&amp;row=996&amp;col=6&amp;number=4.2&amp;sourceID=14","4.2")</f>
        <v>4.2</v>
      </c>
      <c r="G996" s="4" t="str">
        <f>HYPERLINK("http://141.218.60.56/~jnz1568/getInfo.php?workbook=20_10.xlsx&amp;sheet=U0&amp;row=996&amp;col=7&amp;number=0.00603&amp;sourceID=14","0.00603")</f>
        <v>0.00603</v>
      </c>
    </row>
    <row r="997" spans="1:7">
      <c r="A997" s="3"/>
      <c r="B997" s="3"/>
      <c r="C997" s="3"/>
      <c r="D997" s="3"/>
      <c r="E997" s="3">
        <v>14</v>
      </c>
      <c r="F997" s="4" t="str">
        <f>HYPERLINK("http://141.218.60.56/~jnz1568/getInfo.php?workbook=20_10.xlsx&amp;sheet=U0&amp;row=997&amp;col=6&amp;number=4.3&amp;sourceID=14","4.3")</f>
        <v>4.3</v>
      </c>
      <c r="G997" s="4" t="str">
        <f>HYPERLINK("http://141.218.60.56/~jnz1568/getInfo.php?workbook=20_10.xlsx&amp;sheet=U0&amp;row=997&amp;col=7&amp;number=0.00602&amp;sourceID=14","0.00602")</f>
        <v>0.00602</v>
      </c>
    </row>
    <row r="998" spans="1:7">
      <c r="A998" s="3"/>
      <c r="B998" s="3"/>
      <c r="C998" s="3"/>
      <c r="D998" s="3"/>
      <c r="E998" s="3">
        <v>15</v>
      </c>
      <c r="F998" s="4" t="str">
        <f>HYPERLINK("http://141.218.60.56/~jnz1568/getInfo.php?workbook=20_10.xlsx&amp;sheet=U0&amp;row=998&amp;col=6&amp;number=4.4&amp;sourceID=14","4.4")</f>
        <v>4.4</v>
      </c>
      <c r="G998" s="4" t="str">
        <f>HYPERLINK("http://141.218.60.56/~jnz1568/getInfo.php?workbook=20_10.xlsx&amp;sheet=U0&amp;row=998&amp;col=7&amp;number=0.00602&amp;sourceID=14","0.00602")</f>
        <v>0.00602</v>
      </c>
    </row>
    <row r="999" spans="1:7">
      <c r="A999" s="3"/>
      <c r="B999" s="3"/>
      <c r="C999" s="3"/>
      <c r="D999" s="3"/>
      <c r="E999" s="3">
        <v>16</v>
      </c>
      <c r="F999" s="4" t="str">
        <f>HYPERLINK("http://141.218.60.56/~jnz1568/getInfo.php?workbook=20_10.xlsx&amp;sheet=U0&amp;row=999&amp;col=6&amp;number=4.5&amp;sourceID=14","4.5")</f>
        <v>4.5</v>
      </c>
      <c r="G999" s="4" t="str">
        <f>HYPERLINK("http://141.218.60.56/~jnz1568/getInfo.php?workbook=20_10.xlsx&amp;sheet=U0&amp;row=999&amp;col=7&amp;number=0.00601&amp;sourceID=14","0.00601")</f>
        <v>0.00601</v>
      </c>
    </row>
    <row r="1000" spans="1:7">
      <c r="A1000" s="3"/>
      <c r="B1000" s="3"/>
      <c r="C1000" s="3"/>
      <c r="D1000" s="3"/>
      <c r="E1000" s="3">
        <v>17</v>
      </c>
      <c r="F1000" s="4" t="str">
        <f>HYPERLINK("http://141.218.60.56/~jnz1568/getInfo.php?workbook=20_10.xlsx&amp;sheet=U0&amp;row=1000&amp;col=6&amp;number=4.6&amp;sourceID=14","4.6")</f>
        <v>4.6</v>
      </c>
      <c r="G1000" s="4" t="str">
        <f>HYPERLINK("http://141.218.60.56/~jnz1568/getInfo.php?workbook=20_10.xlsx&amp;sheet=U0&amp;row=1000&amp;col=7&amp;number=0.006&amp;sourceID=14","0.006")</f>
        <v>0.006</v>
      </c>
    </row>
    <row r="1001" spans="1:7">
      <c r="A1001" s="3"/>
      <c r="B1001" s="3"/>
      <c r="C1001" s="3"/>
      <c r="D1001" s="3"/>
      <c r="E1001" s="3">
        <v>18</v>
      </c>
      <c r="F1001" s="4" t="str">
        <f>HYPERLINK("http://141.218.60.56/~jnz1568/getInfo.php?workbook=20_10.xlsx&amp;sheet=U0&amp;row=1001&amp;col=6&amp;number=4.7&amp;sourceID=14","4.7")</f>
        <v>4.7</v>
      </c>
      <c r="G1001" s="4" t="str">
        <f>HYPERLINK("http://141.218.60.56/~jnz1568/getInfo.php?workbook=20_10.xlsx&amp;sheet=U0&amp;row=1001&amp;col=7&amp;number=0.00598&amp;sourceID=14","0.00598")</f>
        <v>0.00598</v>
      </c>
    </row>
    <row r="1002" spans="1:7">
      <c r="A1002" s="3"/>
      <c r="B1002" s="3"/>
      <c r="C1002" s="3"/>
      <c r="D1002" s="3"/>
      <c r="E1002" s="3">
        <v>19</v>
      </c>
      <c r="F1002" s="4" t="str">
        <f>HYPERLINK("http://141.218.60.56/~jnz1568/getInfo.php?workbook=20_10.xlsx&amp;sheet=U0&amp;row=1002&amp;col=6&amp;number=4.8&amp;sourceID=14","4.8")</f>
        <v>4.8</v>
      </c>
      <c r="G1002" s="4" t="str">
        <f>HYPERLINK("http://141.218.60.56/~jnz1568/getInfo.php?workbook=20_10.xlsx&amp;sheet=U0&amp;row=1002&amp;col=7&amp;number=0.00597&amp;sourceID=14","0.00597")</f>
        <v>0.00597</v>
      </c>
    </row>
    <row r="1003" spans="1:7">
      <c r="A1003" s="3"/>
      <c r="B1003" s="3"/>
      <c r="C1003" s="3"/>
      <c r="D1003" s="3"/>
      <c r="E1003" s="3">
        <v>20</v>
      </c>
      <c r="F1003" s="4" t="str">
        <f>HYPERLINK("http://141.218.60.56/~jnz1568/getInfo.php?workbook=20_10.xlsx&amp;sheet=U0&amp;row=1003&amp;col=6&amp;number=4.9&amp;sourceID=14","4.9")</f>
        <v>4.9</v>
      </c>
      <c r="G1003" s="4" t="str">
        <f>HYPERLINK("http://141.218.60.56/~jnz1568/getInfo.php?workbook=20_10.xlsx&amp;sheet=U0&amp;row=1003&amp;col=7&amp;number=0.00594&amp;sourceID=14","0.00594")</f>
        <v>0.00594</v>
      </c>
    </row>
    <row r="1004" spans="1:7">
      <c r="A1004" s="3">
        <v>20</v>
      </c>
      <c r="B1004" s="3">
        <v>10</v>
      </c>
      <c r="C1004" s="3">
        <v>1</v>
      </c>
      <c r="D1004" s="3">
        <v>52</v>
      </c>
      <c r="E1004" s="3">
        <v>1</v>
      </c>
      <c r="F1004" s="4" t="str">
        <f>HYPERLINK("http://141.218.60.56/~jnz1568/getInfo.php?workbook=20_10.xlsx&amp;sheet=U0&amp;row=1004&amp;col=6&amp;number=3&amp;sourceID=14","3")</f>
        <v>3</v>
      </c>
      <c r="G1004" s="4" t="str">
        <f>HYPERLINK("http://141.218.60.56/~jnz1568/getInfo.php?workbook=20_10.xlsx&amp;sheet=U0&amp;row=1004&amp;col=7&amp;number=0.0034&amp;sourceID=14","0.0034")</f>
        <v>0.0034</v>
      </c>
    </row>
    <row r="1005" spans="1:7">
      <c r="A1005" s="3"/>
      <c r="B1005" s="3"/>
      <c r="C1005" s="3"/>
      <c r="D1005" s="3"/>
      <c r="E1005" s="3">
        <v>2</v>
      </c>
      <c r="F1005" s="4" t="str">
        <f>HYPERLINK("http://141.218.60.56/~jnz1568/getInfo.php?workbook=20_10.xlsx&amp;sheet=U0&amp;row=1005&amp;col=6&amp;number=3.1&amp;sourceID=14","3.1")</f>
        <v>3.1</v>
      </c>
      <c r="G1005" s="4" t="str">
        <f>HYPERLINK("http://141.218.60.56/~jnz1568/getInfo.php?workbook=20_10.xlsx&amp;sheet=U0&amp;row=1005&amp;col=7&amp;number=0.0034&amp;sourceID=14","0.0034")</f>
        <v>0.0034</v>
      </c>
    </row>
    <row r="1006" spans="1:7">
      <c r="A1006" s="3"/>
      <c r="B1006" s="3"/>
      <c r="C1006" s="3"/>
      <c r="D1006" s="3"/>
      <c r="E1006" s="3">
        <v>3</v>
      </c>
      <c r="F1006" s="4" t="str">
        <f>HYPERLINK("http://141.218.60.56/~jnz1568/getInfo.php?workbook=20_10.xlsx&amp;sheet=U0&amp;row=1006&amp;col=6&amp;number=3.2&amp;sourceID=14","3.2")</f>
        <v>3.2</v>
      </c>
      <c r="G1006" s="4" t="str">
        <f>HYPERLINK("http://141.218.60.56/~jnz1568/getInfo.php?workbook=20_10.xlsx&amp;sheet=U0&amp;row=1006&amp;col=7&amp;number=0.0034&amp;sourceID=14","0.0034")</f>
        <v>0.0034</v>
      </c>
    </row>
    <row r="1007" spans="1:7">
      <c r="A1007" s="3"/>
      <c r="B1007" s="3"/>
      <c r="C1007" s="3"/>
      <c r="D1007" s="3"/>
      <c r="E1007" s="3">
        <v>4</v>
      </c>
      <c r="F1007" s="4" t="str">
        <f>HYPERLINK("http://141.218.60.56/~jnz1568/getInfo.php?workbook=20_10.xlsx&amp;sheet=U0&amp;row=1007&amp;col=6&amp;number=3.3&amp;sourceID=14","3.3")</f>
        <v>3.3</v>
      </c>
      <c r="G1007" s="4" t="str">
        <f>HYPERLINK("http://141.218.60.56/~jnz1568/getInfo.php?workbook=20_10.xlsx&amp;sheet=U0&amp;row=1007&amp;col=7&amp;number=0.0034&amp;sourceID=14","0.0034")</f>
        <v>0.0034</v>
      </c>
    </row>
    <row r="1008" spans="1:7">
      <c r="A1008" s="3"/>
      <c r="B1008" s="3"/>
      <c r="C1008" s="3"/>
      <c r="D1008" s="3"/>
      <c r="E1008" s="3">
        <v>5</v>
      </c>
      <c r="F1008" s="4" t="str">
        <f>HYPERLINK("http://141.218.60.56/~jnz1568/getInfo.php?workbook=20_10.xlsx&amp;sheet=U0&amp;row=1008&amp;col=6&amp;number=3.4&amp;sourceID=14","3.4")</f>
        <v>3.4</v>
      </c>
      <c r="G1008" s="4" t="str">
        <f>HYPERLINK("http://141.218.60.56/~jnz1568/getInfo.php?workbook=20_10.xlsx&amp;sheet=U0&amp;row=1008&amp;col=7&amp;number=0.0034&amp;sourceID=14","0.0034")</f>
        <v>0.0034</v>
      </c>
    </row>
    <row r="1009" spans="1:7">
      <c r="A1009" s="3"/>
      <c r="B1009" s="3"/>
      <c r="C1009" s="3"/>
      <c r="D1009" s="3"/>
      <c r="E1009" s="3">
        <v>6</v>
      </c>
      <c r="F1009" s="4" t="str">
        <f>HYPERLINK("http://141.218.60.56/~jnz1568/getInfo.php?workbook=20_10.xlsx&amp;sheet=U0&amp;row=1009&amp;col=6&amp;number=3.5&amp;sourceID=14","3.5")</f>
        <v>3.5</v>
      </c>
      <c r="G1009" s="4" t="str">
        <f>HYPERLINK("http://141.218.60.56/~jnz1568/getInfo.php?workbook=20_10.xlsx&amp;sheet=U0&amp;row=1009&amp;col=7&amp;number=0.0034&amp;sourceID=14","0.0034")</f>
        <v>0.0034</v>
      </c>
    </row>
    <row r="1010" spans="1:7">
      <c r="A1010" s="3"/>
      <c r="B1010" s="3"/>
      <c r="C1010" s="3"/>
      <c r="D1010" s="3"/>
      <c r="E1010" s="3">
        <v>7</v>
      </c>
      <c r="F1010" s="4" t="str">
        <f>HYPERLINK("http://141.218.60.56/~jnz1568/getInfo.php?workbook=20_10.xlsx&amp;sheet=U0&amp;row=1010&amp;col=6&amp;number=3.6&amp;sourceID=14","3.6")</f>
        <v>3.6</v>
      </c>
      <c r="G1010" s="4" t="str">
        <f>HYPERLINK("http://141.218.60.56/~jnz1568/getInfo.php?workbook=20_10.xlsx&amp;sheet=U0&amp;row=1010&amp;col=7&amp;number=0.0034&amp;sourceID=14","0.0034")</f>
        <v>0.0034</v>
      </c>
    </row>
    <row r="1011" spans="1:7">
      <c r="A1011" s="3"/>
      <c r="B1011" s="3"/>
      <c r="C1011" s="3"/>
      <c r="D1011" s="3"/>
      <c r="E1011" s="3">
        <v>8</v>
      </c>
      <c r="F1011" s="4" t="str">
        <f>HYPERLINK("http://141.218.60.56/~jnz1568/getInfo.php?workbook=20_10.xlsx&amp;sheet=U0&amp;row=1011&amp;col=6&amp;number=3.7&amp;sourceID=14","3.7")</f>
        <v>3.7</v>
      </c>
      <c r="G1011" s="4" t="str">
        <f>HYPERLINK("http://141.218.60.56/~jnz1568/getInfo.php?workbook=20_10.xlsx&amp;sheet=U0&amp;row=1011&amp;col=7&amp;number=0.0034&amp;sourceID=14","0.0034")</f>
        <v>0.0034</v>
      </c>
    </row>
    <row r="1012" spans="1:7">
      <c r="A1012" s="3"/>
      <c r="B1012" s="3"/>
      <c r="C1012" s="3"/>
      <c r="D1012" s="3"/>
      <c r="E1012" s="3">
        <v>9</v>
      </c>
      <c r="F1012" s="4" t="str">
        <f>HYPERLINK("http://141.218.60.56/~jnz1568/getInfo.php?workbook=20_10.xlsx&amp;sheet=U0&amp;row=1012&amp;col=6&amp;number=3.8&amp;sourceID=14","3.8")</f>
        <v>3.8</v>
      </c>
      <c r="G1012" s="4" t="str">
        <f>HYPERLINK("http://141.218.60.56/~jnz1568/getInfo.php?workbook=20_10.xlsx&amp;sheet=U0&amp;row=1012&amp;col=7&amp;number=0.0034&amp;sourceID=14","0.0034")</f>
        <v>0.0034</v>
      </c>
    </row>
    <row r="1013" spans="1:7">
      <c r="A1013" s="3"/>
      <c r="B1013" s="3"/>
      <c r="C1013" s="3"/>
      <c r="D1013" s="3"/>
      <c r="E1013" s="3">
        <v>10</v>
      </c>
      <c r="F1013" s="4" t="str">
        <f>HYPERLINK("http://141.218.60.56/~jnz1568/getInfo.php?workbook=20_10.xlsx&amp;sheet=U0&amp;row=1013&amp;col=6&amp;number=3.9&amp;sourceID=14","3.9")</f>
        <v>3.9</v>
      </c>
      <c r="G1013" s="4" t="str">
        <f>HYPERLINK("http://141.218.60.56/~jnz1568/getInfo.php?workbook=20_10.xlsx&amp;sheet=U0&amp;row=1013&amp;col=7&amp;number=0.0034&amp;sourceID=14","0.0034")</f>
        <v>0.0034</v>
      </c>
    </row>
    <row r="1014" spans="1:7">
      <c r="A1014" s="3"/>
      <c r="B1014" s="3"/>
      <c r="C1014" s="3"/>
      <c r="D1014" s="3"/>
      <c r="E1014" s="3">
        <v>11</v>
      </c>
      <c r="F1014" s="4" t="str">
        <f>HYPERLINK("http://141.218.60.56/~jnz1568/getInfo.php?workbook=20_10.xlsx&amp;sheet=U0&amp;row=1014&amp;col=6&amp;number=4&amp;sourceID=14","4")</f>
        <v>4</v>
      </c>
      <c r="G1014" s="4" t="str">
        <f>HYPERLINK("http://141.218.60.56/~jnz1568/getInfo.php?workbook=20_10.xlsx&amp;sheet=U0&amp;row=1014&amp;col=7&amp;number=0.0034&amp;sourceID=14","0.0034")</f>
        <v>0.0034</v>
      </c>
    </row>
    <row r="1015" spans="1:7">
      <c r="A1015" s="3"/>
      <c r="B1015" s="3"/>
      <c r="C1015" s="3"/>
      <c r="D1015" s="3"/>
      <c r="E1015" s="3">
        <v>12</v>
      </c>
      <c r="F1015" s="4" t="str">
        <f>HYPERLINK("http://141.218.60.56/~jnz1568/getInfo.php?workbook=20_10.xlsx&amp;sheet=U0&amp;row=1015&amp;col=6&amp;number=4.1&amp;sourceID=14","4.1")</f>
        <v>4.1</v>
      </c>
      <c r="G1015" s="4" t="str">
        <f>HYPERLINK("http://141.218.60.56/~jnz1568/getInfo.php?workbook=20_10.xlsx&amp;sheet=U0&amp;row=1015&amp;col=7&amp;number=0.00339&amp;sourceID=14","0.00339")</f>
        <v>0.00339</v>
      </c>
    </row>
    <row r="1016" spans="1:7">
      <c r="A1016" s="3"/>
      <c r="B1016" s="3"/>
      <c r="C1016" s="3"/>
      <c r="D1016" s="3"/>
      <c r="E1016" s="3">
        <v>13</v>
      </c>
      <c r="F1016" s="4" t="str">
        <f>HYPERLINK("http://141.218.60.56/~jnz1568/getInfo.php?workbook=20_10.xlsx&amp;sheet=U0&amp;row=1016&amp;col=6&amp;number=4.2&amp;sourceID=14","4.2")</f>
        <v>4.2</v>
      </c>
      <c r="G1016" s="4" t="str">
        <f>HYPERLINK("http://141.218.60.56/~jnz1568/getInfo.php?workbook=20_10.xlsx&amp;sheet=U0&amp;row=1016&amp;col=7&amp;number=0.00339&amp;sourceID=14","0.00339")</f>
        <v>0.00339</v>
      </c>
    </row>
    <row r="1017" spans="1:7">
      <c r="A1017" s="3"/>
      <c r="B1017" s="3"/>
      <c r="C1017" s="3"/>
      <c r="D1017" s="3"/>
      <c r="E1017" s="3">
        <v>14</v>
      </c>
      <c r="F1017" s="4" t="str">
        <f>HYPERLINK("http://141.218.60.56/~jnz1568/getInfo.php?workbook=20_10.xlsx&amp;sheet=U0&amp;row=1017&amp;col=6&amp;number=4.3&amp;sourceID=14","4.3")</f>
        <v>4.3</v>
      </c>
      <c r="G1017" s="4" t="str">
        <f>HYPERLINK("http://141.218.60.56/~jnz1568/getInfo.php?workbook=20_10.xlsx&amp;sheet=U0&amp;row=1017&amp;col=7&amp;number=0.00339&amp;sourceID=14","0.00339")</f>
        <v>0.00339</v>
      </c>
    </row>
    <row r="1018" spans="1:7">
      <c r="A1018" s="3"/>
      <c r="B1018" s="3"/>
      <c r="C1018" s="3"/>
      <c r="D1018" s="3"/>
      <c r="E1018" s="3">
        <v>15</v>
      </c>
      <c r="F1018" s="4" t="str">
        <f>HYPERLINK("http://141.218.60.56/~jnz1568/getInfo.php?workbook=20_10.xlsx&amp;sheet=U0&amp;row=1018&amp;col=6&amp;number=4.4&amp;sourceID=14","4.4")</f>
        <v>4.4</v>
      </c>
      <c r="G1018" s="4" t="str">
        <f>HYPERLINK("http://141.218.60.56/~jnz1568/getInfo.php?workbook=20_10.xlsx&amp;sheet=U0&amp;row=1018&amp;col=7&amp;number=0.00338&amp;sourceID=14","0.00338")</f>
        <v>0.00338</v>
      </c>
    </row>
    <row r="1019" spans="1:7">
      <c r="A1019" s="3"/>
      <c r="B1019" s="3"/>
      <c r="C1019" s="3"/>
      <c r="D1019" s="3"/>
      <c r="E1019" s="3">
        <v>16</v>
      </c>
      <c r="F1019" s="4" t="str">
        <f>HYPERLINK("http://141.218.60.56/~jnz1568/getInfo.php?workbook=20_10.xlsx&amp;sheet=U0&amp;row=1019&amp;col=6&amp;number=4.5&amp;sourceID=14","4.5")</f>
        <v>4.5</v>
      </c>
      <c r="G1019" s="4" t="str">
        <f>HYPERLINK("http://141.218.60.56/~jnz1568/getInfo.php?workbook=20_10.xlsx&amp;sheet=U0&amp;row=1019&amp;col=7&amp;number=0.00338&amp;sourceID=14","0.00338")</f>
        <v>0.00338</v>
      </c>
    </row>
    <row r="1020" spans="1:7">
      <c r="A1020" s="3"/>
      <c r="B1020" s="3"/>
      <c r="C1020" s="3"/>
      <c r="D1020" s="3"/>
      <c r="E1020" s="3">
        <v>17</v>
      </c>
      <c r="F1020" s="4" t="str">
        <f>HYPERLINK("http://141.218.60.56/~jnz1568/getInfo.php?workbook=20_10.xlsx&amp;sheet=U0&amp;row=1020&amp;col=6&amp;number=4.6&amp;sourceID=14","4.6")</f>
        <v>4.6</v>
      </c>
      <c r="G1020" s="4" t="str">
        <f>HYPERLINK("http://141.218.60.56/~jnz1568/getInfo.php?workbook=20_10.xlsx&amp;sheet=U0&amp;row=1020&amp;col=7&amp;number=0.00337&amp;sourceID=14","0.00337")</f>
        <v>0.00337</v>
      </c>
    </row>
    <row r="1021" spans="1:7">
      <c r="A1021" s="3"/>
      <c r="B1021" s="3"/>
      <c r="C1021" s="3"/>
      <c r="D1021" s="3"/>
      <c r="E1021" s="3">
        <v>18</v>
      </c>
      <c r="F1021" s="4" t="str">
        <f>HYPERLINK("http://141.218.60.56/~jnz1568/getInfo.php?workbook=20_10.xlsx&amp;sheet=U0&amp;row=1021&amp;col=6&amp;number=4.7&amp;sourceID=14","4.7")</f>
        <v>4.7</v>
      </c>
      <c r="G1021" s="4" t="str">
        <f>HYPERLINK("http://141.218.60.56/~jnz1568/getInfo.php?workbook=20_10.xlsx&amp;sheet=U0&amp;row=1021&amp;col=7&amp;number=0.00337&amp;sourceID=14","0.00337")</f>
        <v>0.00337</v>
      </c>
    </row>
    <row r="1022" spans="1:7">
      <c r="A1022" s="3"/>
      <c r="B1022" s="3"/>
      <c r="C1022" s="3"/>
      <c r="D1022" s="3"/>
      <c r="E1022" s="3">
        <v>19</v>
      </c>
      <c r="F1022" s="4" t="str">
        <f>HYPERLINK("http://141.218.60.56/~jnz1568/getInfo.php?workbook=20_10.xlsx&amp;sheet=U0&amp;row=1022&amp;col=6&amp;number=4.8&amp;sourceID=14","4.8")</f>
        <v>4.8</v>
      </c>
      <c r="G1022" s="4" t="str">
        <f>HYPERLINK("http://141.218.60.56/~jnz1568/getInfo.php?workbook=20_10.xlsx&amp;sheet=U0&amp;row=1022&amp;col=7&amp;number=0.00336&amp;sourceID=14","0.00336")</f>
        <v>0.00336</v>
      </c>
    </row>
    <row r="1023" spans="1:7">
      <c r="A1023" s="3"/>
      <c r="B1023" s="3"/>
      <c r="C1023" s="3"/>
      <c r="D1023" s="3"/>
      <c r="E1023" s="3">
        <v>20</v>
      </c>
      <c r="F1023" s="4" t="str">
        <f>HYPERLINK("http://141.218.60.56/~jnz1568/getInfo.php?workbook=20_10.xlsx&amp;sheet=U0&amp;row=1023&amp;col=6&amp;number=4.9&amp;sourceID=14","4.9")</f>
        <v>4.9</v>
      </c>
      <c r="G1023" s="4" t="str">
        <f>HYPERLINK("http://141.218.60.56/~jnz1568/getInfo.php?workbook=20_10.xlsx&amp;sheet=U0&amp;row=1023&amp;col=7&amp;number=0.00334&amp;sourceID=14","0.00334")</f>
        <v>0.00334</v>
      </c>
    </row>
    <row r="1024" spans="1:7">
      <c r="A1024" s="3">
        <v>20</v>
      </c>
      <c r="B1024" s="3">
        <v>10</v>
      </c>
      <c r="C1024" s="3">
        <v>1</v>
      </c>
      <c r="D1024" s="3">
        <v>53</v>
      </c>
      <c r="E1024" s="3">
        <v>1</v>
      </c>
      <c r="F1024" s="4" t="str">
        <f>HYPERLINK("http://141.218.60.56/~jnz1568/getInfo.php?workbook=20_10.xlsx&amp;sheet=U0&amp;row=1024&amp;col=6&amp;number=3&amp;sourceID=14","3")</f>
        <v>3</v>
      </c>
      <c r="G1024" s="4" t="str">
        <f>HYPERLINK("http://141.218.60.56/~jnz1568/getInfo.php?workbook=20_10.xlsx&amp;sheet=U0&amp;row=1024&amp;col=7&amp;number=0.0023&amp;sourceID=14","0.0023")</f>
        <v>0.0023</v>
      </c>
    </row>
    <row r="1025" spans="1:7">
      <c r="A1025" s="3"/>
      <c r="B1025" s="3"/>
      <c r="C1025" s="3"/>
      <c r="D1025" s="3"/>
      <c r="E1025" s="3">
        <v>2</v>
      </c>
      <c r="F1025" s="4" t="str">
        <f>HYPERLINK("http://141.218.60.56/~jnz1568/getInfo.php?workbook=20_10.xlsx&amp;sheet=U0&amp;row=1025&amp;col=6&amp;number=3.1&amp;sourceID=14","3.1")</f>
        <v>3.1</v>
      </c>
      <c r="G1025" s="4" t="str">
        <f>HYPERLINK("http://141.218.60.56/~jnz1568/getInfo.php?workbook=20_10.xlsx&amp;sheet=U0&amp;row=1025&amp;col=7&amp;number=0.0023&amp;sourceID=14","0.0023")</f>
        <v>0.0023</v>
      </c>
    </row>
    <row r="1026" spans="1:7">
      <c r="A1026" s="3"/>
      <c r="B1026" s="3"/>
      <c r="C1026" s="3"/>
      <c r="D1026" s="3"/>
      <c r="E1026" s="3">
        <v>3</v>
      </c>
      <c r="F1026" s="4" t="str">
        <f>HYPERLINK("http://141.218.60.56/~jnz1568/getInfo.php?workbook=20_10.xlsx&amp;sheet=U0&amp;row=1026&amp;col=6&amp;number=3.2&amp;sourceID=14","3.2")</f>
        <v>3.2</v>
      </c>
      <c r="G1026" s="4" t="str">
        <f>HYPERLINK("http://141.218.60.56/~jnz1568/getInfo.php?workbook=20_10.xlsx&amp;sheet=U0&amp;row=1026&amp;col=7&amp;number=0.0023&amp;sourceID=14","0.0023")</f>
        <v>0.0023</v>
      </c>
    </row>
    <row r="1027" spans="1:7">
      <c r="A1027" s="3"/>
      <c r="B1027" s="3"/>
      <c r="C1027" s="3"/>
      <c r="D1027" s="3"/>
      <c r="E1027" s="3">
        <v>4</v>
      </c>
      <c r="F1027" s="4" t="str">
        <f>HYPERLINK("http://141.218.60.56/~jnz1568/getInfo.php?workbook=20_10.xlsx&amp;sheet=U0&amp;row=1027&amp;col=6&amp;number=3.3&amp;sourceID=14","3.3")</f>
        <v>3.3</v>
      </c>
      <c r="G1027" s="4" t="str">
        <f>HYPERLINK("http://141.218.60.56/~jnz1568/getInfo.php?workbook=20_10.xlsx&amp;sheet=U0&amp;row=1027&amp;col=7&amp;number=0.0023&amp;sourceID=14","0.0023")</f>
        <v>0.0023</v>
      </c>
    </row>
    <row r="1028" spans="1:7">
      <c r="A1028" s="3"/>
      <c r="B1028" s="3"/>
      <c r="C1028" s="3"/>
      <c r="D1028" s="3"/>
      <c r="E1028" s="3">
        <v>5</v>
      </c>
      <c r="F1028" s="4" t="str">
        <f>HYPERLINK("http://141.218.60.56/~jnz1568/getInfo.php?workbook=20_10.xlsx&amp;sheet=U0&amp;row=1028&amp;col=6&amp;number=3.4&amp;sourceID=14","3.4")</f>
        <v>3.4</v>
      </c>
      <c r="G1028" s="4" t="str">
        <f>HYPERLINK("http://141.218.60.56/~jnz1568/getInfo.php?workbook=20_10.xlsx&amp;sheet=U0&amp;row=1028&amp;col=7&amp;number=0.0023&amp;sourceID=14","0.0023")</f>
        <v>0.0023</v>
      </c>
    </row>
    <row r="1029" spans="1:7">
      <c r="A1029" s="3"/>
      <c r="B1029" s="3"/>
      <c r="C1029" s="3"/>
      <c r="D1029" s="3"/>
      <c r="E1029" s="3">
        <v>6</v>
      </c>
      <c r="F1029" s="4" t="str">
        <f>HYPERLINK("http://141.218.60.56/~jnz1568/getInfo.php?workbook=20_10.xlsx&amp;sheet=U0&amp;row=1029&amp;col=6&amp;number=3.5&amp;sourceID=14","3.5")</f>
        <v>3.5</v>
      </c>
      <c r="G1029" s="4" t="str">
        <f>HYPERLINK("http://141.218.60.56/~jnz1568/getInfo.php?workbook=20_10.xlsx&amp;sheet=U0&amp;row=1029&amp;col=7&amp;number=0.0023&amp;sourceID=14","0.0023")</f>
        <v>0.0023</v>
      </c>
    </row>
    <row r="1030" spans="1:7">
      <c r="A1030" s="3"/>
      <c r="B1030" s="3"/>
      <c r="C1030" s="3"/>
      <c r="D1030" s="3"/>
      <c r="E1030" s="3">
        <v>7</v>
      </c>
      <c r="F1030" s="4" t="str">
        <f>HYPERLINK("http://141.218.60.56/~jnz1568/getInfo.php?workbook=20_10.xlsx&amp;sheet=U0&amp;row=1030&amp;col=6&amp;number=3.6&amp;sourceID=14","3.6")</f>
        <v>3.6</v>
      </c>
      <c r="G1030" s="4" t="str">
        <f>HYPERLINK("http://141.218.60.56/~jnz1568/getInfo.php?workbook=20_10.xlsx&amp;sheet=U0&amp;row=1030&amp;col=7&amp;number=0.0023&amp;sourceID=14","0.0023")</f>
        <v>0.0023</v>
      </c>
    </row>
    <row r="1031" spans="1:7">
      <c r="A1031" s="3"/>
      <c r="B1031" s="3"/>
      <c r="C1031" s="3"/>
      <c r="D1031" s="3"/>
      <c r="E1031" s="3">
        <v>8</v>
      </c>
      <c r="F1031" s="4" t="str">
        <f>HYPERLINK("http://141.218.60.56/~jnz1568/getInfo.php?workbook=20_10.xlsx&amp;sheet=U0&amp;row=1031&amp;col=6&amp;number=3.7&amp;sourceID=14","3.7")</f>
        <v>3.7</v>
      </c>
      <c r="G1031" s="4" t="str">
        <f>HYPERLINK("http://141.218.60.56/~jnz1568/getInfo.php?workbook=20_10.xlsx&amp;sheet=U0&amp;row=1031&amp;col=7&amp;number=0.0023&amp;sourceID=14","0.0023")</f>
        <v>0.0023</v>
      </c>
    </row>
    <row r="1032" spans="1:7">
      <c r="A1032" s="3"/>
      <c r="B1032" s="3"/>
      <c r="C1032" s="3"/>
      <c r="D1032" s="3"/>
      <c r="E1032" s="3">
        <v>9</v>
      </c>
      <c r="F1032" s="4" t="str">
        <f>HYPERLINK("http://141.218.60.56/~jnz1568/getInfo.php?workbook=20_10.xlsx&amp;sheet=U0&amp;row=1032&amp;col=6&amp;number=3.8&amp;sourceID=14","3.8")</f>
        <v>3.8</v>
      </c>
      <c r="G1032" s="4" t="str">
        <f>HYPERLINK("http://141.218.60.56/~jnz1568/getInfo.php?workbook=20_10.xlsx&amp;sheet=U0&amp;row=1032&amp;col=7&amp;number=0.0023&amp;sourceID=14","0.0023")</f>
        <v>0.0023</v>
      </c>
    </row>
    <row r="1033" spans="1:7">
      <c r="A1033" s="3"/>
      <c r="B1033" s="3"/>
      <c r="C1033" s="3"/>
      <c r="D1033" s="3"/>
      <c r="E1033" s="3">
        <v>10</v>
      </c>
      <c r="F1033" s="4" t="str">
        <f>HYPERLINK("http://141.218.60.56/~jnz1568/getInfo.php?workbook=20_10.xlsx&amp;sheet=U0&amp;row=1033&amp;col=6&amp;number=3.9&amp;sourceID=14","3.9")</f>
        <v>3.9</v>
      </c>
      <c r="G1033" s="4" t="str">
        <f>HYPERLINK("http://141.218.60.56/~jnz1568/getInfo.php?workbook=20_10.xlsx&amp;sheet=U0&amp;row=1033&amp;col=7&amp;number=0.0023&amp;sourceID=14","0.0023")</f>
        <v>0.0023</v>
      </c>
    </row>
    <row r="1034" spans="1:7">
      <c r="A1034" s="3"/>
      <c r="B1034" s="3"/>
      <c r="C1034" s="3"/>
      <c r="D1034" s="3"/>
      <c r="E1034" s="3">
        <v>11</v>
      </c>
      <c r="F1034" s="4" t="str">
        <f>HYPERLINK("http://141.218.60.56/~jnz1568/getInfo.php?workbook=20_10.xlsx&amp;sheet=U0&amp;row=1034&amp;col=6&amp;number=4&amp;sourceID=14","4")</f>
        <v>4</v>
      </c>
      <c r="G1034" s="4" t="str">
        <f>HYPERLINK("http://141.218.60.56/~jnz1568/getInfo.php?workbook=20_10.xlsx&amp;sheet=U0&amp;row=1034&amp;col=7&amp;number=0.0023&amp;sourceID=14","0.0023")</f>
        <v>0.0023</v>
      </c>
    </row>
    <row r="1035" spans="1:7">
      <c r="A1035" s="3"/>
      <c r="B1035" s="3"/>
      <c r="C1035" s="3"/>
      <c r="D1035" s="3"/>
      <c r="E1035" s="3">
        <v>12</v>
      </c>
      <c r="F1035" s="4" t="str">
        <f>HYPERLINK("http://141.218.60.56/~jnz1568/getInfo.php?workbook=20_10.xlsx&amp;sheet=U0&amp;row=1035&amp;col=6&amp;number=4.1&amp;sourceID=14","4.1")</f>
        <v>4.1</v>
      </c>
      <c r="G1035" s="4" t="str">
        <f>HYPERLINK("http://141.218.60.56/~jnz1568/getInfo.php?workbook=20_10.xlsx&amp;sheet=U0&amp;row=1035&amp;col=7&amp;number=0.0023&amp;sourceID=14","0.0023")</f>
        <v>0.0023</v>
      </c>
    </row>
    <row r="1036" spans="1:7">
      <c r="A1036" s="3"/>
      <c r="B1036" s="3"/>
      <c r="C1036" s="3"/>
      <c r="D1036" s="3"/>
      <c r="E1036" s="3">
        <v>13</v>
      </c>
      <c r="F1036" s="4" t="str">
        <f>HYPERLINK("http://141.218.60.56/~jnz1568/getInfo.php?workbook=20_10.xlsx&amp;sheet=U0&amp;row=1036&amp;col=6&amp;number=4.2&amp;sourceID=14","4.2")</f>
        <v>4.2</v>
      </c>
      <c r="G1036" s="4" t="str">
        <f>HYPERLINK("http://141.218.60.56/~jnz1568/getInfo.php?workbook=20_10.xlsx&amp;sheet=U0&amp;row=1036&amp;col=7&amp;number=0.00229&amp;sourceID=14","0.00229")</f>
        <v>0.00229</v>
      </c>
    </row>
    <row r="1037" spans="1:7">
      <c r="A1037" s="3"/>
      <c r="B1037" s="3"/>
      <c r="C1037" s="3"/>
      <c r="D1037" s="3"/>
      <c r="E1037" s="3">
        <v>14</v>
      </c>
      <c r="F1037" s="4" t="str">
        <f>HYPERLINK("http://141.218.60.56/~jnz1568/getInfo.php?workbook=20_10.xlsx&amp;sheet=U0&amp;row=1037&amp;col=6&amp;number=4.3&amp;sourceID=14","4.3")</f>
        <v>4.3</v>
      </c>
      <c r="G1037" s="4" t="str">
        <f>HYPERLINK("http://141.218.60.56/~jnz1568/getInfo.php?workbook=20_10.xlsx&amp;sheet=U0&amp;row=1037&amp;col=7&amp;number=0.00229&amp;sourceID=14","0.00229")</f>
        <v>0.00229</v>
      </c>
    </row>
    <row r="1038" spans="1:7">
      <c r="A1038" s="3"/>
      <c r="B1038" s="3"/>
      <c r="C1038" s="3"/>
      <c r="D1038" s="3"/>
      <c r="E1038" s="3">
        <v>15</v>
      </c>
      <c r="F1038" s="4" t="str">
        <f>HYPERLINK("http://141.218.60.56/~jnz1568/getInfo.php?workbook=20_10.xlsx&amp;sheet=U0&amp;row=1038&amp;col=6&amp;number=4.4&amp;sourceID=14","4.4")</f>
        <v>4.4</v>
      </c>
      <c r="G1038" s="4" t="str">
        <f>HYPERLINK("http://141.218.60.56/~jnz1568/getInfo.php?workbook=20_10.xlsx&amp;sheet=U0&amp;row=1038&amp;col=7&amp;number=0.00229&amp;sourceID=14","0.00229")</f>
        <v>0.00229</v>
      </c>
    </row>
    <row r="1039" spans="1:7">
      <c r="A1039" s="3"/>
      <c r="B1039" s="3"/>
      <c r="C1039" s="3"/>
      <c r="D1039" s="3"/>
      <c r="E1039" s="3">
        <v>16</v>
      </c>
      <c r="F1039" s="4" t="str">
        <f>HYPERLINK("http://141.218.60.56/~jnz1568/getInfo.php?workbook=20_10.xlsx&amp;sheet=U0&amp;row=1039&amp;col=6&amp;number=4.5&amp;sourceID=14","4.5")</f>
        <v>4.5</v>
      </c>
      <c r="G1039" s="4" t="str">
        <f>HYPERLINK("http://141.218.60.56/~jnz1568/getInfo.php?workbook=20_10.xlsx&amp;sheet=U0&amp;row=1039&amp;col=7&amp;number=0.00229&amp;sourceID=14","0.00229")</f>
        <v>0.00229</v>
      </c>
    </row>
    <row r="1040" spans="1:7">
      <c r="A1040" s="3"/>
      <c r="B1040" s="3"/>
      <c r="C1040" s="3"/>
      <c r="D1040" s="3"/>
      <c r="E1040" s="3">
        <v>17</v>
      </c>
      <c r="F1040" s="4" t="str">
        <f>HYPERLINK("http://141.218.60.56/~jnz1568/getInfo.php?workbook=20_10.xlsx&amp;sheet=U0&amp;row=1040&amp;col=6&amp;number=4.6&amp;sourceID=14","4.6")</f>
        <v>4.6</v>
      </c>
      <c r="G1040" s="4" t="str">
        <f>HYPERLINK("http://141.218.60.56/~jnz1568/getInfo.php?workbook=20_10.xlsx&amp;sheet=U0&amp;row=1040&amp;col=7&amp;number=0.00228&amp;sourceID=14","0.00228")</f>
        <v>0.00228</v>
      </c>
    </row>
    <row r="1041" spans="1:7">
      <c r="A1041" s="3"/>
      <c r="B1041" s="3"/>
      <c r="C1041" s="3"/>
      <c r="D1041" s="3"/>
      <c r="E1041" s="3">
        <v>18</v>
      </c>
      <c r="F1041" s="4" t="str">
        <f>HYPERLINK("http://141.218.60.56/~jnz1568/getInfo.php?workbook=20_10.xlsx&amp;sheet=U0&amp;row=1041&amp;col=6&amp;number=4.7&amp;sourceID=14","4.7")</f>
        <v>4.7</v>
      </c>
      <c r="G1041" s="4" t="str">
        <f>HYPERLINK("http://141.218.60.56/~jnz1568/getInfo.php?workbook=20_10.xlsx&amp;sheet=U0&amp;row=1041&amp;col=7&amp;number=0.00227&amp;sourceID=14","0.00227")</f>
        <v>0.00227</v>
      </c>
    </row>
    <row r="1042" spans="1:7">
      <c r="A1042" s="3"/>
      <c r="B1042" s="3"/>
      <c r="C1042" s="3"/>
      <c r="D1042" s="3"/>
      <c r="E1042" s="3">
        <v>19</v>
      </c>
      <c r="F1042" s="4" t="str">
        <f>HYPERLINK("http://141.218.60.56/~jnz1568/getInfo.php?workbook=20_10.xlsx&amp;sheet=U0&amp;row=1042&amp;col=6&amp;number=4.8&amp;sourceID=14","4.8")</f>
        <v>4.8</v>
      </c>
      <c r="G1042" s="4" t="str">
        <f>HYPERLINK("http://141.218.60.56/~jnz1568/getInfo.php?workbook=20_10.xlsx&amp;sheet=U0&amp;row=1042&amp;col=7&amp;number=0.00227&amp;sourceID=14","0.00227")</f>
        <v>0.00227</v>
      </c>
    </row>
    <row r="1043" spans="1:7">
      <c r="A1043" s="3"/>
      <c r="B1043" s="3"/>
      <c r="C1043" s="3"/>
      <c r="D1043" s="3"/>
      <c r="E1043" s="3">
        <v>20</v>
      </c>
      <c r="F1043" s="4" t="str">
        <f>HYPERLINK("http://141.218.60.56/~jnz1568/getInfo.php?workbook=20_10.xlsx&amp;sheet=U0&amp;row=1043&amp;col=6&amp;number=4.9&amp;sourceID=14","4.9")</f>
        <v>4.9</v>
      </c>
      <c r="G1043" s="4" t="str">
        <f>HYPERLINK("http://141.218.60.56/~jnz1568/getInfo.php?workbook=20_10.xlsx&amp;sheet=U0&amp;row=1043&amp;col=7&amp;number=0.00226&amp;sourceID=14","0.00226")</f>
        <v>0.00226</v>
      </c>
    </row>
    <row r="1044" spans="1:7">
      <c r="A1044" s="3">
        <v>20</v>
      </c>
      <c r="B1044" s="3">
        <v>10</v>
      </c>
      <c r="C1044" s="3">
        <v>1</v>
      </c>
      <c r="D1044" s="3">
        <v>54</v>
      </c>
      <c r="E1044" s="3">
        <v>1</v>
      </c>
      <c r="F1044" s="4" t="str">
        <f>HYPERLINK("http://141.218.60.56/~jnz1568/getInfo.php?workbook=20_10.xlsx&amp;sheet=U0&amp;row=1044&amp;col=6&amp;number=3&amp;sourceID=14","3")</f>
        <v>3</v>
      </c>
      <c r="G1044" s="4" t="str">
        <f>HYPERLINK("http://141.218.60.56/~jnz1568/getInfo.php?workbook=20_10.xlsx&amp;sheet=U0&amp;row=1044&amp;col=7&amp;number=0.0022&amp;sourceID=14","0.0022")</f>
        <v>0.0022</v>
      </c>
    </row>
    <row r="1045" spans="1:7">
      <c r="A1045" s="3"/>
      <c r="B1045" s="3"/>
      <c r="C1045" s="3"/>
      <c r="D1045" s="3"/>
      <c r="E1045" s="3">
        <v>2</v>
      </c>
      <c r="F1045" s="4" t="str">
        <f>HYPERLINK("http://141.218.60.56/~jnz1568/getInfo.php?workbook=20_10.xlsx&amp;sheet=U0&amp;row=1045&amp;col=6&amp;number=3.1&amp;sourceID=14","3.1")</f>
        <v>3.1</v>
      </c>
      <c r="G1045" s="4" t="str">
        <f>HYPERLINK("http://141.218.60.56/~jnz1568/getInfo.php?workbook=20_10.xlsx&amp;sheet=U0&amp;row=1045&amp;col=7&amp;number=0.0022&amp;sourceID=14","0.0022")</f>
        <v>0.0022</v>
      </c>
    </row>
    <row r="1046" spans="1:7">
      <c r="A1046" s="3"/>
      <c r="B1046" s="3"/>
      <c r="C1046" s="3"/>
      <c r="D1046" s="3"/>
      <c r="E1046" s="3">
        <v>3</v>
      </c>
      <c r="F1046" s="4" t="str">
        <f>HYPERLINK("http://141.218.60.56/~jnz1568/getInfo.php?workbook=20_10.xlsx&amp;sheet=U0&amp;row=1046&amp;col=6&amp;number=3.2&amp;sourceID=14","3.2")</f>
        <v>3.2</v>
      </c>
      <c r="G1046" s="4" t="str">
        <f>HYPERLINK("http://141.218.60.56/~jnz1568/getInfo.php?workbook=20_10.xlsx&amp;sheet=U0&amp;row=1046&amp;col=7&amp;number=0.0022&amp;sourceID=14","0.0022")</f>
        <v>0.0022</v>
      </c>
    </row>
    <row r="1047" spans="1:7">
      <c r="A1047" s="3"/>
      <c r="B1047" s="3"/>
      <c r="C1047" s="3"/>
      <c r="D1047" s="3"/>
      <c r="E1047" s="3">
        <v>4</v>
      </c>
      <c r="F1047" s="4" t="str">
        <f>HYPERLINK("http://141.218.60.56/~jnz1568/getInfo.php?workbook=20_10.xlsx&amp;sheet=U0&amp;row=1047&amp;col=6&amp;number=3.3&amp;sourceID=14","3.3")</f>
        <v>3.3</v>
      </c>
      <c r="G1047" s="4" t="str">
        <f>HYPERLINK("http://141.218.60.56/~jnz1568/getInfo.php?workbook=20_10.xlsx&amp;sheet=U0&amp;row=1047&amp;col=7&amp;number=0.0022&amp;sourceID=14","0.0022")</f>
        <v>0.0022</v>
      </c>
    </row>
    <row r="1048" spans="1:7">
      <c r="A1048" s="3"/>
      <c r="B1048" s="3"/>
      <c r="C1048" s="3"/>
      <c r="D1048" s="3"/>
      <c r="E1048" s="3">
        <v>5</v>
      </c>
      <c r="F1048" s="4" t="str">
        <f>HYPERLINK("http://141.218.60.56/~jnz1568/getInfo.php?workbook=20_10.xlsx&amp;sheet=U0&amp;row=1048&amp;col=6&amp;number=3.4&amp;sourceID=14","3.4")</f>
        <v>3.4</v>
      </c>
      <c r="G1048" s="4" t="str">
        <f>HYPERLINK("http://141.218.60.56/~jnz1568/getInfo.php?workbook=20_10.xlsx&amp;sheet=U0&amp;row=1048&amp;col=7&amp;number=0.0022&amp;sourceID=14","0.0022")</f>
        <v>0.0022</v>
      </c>
    </row>
    <row r="1049" spans="1:7">
      <c r="A1049" s="3"/>
      <c r="B1049" s="3"/>
      <c r="C1049" s="3"/>
      <c r="D1049" s="3"/>
      <c r="E1049" s="3">
        <v>6</v>
      </c>
      <c r="F1049" s="4" t="str">
        <f>HYPERLINK("http://141.218.60.56/~jnz1568/getInfo.php?workbook=20_10.xlsx&amp;sheet=U0&amp;row=1049&amp;col=6&amp;number=3.5&amp;sourceID=14","3.5")</f>
        <v>3.5</v>
      </c>
      <c r="G1049" s="4" t="str">
        <f>HYPERLINK("http://141.218.60.56/~jnz1568/getInfo.php?workbook=20_10.xlsx&amp;sheet=U0&amp;row=1049&amp;col=7&amp;number=0.0022&amp;sourceID=14","0.0022")</f>
        <v>0.0022</v>
      </c>
    </row>
    <row r="1050" spans="1:7">
      <c r="A1050" s="3"/>
      <c r="B1050" s="3"/>
      <c r="C1050" s="3"/>
      <c r="D1050" s="3"/>
      <c r="E1050" s="3">
        <v>7</v>
      </c>
      <c r="F1050" s="4" t="str">
        <f>HYPERLINK("http://141.218.60.56/~jnz1568/getInfo.php?workbook=20_10.xlsx&amp;sheet=U0&amp;row=1050&amp;col=6&amp;number=3.6&amp;sourceID=14","3.6")</f>
        <v>3.6</v>
      </c>
      <c r="G1050" s="4" t="str">
        <f>HYPERLINK("http://141.218.60.56/~jnz1568/getInfo.php?workbook=20_10.xlsx&amp;sheet=U0&amp;row=1050&amp;col=7&amp;number=0.0022&amp;sourceID=14","0.0022")</f>
        <v>0.0022</v>
      </c>
    </row>
    <row r="1051" spans="1:7">
      <c r="A1051" s="3"/>
      <c r="B1051" s="3"/>
      <c r="C1051" s="3"/>
      <c r="D1051" s="3"/>
      <c r="E1051" s="3">
        <v>8</v>
      </c>
      <c r="F1051" s="4" t="str">
        <f>HYPERLINK("http://141.218.60.56/~jnz1568/getInfo.php?workbook=20_10.xlsx&amp;sheet=U0&amp;row=1051&amp;col=6&amp;number=3.7&amp;sourceID=14","3.7")</f>
        <v>3.7</v>
      </c>
      <c r="G1051" s="4" t="str">
        <f>HYPERLINK("http://141.218.60.56/~jnz1568/getInfo.php?workbook=20_10.xlsx&amp;sheet=U0&amp;row=1051&amp;col=7&amp;number=0.0022&amp;sourceID=14","0.0022")</f>
        <v>0.0022</v>
      </c>
    </row>
    <row r="1052" spans="1:7">
      <c r="A1052" s="3"/>
      <c r="B1052" s="3"/>
      <c r="C1052" s="3"/>
      <c r="D1052" s="3"/>
      <c r="E1052" s="3">
        <v>9</v>
      </c>
      <c r="F1052" s="4" t="str">
        <f>HYPERLINK("http://141.218.60.56/~jnz1568/getInfo.php?workbook=20_10.xlsx&amp;sheet=U0&amp;row=1052&amp;col=6&amp;number=3.8&amp;sourceID=14","3.8")</f>
        <v>3.8</v>
      </c>
      <c r="G1052" s="4" t="str">
        <f>HYPERLINK("http://141.218.60.56/~jnz1568/getInfo.php?workbook=20_10.xlsx&amp;sheet=U0&amp;row=1052&amp;col=7&amp;number=0.0022&amp;sourceID=14","0.0022")</f>
        <v>0.0022</v>
      </c>
    </row>
    <row r="1053" spans="1:7">
      <c r="A1053" s="3"/>
      <c r="B1053" s="3"/>
      <c r="C1053" s="3"/>
      <c r="D1053" s="3"/>
      <c r="E1053" s="3">
        <v>10</v>
      </c>
      <c r="F1053" s="4" t="str">
        <f>HYPERLINK("http://141.218.60.56/~jnz1568/getInfo.php?workbook=20_10.xlsx&amp;sheet=U0&amp;row=1053&amp;col=6&amp;number=3.9&amp;sourceID=14","3.9")</f>
        <v>3.9</v>
      </c>
      <c r="G1053" s="4" t="str">
        <f>HYPERLINK("http://141.218.60.56/~jnz1568/getInfo.php?workbook=20_10.xlsx&amp;sheet=U0&amp;row=1053&amp;col=7&amp;number=0.0022&amp;sourceID=14","0.0022")</f>
        <v>0.0022</v>
      </c>
    </row>
    <row r="1054" spans="1:7">
      <c r="A1054" s="3"/>
      <c r="B1054" s="3"/>
      <c r="C1054" s="3"/>
      <c r="D1054" s="3"/>
      <c r="E1054" s="3">
        <v>11</v>
      </c>
      <c r="F1054" s="4" t="str">
        <f>HYPERLINK("http://141.218.60.56/~jnz1568/getInfo.php?workbook=20_10.xlsx&amp;sheet=U0&amp;row=1054&amp;col=6&amp;number=4&amp;sourceID=14","4")</f>
        <v>4</v>
      </c>
      <c r="G1054" s="4" t="str">
        <f>HYPERLINK("http://141.218.60.56/~jnz1568/getInfo.php?workbook=20_10.xlsx&amp;sheet=U0&amp;row=1054&amp;col=7&amp;number=0.0022&amp;sourceID=14","0.0022")</f>
        <v>0.0022</v>
      </c>
    </row>
    <row r="1055" spans="1:7">
      <c r="A1055" s="3"/>
      <c r="B1055" s="3"/>
      <c r="C1055" s="3"/>
      <c r="D1055" s="3"/>
      <c r="E1055" s="3">
        <v>12</v>
      </c>
      <c r="F1055" s="4" t="str">
        <f>HYPERLINK("http://141.218.60.56/~jnz1568/getInfo.php?workbook=20_10.xlsx&amp;sheet=U0&amp;row=1055&amp;col=6&amp;number=4.1&amp;sourceID=14","4.1")</f>
        <v>4.1</v>
      </c>
      <c r="G1055" s="4" t="str">
        <f>HYPERLINK("http://141.218.60.56/~jnz1568/getInfo.php?workbook=20_10.xlsx&amp;sheet=U0&amp;row=1055&amp;col=7&amp;number=0.00219&amp;sourceID=14","0.00219")</f>
        <v>0.00219</v>
      </c>
    </row>
    <row r="1056" spans="1:7">
      <c r="A1056" s="3"/>
      <c r="B1056" s="3"/>
      <c r="C1056" s="3"/>
      <c r="D1056" s="3"/>
      <c r="E1056" s="3">
        <v>13</v>
      </c>
      <c r="F1056" s="4" t="str">
        <f>HYPERLINK("http://141.218.60.56/~jnz1568/getInfo.php?workbook=20_10.xlsx&amp;sheet=U0&amp;row=1056&amp;col=6&amp;number=4.2&amp;sourceID=14","4.2")</f>
        <v>4.2</v>
      </c>
      <c r="G1056" s="4" t="str">
        <f>HYPERLINK("http://141.218.60.56/~jnz1568/getInfo.php?workbook=20_10.xlsx&amp;sheet=U0&amp;row=1056&amp;col=7&amp;number=0.00219&amp;sourceID=14","0.00219")</f>
        <v>0.00219</v>
      </c>
    </row>
    <row r="1057" spans="1:7">
      <c r="A1057" s="3"/>
      <c r="B1057" s="3"/>
      <c r="C1057" s="3"/>
      <c r="D1057" s="3"/>
      <c r="E1057" s="3">
        <v>14</v>
      </c>
      <c r="F1057" s="4" t="str">
        <f>HYPERLINK("http://141.218.60.56/~jnz1568/getInfo.php?workbook=20_10.xlsx&amp;sheet=U0&amp;row=1057&amp;col=6&amp;number=4.3&amp;sourceID=14","4.3")</f>
        <v>4.3</v>
      </c>
      <c r="G1057" s="4" t="str">
        <f>HYPERLINK("http://141.218.60.56/~jnz1568/getInfo.php?workbook=20_10.xlsx&amp;sheet=U0&amp;row=1057&amp;col=7&amp;number=0.00219&amp;sourceID=14","0.00219")</f>
        <v>0.00219</v>
      </c>
    </row>
    <row r="1058" spans="1:7">
      <c r="A1058" s="3"/>
      <c r="B1058" s="3"/>
      <c r="C1058" s="3"/>
      <c r="D1058" s="3"/>
      <c r="E1058" s="3">
        <v>15</v>
      </c>
      <c r="F1058" s="4" t="str">
        <f>HYPERLINK("http://141.218.60.56/~jnz1568/getInfo.php?workbook=20_10.xlsx&amp;sheet=U0&amp;row=1058&amp;col=6&amp;number=4.4&amp;sourceID=14","4.4")</f>
        <v>4.4</v>
      </c>
      <c r="G1058" s="4" t="str">
        <f>HYPERLINK("http://141.218.60.56/~jnz1568/getInfo.php?workbook=20_10.xlsx&amp;sheet=U0&amp;row=1058&amp;col=7&amp;number=0.00219&amp;sourceID=14","0.00219")</f>
        <v>0.00219</v>
      </c>
    </row>
    <row r="1059" spans="1:7">
      <c r="A1059" s="3"/>
      <c r="B1059" s="3"/>
      <c r="C1059" s="3"/>
      <c r="D1059" s="3"/>
      <c r="E1059" s="3">
        <v>16</v>
      </c>
      <c r="F1059" s="4" t="str">
        <f>HYPERLINK("http://141.218.60.56/~jnz1568/getInfo.php?workbook=20_10.xlsx&amp;sheet=U0&amp;row=1059&amp;col=6&amp;number=4.5&amp;sourceID=14","4.5")</f>
        <v>4.5</v>
      </c>
      <c r="G1059" s="4" t="str">
        <f>HYPERLINK("http://141.218.60.56/~jnz1568/getInfo.php?workbook=20_10.xlsx&amp;sheet=U0&amp;row=1059&amp;col=7&amp;number=0.00219&amp;sourceID=14","0.00219")</f>
        <v>0.00219</v>
      </c>
    </row>
    <row r="1060" spans="1:7">
      <c r="A1060" s="3"/>
      <c r="B1060" s="3"/>
      <c r="C1060" s="3"/>
      <c r="D1060" s="3"/>
      <c r="E1060" s="3">
        <v>17</v>
      </c>
      <c r="F1060" s="4" t="str">
        <f>HYPERLINK("http://141.218.60.56/~jnz1568/getInfo.php?workbook=20_10.xlsx&amp;sheet=U0&amp;row=1060&amp;col=6&amp;number=4.6&amp;sourceID=14","4.6")</f>
        <v>4.6</v>
      </c>
      <c r="G1060" s="4" t="str">
        <f>HYPERLINK("http://141.218.60.56/~jnz1568/getInfo.php?workbook=20_10.xlsx&amp;sheet=U0&amp;row=1060&amp;col=7&amp;number=0.00218&amp;sourceID=14","0.00218")</f>
        <v>0.00218</v>
      </c>
    </row>
    <row r="1061" spans="1:7">
      <c r="A1061" s="3"/>
      <c r="B1061" s="3"/>
      <c r="C1061" s="3"/>
      <c r="D1061" s="3"/>
      <c r="E1061" s="3">
        <v>18</v>
      </c>
      <c r="F1061" s="4" t="str">
        <f>HYPERLINK("http://141.218.60.56/~jnz1568/getInfo.php?workbook=20_10.xlsx&amp;sheet=U0&amp;row=1061&amp;col=6&amp;number=4.7&amp;sourceID=14","4.7")</f>
        <v>4.7</v>
      </c>
      <c r="G1061" s="4" t="str">
        <f>HYPERLINK("http://141.218.60.56/~jnz1568/getInfo.php?workbook=20_10.xlsx&amp;sheet=U0&amp;row=1061&amp;col=7&amp;number=0.00218&amp;sourceID=14","0.00218")</f>
        <v>0.00218</v>
      </c>
    </row>
    <row r="1062" spans="1:7">
      <c r="A1062" s="3"/>
      <c r="B1062" s="3"/>
      <c r="C1062" s="3"/>
      <c r="D1062" s="3"/>
      <c r="E1062" s="3">
        <v>19</v>
      </c>
      <c r="F1062" s="4" t="str">
        <f>HYPERLINK("http://141.218.60.56/~jnz1568/getInfo.php?workbook=20_10.xlsx&amp;sheet=U0&amp;row=1062&amp;col=6&amp;number=4.8&amp;sourceID=14","4.8")</f>
        <v>4.8</v>
      </c>
      <c r="G1062" s="4" t="str">
        <f>HYPERLINK("http://141.218.60.56/~jnz1568/getInfo.php?workbook=20_10.xlsx&amp;sheet=U0&amp;row=1062&amp;col=7&amp;number=0.00217&amp;sourceID=14","0.00217")</f>
        <v>0.00217</v>
      </c>
    </row>
    <row r="1063" spans="1:7">
      <c r="A1063" s="3"/>
      <c r="B1063" s="3"/>
      <c r="C1063" s="3"/>
      <c r="D1063" s="3"/>
      <c r="E1063" s="3">
        <v>20</v>
      </c>
      <c r="F1063" s="4" t="str">
        <f>HYPERLINK("http://141.218.60.56/~jnz1568/getInfo.php?workbook=20_10.xlsx&amp;sheet=U0&amp;row=1063&amp;col=6&amp;number=4.9&amp;sourceID=14","4.9")</f>
        <v>4.9</v>
      </c>
      <c r="G1063" s="4" t="str">
        <f>HYPERLINK("http://141.218.60.56/~jnz1568/getInfo.php?workbook=20_10.xlsx&amp;sheet=U0&amp;row=1063&amp;col=7&amp;number=0.00217&amp;sourceID=14","0.00217")</f>
        <v>0.00217</v>
      </c>
    </row>
    <row r="1064" spans="1:7">
      <c r="A1064" s="3">
        <v>20</v>
      </c>
      <c r="B1064" s="3">
        <v>10</v>
      </c>
      <c r="C1064" s="3">
        <v>1</v>
      </c>
      <c r="D1064" s="3">
        <v>55</v>
      </c>
      <c r="E1064" s="3">
        <v>1</v>
      </c>
      <c r="F1064" s="4" t="str">
        <f>HYPERLINK("http://141.218.60.56/~jnz1568/getInfo.php?workbook=20_10.xlsx&amp;sheet=U0&amp;row=1064&amp;col=6&amp;number=3&amp;sourceID=14","3")</f>
        <v>3</v>
      </c>
      <c r="G1064" s="4" t="str">
        <f>HYPERLINK("http://141.218.60.56/~jnz1568/getInfo.php?workbook=20_10.xlsx&amp;sheet=U0&amp;row=1064&amp;col=7&amp;number=0.0165&amp;sourceID=14","0.0165")</f>
        <v>0.0165</v>
      </c>
    </row>
    <row r="1065" spans="1:7">
      <c r="A1065" s="3"/>
      <c r="B1065" s="3"/>
      <c r="C1065" s="3"/>
      <c r="D1065" s="3"/>
      <c r="E1065" s="3">
        <v>2</v>
      </c>
      <c r="F1065" s="4" t="str">
        <f>HYPERLINK("http://141.218.60.56/~jnz1568/getInfo.php?workbook=20_10.xlsx&amp;sheet=U0&amp;row=1065&amp;col=6&amp;number=3.1&amp;sourceID=14","3.1")</f>
        <v>3.1</v>
      </c>
      <c r="G1065" s="4" t="str">
        <f>HYPERLINK("http://141.218.60.56/~jnz1568/getInfo.php?workbook=20_10.xlsx&amp;sheet=U0&amp;row=1065&amp;col=7&amp;number=0.0165&amp;sourceID=14","0.0165")</f>
        <v>0.0165</v>
      </c>
    </row>
    <row r="1066" spans="1:7">
      <c r="A1066" s="3"/>
      <c r="B1066" s="3"/>
      <c r="C1066" s="3"/>
      <c r="D1066" s="3"/>
      <c r="E1066" s="3">
        <v>3</v>
      </c>
      <c r="F1066" s="4" t="str">
        <f>HYPERLINK("http://141.218.60.56/~jnz1568/getInfo.php?workbook=20_10.xlsx&amp;sheet=U0&amp;row=1066&amp;col=6&amp;number=3.2&amp;sourceID=14","3.2")</f>
        <v>3.2</v>
      </c>
      <c r="G1066" s="4" t="str">
        <f>HYPERLINK("http://141.218.60.56/~jnz1568/getInfo.php?workbook=20_10.xlsx&amp;sheet=U0&amp;row=1066&amp;col=7&amp;number=0.0165&amp;sourceID=14","0.0165")</f>
        <v>0.0165</v>
      </c>
    </row>
    <row r="1067" spans="1:7">
      <c r="A1067" s="3"/>
      <c r="B1067" s="3"/>
      <c r="C1067" s="3"/>
      <c r="D1067" s="3"/>
      <c r="E1067" s="3">
        <v>4</v>
      </c>
      <c r="F1067" s="4" t="str">
        <f>HYPERLINK("http://141.218.60.56/~jnz1568/getInfo.php?workbook=20_10.xlsx&amp;sheet=U0&amp;row=1067&amp;col=6&amp;number=3.3&amp;sourceID=14","3.3")</f>
        <v>3.3</v>
      </c>
      <c r="G1067" s="4" t="str">
        <f>HYPERLINK("http://141.218.60.56/~jnz1568/getInfo.php?workbook=20_10.xlsx&amp;sheet=U0&amp;row=1067&amp;col=7&amp;number=0.0165&amp;sourceID=14","0.0165")</f>
        <v>0.0165</v>
      </c>
    </row>
    <row r="1068" spans="1:7">
      <c r="A1068" s="3"/>
      <c r="B1068" s="3"/>
      <c r="C1068" s="3"/>
      <c r="D1068" s="3"/>
      <c r="E1068" s="3">
        <v>5</v>
      </c>
      <c r="F1068" s="4" t="str">
        <f>HYPERLINK("http://141.218.60.56/~jnz1568/getInfo.php?workbook=20_10.xlsx&amp;sheet=U0&amp;row=1068&amp;col=6&amp;number=3.4&amp;sourceID=14","3.4")</f>
        <v>3.4</v>
      </c>
      <c r="G1068" s="4" t="str">
        <f>HYPERLINK("http://141.218.60.56/~jnz1568/getInfo.php?workbook=20_10.xlsx&amp;sheet=U0&amp;row=1068&amp;col=7&amp;number=0.0165&amp;sourceID=14","0.0165")</f>
        <v>0.0165</v>
      </c>
    </row>
    <row r="1069" spans="1:7">
      <c r="A1069" s="3"/>
      <c r="B1069" s="3"/>
      <c r="C1069" s="3"/>
      <c r="D1069" s="3"/>
      <c r="E1069" s="3">
        <v>6</v>
      </c>
      <c r="F1069" s="4" t="str">
        <f>HYPERLINK("http://141.218.60.56/~jnz1568/getInfo.php?workbook=20_10.xlsx&amp;sheet=U0&amp;row=1069&amp;col=6&amp;number=3.5&amp;sourceID=14","3.5")</f>
        <v>3.5</v>
      </c>
      <c r="G1069" s="4" t="str">
        <f>HYPERLINK("http://141.218.60.56/~jnz1568/getInfo.php?workbook=20_10.xlsx&amp;sheet=U0&amp;row=1069&amp;col=7&amp;number=0.0165&amp;sourceID=14","0.0165")</f>
        <v>0.0165</v>
      </c>
    </row>
    <row r="1070" spans="1:7">
      <c r="A1070" s="3"/>
      <c r="B1070" s="3"/>
      <c r="C1070" s="3"/>
      <c r="D1070" s="3"/>
      <c r="E1070" s="3">
        <v>7</v>
      </c>
      <c r="F1070" s="4" t="str">
        <f>HYPERLINK("http://141.218.60.56/~jnz1568/getInfo.php?workbook=20_10.xlsx&amp;sheet=U0&amp;row=1070&amp;col=6&amp;number=3.6&amp;sourceID=14","3.6")</f>
        <v>3.6</v>
      </c>
      <c r="G1070" s="4" t="str">
        <f>HYPERLINK("http://141.218.60.56/~jnz1568/getInfo.php?workbook=20_10.xlsx&amp;sheet=U0&amp;row=1070&amp;col=7&amp;number=0.0165&amp;sourceID=14","0.0165")</f>
        <v>0.0165</v>
      </c>
    </row>
    <row r="1071" spans="1:7">
      <c r="A1071" s="3"/>
      <c r="B1071" s="3"/>
      <c r="C1071" s="3"/>
      <c r="D1071" s="3"/>
      <c r="E1071" s="3">
        <v>8</v>
      </c>
      <c r="F1071" s="4" t="str">
        <f>HYPERLINK("http://141.218.60.56/~jnz1568/getInfo.php?workbook=20_10.xlsx&amp;sheet=U0&amp;row=1071&amp;col=6&amp;number=3.7&amp;sourceID=14","3.7")</f>
        <v>3.7</v>
      </c>
      <c r="G1071" s="4" t="str">
        <f>HYPERLINK("http://141.218.60.56/~jnz1568/getInfo.php?workbook=20_10.xlsx&amp;sheet=U0&amp;row=1071&amp;col=7&amp;number=0.0165&amp;sourceID=14","0.0165")</f>
        <v>0.0165</v>
      </c>
    </row>
    <row r="1072" spans="1:7">
      <c r="A1072" s="3"/>
      <c r="B1072" s="3"/>
      <c r="C1072" s="3"/>
      <c r="D1072" s="3"/>
      <c r="E1072" s="3">
        <v>9</v>
      </c>
      <c r="F1072" s="4" t="str">
        <f>HYPERLINK("http://141.218.60.56/~jnz1568/getInfo.php?workbook=20_10.xlsx&amp;sheet=U0&amp;row=1072&amp;col=6&amp;number=3.8&amp;sourceID=14","3.8")</f>
        <v>3.8</v>
      </c>
      <c r="G1072" s="4" t="str">
        <f>HYPERLINK("http://141.218.60.56/~jnz1568/getInfo.php?workbook=20_10.xlsx&amp;sheet=U0&amp;row=1072&amp;col=7&amp;number=0.0165&amp;sourceID=14","0.0165")</f>
        <v>0.0165</v>
      </c>
    </row>
    <row r="1073" spans="1:7">
      <c r="A1073" s="3"/>
      <c r="B1073" s="3"/>
      <c r="C1073" s="3"/>
      <c r="D1073" s="3"/>
      <c r="E1073" s="3">
        <v>10</v>
      </c>
      <c r="F1073" s="4" t="str">
        <f>HYPERLINK("http://141.218.60.56/~jnz1568/getInfo.php?workbook=20_10.xlsx&amp;sheet=U0&amp;row=1073&amp;col=6&amp;number=3.9&amp;sourceID=14","3.9")</f>
        <v>3.9</v>
      </c>
      <c r="G1073" s="4" t="str">
        <f>HYPERLINK("http://141.218.60.56/~jnz1568/getInfo.php?workbook=20_10.xlsx&amp;sheet=U0&amp;row=1073&amp;col=7&amp;number=0.0165&amp;sourceID=14","0.0165")</f>
        <v>0.0165</v>
      </c>
    </row>
    <row r="1074" spans="1:7">
      <c r="A1074" s="3"/>
      <c r="B1074" s="3"/>
      <c r="C1074" s="3"/>
      <c r="D1074" s="3"/>
      <c r="E1074" s="3">
        <v>11</v>
      </c>
      <c r="F1074" s="4" t="str">
        <f>HYPERLINK("http://141.218.60.56/~jnz1568/getInfo.php?workbook=20_10.xlsx&amp;sheet=U0&amp;row=1074&amp;col=6&amp;number=4&amp;sourceID=14","4")</f>
        <v>4</v>
      </c>
      <c r="G1074" s="4" t="str">
        <f>HYPERLINK("http://141.218.60.56/~jnz1568/getInfo.php?workbook=20_10.xlsx&amp;sheet=U0&amp;row=1074&amp;col=7&amp;number=0.0165&amp;sourceID=14","0.0165")</f>
        <v>0.0165</v>
      </c>
    </row>
    <row r="1075" spans="1:7">
      <c r="A1075" s="3"/>
      <c r="B1075" s="3"/>
      <c r="C1075" s="3"/>
      <c r="D1075" s="3"/>
      <c r="E1075" s="3">
        <v>12</v>
      </c>
      <c r="F1075" s="4" t="str">
        <f>HYPERLINK("http://141.218.60.56/~jnz1568/getInfo.php?workbook=20_10.xlsx&amp;sheet=U0&amp;row=1075&amp;col=6&amp;number=4.1&amp;sourceID=14","4.1")</f>
        <v>4.1</v>
      </c>
      <c r="G1075" s="4" t="str">
        <f>HYPERLINK("http://141.218.60.56/~jnz1568/getInfo.php?workbook=20_10.xlsx&amp;sheet=U0&amp;row=1075&amp;col=7&amp;number=0.0165&amp;sourceID=14","0.0165")</f>
        <v>0.0165</v>
      </c>
    </row>
    <row r="1076" spans="1:7">
      <c r="A1076" s="3"/>
      <c r="B1076" s="3"/>
      <c r="C1076" s="3"/>
      <c r="D1076" s="3"/>
      <c r="E1076" s="3">
        <v>13</v>
      </c>
      <c r="F1076" s="4" t="str">
        <f>HYPERLINK("http://141.218.60.56/~jnz1568/getInfo.php?workbook=20_10.xlsx&amp;sheet=U0&amp;row=1076&amp;col=6&amp;number=4.2&amp;sourceID=14","4.2")</f>
        <v>4.2</v>
      </c>
      <c r="G1076" s="4" t="str">
        <f>HYPERLINK("http://141.218.60.56/~jnz1568/getInfo.php?workbook=20_10.xlsx&amp;sheet=U0&amp;row=1076&amp;col=7&amp;number=0.0166&amp;sourceID=14","0.0166")</f>
        <v>0.0166</v>
      </c>
    </row>
    <row r="1077" spans="1:7">
      <c r="A1077" s="3"/>
      <c r="B1077" s="3"/>
      <c r="C1077" s="3"/>
      <c r="D1077" s="3"/>
      <c r="E1077" s="3">
        <v>14</v>
      </c>
      <c r="F1077" s="4" t="str">
        <f>HYPERLINK("http://141.218.60.56/~jnz1568/getInfo.php?workbook=20_10.xlsx&amp;sheet=U0&amp;row=1077&amp;col=6&amp;number=4.3&amp;sourceID=14","4.3")</f>
        <v>4.3</v>
      </c>
      <c r="G1077" s="4" t="str">
        <f>HYPERLINK("http://141.218.60.56/~jnz1568/getInfo.php?workbook=20_10.xlsx&amp;sheet=U0&amp;row=1077&amp;col=7&amp;number=0.0166&amp;sourceID=14","0.0166")</f>
        <v>0.0166</v>
      </c>
    </row>
    <row r="1078" spans="1:7">
      <c r="A1078" s="3"/>
      <c r="B1078" s="3"/>
      <c r="C1078" s="3"/>
      <c r="D1078" s="3"/>
      <c r="E1078" s="3">
        <v>15</v>
      </c>
      <c r="F1078" s="4" t="str">
        <f>HYPERLINK("http://141.218.60.56/~jnz1568/getInfo.php?workbook=20_10.xlsx&amp;sheet=U0&amp;row=1078&amp;col=6&amp;number=4.4&amp;sourceID=14","4.4")</f>
        <v>4.4</v>
      </c>
      <c r="G1078" s="4" t="str">
        <f>HYPERLINK("http://141.218.60.56/~jnz1568/getInfo.php?workbook=20_10.xlsx&amp;sheet=U0&amp;row=1078&amp;col=7&amp;number=0.0166&amp;sourceID=14","0.0166")</f>
        <v>0.0166</v>
      </c>
    </row>
    <row r="1079" spans="1:7">
      <c r="A1079" s="3"/>
      <c r="B1079" s="3"/>
      <c r="C1079" s="3"/>
      <c r="D1079" s="3"/>
      <c r="E1079" s="3">
        <v>16</v>
      </c>
      <c r="F1079" s="4" t="str">
        <f>HYPERLINK("http://141.218.60.56/~jnz1568/getInfo.php?workbook=20_10.xlsx&amp;sheet=U0&amp;row=1079&amp;col=6&amp;number=4.5&amp;sourceID=14","4.5")</f>
        <v>4.5</v>
      </c>
      <c r="G1079" s="4" t="str">
        <f>HYPERLINK("http://141.218.60.56/~jnz1568/getInfo.php?workbook=20_10.xlsx&amp;sheet=U0&amp;row=1079&amp;col=7&amp;number=0.0166&amp;sourceID=14","0.0166")</f>
        <v>0.0166</v>
      </c>
    </row>
    <row r="1080" spans="1:7">
      <c r="A1080" s="3"/>
      <c r="B1080" s="3"/>
      <c r="C1080" s="3"/>
      <c r="D1080" s="3"/>
      <c r="E1080" s="3">
        <v>17</v>
      </c>
      <c r="F1080" s="4" t="str">
        <f>HYPERLINK("http://141.218.60.56/~jnz1568/getInfo.php?workbook=20_10.xlsx&amp;sheet=U0&amp;row=1080&amp;col=6&amp;number=4.6&amp;sourceID=14","4.6")</f>
        <v>4.6</v>
      </c>
      <c r="G1080" s="4" t="str">
        <f>HYPERLINK("http://141.218.60.56/~jnz1568/getInfo.php?workbook=20_10.xlsx&amp;sheet=U0&amp;row=1080&amp;col=7&amp;number=0.0166&amp;sourceID=14","0.0166")</f>
        <v>0.0166</v>
      </c>
    </row>
    <row r="1081" spans="1:7">
      <c r="A1081" s="3"/>
      <c r="B1081" s="3"/>
      <c r="C1081" s="3"/>
      <c r="D1081" s="3"/>
      <c r="E1081" s="3">
        <v>18</v>
      </c>
      <c r="F1081" s="4" t="str">
        <f>HYPERLINK("http://141.218.60.56/~jnz1568/getInfo.php?workbook=20_10.xlsx&amp;sheet=U0&amp;row=1081&amp;col=6&amp;number=4.7&amp;sourceID=14","4.7")</f>
        <v>4.7</v>
      </c>
      <c r="G1081" s="4" t="str">
        <f>HYPERLINK("http://141.218.60.56/~jnz1568/getInfo.php?workbook=20_10.xlsx&amp;sheet=U0&amp;row=1081&amp;col=7&amp;number=0.0166&amp;sourceID=14","0.0166")</f>
        <v>0.0166</v>
      </c>
    </row>
    <row r="1082" spans="1:7">
      <c r="A1082" s="3"/>
      <c r="B1082" s="3"/>
      <c r="C1082" s="3"/>
      <c r="D1082" s="3"/>
      <c r="E1082" s="3">
        <v>19</v>
      </c>
      <c r="F1082" s="4" t="str">
        <f>HYPERLINK("http://141.218.60.56/~jnz1568/getInfo.php?workbook=20_10.xlsx&amp;sheet=U0&amp;row=1082&amp;col=6&amp;number=4.8&amp;sourceID=14","4.8")</f>
        <v>4.8</v>
      </c>
      <c r="G1082" s="4" t="str">
        <f>HYPERLINK("http://141.218.60.56/~jnz1568/getInfo.php?workbook=20_10.xlsx&amp;sheet=U0&amp;row=1082&amp;col=7&amp;number=0.0166&amp;sourceID=14","0.0166")</f>
        <v>0.0166</v>
      </c>
    </row>
    <row r="1083" spans="1:7">
      <c r="A1083" s="3"/>
      <c r="B1083" s="3"/>
      <c r="C1083" s="3"/>
      <c r="D1083" s="3"/>
      <c r="E1083" s="3">
        <v>20</v>
      </c>
      <c r="F1083" s="4" t="str">
        <f>HYPERLINK("http://141.218.60.56/~jnz1568/getInfo.php?workbook=20_10.xlsx&amp;sheet=U0&amp;row=1083&amp;col=6&amp;number=4.9&amp;sourceID=14","4.9")</f>
        <v>4.9</v>
      </c>
      <c r="G1083" s="4" t="str">
        <f>HYPERLINK("http://141.218.60.56/~jnz1568/getInfo.php?workbook=20_10.xlsx&amp;sheet=U0&amp;row=1083&amp;col=7&amp;number=0.0167&amp;sourceID=14","0.0167")</f>
        <v>0.0167</v>
      </c>
    </row>
    <row r="1084" spans="1:7">
      <c r="A1084" s="3">
        <v>20</v>
      </c>
      <c r="B1084" s="3">
        <v>10</v>
      </c>
      <c r="C1084" s="3">
        <v>1</v>
      </c>
      <c r="D1084" s="3">
        <v>56</v>
      </c>
      <c r="E1084" s="3">
        <v>1</v>
      </c>
      <c r="F1084" s="4" t="str">
        <f>HYPERLINK("http://141.218.60.56/~jnz1568/getInfo.php?workbook=20_10.xlsx&amp;sheet=U0&amp;row=1084&amp;col=6&amp;number=3&amp;sourceID=14","3")</f>
        <v>3</v>
      </c>
      <c r="G1084" s="4" t="str">
        <f>HYPERLINK("http://141.218.60.56/~jnz1568/getInfo.php?workbook=20_10.xlsx&amp;sheet=U0&amp;row=1084&amp;col=7&amp;number=0.000696&amp;sourceID=14","0.000696")</f>
        <v>0.000696</v>
      </c>
    </row>
    <row r="1085" spans="1:7">
      <c r="A1085" s="3"/>
      <c r="B1085" s="3"/>
      <c r="C1085" s="3"/>
      <c r="D1085" s="3"/>
      <c r="E1085" s="3">
        <v>2</v>
      </c>
      <c r="F1085" s="4" t="str">
        <f>HYPERLINK("http://141.218.60.56/~jnz1568/getInfo.php?workbook=20_10.xlsx&amp;sheet=U0&amp;row=1085&amp;col=6&amp;number=3.1&amp;sourceID=14","3.1")</f>
        <v>3.1</v>
      </c>
      <c r="G1085" s="4" t="str">
        <f>HYPERLINK("http://141.218.60.56/~jnz1568/getInfo.php?workbook=20_10.xlsx&amp;sheet=U0&amp;row=1085&amp;col=7&amp;number=0.000696&amp;sourceID=14","0.000696")</f>
        <v>0.000696</v>
      </c>
    </row>
    <row r="1086" spans="1:7">
      <c r="A1086" s="3"/>
      <c r="B1086" s="3"/>
      <c r="C1086" s="3"/>
      <c r="D1086" s="3"/>
      <c r="E1086" s="3">
        <v>3</v>
      </c>
      <c r="F1086" s="4" t="str">
        <f>HYPERLINK("http://141.218.60.56/~jnz1568/getInfo.php?workbook=20_10.xlsx&amp;sheet=U0&amp;row=1086&amp;col=6&amp;number=3.2&amp;sourceID=14","3.2")</f>
        <v>3.2</v>
      </c>
      <c r="G1086" s="4" t="str">
        <f>HYPERLINK("http://141.218.60.56/~jnz1568/getInfo.php?workbook=20_10.xlsx&amp;sheet=U0&amp;row=1086&amp;col=7&amp;number=0.000696&amp;sourceID=14","0.000696")</f>
        <v>0.000696</v>
      </c>
    </row>
    <row r="1087" spans="1:7">
      <c r="A1087" s="3"/>
      <c r="B1087" s="3"/>
      <c r="C1087" s="3"/>
      <c r="D1087" s="3"/>
      <c r="E1087" s="3">
        <v>4</v>
      </c>
      <c r="F1087" s="4" t="str">
        <f>HYPERLINK("http://141.218.60.56/~jnz1568/getInfo.php?workbook=20_10.xlsx&amp;sheet=U0&amp;row=1087&amp;col=6&amp;number=3.3&amp;sourceID=14","3.3")</f>
        <v>3.3</v>
      </c>
      <c r="G1087" s="4" t="str">
        <f>HYPERLINK("http://141.218.60.56/~jnz1568/getInfo.php?workbook=20_10.xlsx&amp;sheet=U0&amp;row=1087&amp;col=7&amp;number=0.000696&amp;sourceID=14","0.000696")</f>
        <v>0.000696</v>
      </c>
    </row>
    <row r="1088" spans="1:7">
      <c r="A1088" s="3"/>
      <c r="B1088" s="3"/>
      <c r="C1088" s="3"/>
      <c r="D1088" s="3"/>
      <c r="E1088" s="3">
        <v>5</v>
      </c>
      <c r="F1088" s="4" t="str">
        <f>HYPERLINK("http://141.218.60.56/~jnz1568/getInfo.php?workbook=20_10.xlsx&amp;sheet=U0&amp;row=1088&amp;col=6&amp;number=3.4&amp;sourceID=14","3.4")</f>
        <v>3.4</v>
      </c>
      <c r="G1088" s="4" t="str">
        <f>HYPERLINK("http://141.218.60.56/~jnz1568/getInfo.php?workbook=20_10.xlsx&amp;sheet=U0&amp;row=1088&amp;col=7&amp;number=0.000695&amp;sourceID=14","0.000695")</f>
        <v>0.000695</v>
      </c>
    </row>
    <row r="1089" spans="1:7">
      <c r="A1089" s="3"/>
      <c r="B1089" s="3"/>
      <c r="C1089" s="3"/>
      <c r="D1089" s="3"/>
      <c r="E1089" s="3">
        <v>6</v>
      </c>
      <c r="F1089" s="4" t="str">
        <f>HYPERLINK("http://141.218.60.56/~jnz1568/getInfo.php?workbook=20_10.xlsx&amp;sheet=U0&amp;row=1089&amp;col=6&amp;number=3.5&amp;sourceID=14","3.5")</f>
        <v>3.5</v>
      </c>
      <c r="G1089" s="4" t="str">
        <f>HYPERLINK("http://141.218.60.56/~jnz1568/getInfo.php?workbook=20_10.xlsx&amp;sheet=U0&amp;row=1089&amp;col=7&amp;number=0.000695&amp;sourceID=14","0.000695")</f>
        <v>0.000695</v>
      </c>
    </row>
    <row r="1090" spans="1:7">
      <c r="A1090" s="3"/>
      <c r="B1090" s="3"/>
      <c r="C1090" s="3"/>
      <c r="D1090" s="3"/>
      <c r="E1090" s="3">
        <v>7</v>
      </c>
      <c r="F1090" s="4" t="str">
        <f>HYPERLINK("http://141.218.60.56/~jnz1568/getInfo.php?workbook=20_10.xlsx&amp;sheet=U0&amp;row=1090&amp;col=6&amp;number=3.6&amp;sourceID=14","3.6")</f>
        <v>3.6</v>
      </c>
      <c r="G1090" s="4" t="str">
        <f>HYPERLINK("http://141.218.60.56/~jnz1568/getInfo.php?workbook=20_10.xlsx&amp;sheet=U0&amp;row=1090&amp;col=7&amp;number=0.000695&amp;sourceID=14","0.000695")</f>
        <v>0.000695</v>
      </c>
    </row>
    <row r="1091" spans="1:7">
      <c r="A1091" s="3"/>
      <c r="B1091" s="3"/>
      <c r="C1091" s="3"/>
      <c r="D1091" s="3"/>
      <c r="E1091" s="3">
        <v>8</v>
      </c>
      <c r="F1091" s="4" t="str">
        <f>HYPERLINK("http://141.218.60.56/~jnz1568/getInfo.php?workbook=20_10.xlsx&amp;sheet=U0&amp;row=1091&amp;col=6&amp;number=3.7&amp;sourceID=14","3.7")</f>
        <v>3.7</v>
      </c>
      <c r="G1091" s="4" t="str">
        <f>HYPERLINK("http://141.218.60.56/~jnz1568/getInfo.php?workbook=20_10.xlsx&amp;sheet=U0&amp;row=1091&amp;col=7&amp;number=0.000695&amp;sourceID=14","0.000695")</f>
        <v>0.000695</v>
      </c>
    </row>
    <row r="1092" spans="1:7">
      <c r="A1092" s="3"/>
      <c r="B1092" s="3"/>
      <c r="C1092" s="3"/>
      <c r="D1092" s="3"/>
      <c r="E1092" s="3">
        <v>9</v>
      </c>
      <c r="F1092" s="4" t="str">
        <f>HYPERLINK("http://141.218.60.56/~jnz1568/getInfo.php?workbook=20_10.xlsx&amp;sheet=U0&amp;row=1092&amp;col=6&amp;number=3.8&amp;sourceID=14","3.8")</f>
        <v>3.8</v>
      </c>
      <c r="G1092" s="4" t="str">
        <f>HYPERLINK("http://141.218.60.56/~jnz1568/getInfo.php?workbook=20_10.xlsx&amp;sheet=U0&amp;row=1092&amp;col=7&amp;number=0.000695&amp;sourceID=14","0.000695")</f>
        <v>0.000695</v>
      </c>
    </row>
    <row r="1093" spans="1:7">
      <c r="A1093" s="3"/>
      <c r="B1093" s="3"/>
      <c r="C1093" s="3"/>
      <c r="D1093" s="3"/>
      <c r="E1093" s="3">
        <v>10</v>
      </c>
      <c r="F1093" s="4" t="str">
        <f>HYPERLINK("http://141.218.60.56/~jnz1568/getInfo.php?workbook=20_10.xlsx&amp;sheet=U0&amp;row=1093&amp;col=6&amp;number=3.9&amp;sourceID=14","3.9")</f>
        <v>3.9</v>
      </c>
      <c r="G1093" s="4" t="str">
        <f>HYPERLINK("http://141.218.60.56/~jnz1568/getInfo.php?workbook=20_10.xlsx&amp;sheet=U0&amp;row=1093&amp;col=7&amp;number=0.000694&amp;sourceID=14","0.000694")</f>
        <v>0.000694</v>
      </c>
    </row>
    <row r="1094" spans="1:7">
      <c r="A1094" s="3"/>
      <c r="B1094" s="3"/>
      <c r="C1094" s="3"/>
      <c r="D1094" s="3"/>
      <c r="E1094" s="3">
        <v>11</v>
      </c>
      <c r="F1094" s="4" t="str">
        <f>HYPERLINK("http://141.218.60.56/~jnz1568/getInfo.php?workbook=20_10.xlsx&amp;sheet=U0&amp;row=1094&amp;col=6&amp;number=4&amp;sourceID=14","4")</f>
        <v>4</v>
      </c>
      <c r="G1094" s="4" t="str">
        <f>HYPERLINK("http://141.218.60.56/~jnz1568/getInfo.php?workbook=20_10.xlsx&amp;sheet=U0&amp;row=1094&amp;col=7&amp;number=0.000694&amp;sourceID=14","0.000694")</f>
        <v>0.000694</v>
      </c>
    </row>
    <row r="1095" spans="1:7">
      <c r="A1095" s="3"/>
      <c r="B1095" s="3"/>
      <c r="C1095" s="3"/>
      <c r="D1095" s="3"/>
      <c r="E1095" s="3">
        <v>12</v>
      </c>
      <c r="F1095" s="4" t="str">
        <f>HYPERLINK("http://141.218.60.56/~jnz1568/getInfo.php?workbook=20_10.xlsx&amp;sheet=U0&amp;row=1095&amp;col=6&amp;number=4.1&amp;sourceID=14","4.1")</f>
        <v>4.1</v>
      </c>
      <c r="G1095" s="4" t="str">
        <f>HYPERLINK("http://141.218.60.56/~jnz1568/getInfo.php?workbook=20_10.xlsx&amp;sheet=U0&amp;row=1095&amp;col=7&amp;number=0.000693&amp;sourceID=14","0.000693")</f>
        <v>0.000693</v>
      </c>
    </row>
    <row r="1096" spans="1:7">
      <c r="A1096" s="3"/>
      <c r="B1096" s="3"/>
      <c r="C1096" s="3"/>
      <c r="D1096" s="3"/>
      <c r="E1096" s="3">
        <v>13</v>
      </c>
      <c r="F1096" s="4" t="str">
        <f>HYPERLINK("http://141.218.60.56/~jnz1568/getInfo.php?workbook=20_10.xlsx&amp;sheet=U0&amp;row=1096&amp;col=6&amp;number=4.2&amp;sourceID=14","4.2")</f>
        <v>4.2</v>
      </c>
      <c r="G1096" s="4" t="str">
        <f>HYPERLINK("http://141.218.60.56/~jnz1568/getInfo.php?workbook=20_10.xlsx&amp;sheet=U0&amp;row=1096&amp;col=7&amp;number=0.000693&amp;sourceID=14","0.000693")</f>
        <v>0.000693</v>
      </c>
    </row>
    <row r="1097" spans="1:7">
      <c r="A1097" s="3"/>
      <c r="B1097" s="3"/>
      <c r="C1097" s="3"/>
      <c r="D1097" s="3"/>
      <c r="E1097" s="3">
        <v>14</v>
      </c>
      <c r="F1097" s="4" t="str">
        <f>HYPERLINK("http://141.218.60.56/~jnz1568/getInfo.php?workbook=20_10.xlsx&amp;sheet=U0&amp;row=1097&amp;col=6&amp;number=4.3&amp;sourceID=14","4.3")</f>
        <v>4.3</v>
      </c>
      <c r="G1097" s="4" t="str">
        <f>HYPERLINK("http://141.218.60.56/~jnz1568/getInfo.php?workbook=20_10.xlsx&amp;sheet=U0&amp;row=1097&amp;col=7&amp;number=0.000692&amp;sourceID=14","0.000692")</f>
        <v>0.000692</v>
      </c>
    </row>
    <row r="1098" spans="1:7">
      <c r="A1098" s="3"/>
      <c r="B1098" s="3"/>
      <c r="C1098" s="3"/>
      <c r="D1098" s="3"/>
      <c r="E1098" s="3">
        <v>15</v>
      </c>
      <c r="F1098" s="4" t="str">
        <f>HYPERLINK("http://141.218.60.56/~jnz1568/getInfo.php?workbook=20_10.xlsx&amp;sheet=U0&amp;row=1098&amp;col=6&amp;number=4.4&amp;sourceID=14","4.4")</f>
        <v>4.4</v>
      </c>
      <c r="G1098" s="4" t="str">
        <f>HYPERLINK("http://141.218.60.56/~jnz1568/getInfo.php?workbook=20_10.xlsx&amp;sheet=U0&amp;row=1098&amp;col=7&amp;number=0.000691&amp;sourceID=14","0.000691")</f>
        <v>0.000691</v>
      </c>
    </row>
    <row r="1099" spans="1:7">
      <c r="A1099" s="3"/>
      <c r="B1099" s="3"/>
      <c r="C1099" s="3"/>
      <c r="D1099" s="3"/>
      <c r="E1099" s="3">
        <v>16</v>
      </c>
      <c r="F1099" s="4" t="str">
        <f>HYPERLINK("http://141.218.60.56/~jnz1568/getInfo.php?workbook=20_10.xlsx&amp;sheet=U0&amp;row=1099&amp;col=6&amp;number=4.5&amp;sourceID=14","4.5")</f>
        <v>4.5</v>
      </c>
      <c r="G1099" s="4" t="str">
        <f>HYPERLINK("http://141.218.60.56/~jnz1568/getInfo.php?workbook=20_10.xlsx&amp;sheet=U0&amp;row=1099&amp;col=7&amp;number=0.00069&amp;sourceID=14","0.00069")</f>
        <v>0.00069</v>
      </c>
    </row>
    <row r="1100" spans="1:7">
      <c r="A1100" s="3"/>
      <c r="B1100" s="3"/>
      <c r="C1100" s="3"/>
      <c r="D1100" s="3"/>
      <c r="E1100" s="3">
        <v>17</v>
      </c>
      <c r="F1100" s="4" t="str">
        <f>HYPERLINK("http://141.218.60.56/~jnz1568/getInfo.php?workbook=20_10.xlsx&amp;sheet=U0&amp;row=1100&amp;col=6&amp;number=4.6&amp;sourceID=14","4.6")</f>
        <v>4.6</v>
      </c>
      <c r="G1100" s="4" t="str">
        <f>HYPERLINK("http://141.218.60.56/~jnz1568/getInfo.php?workbook=20_10.xlsx&amp;sheet=U0&amp;row=1100&amp;col=7&amp;number=0.000688&amp;sourceID=14","0.000688")</f>
        <v>0.000688</v>
      </c>
    </row>
    <row r="1101" spans="1:7">
      <c r="A1101" s="3"/>
      <c r="B1101" s="3"/>
      <c r="C1101" s="3"/>
      <c r="D1101" s="3"/>
      <c r="E1101" s="3">
        <v>18</v>
      </c>
      <c r="F1101" s="4" t="str">
        <f>HYPERLINK("http://141.218.60.56/~jnz1568/getInfo.php?workbook=20_10.xlsx&amp;sheet=U0&amp;row=1101&amp;col=6&amp;number=4.7&amp;sourceID=14","4.7")</f>
        <v>4.7</v>
      </c>
      <c r="G1101" s="4" t="str">
        <f>HYPERLINK("http://141.218.60.56/~jnz1568/getInfo.php?workbook=20_10.xlsx&amp;sheet=U0&amp;row=1101&amp;col=7&amp;number=0.000686&amp;sourceID=14","0.000686")</f>
        <v>0.000686</v>
      </c>
    </row>
    <row r="1102" spans="1:7">
      <c r="A1102" s="3"/>
      <c r="B1102" s="3"/>
      <c r="C1102" s="3"/>
      <c r="D1102" s="3"/>
      <c r="E1102" s="3">
        <v>19</v>
      </c>
      <c r="F1102" s="4" t="str">
        <f>HYPERLINK("http://141.218.60.56/~jnz1568/getInfo.php?workbook=20_10.xlsx&amp;sheet=U0&amp;row=1102&amp;col=6&amp;number=4.8&amp;sourceID=14","4.8")</f>
        <v>4.8</v>
      </c>
      <c r="G1102" s="4" t="str">
        <f>HYPERLINK("http://141.218.60.56/~jnz1568/getInfo.php?workbook=20_10.xlsx&amp;sheet=U0&amp;row=1102&amp;col=7&amp;number=0.000684&amp;sourceID=14","0.000684")</f>
        <v>0.000684</v>
      </c>
    </row>
    <row r="1103" spans="1:7">
      <c r="A1103" s="3"/>
      <c r="B1103" s="3"/>
      <c r="C1103" s="3"/>
      <c r="D1103" s="3"/>
      <c r="E1103" s="3">
        <v>20</v>
      </c>
      <c r="F1103" s="4" t="str">
        <f>HYPERLINK("http://141.218.60.56/~jnz1568/getInfo.php?workbook=20_10.xlsx&amp;sheet=U0&amp;row=1103&amp;col=6&amp;number=4.9&amp;sourceID=14","4.9")</f>
        <v>4.9</v>
      </c>
      <c r="G1103" s="4" t="str">
        <f>HYPERLINK("http://141.218.60.56/~jnz1568/getInfo.php?workbook=20_10.xlsx&amp;sheet=U0&amp;row=1103&amp;col=7&amp;number=0.00068&amp;sourceID=14","0.00068")</f>
        <v>0.00068</v>
      </c>
    </row>
    <row r="1104" spans="1:7">
      <c r="A1104" s="3">
        <v>20</v>
      </c>
      <c r="B1104" s="3">
        <v>10</v>
      </c>
      <c r="C1104" s="3">
        <v>1</v>
      </c>
      <c r="D1104" s="3">
        <v>57</v>
      </c>
      <c r="E1104" s="3">
        <v>1</v>
      </c>
      <c r="F1104" s="4" t="str">
        <f>HYPERLINK("http://141.218.60.56/~jnz1568/getInfo.php?workbook=20_10.xlsx&amp;sheet=U0&amp;row=1104&amp;col=6&amp;number=3&amp;sourceID=14","3")</f>
        <v>3</v>
      </c>
      <c r="G1104" s="4" t="str">
        <f>HYPERLINK("http://141.218.60.56/~jnz1568/getInfo.php?workbook=20_10.xlsx&amp;sheet=U0&amp;row=1104&amp;col=7&amp;number=0.00143&amp;sourceID=14","0.00143")</f>
        <v>0.00143</v>
      </c>
    </row>
    <row r="1105" spans="1:7">
      <c r="A1105" s="3"/>
      <c r="B1105" s="3"/>
      <c r="C1105" s="3"/>
      <c r="D1105" s="3"/>
      <c r="E1105" s="3">
        <v>2</v>
      </c>
      <c r="F1105" s="4" t="str">
        <f>HYPERLINK("http://141.218.60.56/~jnz1568/getInfo.php?workbook=20_10.xlsx&amp;sheet=U0&amp;row=1105&amp;col=6&amp;number=3.1&amp;sourceID=14","3.1")</f>
        <v>3.1</v>
      </c>
      <c r="G1105" s="4" t="str">
        <f>HYPERLINK("http://141.218.60.56/~jnz1568/getInfo.php?workbook=20_10.xlsx&amp;sheet=U0&amp;row=1105&amp;col=7&amp;number=0.00143&amp;sourceID=14","0.00143")</f>
        <v>0.00143</v>
      </c>
    </row>
    <row r="1106" spans="1:7">
      <c r="A1106" s="3"/>
      <c r="B1106" s="3"/>
      <c r="C1106" s="3"/>
      <c r="D1106" s="3"/>
      <c r="E1106" s="3">
        <v>3</v>
      </c>
      <c r="F1106" s="4" t="str">
        <f>HYPERLINK("http://141.218.60.56/~jnz1568/getInfo.php?workbook=20_10.xlsx&amp;sheet=U0&amp;row=1106&amp;col=6&amp;number=3.2&amp;sourceID=14","3.2")</f>
        <v>3.2</v>
      </c>
      <c r="G1106" s="4" t="str">
        <f>HYPERLINK("http://141.218.60.56/~jnz1568/getInfo.php?workbook=20_10.xlsx&amp;sheet=U0&amp;row=1106&amp;col=7&amp;number=0.00143&amp;sourceID=14","0.00143")</f>
        <v>0.00143</v>
      </c>
    </row>
    <row r="1107" spans="1:7">
      <c r="A1107" s="3"/>
      <c r="B1107" s="3"/>
      <c r="C1107" s="3"/>
      <c r="D1107" s="3"/>
      <c r="E1107" s="3">
        <v>4</v>
      </c>
      <c r="F1107" s="4" t="str">
        <f>HYPERLINK("http://141.218.60.56/~jnz1568/getInfo.php?workbook=20_10.xlsx&amp;sheet=U0&amp;row=1107&amp;col=6&amp;number=3.3&amp;sourceID=14","3.3")</f>
        <v>3.3</v>
      </c>
      <c r="G1107" s="4" t="str">
        <f>HYPERLINK("http://141.218.60.56/~jnz1568/getInfo.php?workbook=20_10.xlsx&amp;sheet=U0&amp;row=1107&amp;col=7&amp;number=0.00143&amp;sourceID=14","0.00143")</f>
        <v>0.00143</v>
      </c>
    </row>
    <row r="1108" spans="1:7">
      <c r="A1108" s="3"/>
      <c r="B1108" s="3"/>
      <c r="C1108" s="3"/>
      <c r="D1108" s="3"/>
      <c r="E1108" s="3">
        <v>5</v>
      </c>
      <c r="F1108" s="4" t="str">
        <f>HYPERLINK("http://141.218.60.56/~jnz1568/getInfo.php?workbook=20_10.xlsx&amp;sheet=U0&amp;row=1108&amp;col=6&amp;number=3.4&amp;sourceID=14","3.4")</f>
        <v>3.4</v>
      </c>
      <c r="G1108" s="4" t="str">
        <f>HYPERLINK("http://141.218.60.56/~jnz1568/getInfo.php?workbook=20_10.xlsx&amp;sheet=U0&amp;row=1108&amp;col=7&amp;number=0.00143&amp;sourceID=14","0.00143")</f>
        <v>0.00143</v>
      </c>
    </row>
    <row r="1109" spans="1:7">
      <c r="A1109" s="3"/>
      <c r="B1109" s="3"/>
      <c r="C1109" s="3"/>
      <c r="D1109" s="3"/>
      <c r="E1109" s="3">
        <v>6</v>
      </c>
      <c r="F1109" s="4" t="str">
        <f>HYPERLINK("http://141.218.60.56/~jnz1568/getInfo.php?workbook=20_10.xlsx&amp;sheet=U0&amp;row=1109&amp;col=6&amp;number=3.5&amp;sourceID=14","3.5")</f>
        <v>3.5</v>
      </c>
      <c r="G1109" s="4" t="str">
        <f>HYPERLINK("http://141.218.60.56/~jnz1568/getInfo.php?workbook=20_10.xlsx&amp;sheet=U0&amp;row=1109&amp;col=7&amp;number=0.00143&amp;sourceID=14","0.00143")</f>
        <v>0.00143</v>
      </c>
    </row>
    <row r="1110" spans="1:7">
      <c r="A1110" s="3"/>
      <c r="B1110" s="3"/>
      <c r="C1110" s="3"/>
      <c r="D1110" s="3"/>
      <c r="E1110" s="3">
        <v>7</v>
      </c>
      <c r="F1110" s="4" t="str">
        <f>HYPERLINK("http://141.218.60.56/~jnz1568/getInfo.php?workbook=20_10.xlsx&amp;sheet=U0&amp;row=1110&amp;col=6&amp;number=3.6&amp;sourceID=14","3.6")</f>
        <v>3.6</v>
      </c>
      <c r="G1110" s="4" t="str">
        <f>HYPERLINK("http://141.218.60.56/~jnz1568/getInfo.php?workbook=20_10.xlsx&amp;sheet=U0&amp;row=1110&amp;col=7&amp;number=0.00143&amp;sourceID=14","0.00143")</f>
        <v>0.00143</v>
      </c>
    </row>
    <row r="1111" spans="1:7">
      <c r="A1111" s="3"/>
      <c r="B1111" s="3"/>
      <c r="C1111" s="3"/>
      <c r="D1111" s="3"/>
      <c r="E1111" s="3">
        <v>8</v>
      </c>
      <c r="F1111" s="4" t="str">
        <f>HYPERLINK("http://141.218.60.56/~jnz1568/getInfo.php?workbook=20_10.xlsx&amp;sheet=U0&amp;row=1111&amp;col=6&amp;number=3.7&amp;sourceID=14","3.7")</f>
        <v>3.7</v>
      </c>
      <c r="G1111" s="4" t="str">
        <f>HYPERLINK("http://141.218.60.56/~jnz1568/getInfo.php?workbook=20_10.xlsx&amp;sheet=U0&amp;row=1111&amp;col=7&amp;number=0.00143&amp;sourceID=14","0.00143")</f>
        <v>0.00143</v>
      </c>
    </row>
    <row r="1112" spans="1:7">
      <c r="A1112" s="3"/>
      <c r="B1112" s="3"/>
      <c r="C1112" s="3"/>
      <c r="D1112" s="3"/>
      <c r="E1112" s="3">
        <v>9</v>
      </c>
      <c r="F1112" s="4" t="str">
        <f>HYPERLINK("http://141.218.60.56/~jnz1568/getInfo.php?workbook=20_10.xlsx&amp;sheet=U0&amp;row=1112&amp;col=6&amp;number=3.8&amp;sourceID=14","3.8")</f>
        <v>3.8</v>
      </c>
      <c r="G1112" s="4" t="str">
        <f>HYPERLINK("http://141.218.60.56/~jnz1568/getInfo.php?workbook=20_10.xlsx&amp;sheet=U0&amp;row=1112&amp;col=7&amp;number=0.00143&amp;sourceID=14","0.00143")</f>
        <v>0.00143</v>
      </c>
    </row>
    <row r="1113" spans="1:7">
      <c r="A1113" s="3"/>
      <c r="B1113" s="3"/>
      <c r="C1113" s="3"/>
      <c r="D1113" s="3"/>
      <c r="E1113" s="3">
        <v>10</v>
      </c>
      <c r="F1113" s="4" t="str">
        <f>HYPERLINK("http://141.218.60.56/~jnz1568/getInfo.php?workbook=20_10.xlsx&amp;sheet=U0&amp;row=1113&amp;col=6&amp;number=3.9&amp;sourceID=14","3.9")</f>
        <v>3.9</v>
      </c>
      <c r="G1113" s="4" t="str">
        <f>HYPERLINK("http://141.218.60.56/~jnz1568/getInfo.php?workbook=20_10.xlsx&amp;sheet=U0&amp;row=1113&amp;col=7&amp;number=0.00143&amp;sourceID=14","0.00143")</f>
        <v>0.00143</v>
      </c>
    </row>
    <row r="1114" spans="1:7">
      <c r="A1114" s="3"/>
      <c r="B1114" s="3"/>
      <c r="C1114" s="3"/>
      <c r="D1114" s="3"/>
      <c r="E1114" s="3">
        <v>11</v>
      </c>
      <c r="F1114" s="4" t="str">
        <f>HYPERLINK("http://141.218.60.56/~jnz1568/getInfo.php?workbook=20_10.xlsx&amp;sheet=U0&amp;row=1114&amp;col=6&amp;number=4&amp;sourceID=14","4")</f>
        <v>4</v>
      </c>
      <c r="G1114" s="4" t="str">
        <f>HYPERLINK("http://141.218.60.56/~jnz1568/getInfo.php?workbook=20_10.xlsx&amp;sheet=U0&amp;row=1114&amp;col=7&amp;number=0.00143&amp;sourceID=14","0.00143")</f>
        <v>0.00143</v>
      </c>
    </row>
    <row r="1115" spans="1:7">
      <c r="A1115" s="3"/>
      <c r="B1115" s="3"/>
      <c r="C1115" s="3"/>
      <c r="D1115" s="3"/>
      <c r="E1115" s="3">
        <v>12</v>
      </c>
      <c r="F1115" s="4" t="str">
        <f>HYPERLINK("http://141.218.60.56/~jnz1568/getInfo.php?workbook=20_10.xlsx&amp;sheet=U0&amp;row=1115&amp;col=6&amp;number=4.1&amp;sourceID=14","4.1")</f>
        <v>4.1</v>
      </c>
      <c r="G1115" s="4" t="str">
        <f>HYPERLINK("http://141.218.60.56/~jnz1568/getInfo.php?workbook=20_10.xlsx&amp;sheet=U0&amp;row=1115&amp;col=7&amp;number=0.00143&amp;sourceID=14","0.00143")</f>
        <v>0.00143</v>
      </c>
    </row>
    <row r="1116" spans="1:7">
      <c r="A1116" s="3"/>
      <c r="B1116" s="3"/>
      <c r="C1116" s="3"/>
      <c r="D1116" s="3"/>
      <c r="E1116" s="3">
        <v>13</v>
      </c>
      <c r="F1116" s="4" t="str">
        <f>HYPERLINK("http://141.218.60.56/~jnz1568/getInfo.php?workbook=20_10.xlsx&amp;sheet=U0&amp;row=1116&amp;col=6&amp;number=4.2&amp;sourceID=14","4.2")</f>
        <v>4.2</v>
      </c>
      <c r="G1116" s="4" t="str">
        <f>HYPERLINK("http://141.218.60.56/~jnz1568/getInfo.php?workbook=20_10.xlsx&amp;sheet=U0&amp;row=1116&amp;col=7&amp;number=0.00143&amp;sourceID=14","0.00143")</f>
        <v>0.00143</v>
      </c>
    </row>
    <row r="1117" spans="1:7">
      <c r="A1117" s="3"/>
      <c r="B1117" s="3"/>
      <c r="C1117" s="3"/>
      <c r="D1117" s="3"/>
      <c r="E1117" s="3">
        <v>14</v>
      </c>
      <c r="F1117" s="4" t="str">
        <f>HYPERLINK("http://141.218.60.56/~jnz1568/getInfo.php?workbook=20_10.xlsx&amp;sheet=U0&amp;row=1117&amp;col=6&amp;number=4.3&amp;sourceID=14","4.3")</f>
        <v>4.3</v>
      </c>
      <c r="G1117" s="4" t="str">
        <f>HYPERLINK("http://141.218.60.56/~jnz1568/getInfo.php?workbook=20_10.xlsx&amp;sheet=U0&amp;row=1117&amp;col=7&amp;number=0.00143&amp;sourceID=14","0.00143")</f>
        <v>0.00143</v>
      </c>
    </row>
    <row r="1118" spans="1:7">
      <c r="A1118" s="3"/>
      <c r="B1118" s="3"/>
      <c r="C1118" s="3"/>
      <c r="D1118" s="3"/>
      <c r="E1118" s="3">
        <v>15</v>
      </c>
      <c r="F1118" s="4" t="str">
        <f>HYPERLINK("http://141.218.60.56/~jnz1568/getInfo.php?workbook=20_10.xlsx&amp;sheet=U0&amp;row=1118&amp;col=6&amp;number=4.4&amp;sourceID=14","4.4")</f>
        <v>4.4</v>
      </c>
      <c r="G1118" s="4" t="str">
        <f>HYPERLINK("http://141.218.60.56/~jnz1568/getInfo.php?workbook=20_10.xlsx&amp;sheet=U0&amp;row=1118&amp;col=7&amp;number=0.00143&amp;sourceID=14","0.00143")</f>
        <v>0.00143</v>
      </c>
    </row>
    <row r="1119" spans="1:7">
      <c r="A1119" s="3"/>
      <c r="B1119" s="3"/>
      <c r="C1119" s="3"/>
      <c r="D1119" s="3"/>
      <c r="E1119" s="3">
        <v>16</v>
      </c>
      <c r="F1119" s="4" t="str">
        <f>HYPERLINK("http://141.218.60.56/~jnz1568/getInfo.php?workbook=20_10.xlsx&amp;sheet=U0&amp;row=1119&amp;col=6&amp;number=4.5&amp;sourceID=14","4.5")</f>
        <v>4.5</v>
      </c>
      <c r="G1119" s="4" t="str">
        <f>HYPERLINK("http://141.218.60.56/~jnz1568/getInfo.php?workbook=20_10.xlsx&amp;sheet=U0&amp;row=1119&amp;col=7&amp;number=0.00143&amp;sourceID=14","0.00143")</f>
        <v>0.00143</v>
      </c>
    </row>
    <row r="1120" spans="1:7">
      <c r="A1120" s="3"/>
      <c r="B1120" s="3"/>
      <c r="C1120" s="3"/>
      <c r="D1120" s="3"/>
      <c r="E1120" s="3">
        <v>17</v>
      </c>
      <c r="F1120" s="4" t="str">
        <f>HYPERLINK("http://141.218.60.56/~jnz1568/getInfo.php?workbook=20_10.xlsx&amp;sheet=U0&amp;row=1120&amp;col=6&amp;number=4.6&amp;sourceID=14","4.6")</f>
        <v>4.6</v>
      </c>
      <c r="G1120" s="4" t="str">
        <f>HYPERLINK("http://141.218.60.56/~jnz1568/getInfo.php?workbook=20_10.xlsx&amp;sheet=U0&amp;row=1120&amp;col=7&amp;number=0.00143&amp;sourceID=14","0.00143")</f>
        <v>0.00143</v>
      </c>
    </row>
    <row r="1121" spans="1:7">
      <c r="A1121" s="3"/>
      <c r="B1121" s="3"/>
      <c r="C1121" s="3"/>
      <c r="D1121" s="3"/>
      <c r="E1121" s="3">
        <v>18</v>
      </c>
      <c r="F1121" s="4" t="str">
        <f>HYPERLINK("http://141.218.60.56/~jnz1568/getInfo.php?workbook=20_10.xlsx&amp;sheet=U0&amp;row=1121&amp;col=6&amp;number=4.7&amp;sourceID=14","4.7")</f>
        <v>4.7</v>
      </c>
      <c r="G1121" s="4" t="str">
        <f>HYPERLINK("http://141.218.60.56/~jnz1568/getInfo.php?workbook=20_10.xlsx&amp;sheet=U0&amp;row=1121&amp;col=7&amp;number=0.00143&amp;sourceID=14","0.00143")</f>
        <v>0.00143</v>
      </c>
    </row>
    <row r="1122" spans="1:7">
      <c r="A1122" s="3"/>
      <c r="B1122" s="3"/>
      <c r="C1122" s="3"/>
      <c r="D1122" s="3"/>
      <c r="E1122" s="3">
        <v>19</v>
      </c>
      <c r="F1122" s="4" t="str">
        <f>HYPERLINK("http://141.218.60.56/~jnz1568/getInfo.php?workbook=20_10.xlsx&amp;sheet=U0&amp;row=1122&amp;col=6&amp;number=4.8&amp;sourceID=14","4.8")</f>
        <v>4.8</v>
      </c>
      <c r="G1122" s="4" t="str">
        <f>HYPERLINK("http://141.218.60.56/~jnz1568/getInfo.php?workbook=20_10.xlsx&amp;sheet=U0&amp;row=1122&amp;col=7&amp;number=0.00143&amp;sourceID=14","0.00143")</f>
        <v>0.00143</v>
      </c>
    </row>
    <row r="1123" spans="1:7">
      <c r="A1123" s="3"/>
      <c r="B1123" s="3"/>
      <c r="C1123" s="3"/>
      <c r="D1123" s="3"/>
      <c r="E1123" s="3">
        <v>20</v>
      </c>
      <c r="F1123" s="4" t="str">
        <f>HYPERLINK("http://141.218.60.56/~jnz1568/getInfo.php?workbook=20_10.xlsx&amp;sheet=U0&amp;row=1123&amp;col=6&amp;number=4.9&amp;sourceID=14","4.9")</f>
        <v>4.9</v>
      </c>
      <c r="G1123" s="4" t="str">
        <f>HYPERLINK("http://141.218.60.56/~jnz1568/getInfo.php?workbook=20_10.xlsx&amp;sheet=U0&amp;row=1123&amp;col=7&amp;number=0.00143&amp;sourceID=14","0.00143")</f>
        <v>0.00143</v>
      </c>
    </row>
    <row r="1124" spans="1:7">
      <c r="A1124" s="3">
        <v>20</v>
      </c>
      <c r="B1124" s="3">
        <v>10</v>
      </c>
      <c r="C1124" s="3">
        <v>1</v>
      </c>
      <c r="D1124" s="3">
        <v>58</v>
      </c>
      <c r="E1124" s="3">
        <v>1</v>
      </c>
      <c r="F1124" s="4" t="str">
        <f>HYPERLINK("http://141.218.60.56/~jnz1568/getInfo.php?workbook=20_10.xlsx&amp;sheet=U0&amp;row=1124&amp;col=6&amp;number=3&amp;sourceID=14","3")</f>
        <v>3</v>
      </c>
      <c r="G1124" s="4" t="str">
        <f>HYPERLINK("http://141.218.60.56/~jnz1568/getInfo.php?workbook=20_10.xlsx&amp;sheet=U0&amp;row=1124&amp;col=7&amp;number=0.00283&amp;sourceID=14","0.00283")</f>
        <v>0.00283</v>
      </c>
    </row>
    <row r="1125" spans="1:7">
      <c r="A1125" s="3"/>
      <c r="B1125" s="3"/>
      <c r="C1125" s="3"/>
      <c r="D1125" s="3"/>
      <c r="E1125" s="3">
        <v>2</v>
      </c>
      <c r="F1125" s="4" t="str">
        <f>HYPERLINK("http://141.218.60.56/~jnz1568/getInfo.php?workbook=20_10.xlsx&amp;sheet=U0&amp;row=1125&amp;col=6&amp;number=3.1&amp;sourceID=14","3.1")</f>
        <v>3.1</v>
      </c>
      <c r="G1125" s="4" t="str">
        <f>HYPERLINK("http://141.218.60.56/~jnz1568/getInfo.php?workbook=20_10.xlsx&amp;sheet=U0&amp;row=1125&amp;col=7&amp;number=0.00283&amp;sourceID=14","0.00283")</f>
        <v>0.00283</v>
      </c>
    </row>
    <row r="1126" spans="1:7">
      <c r="A1126" s="3"/>
      <c r="B1126" s="3"/>
      <c r="C1126" s="3"/>
      <c r="D1126" s="3"/>
      <c r="E1126" s="3">
        <v>3</v>
      </c>
      <c r="F1126" s="4" t="str">
        <f>HYPERLINK("http://141.218.60.56/~jnz1568/getInfo.php?workbook=20_10.xlsx&amp;sheet=U0&amp;row=1126&amp;col=6&amp;number=3.2&amp;sourceID=14","3.2")</f>
        <v>3.2</v>
      </c>
      <c r="G1126" s="4" t="str">
        <f>HYPERLINK("http://141.218.60.56/~jnz1568/getInfo.php?workbook=20_10.xlsx&amp;sheet=U0&amp;row=1126&amp;col=7&amp;number=0.00283&amp;sourceID=14","0.00283")</f>
        <v>0.00283</v>
      </c>
    </row>
    <row r="1127" spans="1:7">
      <c r="A1127" s="3"/>
      <c r="B1127" s="3"/>
      <c r="C1127" s="3"/>
      <c r="D1127" s="3"/>
      <c r="E1127" s="3">
        <v>4</v>
      </c>
      <c r="F1127" s="4" t="str">
        <f>HYPERLINK("http://141.218.60.56/~jnz1568/getInfo.php?workbook=20_10.xlsx&amp;sheet=U0&amp;row=1127&amp;col=6&amp;number=3.3&amp;sourceID=14","3.3")</f>
        <v>3.3</v>
      </c>
      <c r="G1127" s="4" t="str">
        <f>HYPERLINK("http://141.218.60.56/~jnz1568/getInfo.php?workbook=20_10.xlsx&amp;sheet=U0&amp;row=1127&amp;col=7&amp;number=0.00283&amp;sourceID=14","0.00283")</f>
        <v>0.00283</v>
      </c>
    </row>
    <row r="1128" spans="1:7">
      <c r="A1128" s="3"/>
      <c r="B1128" s="3"/>
      <c r="C1128" s="3"/>
      <c r="D1128" s="3"/>
      <c r="E1128" s="3">
        <v>5</v>
      </c>
      <c r="F1128" s="4" t="str">
        <f>HYPERLINK("http://141.218.60.56/~jnz1568/getInfo.php?workbook=20_10.xlsx&amp;sheet=U0&amp;row=1128&amp;col=6&amp;number=3.4&amp;sourceID=14","3.4")</f>
        <v>3.4</v>
      </c>
      <c r="G1128" s="4" t="str">
        <f>HYPERLINK("http://141.218.60.56/~jnz1568/getInfo.php?workbook=20_10.xlsx&amp;sheet=U0&amp;row=1128&amp;col=7&amp;number=0.00283&amp;sourceID=14","0.00283")</f>
        <v>0.00283</v>
      </c>
    </row>
    <row r="1129" spans="1:7">
      <c r="A1129" s="3"/>
      <c r="B1129" s="3"/>
      <c r="C1129" s="3"/>
      <c r="D1129" s="3"/>
      <c r="E1129" s="3">
        <v>6</v>
      </c>
      <c r="F1129" s="4" t="str">
        <f>HYPERLINK("http://141.218.60.56/~jnz1568/getInfo.php?workbook=20_10.xlsx&amp;sheet=U0&amp;row=1129&amp;col=6&amp;number=3.5&amp;sourceID=14","3.5")</f>
        <v>3.5</v>
      </c>
      <c r="G1129" s="4" t="str">
        <f>HYPERLINK("http://141.218.60.56/~jnz1568/getInfo.php?workbook=20_10.xlsx&amp;sheet=U0&amp;row=1129&amp;col=7&amp;number=0.00283&amp;sourceID=14","0.00283")</f>
        <v>0.00283</v>
      </c>
    </row>
    <row r="1130" spans="1:7">
      <c r="A1130" s="3"/>
      <c r="B1130" s="3"/>
      <c r="C1130" s="3"/>
      <c r="D1130" s="3"/>
      <c r="E1130" s="3">
        <v>7</v>
      </c>
      <c r="F1130" s="4" t="str">
        <f>HYPERLINK("http://141.218.60.56/~jnz1568/getInfo.php?workbook=20_10.xlsx&amp;sheet=U0&amp;row=1130&amp;col=6&amp;number=3.6&amp;sourceID=14","3.6")</f>
        <v>3.6</v>
      </c>
      <c r="G1130" s="4" t="str">
        <f>HYPERLINK("http://141.218.60.56/~jnz1568/getInfo.php?workbook=20_10.xlsx&amp;sheet=U0&amp;row=1130&amp;col=7&amp;number=0.00283&amp;sourceID=14","0.00283")</f>
        <v>0.00283</v>
      </c>
    </row>
    <row r="1131" spans="1:7">
      <c r="A1131" s="3"/>
      <c r="B1131" s="3"/>
      <c r="C1131" s="3"/>
      <c r="D1131" s="3"/>
      <c r="E1131" s="3">
        <v>8</v>
      </c>
      <c r="F1131" s="4" t="str">
        <f>HYPERLINK("http://141.218.60.56/~jnz1568/getInfo.php?workbook=20_10.xlsx&amp;sheet=U0&amp;row=1131&amp;col=6&amp;number=3.7&amp;sourceID=14","3.7")</f>
        <v>3.7</v>
      </c>
      <c r="G1131" s="4" t="str">
        <f>HYPERLINK("http://141.218.60.56/~jnz1568/getInfo.php?workbook=20_10.xlsx&amp;sheet=U0&amp;row=1131&amp;col=7&amp;number=0.00283&amp;sourceID=14","0.00283")</f>
        <v>0.00283</v>
      </c>
    </row>
    <row r="1132" spans="1:7">
      <c r="A1132" s="3"/>
      <c r="B1132" s="3"/>
      <c r="C1132" s="3"/>
      <c r="D1132" s="3"/>
      <c r="E1132" s="3">
        <v>9</v>
      </c>
      <c r="F1132" s="4" t="str">
        <f>HYPERLINK("http://141.218.60.56/~jnz1568/getInfo.php?workbook=20_10.xlsx&amp;sheet=U0&amp;row=1132&amp;col=6&amp;number=3.8&amp;sourceID=14","3.8")</f>
        <v>3.8</v>
      </c>
      <c r="G1132" s="4" t="str">
        <f>HYPERLINK("http://141.218.60.56/~jnz1568/getInfo.php?workbook=20_10.xlsx&amp;sheet=U0&amp;row=1132&amp;col=7&amp;number=0.00283&amp;sourceID=14","0.00283")</f>
        <v>0.00283</v>
      </c>
    </row>
    <row r="1133" spans="1:7">
      <c r="A1133" s="3"/>
      <c r="B1133" s="3"/>
      <c r="C1133" s="3"/>
      <c r="D1133" s="3"/>
      <c r="E1133" s="3">
        <v>10</v>
      </c>
      <c r="F1133" s="4" t="str">
        <f>HYPERLINK("http://141.218.60.56/~jnz1568/getInfo.php?workbook=20_10.xlsx&amp;sheet=U0&amp;row=1133&amp;col=6&amp;number=3.9&amp;sourceID=14","3.9")</f>
        <v>3.9</v>
      </c>
      <c r="G1133" s="4" t="str">
        <f>HYPERLINK("http://141.218.60.56/~jnz1568/getInfo.php?workbook=20_10.xlsx&amp;sheet=U0&amp;row=1133&amp;col=7&amp;number=0.00283&amp;sourceID=14","0.00283")</f>
        <v>0.00283</v>
      </c>
    </row>
    <row r="1134" spans="1:7">
      <c r="A1134" s="3"/>
      <c r="B1134" s="3"/>
      <c r="C1134" s="3"/>
      <c r="D1134" s="3"/>
      <c r="E1134" s="3">
        <v>11</v>
      </c>
      <c r="F1134" s="4" t="str">
        <f>HYPERLINK("http://141.218.60.56/~jnz1568/getInfo.php?workbook=20_10.xlsx&amp;sheet=U0&amp;row=1134&amp;col=6&amp;number=4&amp;sourceID=14","4")</f>
        <v>4</v>
      </c>
      <c r="G1134" s="4" t="str">
        <f>HYPERLINK("http://141.218.60.56/~jnz1568/getInfo.php?workbook=20_10.xlsx&amp;sheet=U0&amp;row=1134&amp;col=7&amp;number=0.00283&amp;sourceID=14","0.00283")</f>
        <v>0.00283</v>
      </c>
    </row>
    <row r="1135" spans="1:7">
      <c r="A1135" s="3"/>
      <c r="B1135" s="3"/>
      <c r="C1135" s="3"/>
      <c r="D1135" s="3"/>
      <c r="E1135" s="3">
        <v>12</v>
      </c>
      <c r="F1135" s="4" t="str">
        <f>HYPERLINK("http://141.218.60.56/~jnz1568/getInfo.php?workbook=20_10.xlsx&amp;sheet=U0&amp;row=1135&amp;col=6&amp;number=4.1&amp;sourceID=14","4.1")</f>
        <v>4.1</v>
      </c>
      <c r="G1135" s="4" t="str">
        <f>HYPERLINK("http://141.218.60.56/~jnz1568/getInfo.php?workbook=20_10.xlsx&amp;sheet=U0&amp;row=1135&amp;col=7&amp;number=0.00283&amp;sourceID=14","0.00283")</f>
        <v>0.00283</v>
      </c>
    </row>
    <row r="1136" spans="1:7">
      <c r="A1136" s="3"/>
      <c r="B1136" s="3"/>
      <c r="C1136" s="3"/>
      <c r="D1136" s="3"/>
      <c r="E1136" s="3">
        <v>13</v>
      </c>
      <c r="F1136" s="4" t="str">
        <f>HYPERLINK("http://141.218.60.56/~jnz1568/getInfo.php?workbook=20_10.xlsx&amp;sheet=U0&amp;row=1136&amp;col=6&amp;number=4.2&amp;sourceID=14","4.2")</f>
        <v>4.2</v>
      </c>
      <c r="G1136" s="4" t="str">
        <f>HYPERLINK("http://141.218.60.56/~jnz1568/getInfo.php?workbook=20_10.xlsx&amp;sheet=U0&amp;row=1136&amp;col=7&amp;number=0.00282&amp;sourceID=14","0.00282")</f>
        <v>0.00282</v>
      </c>
    </row>
    <row r="1137" spans="1:7">
      <c r="A1137" s="3"/>
      <c r="B1137" s="3"/>
      <c r="C1137" s="3"/>
      <c r="D1137" s="3"/>
      <c r="E1137" s="3">
        <v>14</v>
      </c>
      <c r="F1137" s="4" t="str">
        <f>HYPERLINK("http://141.218.60.56/~jnz1568/getInfo.php?workbook=20_10.xlsx&amp;sheet=U0&amp;row=1137&amp;col=6&amp;number=4.3&amp;sourceID=14","4.3")</f>
        <v>4.3</v>
      </c>
      <c r="G1137" s="4" t="str">
        <f>HYPERLINK("http://141.218.60.56/~jnz1568/getInfo.php?workbook=20_10.xlsx&amp;sheet=U0&amp;row=1137&amp;col=7&amp;number=0.00282&amp;sourceID=14","0.00282")</f>
        <v>0.00282</v>
      </c>
    </row>
    <row r="1138" spans="1:7">
      <c r="A1138" s="3"/>
      <c r="B1138" s="3"/>
      <c r="C1138" s="3"/>
      <c r="D1138" s="3"/>
      <c r="E1138" s="3">
        <v>15</v>
      </c>
      <c r="F1138" s="4" t="str">
        <f>HYPERLINK("http://141.218.60.56/~jnz1568/getInfo.php?workbook=20_10.xlsx&amp;sheet=U0&amp;row=1138&amp;col=6&amp;number=4.4&amp;sourceID=14","4.4")</f>
        <v>4.4</v>
      </c>
      <c r="G1138" s="4" t="str">
        <f>HYPERLINK("http://141.218.60.56/~jnz1568/getInfo.php?workbook=20_10.xlsx&amp;sheet=U0&amp;row=1138&amp;col=7&amp;number=0.00282&amp;sourceID=14","0.00282")</f>
        <v>0.00282</v>
      </c>
    </row>
    <row r="1139" spans="1:7">
      <c r="A1139" s="3"/>
      <c r="B1139" s="3"/>
      <c r="C1139" s="3"/>
      <c r="D1139" s="3"/>
      <c r="E1139" s="3">
        <v>16</v>
      </c>
      <c r="F1139" s="4" t="str">
        <f>HYPERLINK("http://141.218.60.56/~jnz1568/getInfo.php?workbook=20_10.xlsx&amp;sheet=U0&amp;row=1139&amp;col=6&amp;number=4.5&amp;sourceID=14","4.5")</f>
        <v>4.5</v>
      </c>
      <c r="G1139" s="4" t="str">
        <f>HYPERLINK("http://141.218.60.56/~jnz1568/getInfo.php?workbook=20_10.xlsx&amp;sheet=U0&amp;row=1139&amp;col=7&amp;number=0.00281&amp;sourceID=14","0.00281")</f>
        <v>0.00281</v>
      </c>
    </row>
    <row r="1140" spans="1:7">
      <c r="A1140" s="3"/>
      <c r="B1140" s="3"/>
      <c r="C1140" s="3"/>
      <c r="D1140" s="3"/>
      <c r="E1140" s="3">
        <v>17</v>
      </c>
      <c r="F1140" s="4" t="str">
        <f>HYPERLINK("http://141.218.60.56/~jnz1568/getInfo.php?workbook=20_10.xlsx&amp;sheet=U0&amp;row=1140&amp;col=6&amp;number=4.6&amp;sourceID=14","4.6")</f>
        <v>4.6</v>
      </c>
      <c r="G1140" s="4" t="str">
        <f>HYPERLINK("http://141.218.60.56/~jnz1568/getInfo.php?workbook=20_10.xlsx&amp;sheet=U0&amp;row=1140&amp;col=7&amp;number=0.00281&amp;sourceID=14","0.00281")</f>
        <v>0.00281</v>
      </c>
    </row>
    <row r="1141" spans="1:7">
      <c r="A1141" s="3"/>
      <c r="B1141" s="3"/>
      <c r="C1141" s="3"/>
      <c r="D1141" s="3"/>
      <c r="E1141" s="3">
        <v>18</v>
      </c>
      <c r="F1141" s="4" t="str">
        <f>HYPERLINK("http://141.218.60.56/~jnz1568/getInfo.php?workbook=20_10.xlsx&amp;sheet=U0&amp;row=1141&amp;col=6&amp;number=4.7&amp;sourceID=14","4.7")</f>
        <v>4.7</v>
      </c>
      <c r="G1141" s="4" t="str">
        <f>HYPERLINK("http://141.218.60.56/~jnz1568/getInfo.php?workbook=20_10.xlsx&amp;sheet=U0&amp;row=1141&amp;col=7&amp;number=0.0028&amp;sourceID=14","0.0028")</f>
        <v>0.0028</v>
      </c>
    </row>
    <row r="1142" spans="1:7">
      <c r="A1142" s="3"/>
      <c r="B1142" s="3"/>
      <c r="C1142" s="3"/>
      <c r="D1142" s="3"/>
      <c r="E1142" s="3">
        <v>19</v>
      </c>
      <c r="F1142" s="4" t="str">
        <f>HYPERLINK("http://141.218.60.56/~jnz1568/getInfo.php?workbook=20_10.xlsx&amp;sheet=U0&amp;row=1142&amp;col=6&amp;number=4.8&amp;sourceID=14","4.8")</f>
        <v>4.8</v>
      </c>
      <c r="G1142" s="4" t="str">
        <f>HYPERLINK("http://141.218.60.56/~jnz1568/getInfo.php?workbook=20_10.xlsx&amp;sheet=U0&amp;row=1142&amp;col=7&amp;number=0.00279&amp;sourceID=14","0.00279")</f>
        <v>0.00279</v>
      </c>
    </row>
    <row r="1143" spans="1:7">
      <c r="A1143" s="3"/>
      <c r="B1143" s="3"/>
      <c r="C1143" s="3"/>
      <c r="D1143" s="3"/>
      <c r="E1143" s="3">
        <v>20</v>
      </c>
      <c r="F1143" s="4" t="str">
        <f>HYPERLINK("http://141.218.60.56/~jnz1568/getInfo.php?workbook=20_10.xlsx&amp;sheet=U0&amp;row=1143&amp;col=6&amp;number=4.9&amp;sourceID=14","4.9")</f>
        <v>4.9</v>
      </c>
      <c r="G1143" s="4" t="str">
        <f>HYPERLINK("http://141.218.60.56/~jnz1568/getInfo.php?workbook=20_10.xlsx&amp;sheet=U0&amp;row=1143&amp;col=7&amp;number=0.00278&amp;sourceID=14","0.00278")</f>
        <v>0.00278</v>
      </c>
    </row>
    <row r="1144" spans="1:7">
      <c r="A1144" s="3">
        <v>20</v>
      </c>
      <c r="B1144" s="3">
        <v>10</v>
      </c>
      <c r="C1144" s="3">
        <v>1</v>
      </c>
      <c r="D1144" s="3">
        <v>59</v>
      </c>
      <c r="E1144" s="3">
        <v>1</v>
      </c>
      <c r="F1144" s="4" t="str">
        <f>HYPERLINK("http://141.218.60.56/~jnz1568/getInfo.php?workbook=20_10.xlsx&amp;sheet=U0&amp;row=1144&amp;col=6&amp;number=3&amp;sourceID=14","3")</f>
        <v>3</v>
      </c>
      <c r="G1144" s="4" t="str">
        <f>HYPERLINK("http://141.218.60.56/~jnz1568/getInfo.php?workbook=20_10.xlsx&amp;sheet=U0&amp;row=1144&amp;col=7&amp;number=0.00409&amp;sourceID=14","0.00409")</f>
        <v>0.00409</v>
      </c>
    </row>
    <row r="1145" spans="1:7">
      <c r="A1145" s="3"/>
      <c r="B1145" s="3"/>
      <c r="C1145" s="3"/>
      <c r="D1145" s="3"/>
      <c r="E1145" s="3">
        <v>2</v>
      </c>
      <c r="F1145" s="4" t="str">
        <f>HYPERLINK("http://141.218.60.56/~jnz1568/getInfo.php?workbook=20_10.xlsx&amp;sheet=U0&amp;row=1145&amp;col=6&amp;number=3.1&amp;sourceID=14","3.1")</f>
        <v>3.1</v>
      </c>
      <c r="G1145" s="4" t="str">
        <f>HYPERLINK("http://141.218.60.56/~jnz1568/getInfo.php?workbook=20_10.xlsx&amp;sheet=U0&amp;row=1145&amp;col=7&amp;number=0.00409&amp;sourceID=14","0.00409")</f>
        <v>0.00409</v>
      </c>
    </row>
    <row r="1146" spans="1:7">
      <c r="A1146" s="3"/>
      <c r="B1146" s="3"/>
      <c r="C1146" s="3"/>
      <c r="D1146" s="3"/>
      <c r="E1146" s="3">
        <v>3</v>
      </c>
      <c r="F1146" s="4" t="str">
        <f>HYPERLINK("http://141.218.60.56/~jnz1568/getInfo.php?workbook=20_10.xlsx&amp;sheet=U0&amp;row=1146&amp;col=6&amp;number=3.2&amp;sourceID=14","3.2")</f>
        <v>3.2</v>
      </c>
      <c r="G1146" s="4" t="str">
        <f>HYPERLINK("http://141.218.60.56/~jnz1568/getInfo.php?workbook=20_10.xlsx&amp;sheet=U0&amp;row=1146&amp;col=7&amp;number=0.00409&amp;sourceID=14","0.00409")</f>
        <v>0.00409</v>
      </c>
    </row>
    <row r="1147" spans="1:7">
      <c r="A1147" s="3"/>
      <c r="B1147" s="3"/>
      <c r="C1147" s="3"/>
      <c r="D1147" s="3"/>
      <c r="E1147" s="3">
        <v>4</v>
      </c>
      <c r="F1147" s="4" t="str">
        <f>HYPERLINK("http://141.218.60.56/~jnz1568/getInfo.php?workbook=20_10.xlsx&amp;sheet=U0&amp;row=1147&amp;col=6&amp;number=3.3&amp;sourceID=14","3.3")</f>
        <v>3.3</v>
      </c>
      <c r="G1147" s="4" t="str">
        <f>HYPERLINK("http://141.218.60.56/~jnz1568/getInfo.php?workbook=20_10.xlsx&amp;sheet=U0&amp;row=1147&amp;col=7&amp;number=0.00409&amp;sourceID=14","0.00409")</f>
        <v>0.00409</v>
      </c>
    </row>
    <row r="1148" spans="1:7">
      <c r="A1148" s="3"/>
      <c r="B1148" s="3"/>
      <c r="C1148" s="3"/>
      <c r="D1148" s="3"/>
      <c r="E1148" s="3">
        <v>5</v>
      </c>
      <c r="F1148" s="4" t="str">
        <f>HYPERLINK("http://141.218.60.56/~jnz1568/getInfo.php?workbook=20_10.xlsx&amp;sheet=U0&amp;row=1148&amp;col=6&amp;number=3.4&amp;sourceID=14","3.4")</f>
        <v>3.4</v>
      </c>
      <c r="G1148" s="4" t="str">
        <f>HYPERLINK("http://141.218.60.56/~jnz1568/getInfo.php?workbook=20_10.xlsx&amp;sheet=U0&amp;row=1148&amp;col=7&amp;number=0.00409&amp;sourceID=14","0.00409")</f>
        <v>0.00409</v>
      </c>
    </row>
    <row r="1149" spans="1:7">
      <c r="A1149" s="3"/>
      <c r="B1149" s="3"/>
      <c r="C1149" s="3"/>
      <c r="D1149" s="3"/>
      <c r="E1149" s="3">
        <v>6</v>
      </c>
      <c r="F1149" s="4" t="str">
        <f>HYPERLINK("http://141.218.60.56/~jnz1568/getInfo.php?workbook=20_10.xlsx&amp;sheet=U0&amp;row=1149&amp;col=6&amp;number=3.5&amp;sourceID=14","3.5")</f>
        <v>3.5</v>
      </c>
      <c r="G1149" s="4" t="str">
        <f>HYPERLINK("http://141.218.60.56/~jnz1568/getInfo.php?workbook=20_10.xlsx&amp;sheet=U0&amp;row=1149&amp;col=7&amp;number=0.00409&amp;sourceID=14","0.00409")</f>
        <v>0.00409</v>
      </c>
    </row>
    <row r="1150" spans="1:7">
      <c r="A1150" s="3"/>
      <c r="B1150" s="3"/>
      <c r="C1150" s="3"/>
      <c r="D1150" s="3"/>
      <c r="E1150" s="3">
        <v>7</v>
      </c>
      <c r="F1150" s="4" t="str">
        <f>HYPERLINK("http://141.218.60.56/~jnz1568/getInfo.php?workbook=20_10.xlsx&amp;sheet=U0&amp;row=1150&amp;col=6&amp;number=3.6&amp;sourceID=14","3.6")</f>
        <v>3.6</v>
      </c>
      <c r="G1150" s="4" t="str">
        <f>HYPERLINK("http://141.218.60.56/~jnz1568/getInfo.php?workbook=20_10.xlsx&amp;sheet=U0&amp;row=1150&amp;col=7&amp;number=0.00409&amp;sourceID=14","0.00409")</f>
        <v>0.00409</v>
      </c>
    </row>
    <row r="1151" spans="1:7">
      <c r="A1151" s="3"/>
      <c r="B1151" s="3"/>
      <c r="C1151" s="3"/>
      <c r="D1151" s="3"/>
      <c r="E1151" s="3">
        <v>8</v>
      </c>
      <c r="F1151" s="4" t="str">
        <f>HYPERLINK("http://141.218.60.56/~jnz1568/getInfo.php?workbook=20_10.xlsx&amp;sheet=U0&amp;row=1151&amp;col=6&amp;number=3.7&amp;sourceID=14","3.7")</f>
        <v>3.7</v>
      </c>
      <c r="G1151" s="4" t="str">
        <f>HYPERLINK("http://141.218.60.56/~jnz1568/getInfo.php?workbook=20_10.xlsx&amp;sheet=U0&amp;row=1151&amp;col=7&amp;number=0.00409&amp;sourceID=14","0.00409")</f>
        <v>0.00409</v>
      </c>
    </row>
    <row r="1152" spans="1:7">
      <c r="A1152" s="3"/>
      <c r="B1152" s="3"/>
      <c r="C1152" s="3"/>
      <c r="D1152" s="3"/>
      <c r="E1152" s="3">
        <v>9</v>
      </c>
      <c r="F1152" s="4" t="str">
        <f>HYPERLINK("http://141.218.60.56/~jnz1568/getInfo.php?workbook=20_10.xlsx&amp;sheet=U0&amp;row=1152&amp;col=6&amp;number=3.8&amp;sourceID=14","3.8")</f>
        <v>3.8</v>
      </c>
      <c r="G1152" s="4" t="str">
        <f>HYPERLINK("http://141.218.60.56/~jnz1568/getInfo.php?workbook=20_10.xlsx&amp;sheet=U0&amp;row=1152&amp;col=7&amp;number=0.00409&amp;sourceID=14","0.00409")</f>
        <v>0.00409</v>
      </c>
    </row>
    <row r="1153" spans="1:7">
      <c r="A1153" s="3"/>
      <c r="B1153" s="3"/>
      <c r="C1153" s="3"/>
      <c r="D1153" s="3"/>
      <c r="E1153" s="3">
        <v>10</v>
      </c>
      <c r="F1153" s="4" t="str">
        <f>HYPERLINK("http://141.218.60.56/~jnz1568/getInfo.php?workbook=20_10.xlsx&amp;sheet=U0&amp;row=1153&amp;col=6&amp;number=3.9&amp;sourceID=14","3.9")</f>
        <v>3.9</v>
      </c>
      <c r="G1153" s="4" t="str">
        <f>HYPERLINK("http://141.218.60.56/~jnz1568/getInfo.php?workbook=20_10.xlsx&amp;sheet=U0&amp;row=1153&amp;col=7&amp;number=0.00408&amp;sourceID=14","0.00408")</f>
        <v>0.00408</v>
      </c>
    </row>
    <row r="1154" spans="1:7">
      <c r="A1154" s="3"/>
      <c r="B1154" s="3"/>
      <c r="C1154" s="3"/>
      <c r="D1154" s="3"/>
      <c r="E1154" s="3">
        <v>11</v>
      </c>
      <c r="F1154" s="4" t="str">
        <f>HYPERLINK("http://141.218.60.56/~jnz1568/getInfo.php?workbook=20_10.xlsx&amp;sheet=U0&amp;row=1154&amp;col=6&amp;number=4&amp;sourceID=14","4")</f>
        <v>4</v>
      </c>
      <c r="G1154" s="4" t="str">
        <f>HYPERLINK("http://141.218.60.56/~jnz1568/getInfo.php?workbook=20_10.xlsx&amp;sheet=U0&amp;row=1154&amp;col=7&amp;number=0.00408&amp;sourceID=14","0.00408")</f>
        <v>0.00408</v>
      </c>
    </row>
    <row r="1155" spans="1:7">
      <c r="A1155" s="3"/>
      <c r="B1155" s="3"/>
      <c r="C1155" s="3"/>
      <c r="D1155" s="3"/>
      <c r="E1155" s="3">
        <v>12</v>
      </c>
      <c r="F1155" s="4" t="str">
        <f>HYPERLINK("http://141.218.60.56/~jnz1568/getInfo.php?workbook=20_10.xlsx&amp;sheet=U0&amp;row=1155&amp;col=6&amp;number=4.1&amp;sourceID=14","4.1")</f>
        <v>4.1</v>
      </c>
      <c r="G1155" s="4" t="str">
        <f>HYPERLINK("http://141.218.60.56/~jnz1568/getInfo.php?workbook=20_10.xlsx&amp;sheet=U0&amp;row=1155&amp;col=7&amp;number=0.00408&amp;sourceID=14","0.00408")</f>
        <v>0.00408</v>
      </c>
    </row>
    <row r="1156" spans="1:7">
      <c r="A1156" s="3"/>
      <c r="B1156" s="3"/>
      <c r="C1156" s="3"/>
      <c r="D1156" s="3"/>
      <c r="E1156" s="3">
        <v>13</v>
      </c>
      <c r="F1156" s="4" t="str">
        <f>HYPERLINK("http://141.218.60.56/~jnz1568/getInfo.php?workbook=20_10.xlsx&amp;sheet=U0&amp;row=1156&amp;col=6&amp;number=4.2&amp;sourceID=14","4.2")</f>
        <v>4.2</v>
      </c>
      <c r="G1156" s="4" t="str">
        <f>HYPERLINK("http://141.218.60.56/~jnz1568/getInfo.php?workbook=20_10.xlsx&amp;sheet=U0&amp;row=1156&amp;col=7&amp;number=0.00408&amp;sourceID=14","0.00408")</f>
        <v>0.00408</v>
      </c>
    </row>
    <row r="1157" spans="1:7">
      <c r="A1157" s="3"/>
      <c r="B1157" s="3"/>
      <c r="C1157" s="3"/>
      <c r="D1157" s="3"/>
      <c r="E1157" s="3">
        <v>14</v>
      </c>
      <c r="F1157" s="4" t="str">
        <f>HYPERLINK("http://141.218.60.56/~jnz1568/getInfo.php?workbook=20_10.xlsx&amp;sheet=U0&amp;row=1157&amp;col=6&amp;number=4.3&amp;sourceID=14","4.3")</f>
        <v>4.3</v>
      </c>
      <c r="G1157" s="4" t="str">
        <f>HYPERLINK("http://141.218.60.56/~jnz1568/getInfo.php?workbook=20_10.xlsx&amp;sheet=U0&amp;row=1157&amp;col=7&amp;number=0.00407&amp;sourceID=14","0.00407")</f>
        <v>0.00407</v>
      </c>
    </row>
    <row r="1158" spans="1:7">
      <c r="A1158" s="3"/>
      <c r="B1158" s="3"/>
      <c r="C1158" s="3"/>
      <c r="D1158" s="3"/>
      <c r="E1158" s="3">
        <v>15</v>
      </c>
      <c r="F1158" s="4" t="str">
        <f>HYPERLINK("http://141.218.60.56/~jnz1568/getInfo.php?workbook=20_10.xlsx&amp;sheet=U0&amp;row=1158&amp;col=6&amp;number=4.4&amp;sourceID=14","4.4")</f>
        <v>4.4</v>
      </c>
      <c r="G1158" s="4" t="str">
        <f>HYPERLINK("http://141.218.60.56/~jnz1568/getInfo.php?workbook=20_10.xlsx&amp;sheet=U0&amp;row=1158&amp;col=7&amp;number=0.00407&amp;sourceID=14","0.00407")</f>
        <v>0.00407</v>
      </c>
    </row>
    <row r="1159" spans="1:7">
      <c r="A1159" s="3"/>
      <c r="B1159" s="3"/>
      <c r="C1159" s="3"/>
      <c r="D1159" s="3"/>
      <c r="E1159" s="3">
        <v>16</v>
      </c>
      <c r="F1159" s="4" t="str">
        <f>HYPERLINK("http://141.218.60.56/~jnz1568/getInfo.php?workbook=20_10.xlsx&amp;sheet=U0&amp;row=1159&amp;col=6&amp;number=4.5&amp;sourceID=14","4.5")</f>
        <v>4.5</v>
      </c>
      <c r="G1159" s="4" t="str">
        <f>HYPERLINK("http://141.218.60.56/~jnz1568/getInfo.php?workbook=20_10.xlsx&amp;sheet=U0&amp;row=1159&amp;col=7&amp;number=0.00406&amp;sourceID=14","0.00406")</f>
        <v>0.00406</v>
      </c>
    </row>
    <row r="1160" spans="1:7">
      <c r="A1160" s="3"/>
      <c r="B1160" s="3"/>
      <c r="C1160" s="3"/>
      <c r="D1160" s="3"/>
      <c r="E1160" s="3">
        <v>17</v>
      </c>
      <c r="F1160" s="4" t="str">
        <f>HYPERLINK("http://141.218.60.56/~jnz1568/getInfo.php?workbook=20_10.xlsx&amp;sheet=U0&amp;row=1160&amp;col=6&amp;number=4.6&amp;sourceID=14","4.6")</f>
        <v>4.6</v>
      </c>
      <c r="G1160" s="4" t="str">
        <f>HYPERLINK("http://141.218.60.56/~jnz1568/getInfo.php?workbook=20_10.xlsx&amp;sheet=U0&amp;row=1160&amp;col=7&amp;number=0.00405&amp;sourceID=14","0.00405")</f>
        <v>0.00405</v>
      </c>
    </row>
    <row r="1161" spans="1:7">
      <c r="A1161" s="3"/>
      <c r="B1161" s="3"/>
      <c r="C1161" s="3"/>
      <c r="D1161" s="3"/>
      <c r="E1161" s="3">
        <v>18</v>
      </c>
      <c r="F1161" s="4" t="str">
        <f>HYPERLINK("http://141.218.60.56/~jnz1568/getInfo.php?workbook=20_10.xlsx&amp;sheet=U0&amp;row=1161&amp;col=6&amp;number=4.7&amp;sourceID=14","4.7")</f>
        <v>4.7</v>
      </c>
      <c r="G1161" s="4" t="str">
        <f>HYPERLINK("http://141.218.60.56/~jnz1568/getInfo.php?workbook=20_10.xlsx&amp;sheet=U0&amp;row=1161&amp;col=7&amp;number=0.00404&amp;sourceID=14","0.00404")</f>
        <v>0.00404</v>
      </c>
    </row>
    <row r="1162" spans="1:7">
      <c r="A1162" s="3"/>
      <c r="B1162" s="3"/>
      <c r="C1162" s="3"/>
      <c r="D1162" s="3"/>
      <c r="E1162" s="3">
        <v>19</v>
      </c>
      <c r="F1162" s="4" t="str">
        <f>HYPERLINK("http://141.218.60.56/~jnz1568/getInfo.php?workbook=20_10.xlsx&amp;sheet=U0&amp;row=1162&amp;col=6&amp;number=4.8&amp;sourceID=14","4.8")</f>
        <v>4.8</v>
      </c>
      <c r="G1162" s="4" t="str">
        <f>HYPERLINK("http://141.218.60.56/~jnz1568/getInfo.php?workbook=20_10.xlsx&amp;sheet=U0&amp;row=1162&amp;col=7&amp;number=0.00403&amp;sourceID=14","0.00403")</f>
        <v>0.00403</v>
      </c>
    </row>
    <row r="1163" spans="1:7">
      <c r="A1163" s="3"/>
      <c r="B1163" s="3"/>
      <c r="C1163" s="3"/>
      <c r="D1163" s="3"/>
      <c r="E1163" s="3">
        <v>20</v>
      </c>
      <c r="F1163" s="4" t="str">
        <f>HYPERLINK("http://141.218.60.56/~jnz1568/getInfo.php?workbook=20_10.xlsx&amp;sheet=U0&amp;row=1163&amp;col=6&amp;number=4.9&amp;sourceID=14","4.9")</f>
        <v>4.9</v>
      </c>
      <c r="G1163" s="4" t="str">
        <f>HYPERLINK("http://141.218.60.56/~jnz1568/getInfo.php?workbook=20_10.xlsx&amp;sheet=U0&amp;row=1163&amp;col=7&amp;number=0.00402&amp;sourceID=14","0.00402")</f>
        <v>0.00402</v>
      </c>
    </row>
    <row r="1164" spans="1:7">
      <c r="A1164" s="3">
        <v>20</v>
      </c>
      <c r="B1164" s="3">
        <v>10</v>
      </c>
      <c r="C1164" s="3">
        <v>1</v>
      </c>
      <c r="D1164" s="3">
        <v>60</v>
      </c>
      <c r="E1164" s="3">
        <v>1</v>
      </c>
      <c r="F1164" s="4" t="str">
        <f>HYPERLINK("http://141.218.60.56/~jnz1568/getInfo.php?workbook=20_10.xlsx&amp;sheet=U0&amp;row=1164&amp;col=6&amp;number=3&amp;sourceID=14","3")</f>
        <v>3</v>
      </c>
      <c r="G1164" s="4" t="str">
        <f>HYPERLINK("http://141.218.60.56/~jnz1568/getInfo.php?workbook=20_10.xlsx&amp;sheet=U0&amp;row=1164&amp;col=7&amp;number=0.000899&amp;sourceID=14","0.000899")</f>
        <v>0.000899</v>
      </c>
    </row>
    <row r="1165" spans="1:7">
      <c r="A1165" s="3"/>
      <c r="B1165" s="3"/>
      <c r="C1165" s="3"/>
      <c r="D1165" s="3"/>
      <c r="E1165" s="3">
        <v>2</v>
      </c>
      <c r="F1165" s="4" t="str">
        <f>HYPERLINK("http://141.218.60.56/~jnz1568/getInfo.php?workbook=20_10.xlsx&amp;sheet=U0&amp;row=1165&amp;col=6&amp;number=3.1&amp;sourceID=14","3.1")</f>
        <v>3.1</v>
      </c>
      <c r="G1165" s="4" t="str">
        <f>HYPERLINK("http://141.218.60.56/~jnz1568/getInfo.php?workbook=20_10.xlsx&amp;sheet=U0&amp;row=1165&amp;col=7&amp;number=0.000899&amp;sourceID=14","0.000899")</f>
        <v>0.000899</v>
      </c>
    </row>
    <row r="1166" spans="1:7">
      <c r="A1166" s="3"/>
      <c r="B1166" s="3"/>
      <c r="C1166" s="3"/>
      <c r="D1166" s="3"/>
      <c r="E1166" s="3">
        <v>3</v>
      </c>
      <c r="F1166" s="4" t="str">
        <f>HYPERLINK("http://141.218.60.56/~jnz1568/getInfo.php?workbook=20_10.xlsx&amp;sheet=U0&amp;row=1166&amp;col=6&amp;number=3.2&amp;sourceID=14","3.2")</f>
        <v>3.2</v>
      </c>
      <c r="G1166" s="4" t="str">
        <f>HYPERLINK("http://141.218.60.56/~jnz1568/getInfo.php?workbook=20_10.xlsx&amp;sheet=U0&amp;row=1166&amp;col=7&amp;number=0.000898&amp;sourceID=14","0.000898")</f>
        <v>0.000898</v>
      </c>
    </row>
    <row r="1167" spans="1:7">
      <c r="A1167" s="3"/>
      <c r="B1167" s="3"/>
      <c r="C1167" s="3"/>
      <c r="D1167" s="3"/>
      <c r="E1167" s="3">
        <v>4</v>
      </c>
      <c r="F1167" s="4" t="str">
        <f>HYPERLINK("http://141.218.60.56/~jnz1568/getInfo.php?workbook=20_10.xlsx&amp;sheet=U0&amp;row=1167&amp;col=6&amp;number=3.3&amp;sourceID=14","3.3")</f>
        <v>3.3</v>
      </c>
      <c r="G1167" s="4" t="str">
        <f>HYPERLINK("http://141.218.60.56/~jnz1568/getInfo.php?workbook=20_10.xlsx&amp;sheet=U0&amp;row=1167&amp;col=7&amp;number=0.000898&amp;sourceID=14","0.000898")</f>
        <v>0.000898</v>
      </c>
    </row>
    <row r="1168" spans="1:7">
      <c r="A1168" s="3"/>
      <c r="B1168" s="3"/>
      <c r="C1168" s="3"/>
      <c r="D1168" s="3"/>
      <c r="E1168" s="3">
        <v>5</v>
      </c>
      <c r="F1168" s="4" t="str">
        <f>HYPERLINK("http://141.218.60.56/~jnz1568/getInfo.php?workbook=20_10.xlsx&amp;sheet=U0&amp;row=1168&amp;col=6&amp;number=3.4&amp;sourceID=14","3.4")</f>
        <v>3.4</v>
      </c>
      <c r="G1168" s="4" t="str">
        <f>HYPERLINK("http://141.218.60.56/~jnz1568/getInfo.php?workbook=20_10.xlsx&amp;sheet=U0&amp;row=1168&amp;col=7&amp;number=0.000898&amp;sourceID=14","0.000898")</f>
        <v>0.000898</v>
      </c>
    </row>
    <row r="1169" spans="1:7">
      <c r="A1169" s="3"/>
      <c r="B1169" s="3"/>
      <c r="C1169" s="3"/>
      <c r="D1169" s="3"/>
      <c r="E1169" s="3">
        <v>6</v>
      </c>
      <c r="F1169" s="4" t="str">
        <f>HYPERLINK("http://141.218.60.56/~jnz1568/getInfo.php?workbook=20_10.xlsx&amp;sheet=U0&amp;row=1169&amp;col=6&amp;number=3.5&amp;sourceID=14","3.5")</f>
        <v>3.5</v>
      </c>
      <c r="G1169" s="4" t="str">
        <f>HYPERLINK("http://141.218.60.56/~jnz1568/getInfo.php?workbook=20_10.xlsx&amp;sheet=U0&amp;row=1169&amp;col=7&amp;number=0.000898&amp;sourceID=14","0.000898")</f>
        <v>0.000898</v>
      </c>
    </row>
    <row r="1170" spans="1:7">
      <c r="A1170" s="3"/>
      <c r="B1170" s="3"/>
      <c r="C1170" s="3"/>
      <c r="D1170" s="3"/>
      <c r="E1170" s="3">
        <v>7</v>
      </c>
      <c r="F1170" s="4" t="str">
        <f>HYPERLINK("http://141.218.60.56/~jnz1568/getInfo.php?workbook=20_10.xlsx&amp;sheet=U0&amp;row=1170&amp;col=6&amp;number=3.6&amp;sourceID=14","3.6")</f>
        <v>3.6</v>
      </c>
      <c r="G1170" s="4" t="str">
        <f>HYPERLINK("http://141.218.60.56/~jnz1568/getInfo.php?workbook=20_10.xlsx&amp;sheet=U0&amp;row=1170&amp;col=7&amp;number=0.000898&amp;sourceID=14","0.000898")</f>
        <v>0.000898</v>
      </c>
    </row>
    <row r="1171" spans="1:7">
      <c r="A1171" s="3"/>
      <c r="B1171" s="3"/>
      <c r="C1171" s="3"/>
      <c r="D1171" s="3"/>
      <c r="E1171" s="3">
        <v>8</v>
      </c>
      <c r="F1171" s="4" t="str">
        <f>HYPERLINK("http://141.218.60.56/~jnz1568/getInfo.php?workbook=20_10.xlsx&amp;sheet=U0&amp;row=1171&amp;col=6&amp;number=3.7&amp;sourceID=14","3.7")</f>
        <v>3.7</v>
      </c>
      <c r="G1171" s="4" t="str">
        <f>HYPERLINK("http://141.218.60.56/~jnz1568/getInfo.php?workbook=20_10.xlsx&amp;sheet=U0&amp;row=1171&amp;col=7&amp;number=0.000898&amp;sourceID=14","0.000898")</f>
        <v>0.000898</v>
      </c>
    </row>
    <row r="1172" spans="1:7">
      <c r="A1172" s="3"/>
      <c r="B1172" s="3"/>
      <c r="C1172" s="3"/>
      <c r="D1172" s="3"/>
      <c r="E1172" s="3">
        <v>9</v>
      </c>
      <c r="F1172" s="4" t="str">
        <f>HYPERLINK("http://141.218.60.56/~jnz1568/getInfo.php?workbook=20_10.xlsx&amp;sheet=U0&amp;row=1172&amp;col=6&amp;number=3.8&amp;sourceID=14","3.8")</f>
        <v>3.8</v>
      </c>
      <c r="G1172" s="4" t="str">
        <f>HYPERLINK("http://141.218.60.56/~jnz1568/getInfo.php?workbook=20_10.xlsx&amp;sheet=U0&amp;row=1172&amp;col=7&amp;number=0.000897&amp;sourceID=14","0.000897")</f>
        <v>0.000897</v>
      </c>
    </row>
    <row r="1173" spans="1:7">
      <c r="A1173" s="3"/>
      <c r="B1173" s="3"/>
      <c r="C1173" s="3"/>
      <c r="D1173" s="3"/>
      <c r="E1173" s="3">
        <v>10</v>
      </c>
      <c r="F1173" s="4" t="str">
        <f>HYPERLINK("http://141.218.60.56/~jnz1568/getInfo.php?workbook=20_10.xlsx&amp;sheet=U0&amp;row=1173&amp;col=6&amp;number=3.9&amp;sourceID=14","3.9")</f>
        <v>3.9</v>
      </c>
      <c r="G1173" s="4" t="str">
        <f>HYPERLINK("http://141.218.60.56/~jnz1568/getInfo.php?workbook=20_10.xlsx&amp;sheet=U0&amp;row=1173&amp;col=7&amp;number=0.000897&amp;sourceID=14","0.000897")</f>
        <v>0.000897</v>
      </c>
    </row>
    <row r="1174" spans="1:7">
      <c r="A1174" s="3"/>
      <c r="B1174" s="3"/>
      <c r="C1174" s="3"/>
      <c r="D1174" s="3"/>
      <c r="E1174" s="3">
        <v>11</v>
      </c>
      <c r="F1174" s="4" t="str">
        <f>HYPERLINK("http://141.218.60.56/~jnz1568/getInfo.php?workbook=20_10.xlsx&amp;sheet=U0&amp;row=1174&amp;col=6&amp;number=4&amp;sourceID=14","4")</f>
        <v>4</v>
      </c>
      <c r="G1174" s="4" t="str">
        <f>HYPERLINK("http://141.218.60.56/~jnz1568/getInfo.php?workbook=20_10.xlsx&amp;sheet=U0&amp;row=1174&amp;col=7&amp;number=0.000896&amp;sourceID=14","0.000896")</f>
        <v>0.000896</v>
      </c>
    </row>
    <row r="1175" spans="1:7">
      <c r="A1175" s="3"/>
      <c r="B1175" s="3"/>
      <c r="C1175" s="3"/>
      <c r="D1175" s="3"/>
      <c r="E1175" s="3">
        <v>12</v>
      </c>
      <c r="F1175" s="4" t="str">
        <f>HYPERLINK("http://141.218.60.56/~jnz1568/getInfo.php?workbook=20_10.xlsx&amp;sheet=U0&amp;row=1175&amp;col=6&amp;number=4.1&amp;sourceID=14","4.1")</f>
        <v>4.1</v>
      </c>
      <c r="G1175" s="4" t="str">
        <f>HYPERLINK("http://141.218.60.56/~jnz1568/getInfo.php?workbook=20_10.xlsx&amp;sheet=U0&amp;row=1175&amp;col=7&amp;number=0.000895&amp;sourceID=14","0.000895")</f>
        <v>0.000895</v>
      </c>
    </row>
    <row r="1176" spans="1:7">
      <c r="A1176" s="3"/>
      <c r="B1176" s="3"/>
      <c r="C1176" s="3"/>
      <c r="D1176" s="3"/>
      <c r="E1176" s="3">
        <v>13</v>
      </c>
      <c r="F1176" s="4" t="str">
        <f>HYPERLINK("http://141.218.60.56/~jnz1568/getInfo.php?workbook=20_10.xlsx&amp;sheet=U0&amp;row=1176&amp;col=6&amp;number=4.2&amp;sourceID=14","4.2")</f>
        <v>4.2</v>
      </c>
      <c r="G1176" s="4" t="str">
        <f>HYPERLINK("http://141.218.60.56/~jnz1568/getInfo.php?workbook=20_10.xlsx&amp;sheet=U0&amp;row=1176&amp;col=7&amp;number=0.000895&amp;sourceID=14","0.000895")</f>
        <v>0.000895</v>
      </c>
    </row>
    <row r="1177" spans="1:7">
      <c r="A1177" s="3"/>
      <c r="B1177" s="3"/>
      <c r="C1177" s="3"/>
      <c r="D1177" s="3"/>
      <c r="E1177" s="3">
        <v>14</v>
      </c>
      <c r="F1177" s="4" t="str">
        <f>HYPERLINK("http://141.218.60.56/~jnz1568/getInfo.php?workbook=20_10.xlsx&amp;sheet=U0&amp;row=1177&amp;col=6&amp;number=4.3&amp;sourceID=14","4.3")</f>
        <v>4.3</v>
      </c>
      <c r="G1177" s="4" t="str">
        <f>HYPERLINK("http://141.218.60.56/~jnz1568/getInfo.php?workbook=20_10.xlsx&amp;sheet=U0&amp;row=1177&amp;col=7&amp;number=0.000893&amp;sourceID=14","0.000893")</f>
        <v>0.000893</v>
      </c>
    </row>
    <row r="1178" spans="1:7">
      <c r="A1178" s="3"/>
      <c r="B1178" s="3"/>
      <c r="C1178" s="3"/>
      <c r="D1178" s="3"/>
      <c r="E1178" s="3">
        <v>15</v>
      </c>
      <c r="F1178" s="4" t="str">
        <f>HYPERLINK("http://141.218.60.56/~jnz1568/getInfo.php?workbook=20_10.xlsx&amp;sheet=U0&amp;row=1178&amp;col=6&amp;number=4.4&amp;sourceID=14","4.4")</f>
        <v>4.4</v>
      </c>
      <c r="G1178" s="4" t="str">
        <f>HYPERLINK("http://141.218.60.56/~jnz1568/getInfo.php?workbook=20_10.xlsx&amp;sheet=U0&amp;row=1178&amp;col=7&amp;number=0.000892&amp;sourceID=14","0.000892")</f>
        <v>0.000892</v>
      </c>
    </row>
    <row r="1179" spans="1:7">
      <c r="A1179" s="3"/>
      <c r="B1179" s="3"/>
      <c r="C1179" s="3"/>
      <c r="D1179" s="3"/>
      <c r="E1179" s="3">
        <v>16</v>
      </c>
      <c r="F1179" s="4" t="str">
        <f>HYPERLINK("http://141.218.60.56/~jnz1568/getInfo.php?workbook=20_10.xlsx&amp;sheet=U0&amp;row=1179&amp;col=6&amp;number=4.5&amp;sourceID=14","4.5")</f>
        <v>4.5</v>
      </c>
      <c r="G1179" s="4" t="str">
        <f>HYPERLINK("http://141.218.60.56/~jnz1568/getInfo.php?workbook=20_10.xlsx&amp;sheet=U0&amp;row=1179&amp;col=7&amp;number=0.00089&amp;sourceID=14","0.00089")</f>
        <v>0.00089</v>
      </c>
    </row>
    <row r="1180" spans="1:7">
      <c r="A1180" s="3"/>
      <c r="B1180" s="3"/>
      <c r="C1180" s="3"/>
      <c r="D1180" s="3"/>
      <c r="E1180" s="3">
        <v>17</v>
      </c>
      <c r="F1180" s="4" t="str">
        <f>HYPERLINK("http://141.218.60.56/~jnz1568/getInfo.php?workbook=20_10.xlsx&amp;sheet=U0&amp;row=1180&amp;col=6&amp;number=4.6&amp;sourceID=14","4.6")</f>
        <v>4.6</v>
      </c>
      <c r="G1180" s="4" t="str">
        <f>HYPERLINK("http://141.218.60.56/~jnz1568/getInfo.php?workbook=20_10.xlsx&amp;sheet=U0&amp;row=1180&amp;col=7&amp;number=0.000888&amp;sourceID=14","0.000888")</f>
        <v>0.000888</v>
      </c>
    </row>
    <row r="1181" spans="1:7">
      <c r="A1181" s="3"/>
      <c r="B1181" s="3"/>
      <c r="C1181" s="3"/>
      <c r="D1181" s="3"/>
      <c r="E1181" s="3">
        <v>18</v>
      </c>
      <c r="F1181" s="4" t="str">
        <f>HYPERLINK("http://141.218.60.56/~jnz1568/getInfo.php?workbook=20_10.xlsx&amp;sheet=U0&amp;row=1181&amp;col=6&amp;number=4.7&amp;sourceID=14","4.7")</f>
        <v>4.7</v>
      </c>
      <c r="G1181" s="4" t="str">
        <f>HYPERLINK("http://141.218.60.56/~jnz1568/getInfo.php?workbook=20_10.xlsx&amp;sheet=U0&amp;row=1181&amp;col=7&amp;number=0.000885&amp;sourceID=14","0.000885")</f>
        <v>0.000885</v>
      </c>
    </row>
    <row r="1182" spans="1:7">
      <c r="A1182" s="3"/>
      <c r="B1182" s="3"/>
      <c r="C1182" s="3"/>
      <c r="D1182" s="3"/>
      <c r="E1182" s="3">
        <v>19</v>
      </c>
      <c r="F1182" s="4" t="str">
        <f>HYPERLINK("http://141.218.60.56/~jnz1568/getInfo.php?workbook=20_10.xlsx&amp;sheet=U0&amp;row=1182&amp;col=6&amp;number=4.8&amp;sourceID=14","4.8")</f>
        <v>4.8</v>
      </c>
      <c r="G1182" s="4" t="str">
        <f>HYPERLINK("http://141.218.60.56/~jnz1568/getInfo.php?workbook=20_10.xlsx&amp;sheet=U0&amp;row=1182&amp;col=7&amp;number=0.000882&amp;sourceID=14","0.000882")</f>
        <v>0.000882</v>
      </c>
    </row>
    <row r="1183" spans="1:7">
      <c r="A1183" s="3"/>
      <c r="B1183" s="3"/>
      <c r="C1183" s="3"/>
      <c r="D1183" s="3"/>
      <c r="E1183" s="3">
        <v>20</v>
      </c>
      <c r="F1183" s="4" t="str">
        <f>HYPERLINK("http://141.218.60.56/~jnz1568/getInfo.php?workbook=20_10.xlsx&amp;sheet=U0&amp;row=1183&amp;col=6&amp;number=4.9&amp;sourceID=14","4.9")</f>
        <v>4.9</v>
      </c>
      <c r="G1183" s="4" t="str">
        <f>HYPERLINK("http://141.218.60.56/~jnz1568/getInfo.php?workbook=20_10.xlsx&amp;sheet=U0&amp;row=1183&amp;col=7&amp;number=0.000877&amp;sourceID=14","0.000877")</f>
        <v>0.000877</v>
      </c>
    </row>
    <row r="1184" spans="1:7">
      <c r="A1184" s="3">
        <v>20</v>
      </c>
      <c r="B1184" s="3">
        <v>10</v>
      </c>
      <c r="C1184" s="3">
        <v>1</v>
      </c>
      <c r="D1184" s="3">
        <v>61</v>
      </c>
      <c r="E1184" s="3">
        <v>1</v>
      </c>
      <c r="F1184" s="4" t="str">
        <f>HYPERLINK("http://141.218.60.56/~jnz1568/getInfo.php?workbook=20_10.xlsx&amp;sheet=U0&amp;row=1184&amp;col=6&amp;number=3&amp;sourceID=14","3")</f>
        <v>3</v>
      </c>
      <c r="G1184" s="4" t="str">
        <f>HYPERLINK("http://141.218.60.56/~jnz1568/getInfo.php?workbook=20_10.xlsx&amp;sheet=U0&amp;row=1184&amp;col=7&amp;number=0.000595&amp;sourceID=14","0.000595")</f>
        <v>0.000595</v>
      </c>
    </row>
    <row r="1185" spans="1:7">
      <c r="A1185" s="3"/>
      <c r="B1185" s="3"/>
      <c r="C1185" s="3"/>
      <c r="D1185" s="3"/>
      <c r="E1185" s="3">
        <v>2</v>
      </c>
      <c r="F1185" s="4" t="str">
        <f>HYPERLINK("http://141.218.60.56/~jnz1568/getInfo.php?workbook=20_10.xlsx&amp;sheet=U0&amp;row=1185&amp;col=6&amp;number=3.1&amp;sourceID=14","3.1")</f>
        <v>3.1</v>
      </c>
      <c r="G1185" s="4" t="str">
        <f>HYPERLINK("http://141.218.60.56/~jnz1568/getInfo.php?workbook=20_10.xlsx&amp;sheet=U0&amp;row=1185&amp;col=7&amp;number=0.000595&amp;sourceID=14","0.000595")</f>
        <v>0.000595</v>
      </c>
    </row>
    <row r="1186" spans="1:7">
      <c r="A1186" s="3"/>
      <c r="B1186" s="3"/>
      <c r="C1186" s="3"/>
      <c r="D1186" s="3"/>
      <c r="E1186" s="3">
        <v>3</v>
      </c>
      <c r="F1186" s="4" t="str">
        <f>HYPERLINK("http://141.218.60.56/~jnz1568/getInfo.php?workbook=20_10.xlsx&amp;sheet=U0&amp;row=1186&amp;col=6&amp;number=3.2&amp;sourceID=14","3.2")</f>
        <v>3.2</v>
      </c>
      <c r="G1186" s="4" t="str">
        <f>HYPERLINK("http://141.218.60.56/~jnz1568/getInfo.php?workbook=20_10.xlsx&amp;sheet=U0&amp;row=1186&amp;col=7&amp;number=0.000595&amp;sourceID=14","0.000595")</f>
        <v>0.000595</v>
      </c>
    </row>
    <row r="1187" spans="1:7">
      <c r="A1187" s="3"/>
      <c r="B1187" s="3"/>
      <c r="C1187" s="3"/>
      <c r="D1187" s="3"/>
      <c r="E1187" s="3">
        <v>4</v>
      </c>
      <c r="F1187" s="4" t="str">
        <f>HYPERLINK("http://141.218.60.56/~jnz1568/getInfo.php?workbook=20_10.xlsx&amp;sheet=U0&amp;row=1187&amp;col=6&amp;number=3.3&amp;sourceID=14","3.3")</f>
        <v>3.3</v>
      </c>
      <c r="G1187" s="4" t="str">
        <f>HYPERLINK("http://141.218.60.56/~jnz1568/getInfo.php?workbook=20_10.xlsx&amp;sheet=U0&amp;row=1187&amp;col=7&amp;number=0.000594&amp;sourceID=14","0.000594")</f>
        <v>0.000594</v>
      </c>
    </row>
    <row r="1188" spans="1:7">
      <c r="A1188" s="3"/>
      <c r="B1188" s="3"/>
      <c r="C1188" s="3"/>
      <c r="D1188" s="3"/>
      <c r="E1188" s="3">
        <v>5</v>
      </c>
      <c r="F1188" s="4" t="str">
        <f>HYPERLINK("http://141.218.60.56/~jnz1568/getInfo.php?workbook=20_10.xlsx&amp;sheet=U0&amp;row=1188&amp;col=6&amp;number=3.4&amp;sourceID=14","3.4")</f>
        <v>3.4</v>
      </c>
      <c r="G1188" s="4" t="str">
        <f>HYPERLINK("http://141.218.60.56/~jnz1568/getInfo.php?workbook=20_10.xlsx&amp;sheet=U0&amp;row=1188&amp;col=7&amp;number=0.000594&amp;sourceID=14","0.000594")</f>
        <v>0.000594</v>
      </c>
    </row>
    <row r="1189" spans="1:7">
      <c r="A1189" s="3"/>
      <c r="B1189" s="3"/>
      <c r="C1189" s="3"/>
      <c r="D1189" s="3"/>
      <c r="E1189" s="3">
        <v>6</v>
      </c>
      <c r="F1189" s="4" t="str">
        <f>HYPERLINK("http://141.218.60.56/~jnz1568/getInfo.php?workbook=20_10.xlsx&amp;sheet=U0&amp;row=1189&amp;col=6&amp;number=3.5&amp;sourceID=14","3.5")</f>
        <v>3.5</v>
      </c>
      <c r="G1189" s="4" t="str">
        <f>HYPERLINK("http://141.218.60.56/~jnz1568/getInfo.php?workbook=20_10.xlsx&amp;sheet=U0&amp;row=1189&amp;col=7&amp;number=0.000594&amp;sourceID=14","0.000594")</f>
        <v>0.000594</v>
      </c>
    </row>
    <row r="1190" spans="1:7">
      <c r="A1190" s="3"/>
      <c r="B1190" s="3"/>
      <c r="C1190" s="3"/>
      <c r="D1190" s="3"/>
      <c r="E1190" s="3">
        <v>7</v>
      </c>
      <c r="F1190" s="4" t="str">
        <f>HYPERLINK("http://141.218.60.56/~jnz1568/getInfo.php?workbook=20_10.xlsx&amp;sheet=U0&amp;row=1190&amp;col=6&amp;number=3.6&amp;sourceID=14","3.6")</f>
        <v>3.6</v>
      </c>
      <c r="G1190" s="4" t="str">
        <f>HYPERLINK("http://141.218.60.56/~jnz1568/getInfo.php?workbook=20_10.xlsx&amp;sheet=U0&amp;row=1190&amp;col=7&amp;number=0.000594&amp;sourceID=14","0.000594")</f>
        <v>0.000594</v>
      </c>
    </row>
    <row r="1191" spans="1:7">
      <c r="A1191" s="3"/>
      <c r="B1191" s="3"/>
      <c r="C1191" s="3"/>
      <c r="D1191" s="3"/>
      <c r="E1191" s="3">
        <v>8</v>
      </c>
      <c r="F1191" s="4" t="str">
        <f>HYPERLINK("http://141.218.60.56/~jnz1568/getInfo.php?workbook=20_10.xlsx&amp;sheet=U0&amp;row=1191&amp;col=6&amp;number=3.7&amp;sourceID=14","3.7")</f>
        <v>3.7</v>
      </c>
      <c r="G1191" s="4" t="str">
        <f>HYPERLINK("http://141.218.60.56/~jnz1568/getInfo.php?workbook=20_10.xlsx&amp;sheet=U0&amp;row=1191&amp;col=7&amp;number=0.000594&amp;sourceID=14","0.000594")</f>
        <v>0.000594</v>
      </c>
    </row>
    <row r="1192" spans="1:7">
      <c r="A1192" s="3"/>
      <c r="B1192" s="3"/>
      <c r="C1192" s="3"/>
      <c r="D1192" s="3"/>
      <c r="E1192" s="3">
        <v>9</v>
      </c>
      <c r="F1192" s="4" t="str">
        <f>HYPERLINK("http://141.218.60.56/~jnz1568/getInfo.php?workbook=20_10.xlsx&amp;sheet=U0&amp;row=1192&amp;col=6&amp;number=3.8&amp;sourceID=14","3.8")</f>
        <v>3.8</v>
      </c>
      <c r="G1192" s="4" t="str">
        <f>HYPERLINK("http://141.218.60.56/~jnz1568/getInfo.php?workbook=20_10.xlsx&amp;sheet=U0&amp;row=1192&amp;col=7&amp;number=0.000594&amp;sourceID=14","0.000594")</f>
        <v>0.000594</v>
      </c>
    </row>
    <row r="1193" spans="1:7">
      <c r="A1193" s="3"/>
      <c r="B1193" s="3"/>
      <c r="C1193" s="3"/>
      <c r="D1193" s="3"/>
      <c r="E1193" s="3">
        <v>10</v>
      </c>
      <c r="F1193" s="4" t="str">
        <f>HYPERLINK("http://141.218.60.56/~jnz1568/getInfo.php?workbook=20_10.xlsx&amp;sheet=U0&amp;row=1193&amp;col=6&amp;number=3.9&amp;sourceID=14","3.9")</f>
        <v>3.9</v>
      </c>
      <c r="G1193" s="4" t="str">
        <f>HYPERLINK("http://141.218.60.56/~jnz1568/getInfo.php?workbook=20_10.xlsx&amp;sheet=U0&amp;row=1193&amp;col=7&amp;number=0.000594&amp;sourceID=14","0.000594")</f>
        <v>0.000594</v>
      </c>
    </row>
    <row r="1194" spans="1:7">
      <c r="A1194" s="3"/>
      <c r="B1194" s="3"/>
      <c r="C1194" s="3"/>
      <c r="D1194" s="3"/>
      <c r="E1194" s="3">
        <v>11</v>
      </c>
      <c r="F1194" s="4" t="str">
        <f>HYPERLINK("http://141.218.60.56/~jnz1568/getInfo.php?workbook=20_10.xlsx&amp;sheet=U0&amp;row=1194&amp;col=6&amp;number=4&amp;sourceID=14","4")</f>
        <v>4</v>
      </c>
      <c r="G1194" s="4" t="str">
        <f>HYPERLINK("http://141.218.60.56/~jnz1568/getInfo.php?workbook=20_10.xlsx&amp;sheet=U0&amp;row=1194&amp;col=7&amp;number=0.000594&amp;sourceID=14","0.000594")</f>
        <v>0.000594</v>
      </c>
    </row>
    <row r="1195" spans="1:7">
      <c r="A1195" s="3"/>
      <c r="B1195" s="3"/>
      <c r="C1195" s="3"/>
      <c r="D1195" s="3"/>
      <c r="E1195" s="3">
        <v>12</v>
      </c>
      <c r="F1195" s="4" t="str">
        <f>HYPERLINK("http://141.218.60.56/~jnz1568/getInfo.php?workbook=20_10.xlsx&amp;sheet=U0&amp;row=1195&amp;col=6&amp;number=4.1&amp;sourceID=14","4.1")</f>
        <v>4.1</v>
      </c>
      <c r="G1195" s="4" t="str">
        <f>HYPERLINK("http://141.218.60.56/~jnz1568/getInfo.php?workbook=20_10.xlsx&amp;sheet=U0&amp;row=1195&amp;col=7&amp;number=0.000593&amp;sourceID=14","0.000593")</f>
        <v>0.000593</v>
      </c>
    </row>
    <row r="1196" spans="1:7">
      <c r="A1196" s="3"/>
      <c r="B1196" s="3"/>
      <c r="C1196" s="3"/>
      <c r="D1196" s="3"/>
      <c r="E1196" s="3">
        <v>13</v>
      </c>
      <c r="F1196" s="4" t="str">
        <f>HYPERLINK("http://141.218.60.56/~jnz1568/getInfo.php?workbook=20_10.xlsx&amp;sheet=U0&amp;row=1196&amp;col=6&amp;number=4.2&amp;sourceID=14","4.2")</f>
        <v>4.2</v>
      </c>
      <c r="G1196" s="4" t="str">
        <f>HYPERLINK("http://141.218.60.56/~jnz1568/getInfo.php?workbook=20_10.xlsx&amp;sheet=U0&amp;row=1196&amp;col=7&amp;number=0.000593&amp;sourceID=14","0.000593")</f>
        <v>0.000593</v>
      </c>
    </row>
    <row r="1197" spans="1:7">
      <c r="A1197" s="3"/>
      <c r="B1197" s="3"/>
      <c r="C1197" s="3"/>
      <c r="D1197" s="3"/>
      <c r="E1197" s="3">
        <v>14</v>
      </c>
      <c r="F1197" s="4" t="str">
        <f>HYPERLINK("http://141.218.60.56/~jnz1568/getInfo.php?workbook=20_10.xlsx&amp;sheet=U0&amp;row=1197&amp;col=6&amp;number=4.3&amp;sourceID=14","4.3")</f>
        <v>4.3</v>
      </c>
      <c r="G1197" s="4" t="str">
        <f>HYPERLINK("http://141.218.60.56/~jnz1568/getInfo.php?workbook=20_10.xlsx&amp;sheet=U0&amp;row=1197&amp;col=7&amp;number=0.000593&amp;sourceID=14","0.000593")</f>
        <v>0.000593</v>
      </c>
    </row>
    <row r="1198" spans="1:7">
      <c r="A1198" s="3"/>
      <c r="B1198" s="3"/>
      <c r="C1198" s="3"/>
      <c r="D1198" s="3"/>
      <c r="E1198" s="3">
        <v>15</v>
      </c>
      <c r="F1198" s="4" t="str">
        <f>HYPERLINK("http://141.218.60.56/~jnz1568/getInfo.php?workbook=20_10.xlsx&amp;sheet=U0&amp;row=1198&amp;col=6&amp;number=4.4&amp;sourceID=14","4.4")</f>
        <v>4.4</v>
      </c>
      <c r="G1198" s="4" t="str">
        <f>HYPERLINK("http://141.218.60.56/~jnz1568/getInfo.php?workbook=20_10.xlsx&amp;sheet=U0&amp;row=1198&amp;col=7&amp;number=0.000592&amp;sourceID=14","0.000592")</f>
        <v>0.000592</v>
      </c>
    </row>
    <row r="1199" spans="1:7">
      <c r="A1199" s="3"/>
      <c r="B1199" s="3"/>
      <c r="C1199" s="3"/>
      <c r="D1199" s="3"/>
      <c r="E1199" s="3">
        <v>16</v>
      </c>
      <c r="F1199" s="4" t="str">
        <f>HYPERLINK("http://141.218.60.56/~jnz1568/getInfo.php?workbook=20_10.xlsx&amp;sheet=U0&amp;row=1199&amp;col=6&amp;number=4.5&amp;sourceID=14","4.5")</f>
        <v>4.5</v>
      </c>
      <c r="G1199" s="4" t="str">
        <f>HYPERLINK("http://141.218.60.56/~jnz1568/getInfo.php?workbook=20_10.xlsx&amp;sheet=U0&amp;row=1199&amp;col=7&amp;number=0.000591&amp;sourceID=14","0.000591")</f>
        <v>0.000591</v>
      </c>
    </row>
    <row r="1200" spans="1:7">
      <c r="A1200" s="3"/>
      <c r="B1200" s="3"/>
      <c r="C1200" s="3"/>
      <c r="D1200" s="3"/>
      <c r="E1200" s="3">
        <v>17</v>
      </c>
      <c r="F1200" s="4" t="str">
        <f>HYPERLINK("http://141.218.60.56/~jnz1568/getInfo.php?workbook=20_10.xlsx&amp;sheet=U0&amp;row=1200&amp;col=6&amp;number=4.6&amp;sourceID=14","4.6")</f>
        <v>4.6</v>
      </c>
      <c r="G1200" s="4" t="str">
        <f>HYPERLINK("http://141.218.60.56/~jnz1568/getInfo.php?workbook=20_10.xlsx&amp;sheet=U0&amp;row=1200&amp;col=7&amp;number=0.000591&amp;sourceID=14","0.000591")</f>
        <v>0.000591</v>
      </c>
    </row>
    <row r="1201" spans="1:7">
      <c r="A1201" s="3"/>
      <c r="B1201" s="3"/>
      <c r="C1201" s="3"/>
      <c r="D1201" s="3"/>
      <c r="E1201" s="3">
        <v>18</v>
      </c>
      <c r="F1201" s="4" t="str">
        <f>HYPERLINK("http://141.218.60.56/~jnz1568/getInfo.php?workbook=20_10.xlsx&amp;sheet=U0&amp;row=1201&amp;col=6&amp;number=4.7&amp;sourceID=14","4.7")</f>
        <v>4.7</v>
      </c>
      <c r="G1201" s="4" t="str">
        <f>HYPERLINK("http://141.218.60.56/~jnz1568/getInfo.php?workbook=20_10.xlsx&amp;sheet=U0&amp;row=1201&amp;col=7&amp;number=0.000589&amp;sourceID=14","0.000589")</f>
        <v>0.000589</v>
      </c>
    </row>
    <row r="1202" spans="1:7">
      <c r="A1202" s="3"/>
      <c r="B1202" s="3"/>
      <c r="C1202" s="3"/>
      <c r="D1202" s="3"/>
      <c r="E1202" s="3">
        <v>19</v>
      </c>
      <c r="F1202" s="4" t="str">
        <f>HYPERLINK("http://141.218.60.56/~jnz1568/getInfo.php?workbook=20_10.xlsx&amp;sheet=U0&amp;row=1202&amp;col=6&amp;number=4.8&amp;sourceID=14","4.8")</f>
        <v>4.8</v>
      </c>
      <c r="G1202" s="4" t="str">
        <f>HYPERLINK("http://141.218.60.56/~jnz1568/getInfo.php?workbook=20_10.xlsx&amp;sheet=U0&amp;row=1202&amp;col=7&amp;number=0.000588&amp;sourceID=14","0.000588")</f>
        <v>0.000588</v>
      </c>
    </row>
    <row r="1203" spans="1:7">
      <c r="A1203" s="3"/>
      <c r="B1203" s="3"/>
      <c r="C1203" s="3"/>
      <c r="D1203" s="3"/>
      <c r="E1203" s="3">
        <v>20</v>
      </c>
      <c r="F1203" s="4" t="str">
        <f>HYPERLINK("http://141.218.60.56/~jnz1568/getInfo.php?workbook=20_10.xlsx&amp;sheet=U0&amp;row=1203&amp;col=6&amp;number=4.9&amp;sourceID=14","4.9")</f>
        <v>4.9</v>
      </c>
      <c r="G1203" s="4" t="str">
        <f>HYPERLINK("http://141.218.60.56/~jnz1568/getInfo.php?workbook=20_10.xlsx&amp;sheet=U0&amp;row=1203&amp;col=7&amp;number=0.000586&amp;sourceID=14","0.000586")</f>
        <v>0.000586</v>
      </c>
    </row>
    <row r="1204" spans="1:7">
      <c r="A1204" s="3">
        <v>20</v>
      </c>
      <c r="B1204" s="3">
        <v>10</v>
      </c>
      <c r="C1204" s="3">
        <v>1</v>
      </c>
      <c r="D1204" s="3">
        <v>62</v>
      </c>
      <c r="E1204" s="3">
        <v>1</v>
      </c>
      <c r="F1204" s="4" t="str">
        <f>HYPERLINK("http://141.218.60.56/~jnz1568/getInfo.php?workbook=20_10.xlsx&amp;sheet=U0&amp;row=1204&amp;col=6&amp;number=3&amp;sourceID=14","3")</f>
        <v>3</v>
      </c>
      <c r="G1204" s="4" t="str">
        <f>HYPERLINK("http://141.218.60.56/~jnz1568/getInfo.php?workbook=20_10.xlsx&amp;sheet=U0&amp;row=1204&amp;col=7&amp;number=0.00281&amp;sourceID=14","0.00281")</f>
        <v>0.00281</v>
      </c>
    </row>
    <row r="1205" spans="1:7">
      <c r="A1205" s="3"/>
      <c r="B1205" s="3"/>
      <c r="C1205" s="3"/>
      <c r="D1205" s="3"/>
      <c r="E1205" s="3">
        <v>2</v>
      </c>
      <c r="F1205" s="4" t="str">
        <f>HYPERLINK("http://141.218.60.56/~jnz1568/getInfo.php?workbook=20_10.xlsx&amp;sheet=U0&amp;row=1205&amp;col=6&amp;number=3.1&amp;sourceID=14","3.1")</f>
        <v>3.1</v>
      </c>
      <c r="G1205" s="4" t="str">
        <f>HYPERLINK("http://141.218.60.56/~jnz1568/getInfo.php?workbook=20_10.xlsx&amp;sheet=U0&amp;row=1205&amp;col=7&amp;number=0.00281&amp;sourceID=14","0.00281")</f>
        <v>0.00281</v>
      </c>
    </row>
    <row r="1206" spans="1:7">
      <c r="A1206" s="3"/>
      <c r="B1206" s="3"/>
      <c r="C1206" s="3"/>
      <c r="D1206" s="3"/>
      <c r="E1206" s="3">
        <v>3</v>
      </c>
      <c r="F1206" s="4" t="str">
        <f>HYPERLINK("http://141.218.60.56/~jnz1568/getInfo.php?workbook=20_10.xlsx&amp;sheet=U0&amp;row=1206&amp;col=6&amp;number=3.2&amp;sourceID=14","3.2")</f>
        <v>3.2</v>
      </c>
      <c r="G1206" s="4" t="str">
        <f>HYPERLINK("http://141.218.60.56/~jnz1568/getInfo.php?workbook=20_10.xlsx&amp;sheet=U0&amp;row=1206&amp;col=7&amp;number=0.00281&amp;sourceID=14","0.00281")</f>
        <v>0.00281</v>
      </c>
    </row>
    <row r="1207" spans="1:7">
      <c r="A1207" s="3"/>
      <c r="B1207" s="3"/>
      <c r="C1207" s="3"/>
      <c r="D1207" s="3"/>
      <c r="E1207" s="3">
        <v>4</v>
      </c>
      <c r="F1207" s="4" t="str">
        <f>HYPERLINK("http://141.218.60.56/~jnz1568/getInfo.php?workbook=20_10.xlsx&amp;sheet=U0&amp;row=1207&amp;col=6&amp;number=3.3&amp;sourceID=14","3.3")</f>
        <v>3.3</v>
      </c>
      <c r="G1207" s="4" t="str">
        <f>HYPERLINK("http://141.218.60.56/~jnz1568/getInfo.php?workbook=20_10.xlsx&amp;sheet=U0&amp;row=1207&amp;col=7&amp;number=0.00281&amp;sourceID=14","0.00281")</f>
        <v>0.00281</v>
      </c>
    </row>
    <row r="1208" spans="1:7">
      <c r="A1208" s="3"/>
      <c r="B1208" s="3"/>
      <c r="C1208" s="3"/>
      <c r="D1208" s="3"/>
      <c r="E1208" s="3">
        <v>5</v>
      </c>
      <c r="F1208" s="4" t="str">
        <f>HYPERLINK("http://141.218.60.56/~jnz1568/getInfo.php?workbook=20_10.xlsx&amp;sheet=U0&amp;row=1208&amp;col=6&amp;number=3.4&amp;sourceID=14","3.4")</f>
        <v>3.4</v>
      </c>
      <c r="G1208" s="4" t="str">
        <f>HYPERLINK("http://141.218.60.56/~jnz1568/getInfo.php?workbook=20_10.xlsx&amp;sheet=U0&amp;row=1208&amp;col=7&amp;number=0.00281&amp;sourceID=14","0.00281")</f>
        <v>0.00281</v>
      </c>
    </row>
    <row r="1209" spans="1:7">
      <c r="A1209" s="3"/>
      <c r="B1209" s="3"/>
      <c r="C1209" s="3"/>
      <c r="D1209" s="3"/>
      <c r="E1209" s="3">
        <v>6</v>
      </c>
      <c r="F1209" s="4" t="str">
        <f>HYPERLINK("http://141.218.60.56/~jnz1568/getInfo.php?workbook=20_10.xlsx&amp;sheet=U0&amp;row=1209&amp;col=6&amp;number=3.5&amp;sourceID=14","3.5")</f>
        <v>3.5</v>
      </c>
      <c r="G1209" s="4" t="str">
        <f>HYPERLINK("http://141.218.60.56/~jnz1568/getInfo.php?workbook=20_10.xlsx&amp;sheet=U0&amp;row=1209&amp;col=7&amp;number=0.00281&amp;sourceID=14","0.00281")</f>
        <v>0.00281</v>
      </c>
    </row>
    <row r="1210" spans="1:7">
      <c r="A1210" s="3"/>
      <c r="B1210" s="3"/>
      <c r="C1210" s="3"/>
      <c r="D1210" s="3"/>
      <c r="E1210" s="3">
        <v>7</v>
      </c>
      <c r="F1210" s="4" t="str">
        <f>HYPERLINK("http://141.218.60.56/~jnz1568/getInfo.php?workbook=20_10.xlsx&amp;sheet=U0&amp;row=1210&amp;col=6&amp;number=3.6&amp;sourceID=14","3.6")</f>
        <v>3.6</v>
      </c>
      <c r="G1210" s="4" t="str">
        <f>HYPERLINK("http://141.218.60.56/~jnz1568/getInfo.php?workbook=20_10.xlsx&amp;sheet=U0&amp;row=1210&amp;col=7&amp;number=0.00281&amp;sourceID=14","0.00281")</f>
        <v>0.00281</v>
      </c>
    </row>
    <row r="1211" spans="1:7">
      <c r="A1211" s="3"/>
      <c r="B1211" s="3"/>
      <c r="C1211" s="3"/>
      <c r="D1211" s="3"/>
      <c r="E1211" s="3">
        <v>8</v>
      </c>
      <c r="F1211" s="4" t="str">
        <f>HYPERLINK("http://141.218.60.56/~jnz1568/getInfo.php?workbook=20_10.xlsx&amp;sheet=U0&amp;row=1211&amp;col=6&amp;number=3.7&amp;sourceID=14","3.7")</f>
        <v>3.7</v>
      </c>
      <c r="G1211" s="4" t="str">
        <f>HYPERLINK("http://141.218.60.56/~jnz1568/getInfo.php?workbook=20_10.xlsx&amp;sheet=U0&amp;row=1211&amp;col=7&amp;number=0.00281&amp;sourceID=14","0.00281")</f>
        <v>0.00281</v>
      </c>
    </row>
    <row r="1212" spans="1:7">
      <c r="A1212" s="3"/>
      <c r="B1212" s="3"/>
      <c r="C1212" s="3"/>
      <c r="D1212" s="3"/>
      <c r="E1212" s="3">
        <v>9</v>
      </c>
      <c r="F1212" s="4" t="str">
        <f>HYPERLINK("http://141.218.60.56/~jnz1568/getInfo.php?workbook=20_10.xlsx&amp;sheet=U0&amp;row=1212&amp;col=6&amp;number=3.8&amp;sourceID=14","3.8")</f>
        <v>3.8</v>
      </c>
      <c r="G1212" s="4" t="str">
        <f>HYPERLINK("http://141.218.60.56/~jnz1568/getInfo.php?workbook=20_10.xlsx&amp;sheet=U0&amp;row=1212&amp;col=7&amp;number=0.00281&amp;sourceID=14","0.00281")</f>
        <v>0.00281</v>
      </c>
    </row>
    <row r="1213" spans="1:7">
      <c r="A1213" s="3"/>
      <c r="B1213" s="3"/>
      <c r="C1213" s="3"/>
      <c r="D1213" s="3"/>
      <c r="E1213" s="3">
        <v>10</v>
      </c>
      <c r="F1213" s="4" t="str">
        <f>HYPERLINK("http://141.218.60.56/~jnz1568/getInfo.php?workbook=20_10.xlsx&amp;sheet=U0&amp;row=1213&amp;col=6&amp;number=3.9&amp;sourceID=14","3.9")</f>
        <v>3.9</v>
      </c>
      <c r="G1213" s="4" t="str">
        <f>HYPERLINK("http://141.218.60.56/~jnz1568/getInfo.php?workbook=20_10.xlsx&amp;sheet=U0&amp;row=1213&amp;col=7&amp;number=0.0028&amp;sourceID=14","0.0028")</f>
        <v>0.0028</v>
      </c>
    </row>
    <row r="1214" spans="1:7">
      <c r="A1214" s="3"/>
      <c r="B1214" s="3"/>
      <c r="C1214" s="3"/>
      <c r="D1214" s="3"/>
      <c r="E1214" s="3">
        <v>11</v>
      </c>
      <c r="F1214" s="4" t="str">
        <f>HYPERLINK("http://141.218.60.56/~jnz1568/getInfo.php?workbook=20_10.xlsx&amp;sheet=U0&amp;row=1214&amp;col=6&amp;number=4&amp;sourceID=14","4")</f>
        <v>4</v>
      </c>
      <c r="G1214" s="4" t="str">
        <f>HYPERLINK("http://141.218.60.56/~jnz1568/getInfo.php?workbook=20_10.xlsx&amp;sheet=U0&amp;row=1214&amp;col=7&amp;number=0.0028&amp;sourceID=14","0.0028")</f>
        <v>0.0028</v>
      </c>
    </row>
    <row r="1215" spans="1:7">
      <c r="A1215" s="3"/>
      <c r="B1215" s="3"/>
      <c r="C1215" s="3"/>
      <c r="D1215" s="3"/>
      <c r="E1215" s="3">
        <v>12</v>
      </c>
      <c r="F1215" s="4" t="str">
        <f>HYPERLINK("http://141.218.60.56/~jnz1568/getInfo.php?workbook=20_10.xlsx&amp;sheet=U0&amp;row=1215&amp;col=6&amp;number=4.1&amp;sourceID=14","4.1")</f>
        <v>4.1</v>
      </c>
      <c r="G1215" s="4" t="str">
        <f>HYPERLINK("http://141.218.60.56/~jnz1568/getInfo.php?workbook=20_10.xlsx&amp;sheet=U0&amp;row=1215&amp;col=7&amp;number=0.0028&amp;sourceID=14","0.0028")</f>
        <v>0.0028</v>
      </c>
    </row>
    <row r="1216" spans="1:7">
      <c r="A1216" s="3"/>
      <c r="B1216" s="3"/>
      <c r="C1216" s="3"/>
      <c r="D1216" s="3"/>
      <c r="E1216" s="3">
        <v>13</v>
      </c>
      <c r="F1216" s="4" t="str">
        <f>HYPERLINK("http://141.218.60.56/~jnz1568/getInfo.php?workbook=20_10.xlsx&amp;sheet=U0&amp;row=1216&amp;col=6&amp;number=4.2&amp;sourceID=14","4.2")</f>
        <v>4.2</v>
      </c>
      <c r="G1216" s="4" t="str">
        <f>HYPERLINK("http://141.218.60.56/~jnz1568/getInfo.php?workbook=20_10.xlsx&amp;sheet=U0&amp;row=1216&amp;col=7&amp;number=0.0028&amp;sourceID=14","0.0028")</f>
        <v>0.0028</v>
      </c>
    </row>
    <row r="1217" spans="1:7">
      <c r="A1217" s="3"/>
      <c r="B1217" s="3"/>
      <c r="C1217" s="3"/>
      <c r="D1217" s="3"/>
      <c r="E1217" s="3">
        <v>14</v>
      </c>
      <c r="F1217" s="4" t="str">
        <f>HYPERLINK("http://141.218.60.56/~jnz1568/getInfo.php?workbook=20_10.xlsx&amp;sheet=U0&amp;row=1217&amp;col=6&amp;number=4.3&amp;sourceID=14","4.3")</f>
        <v>4.3</v>
      </c>
      <c r="G1217" s="4" t="str">
        <f>HYPERLINK("http://141.218.60.56/~jnz1568/getInfo.php?workbook=20_10.xlsx&amp;sheet=U0&amp;row=1217&amp;col=7&amp;number=0.0028&amp;sourceID=14","0.0028")</f>
        <v>0.0028</v>
      </c>
    </row>
    <row r="1218" spans="1:7">
      <c r="A1218" s="3"/>
      <c r="B1218" s="3"/>
      <c r="C1218" s="3"/>
      <c r="D1218" s="3"/>
      <c r="E1218" s="3">
        <v>15</v>
      </c>
      <c r="F1218" s="4" t="str">
        <f>HYPERLINK("http://141.218.60.56/~jnz1568/getInfo.php?workbook=20_10.xlsx&amp;sheet=U0&amp;row=1218&amp;col=6&amp;number=4.4&amp;sourceID=14","4.4")</f>
        <v>4.4</v>
      </c>
      <c r="G1218" s="4" t="str">
        <f>HYPERLINK("http://141.218.60.56/~jnz1568/getInfo.php?workbook=20_10.xlsx&amp;sheet=U0&amp;row=1218&amp;col=7&amp;number=0.0028&amp;sourceID=14","0.0028")</f>
        <v>0.0028</v>
      </c>
    </row>
    <row r="1219" spans="1:7">
      <c r="A1219" s="3"/>
      <c r="B1219" s="3"/>
      <c r="C1219" s="3"/>
      <c r="D1219" s="3"/>
      <c r="E1219" s="3">
        <v>16</v>
      </c>
      <c r="F1219" s="4" t="str">
        <f>HYPERLINK("http://141.218.60.56/~jnz1568/getInfo.php?workbook=20_10.xlsx&amp;sheet=U0&amp;row=1219&amp;col=6&amp;number=4.5&amp;sourceID=14","4.5")</f>
        <v>4.5</v>
      </c>
      <c r="G1219" s="4" t="str">
        <f>HYPERLINK("http://141.218.60.56/~jnz1568/getInfo.php?workbook=20_10.xlsx&amp;sheet=U0&amp;row=1219&amp;col=7&amp;number=0.00279&amp;sourceID=14","0.00279")</f>
        <v>0.00279</v>
      </c>
    </row>
    <row r="1220" spans="1:7">
      <c r="A1220" s="3"/>
      <c r="B1220" s="3"/>
      <c r="C1220" s="3"/>
      <c r="D1220" s="3"/>
      <c r="E1220" s="3">
        <v>17</v>
      </c>
      <c r="F1220" s="4" t="str">
        <f>HYPERLINK("http://141.218.60.56/~jnz1568/getInfo.php?workbook=20_10.xlsx&amp;sheet=U0&amp;row=1220&amp;col=6&amp;number=4.6&amp;sourceID=14","4.6")</f>
        <v>4.6</v>
      </c>
      <c r="G1220" s="4" t="str">
        <f>HYPERLINK("http://141.218.60.56/~jnz1568/getInfo.php?workbook=20_10.xlsx&amp;sheet=U0&amp;row=1220&amp;col=7&amp;number=0.00279&amp;sourceID=14","0.00279")</f>
        <v>0.00279</v>
      </c>
    </row>
    <row r="1221" spans="1:7">
      <c r="A1221" s="3"/>
      <c r="B1221" s="3"/>
      <c r="C1221" s="3"/>
      <c r="D1221" s="3"/>
      <c r="E1221" s="3">
        <v>18</v>
      </c>
      <c r="F1221" s="4" t="str">
        <f>HYPERLINK("http://141.218.60.56/~jnz1568/getInfo.php?workbook=20_10.xlsx&amp;sheet=U0&amp;row=1221&amp;col=6&amp;number=4.7&amp;sourceID=14","4.7")</f>
        <v>4.7</v>
      </c>
      <c r="G1221" s="4" t="str">
        <f>HYPERLINK("http://141.218.60.56/~jnz1568/getInfo.php?workbook=20_10.xlsx&amp;sheet=U0&amp;row=1221&amp;col=7&amp;number=0.00278&amp;sourceID=14","0.00278")</f>
        <v>0.00278</v>
      </c>
    </row>
    <row r="1222" spans="1:7">
      <c r="A1222" s="3"/>
      <c r="B1222" s="3"/>
      <c r="C1222" s="3"/>
      <c r="D1222" s="3"/>
      <c r="E1222" s="3">
        <v>19</v>
      </c>
      <c r="F1222" s="4" t="str">
        <f>HYPERLINK("http://141.218.60.56/~jnz1568/getInfo.php?workbook=20_10.xlsx&amp;sheet=U0&amp;row=1222&amp;col=6&amp;number=4.8&amp;sourceID=14","4.8")</f>
        <v>4.8</v>
      </c>
      <c r="G1222" s="4" t="str">
        <f>HYPERLINK("http://141.218.60.56/~jnz1568/getInfo.php?workbook=20_10.xlsx&amp;sheet=U0&amp;row=1222&amp;col=7&amp;number=0.00278&amp;sourceID=14","0.00278")</f>
        <v>0.00278</v>
      </c>
    </row>
    <row r="1223" spans="1:7">
      <c r="A1223" s="3"/>
      <c r="B1223" s="3"/>
      <c r="C1223" s="3"/>
      <c r="D1223" s="3"/>
      <c r="E1223" s="3">
        <v>20</v>
      </c>
      <c r="F1223" s="4" t="str">
        <f>HYPERLINK("http://141.218.60.56/~jnz1568/getInfo.php?workbook=20_10.xlsx&amp;sheet=U0&amp;row=1223&amp;col=6&amp;number=4.9&amp;sourceID=14","4.9")</f>
        <v>4.9</v>
      </c>
      <c r="G1223" s="4" t="str">
        <f>HYPERLINK("http://141.218.60.56/~jnz1568/getInfo.php?workbook=20_10.xlsx&amp;sheet=U0&amp;row=1223&amp;col=7&amp;number=0.00277&amp;sourceID=14","0.00277")</f>
        <v>0.00277</v>
      </c>
    </row>
    <row r="1224" spans="1:7">
      <c r="A1224" s="3">
        <v>20</v>
      </c>
      <c r="B1224" s="3">
        <v>10</v>
      </c>
      <c r="C1224" s="3">
        <v>1</v>
      </c>
      <c r="D1224" s="3">
        <v>63</v>
      </c>
      <c r="E1224" s="3">
        <v>1</v>
      </c>
      <c r="F1224" s="4" t="str">
        <f>HYPERLINK("http://141.218.60.56/~jnz1568/getInfo.php?workbook=20_10.xlsx&amp;sheet=U0&amp;row=1224&amp;col=6&amp;number=3&amp;sourceID=14","3")</f>
        <v>3</v>
      </c>
      <c r="G1224" s="4" t="str">
        <f>HYPERLINK("http://141.218.60.56/~jnz1568/getInfo.php?workbook=20_10.xlsx&amp;sheet=U0&amp;row=1224&amp;col=7&amp;number=0.00071&amp;sourceID=14","0.00071")</f>
        <v>0.00071</v>
      </c>
    </row>
    <row r="1225" spans="1:7">
      <c r="A1225" s="3"/>
      <c r="B1225" s="3"/>
      <c r="C1225" s="3"/>
      <c r="D1225" s="3"/>
      <c r="E1225" s="3">
        <v>2</v>
      </c>
      <c r="F1225" s="4" t="str">
        <f>HYPERLINK("http://141.218.60.56/~jnz1568/getInfo.php?workbook=20_10.xlsx&amp;sheet=U0&amp;row=1225&amp;col=6&amp;number=3.1&amp;sourceID=14","3.1")</f>
        <v>3.1</v>
      </c>
      <c r="G1225" s="4" t="str">
        <f>HYPERLINK("http://141.218.60.56/~jnz1568/getInfo.php?workbook=20_10.xlsx&amp;sheet=U0&amp;row=1225&amp;col=7&amp;number=0.00071&amp;sourceID=14","0.00071")</f>
        <v>0.00071</v>
      </c>
    </row>
    <row r="1226" spans="1:7">
      <c r="A1226" s="3"/>
      <c r="B1226" s="3"/>
      <c r="C1226" s="3"/>
      <c r="D1226" s="3"/>
      <c r="E1226" s="3">
        <v>3</v>
      </c>
      <c r="F1226" s="4" t="str">
        <f>HYPERLINK("http://141.218.60.56/~jnz1568/getInfo.php?workbook=20_10.xlsx&amp;sheet=U0&amp;row=1226&amp;col=6&amp;number=3.2&amp;sourceID=14","3.2")</f>
        <v>3.2</v>
      </c>
      <c r="G1226" s="4" t="str">
        <f>HYPERLINK("http://141.218.60.56/~jnz1568/getInfo.php?workbook=20_10.xlsx&amp;sheet=U0&amp;row=1226&amp;col=7&amp;number=0.00071&amp;sourceID=14","0.00071")</f>
        <v>0.00071</v>
      </c>
    </row>
    <row r="1227" spans="1:7">
      <c r="A1227" s="3"/>
      <c r="B1227" s="3"/>
      <c r="C1227" s="3"/>
      <c r="D1227" s="3"/>
      <c r="E1227" s="3">
        <v>4</v>
      </c>
      <c r="F1227" s="4" t="str">
        <f>HYPERLINK("http://141.218.60.56/~jnz1568/getInfo.php?workbook=20_10.xlsx&amp;sheet=U0&amp;row=1227&amp;col=6&amp;number=3.3&amp;sourceID=14","3.3")</f>
        <v>3.3</v>
      </c>
      <c r="G1227" s="4" t="str">
        <f>HYPERLINK("http://141.218.60.56/~jnz1568/getInfo.php?workbook=20_10.xlsx&amp;sheet=U0&amp;row=1227&amp;col=7&amp;number=0.00071&amp;sourceID=14","0.00071")</f>
        <v>0.00071</v>
      </c>
    </row>
    <row r="1228" spans="1:7">
      <c r="A1228" s="3"/>
      <c r="B1228" s="3"/>
      <c r="C1228" s="3"/>
      <c r="D1228" s="3"/>
      <c r="E1228" s="3">
        <v>5</v>
      </c>
      <c r="F1228" s="4" t="str">
        <f>HYPERLINK("http://141.218.60.56/~jnz1568/getInfo.php?workbook=20_10.xlsx&amp;sheet=U0&amp;row=1228&amp;col=6&amp;number=3.4&amp;sourceID=14","3.4")</f>
        <v>3.4</v>
      </c>
      <c r="G1228" s="4" t="str">
        <f>HYPERLINK("http://141.218.60.56/~jnz1568/getInfo.php?workbook=20_10.xlsx&amp;sheet=U0&amp;row=1228&amp;col=7&amp;number=0.00071&amp;sourceID=14","0.00071")</f>
        <v>0.00071</v>
      </c>
    </row>
    <row r="1229" spans="1:7">
      <c r="A1229" s="3"/>
      <c r="B1229" s="3"/>
      <c r="C1229" s="3"/>
      <c r="D1229" s="3"/>
      <c r="E1229" s="3">
        <v>6</v>
      </c>
      <c r="F1229" s="4" t="str">
        <f>HYPERLINK("http://141.218.60.56/~jnz1568/getInfo.php?workbook=20_10.xlsx&amp;sheet=U0&amp;row=1229&amp;col=6&amp;number=3.5&amp;sourceID=14","3.5")</f>
        <v>3.5</v>
      </c>
      <c r="G1229" s="4" t="str">
        <f>HYPERLINK("http://141.218.60.56/~jnz1568/getInfo.php?workbook=20_10.xlsx&amp;sheet=U0&amp;row=1229&amp;col=7&amp;number=0.00071&amp;sourceID=14","0.00071")</f>
        <v>0.00071</v>
      </c>
    </row>
    <row r="1230" spans="1:7">
      <c r="A1230" s="3"/>
      <c r="B1230" s="3"/>
      <c r="C1230" s="3"/>
      <c r="D1230" s="3"/>
      <c r="E1230" s="3">
        <v>7</v>
      </c>
      <c r="F1230" s="4" t="str">
        <f>HYPERLINK("http://141.218.60.56/~jnz1568/getInfo.php?workbook=20_10.xlsx&amp;sheet=U0&amp;row=1230&amp;col=6&amp;number=3.6&amp;sourceID=14","3.6")</f>
        <v>3.6</v>
      </c>
      <c r="G1230" s="4" t="str">
        <f>HYPERLINK("http://141.218.60.56/~jnz1568/getInfo.php?workbook=20_10.xlsx&amp;sheet=U0&amp;row=1230&amp;col=7&amp;number=0.000709&amp;sourceID=14","0.000709")</f>
        <v>0.000709</v>
      </c>
    </row>
    <row r="1231" spans="1:7">
      <c r="A1231" s="3"/>
      <c r="B1231" s="3"/>
      <c r="C1231" s="3"/>
      <c r="D1231" s="3"/>
      <c r="E1231" s="3">
        <v>8</v>
      </c>
      <c r="F1231" s="4" t="str">
        <f>HYPERLINK("http://141.218.60.56/~jnz1568/getInfo.php?workbook=20_10.xlsx&amp;sheet=U0&amp;row=1231&amp;col=6&amp;number=3.7&amp;sourceID=14","3.7")</f>
        <v>3.7</v>
      </c>
      <c r="G1231" s="4" t="str">
        <f>HYPERLINK("http://141.218.60.56/~jnz1568/getInfo.php?workbook=20_10.xlsx&amp;sheet=U0&amp;row=1231&amp;col=7&amp;number=0.000709&amp;sourceID=14","0.000709")</f>
        <v>0.000709</v>
      </c>
    </row>
    <row r="1232" spans="1:7">
      <c r="A1232" s="3"/>
      <c r="B1232" s="3"/>
      <c r="C1232" s="3"/>
      <c r="D1232" s="3"/>
      <c r="E1232" s="3">
        <v>9</v>
      </c>
      <c r="F1232" s="4" t="str">
        <f>HYPERLINK("http://141.218.60.56/~jnz1568/getInfo.php?workbook=20_10.xlsx&amp;sheet=U0&amp;row=1232&amp;col=6&amp;number=3.8&amp;sourceID=14","3.8")</f>
        <v>3.8</v>
      </c>
      <c r="G1232" s="4" t="str">
        <f>HYPERLINK("http://141.218.60.56/~jnz1568/getInfo.php?workbook=20_10.xlsx&amp;sheet=U0&amp;row=1232&amp;col=7&amp;number=0.000709&amp;sourceID=14","0.000709")</f>
        <v>0.000709</v>
      </c>
    </row>
    <row r="1233" spans="1:7">
      <c r="A1233" s="3"/>
      <c r="B1233" s="3"/>
      <c r="C1233" s="3"/>
      <c r="D1233" s="3"/>
      <c r="E1233" s="3">
        <v>10</v>
      </c>
      <c r="F1233" s="4" t="str">
        <f>HYPERLINK("http://141.218.60.56/~jnz1568/getInfo.php?workbook=20_10.xlsx&amp;sheet=U0&amp;row=1233&amp;col=6&amp;number=3.9&amp;sourceID=14","3.9")</f>
        <v>3.9</v>
      </c>
      <c r="G1233" s="4" t="str">
        <f>HYPERLINK("http://141.218.60.56/~jnz1568/getInfo.php?workbook=20_10.xlsx&amp;sheet=U0&amp;row=1233&amp;col=7&amp;number=0.000708&amp;sourceID=14","0.000708")</f>
        <v>0.000708</v>
      </c>
    </row>
    <row r="1234" spans="1:7">
      <c r="A1234" s="3"/>
      <c r="B1234" s="3"/>
      <c r="C1234" s="3"/>
      <c r="D1234" s="3"/>
      <c r="E1234" s="3">
        <v>11</v>
      </c>
      <c r="F1234" s="4" t="str">
        <f>HYPERLINK("http://141.218.60.56/~jnz1568/getInfo.php?workbook=20_10.xlsx&amp;sheet=U0&amp;row=1234&amp;col=6&amp;number=4&amp;sourceID=14","4")</f>
        <v>4</v>
      </c>
      <c r="G1234" s="4" t="str">
        <f>HYPERLINK("http://141.218.60.56/~jnz1568/getInfo.php?workbook=20_10.xlsx&amp;sheet=U0&amp;row=1234&amp;col=7&amp;number=0.000708&amp;sourceID=14","0.000708")</f>
        <v>0.000708</v>
      </c>
    </row>
    <row r="1235" spans="1:7">
      <c r="A1235" s="3"/>
      <c r="B1235" s="3"/>
      <c r="C1235" s="3"/>
      <c r="D1235" s="3"/>
      <c r="E1235" s="3">
        <v>12</v>
      </c>
      <c r="F1235" s="4" t="str">
        <f>HYPERLINK("http://141.218.60.56/~jnz1568/getInfo.php?workbook=20_10.xlsx&amp;sheet=U0&amp;row=1235&amp;col=6&amp;number=4.1&amp;sourceID=14","4.1")</f>
        <v>4.1</v>
      </c>
      <c r="G1235" s="4" t="str">
        <f>HYPERLINK("http://141.218.60.56/~jnz1568/getInfo.php?workbook=20_10.xlsx&amp;sheet=U0&amp;row=1235&amp;col=7&amp;number=0.000707&amp;sourceID=14","0.000707")</f>
        <v>0.000707</v>
      </c>
    </row>
    <row r="1236" spans="1:7">
      <c r="A1236" s="3"/>
      <c r="B1236" s="3"/>
      <c r="C1236" s="3"/>
      <c r="D1236" s="3"/>
      <c r="E1236" s="3">
        <v>13</v>
      </c>
      <c r="F1236" s="4" t="str">
        <f>HYPERLINK("http://141.218.60.56/~jnz1568/getInfo.php?workbook=20_10.xlsx&amp;sheet=U0&amp;row=1236&amp;col=6&amp;number=4.2&amp;sourceID=14","4.2")</f>
        <v>4.2</v>
      </c>
      <c r="G1236" s="4" t="str">
        <f>HYPERLINK("http://141.218.60.56/~jnz1568/getInfo.php?workbook=20_10.xlsx&amp;sheet=U0&amp;row=1236&amp;col=7&amp;number=0.000707&amp;sourceID=14","0.000707")</f>
        <v>0.000707</v>
      </c>
    </row>
    <row r="1237" spans="1:7">
      <c r="A1237" s="3"/>
      <c r="B1237" s="3"/>
      <c r="C1237" s="3"/>
      <c r="D1237" s="3"/>
      <c r="E1237" s="3">
        <v>14</v>
      </c>
      <c r="F1237" s="4" t="str">
        <f>HYPERLINK("http://141.218.60.56/~jnz1568/getInfo.php?workbook=20_10.xlsx&amp;sheet=U0&amp;row=1237&amp;col=6&amp;number=4.3&amp;sourceID=14","4.3")</f>
        <v>4.3</v>
      </c>
      <c r="G1237" s="4" t="str">
        <f>HYPERLINK("http://141.218.60.56/~jnz1568/getInfo.php?workbook=20_10.xlsx&amp;sheet=U0&amp;row=1237&amp;col=7&amp;number=0.000706&amp;sourceID=14","0.000706")</f>
        <v>0.000706</v>
      </c>
    </row>
    <row r="1238" spans="1:7">
      <c r="A1238" s="3"/>
      <c r="B1238" s="3"/>
      <c r="C1238" s="3"/>
      <c r="D1238" s="3"/>
      <c r="E1238" s="3">
        <v>15</v>
      </c>
      <c r="F1238" s="4" t="str">
        <f>HYPERLINK("http://141.218.60.56/~jnz1568/getInfo.php?workbook=20_10.xlsx&amp;sheet=U0&amp;row=1238&amp;col=6&amp;number=4.4&amp;sourceID=14","4.4")</f>
        <v>4.4</v>
      </c>
      <c r="G1238" s="4" t="str">
        <f>HYPERLINK("http://141.218.60.56/~jnz1568/getInfo.php?workbook=20_10.xlsx&amp;sheet=U0&amp;row=1238&amp;col=7&amp;number=0.000705&amp;sourceID=14","0.000705")</f>
        <v>0.000705</v>
      </c>
    </row>
    <row r="1239" spans="1:7">
      <c r="A1239" s="3"/>
      <c r="B1239" s="3"/>
      <c r="C1239" s="3"/>
      <c r="D1239" s="3"/>
      <c r="E1239" s="3">
        <v>16</v>
      </c>
      <c r="F1239" s="4" t="str">
        <f>HYPERLINK("http://141.218.60.56/~jnz1568/getInfo.php?workbook=20_10.xlsx&amp;sheet=U0&amp;row=1239&amp;col=6&amp;number=4.5&amp;sourceID=14","4.5")</f>
        <v>4.5</v>
      </c>
      <c r="G1239" s="4" t="str">
        <f>HYPERLINK("http://141.218.60.56/~jnz1568/getInfo.php?workbook=20_10.xlsx&amp;sheet=U0&amp;row=1239&amp;col=7&amp;number=0.000703&amp;sourceID=14","0.000703")</f>
        <v>0.000703</v>
      </c>
    </row>
    <row r="1240" spans="1:7">
      <c r="A1240" s="3"/>
      <c r="B1240" s="3"/>
      <c r="C1240" s="3"/>
      <c r="D1240" s="3"/>
      <c r="E1240" s="3">
        <v>17</v>
      </c>
      <c r="F1240" s="4" t="str">
        <f>HYPERLINK("http://141.218.60.56/~jnz1568/getInfo.php?workbook=20_10.xlsx&amp;sheet=U0&amp;row=1240&amp;col=6&amp;number=4.6&amp;sourceID=14","4.6")</f>
        <v>4.6</v>
      </c>
      <c r="G1240" s="4" t="str">
        <f>HYPERLINK("http://141.218.60.56/~jnz1568/getInfo.php?workbook=20_10.xlsx&amp;sheet=U0&amp;row=1240&amp;col=7&amp;number=0.000702&amp;sourceID=14","0.000702")</f>
        <v>0.000702</v>
      </c>
    </row>
    <row r="1241" spans="1:7">
      <c r="A1241" s="3"/>
      <c r="B1241" s="3"/>
      <c r="C1241" s="3"/>
      <c r="D1241" s="3"/>
      <c r="E1241" s="3">
        <v>18</v>
      </c>
      <c r="F1241" s="4" t="str">
        <f>HYPERLINK("http://141.218.60.56/~jnz1568/getInfo.php?workbook=20_10.xlsx&amp;sheet=U0&amp;row=1241&amp;col=6&amp;number=4.7&amp;sourceID=14","4.7")</f>
        <v>4.7</v>
      </c>
      <c r="G1241" s="4" t="str">
        <f>HYPERLINK("http://141.218.60.56/~jnz1568/getInfo.php?workbook=20_10.xlsx&amp;sheet=U0&amp;row=1241&amp;col=7&amp;number=0.000699&amp;sourceID=14","0.000699")</f>
        <v>0.000699</v>
      </c>
    </row>
    <row r="1242" spans="1:7">
      <c r="A1242" s="3"/>
      <c r="B1242" s="3"/>
      <c r="C1242" s="3"/>
      <c r="D1242" s="3"/>
      <c r="E1242" s="3">
        <v>19</v>
      </c>
      <c r="F1242" s="4" t="str">
        <f>HYPERLINK("http://141.218.60.56/~jnz1568/getInfo.php?workbook=20_10.xlsx&amp;sheet=U0&amp;row=1242&amp;col=6&amp;number=4.8&amp;sourceID=14","4.8")</f>
        <v>4.8</v>
      </c>
      <c r="G1242" s="4" t="str">
        <f>HYPERLINK("http://141.218.60.56/~jnz1568/getInfo.php?workbook=20_10.xlsx&amp;sheet=U0&amp;row=1242&amp;col=7&amp;number=0.000697&amp;sourceID=14","0.000697")</f>
        <v>0.000697</v>
      </c>
    </row>
    <row r="1243" spans="1:7">
      <c r="A1243" s="3"/>
      <c r="B1243" s="3"/>
      <c r="C1243" s="3"/>
      <c r="D1243" s="3"/>
      <c r="E1243" s="3">
        <v>20</v>
      </c>
      <c r="F1243" s="4" t="str">
        <f>HYPERLINK("http://141.218.60.56/~jnz1568/getInfo.php?workbook=20_10.xlsx&amp;sheet=U0&amp;row=1243&amp;col=6&amp;number=4.9&amp;sourceID=14","4.9")</f>
        <v>4.9</v>
      </c>
      <c r="G1243" s="4" t="str">
        <f>HYPERLINK("http://141.218.60.56/~jnz1568/getInfo.php?workbook=20_10.xlsx&amp;sheet=U0&amp;row=1243&amp;col=7&amp;number=0.000693&amp;sourceID=14","0.000693")</f>
        <v>0.000693</v>
      </c>
    </row>
    <row r="1244" spans="1:7">
      <c r="A1244" s="3">
        <v>20</v>
      </c>
      <c r="B1244" s="3">
        <v>10</v>
      </c>
      <c r="C1244" s="3">
        <v>1</v>
      </c>
      <c r="D1244" s="3">
        <v>64</v>
      </c>
      <c r="E1244" s="3">
        <v>1</v>
      </c>
      <c r="F1244" s="4" t="str">
        <f>HYPERLINK("http://141.218.60.56/~jnz1568/getInfo.php?workbook=20_10.xlsx&amp;sheet=U0&amp;row=1244&amp;col=6&amp;number=3&amp;sourceID=14","3")</f>
        <v>3</v>
      </c>
      <c r="G1244" s="4" t="str">
        <f>HYPERLINK("http://141.218.60.56/~jnz1568/getInfo.php?workbook=20_10.xlsx&amp;sheet=U0&amp;row=1244&amp;col=7&amp;number=0.00128&amp;sourceID=14","0.00128")</f>
        <v>0.00128</v>
      </c>
    </row>
    <row r="1245" spans="1:7">
      <c r="A1245" s="3"/>
      <c r="B1245" s="3"/>
      <c r="C1245" s="3"/>
      <c r="D1245" s="3"/>
      <c r="E1245" s="3">
        <v>2</v>
      </c>
      <c r="F1245" s="4" t="str">
        <f>HYPERLINK("http://141.218.60.56/~jnz1568/getInfo.php?workbook=20_10.xlsx&amp;sheet=U0&amp;row=1245&amp;col=6&amp;number=3.1&amp;sourceID=14","3.1")</f>
        <v>3.1</v>
      </c>
      <c r="G1245" s="4" t="str">
        <f>HYPERLINK("http://141.218.60.56/~jnz1568/getInfo.php?workbook=20_10.xlsx&amp;sheet=U0&amp;row=1245&amp;col=7&amp;number=0.00128&amp;sourceID=14","0.00128")</f>
        <v>0.00128</v>
      </c>
    </row>
    <row r="1246" spans="1:7">
      <c r="A1246" s="3"/>
      <c r="B1246" s="3"/>
      <c r="C1246" s="3"/>
      <c r="D1246" s="3"/>
      <c r="E1246" s="3">
        <v>3</v>
      </c>
      <c r="F1246" s="4" t="str">
        <f>HYPERLINK("http://141.218.60.56/~jnz1568/getInfo.php?workbook=20_10.xlsx&amp;sheet=U0&amp;row=1246&amp;col=6&amp;number=3.2&amp;sourceID=14","3.2")</f>
        <v>3.2</v>
      </c>
      <c r="G1246" s="4" t="str">
        <f>HYPERLINK("http://141.218.60.56/~jnz1568/getInfo.php?workbook=20_10.xlsx&amp;sheet=U0&amp;row=1246&amp;col=7&amp;number=0.00128&amp;sourceID=14","0.00128")</f>
        <v>0.00128</v>
      </c>
    </row>
    <row r="1247" spans="1:7">
      <c r="A1247" s="3"/>
      <c r="B1247" s="3"/>
      <c r="C1247" s="3"/>
      <c r="D1247" s="3"/>
      <c r="E1247" s="3">
        <v>4</v>
      </c>
      <c r="F1247" s="4" t="str">
        <f>HYPERLINK("http://141.218.60.56/~jnz1568/getInfo.php?workbook=20_10.xlsx&amp;sheet=U0&amp;row=1247&amp;col=6&amp;number=3.3&amp;sourceID=14","3.3")</f>
        <v>3.3</v>
      </c>
      <c r="G1247" s="4" t="str">
        <f>HYPERLINK("http://141.218.60.56/~jnz1568/getInfo.php?workbook=20_10.xlsx&amp;sheet=U0&amp;row=1247&amp;col=7&amp;number=0.00128&amp;sourceID=14","0.00128")</f>
        <v>0.00128</v>
      </c>
    </row>
    <row r="1248" spans="1:7">
      <c r="A1248" s="3"/>
      <c r="B1248" s="3"/>
      <c r="C1248" s="3"/>
      <c r="D1248" s="3"/>
      <c r="E1248" s="3">
        <v>5</v>
      </c>
      <c r="F1248" s="4" t="str">
        <f>HYPERLINK("http://141.218.60.56/~jnz1568/getInfo.php?workbook=20_10.xlsx&amp;sheet=U0&amp;row=1248&amp;col=6&amp;number=3.4&amp;sourceID=14","3.4")</f>
        <v>3.4</v>
      </c>
      <c r="G1248" s="4" t="str">
        <f>HYPERLINK("http://141.218.60.56/~jnz1568/getInfo.php?workbook=20_10.xlsx&amp;sheet=U0&amp;row=1248&amp;col=7&amp;number=0.00128&amp;sourceID=14","0.00128")</f>
        <v>0.00128</v>
      </c>
    </row>
    <row r="1249" spans="1:7">
      <c r="A1249" s="3"/>
      <c r="B1249" s="3"/>
      <c r="C1249" s="3"/>
      <c r="D1249" s="3"/>
      <c r="E1249" s="3">
        <v>6</v>
      </c>
      <c r="F1249" s="4" t="str">
        <f>HYPERLINK("http://141.218.60.56/~jnz1568/getInfo.php?workbook=20_10.xlsx&amp;sheet=U0&amp;row=1249&amp;col=6&amp;number=3.5&amp;sourceID=14","3.5")</f>
        <v>3.5</v>
      </c>
      <c r="G1249" s="4" t="str">
        <f>HYPERLINK("http://141.218.60.56/~jnz1568/getInfo.php?workbook=20_10.xlsx&amp;sheet=U0&amp;row=1249&amp;col=7&amp;number=0.00128&amp;sourceID=14","0.00128")</f>
        <v>0.00128</v>
      </c>
    </row>
    <row r="1250" spans="1:7">
      <c r="A1250" s="3"/>
      <c r="B1250" s="3"/>
      <c r="C1250" s="3"/>
      <c r="D1250" s="3"/>
      <c r="E1250" s="3">
        <v>7</v>
      </c>
      <c r="F1250" s="4" t="str">
        <f>HYPERLINK("http://141.218.60.56/~jnz1568/getInfo.php?workbook=20_10.xlsx&amp;sheet=U0&amp;row=1250&amp;col=6&amp;number=3.6&amp;sourceID=14","3.6")</f>
        <v>3.6</v>
      </c>
      <c r="G1250" s="4" t="str">
        <f>HYPERLINK("http://141.218.60.56/~jnz1568/getInfo.php?workbook=20_10.xlsx&amp;sheet=U0&amp;row=1250&amp;col=7&amp;number=0.00128&amp;sourceID=14","0.00128")</f>
        <v>0.00128</v>
      </c>
    </row>
    <row r="1251" spans="1:7">
      <c r="A1251" s="3"/>
      <c r="B1251" s="3"/>
      <c r="C1251" s="3"/>
      <c r="D1251" s="3"/>
      <c r="E1251" s="3">
        <v>8</v>
      </c>
      <c r="F1251" s="4" t="str">
        <f>HYPERLINK("http://141.218.60.56/~jnz1568/getInfo.php?workbook=20_10.xlsx&amp;sheet=U0&amp;row=1251&amp;col=6&amp;number=3.7&amp;sourceID=14","3.7")</f>
        <v>3.7</v>
      </c>
      <c r="G1251" s="4" t="str">
        <f>HYPERLINK("http://141.218.60.56/~jnz1568/getInfo.php?workbook=20_10.xlsx&amp;sheet=U0&amp;row=1251&amp;col=7&amp;number=0.00128&amp;sourceID=14","0.00128")</f>
        <v>0.00128</v>
      </c>
    </row>
    <row r="1252" spans="1:7">
      <c r="A1252" s="3"/>
      <c r="B1252" s="3"/>
      <c r="C1252" s="3"/>
      <c r="D1252" s="3"/>
      <c r="E1252" s="3">
        <v>9</v>
      </c>
      <c r="F1252" s="4" t="str">
        <f>HYPERLINK("http://141.218.60.56/~jnz1568/getInfo.php?workbook=20_10.xlsx&amp;sheet=U0&amp;row=1252&amp;col=6&amp;number=3.8&amp;sourceID=14","3.8")</f>
        <v>3.8</v>
      </c>
      <c r="G1252" s="4" t="str">
        <f>HYPERLINK("http://141.218.60.56/~jnz1568/getInfo.php?workbook=20_10.xlsx&amp;sheet=U0&amp;row=1252&amp;col=7&amp;number=0.00128&amp;sourceID=14","0.00128")</f>
        <v>0.00128</v>
      </c>
    </row>
    <row r="1253" spans="1:7">
      <c r="A1253" s="3"/>
      <c r="B1253" s="3"/>
      <c r="C1253" s="3"/>
      <c r="D1253" s="3"/>
      <c r="E1253" s="3">
        <v>10</v>
      </c>
      <c r="F1253" s="4" t="str">
        <f>HYPERLINK("http://141.218.60.56/~jnz1568/getInfo.php?workbook=20_10.xlsx&amp;sheet=U0&amp;row=1253&amp;col=6&amp;number=3.9&amp;sourceID=14","3.9")</f>
        <v>3.9</v>
      </c>
      <c r="G1253" s="4" t="str">
        <f>HYPERLINK("http://141.218.60.56/~jnz1568/getInfo.php?workbook=20_10.xlsx&amp;sheet=U0&amp;row=1253&amp;col=7&amp;number=0.00128&amp;sourceID=14","0.00128")</f>
        <v>0.00128</v>
      </c>
    </row>
    <row r="1254" spans="1:7">
      <c r="A1254" s="3"/>
      <c r="B1254" s="3"/>
      <c r="C1254" s="3"/>
      <c r="D1254" s="3"/>
      <c r="E1254" s="3">
        <v>11</v>
      </c>
      <c r="F1254" s="4" t="str">
        <f>HYPERLINK("http://141.218.60.56/~jnz1568/getInfo.php?workbook=20_10.xlsx&amp;sheet=U0&amp;row=1254&amp;col=6&amp;number=4&amp;sourceID=14","4")</f>
        <v>4</v>
      </c>
      <c r="G1254" s="4" t="str">
        <f>HYPERLINK("http://141.218.60.56/~jnz1568/getInfo.php?workbook=20_10.xlsx&amp;sheet=U0&amp;row=1254&amp;col=7&amp;number=0.00128&amp;sourceID=14","0.00128")</f>
        <v>0.00128</v>
      </c>
    </row>
    <row r="1255" spans="1:7">
      <c r="A1255" s="3"/>
      <c r="B1255" s="3"/>
      <c r="C1255" s="3"/>
      <c r="D1255" s="3"/>
      <c r="E1255" s="3">
        <v>12</v>
      </c>
      <c r="F1255" s="4" t="str">
        <f>HYPERLINK("http://141.218.60.56/~jnz1568/getInfo.php?workbook=20_10.xlsx&amp;sheet=U0&amp;row=1255&amp;col=6&amp;number=4.1&amp;sourceID=14","4.1")</f>
        <v>4.1</v>
      </c>
      <c r="G1255" s="4" t="str">
        <f>HYPERLINK("http://141.218.60.56/~jnz1568/getInfo.php?workbook=20_10.xlsx&amp;sheet=U0&amp;row=1255&amp;col=7&amp;number=0.00128&amp;sourceID=14","0.00128")</f>
        <v>0.00128</v>
      </c>
    </row>
    <row r="1256" spans="1:7">
      <c r="A1256" s="3"/>
      <c r="B1256" s="3"/>
      <c r="C1256" s="3"/>
      <c r="D1256" s="3"/>
      <c r="E1256" s="3">
        <v>13</v>
      </c>
      <c r="F1256" s="4" t="str">
        <f>HYPERLINK("http://141.218.60.56/~jnz1568/getInfo.php?workbook=20_10.xlsx&amp;sheet=U0&amp;row=1256&amp;col=6&amp;number=4.2&amp;sourceID=14","4.2")</f>
        <v>4.2</v>
      </c>
      <c r="G1256" s="4" t="str">
        <f>HYPERLINK("http://141.218.60.56/~jnz1568/getInfo.php?workbook=20_10.xlsx&amp;sheet=U0&amp;row=1256&amp;col=7&amp;number=0.00128&amp;sourceID=14","0.00128")</f>
        <v>0.00128</v>
      </c>
    </row>
    <row r="1257" spans="1:7">
      <c r="A1257" s="3"/>
      <c r="B1257" s="3"/>
      <c r="C1257" s="3"/>
      <c r="D1257" s="3"/>
      <c r="E1257" s="3">
        <v>14</v>
      </c>
      <c r="F1257" s="4" t="str">
        <f>HYPERLINK("http://141.218.60.56/~jnz1568/getInfo.php?workbook=20_10.xlsx&amp;sheet=U0&amp;row=1257&amp;col=6&amp;number=4.3&amp;sourceID=14","4.3")</f>
        <v>4.3</v>
      </c>
      <c r="G1257" s="4" t="str">
        <f>HYPERLINK("http://141.218.60.56/~jnz1568/getInfo.php?workbook=20_10.xlsx&amp;sheet=U0&amp;row=1257&amp;col=7&amp;number=0.00128&amp;sourceID=14","0.00128")</f>
        <v>0.00128</v>
      </c>
    </row>
    <row r="1258" spans="1:7">
      <c r="A1258" s="3"/>
      <c r="B1258" s="3"/>
      <c r="C1258" s="3"/>
      <c r="D1258" s="3"/>
      <c r="E1258" s="3">
        <v>15</v>
      </c>
      <c r="F1258" s="4" t="str">
        <f>HYPERLINK("http://141.218.60.56/~jnz1568/getInfo.php?workbook=20_10.xlsx&amp;sheet=U0&amp;row=1258&amp;col=6&amp;number=4.4&amp;sourceID=14","4.4")</f>
        <v>4.4</v>
      </c>
      <c r="G1258" s="4" t="str">
        <f>HYPERLINK("http://141.218.60.56/~jnz1568/getInfo.php?workbook=20_10.xlsx&amp;sheet=U0&amp;row=1258&amp;col=7&amp;number=0.00128&amp;sourceID=14","0.00128")</f>
        <v>0.00128</v>
      </c>
    </row>
    <row r="1259" spans="1:7">
      <c r="A1259" s="3"/>
      <c r="B1259" s="3"/>
      <c r="C1259" s="3"/>
      <c r="D1259" s="3"/>
      <c r="E1259" s="3">
        <v>16</v>
      </c>
      <c r="F1259" s="4" t="str">
        <f>HYPERLINK("http://141.218.60.56/~jnz1568/getInfo.php?workbook=20_10.xlsx&amp;sheet=U0&amp;row=1259&amp;col=6&amp;number=4.5&amp;sourceID=14","4.5")</f>
        <v>4.5</v>
      </c>
      <c r="G1259" s="4" t="str">
        <f>HYPERLINK("http://141.218.60.56/~jnz1568/getInfo.php?workbook=20_10.xlsx&amp;sheet=U0&amp;row=1259&amp;col=7&amp;number=0.00128&amp;sourceID=14","0.00128")</f>
        <v>0.00128</v>
      </c>
    </row>
    <row r="1260" spans="1:7">
      <c r="A1260" s="3"/>
      <c r="B1260" s="3"/>
      <c r="C1260" s="3"/>
      <c r="D1260" s="3"/>
      <c r="E1260" s="3">
        <v>17</v>
      </c>
      <c r="F1260" s="4" t="str">
        <f>HYPERLINK("http://141.218.60.56/~jnz1568/getInfo.php?workbook=20_10.xlsx&amp;sheet=U0&amp;row=1260&amp;col=6&amp;number=4.6&amp;sourceID=14","4.6")</f>
        <v>4.6</v>
      </c>
      <c r="G1260" s="4" t="str">
        <f>HYPERLINK("http://141.218.60.56/~jnz1568/getInfo.php?workbook=20_10.xlsx&amp;sheet=U0&amp;row=1260&amp;col=7&amp;number=0.00129&amp;sourceID=14","0.00129")</f>
        <v>0.00129</v>
      </c>
    </row>
    <row r="1261" spans="1:7">
      <c r="A1261" s="3"/>
      <c r="B1261" s="3"/>
      <c r="C1261" s="3"/>
      <c r="D1261" s="3"/>
      <c r="E1261" s="3">
        <v>18</v>
      </c>
      <c r="F1261" s="4" t="str">
        <f>HYPERLINK("http://141.218.60.56/~jnz1568/getInfo.php?workbook=20_10.xlsx&amp;sheet=U0&amp;row=1261&amp;col=6&amp;number=4.7&amp;sourceID=14","4.7")</f>
        <v>4.7</v>
      </c>
      <c r="G1261" s="4" t="str">
        <f>HYPERLINK("http://141.218.60.56/~jnz1568/getInfo.php?workbook=20_10.xlsx&amp;sheet=U0&amp;row=1261&amp;col=7&amp;number=0.00129&amp;sourceID=14","0.00129")</f>
        <v>0.00129</v>
      </c>
    </row>
    <row r="1262" spans="1:7">
      <c r="A1262" s="3"/>
      <c r="B1262" s="3"/>
      <c r="C1262" s="3"/>
      <c r="D1262" s="3"/>
      <c r="E1262" s="3">
        <v>19</v>
      </c>
      <c r="F1262" s="4" t="str">
        <f>HYPERLINK("http://141.218.60.56/~jnz1568/getInfo.php?workbook=20_10.xlsx&amp;sheet=U0&amp;row=1262&amp;col=6&amp;number=4.8&amp;sourceID=14","4.8")</f>
        <v>4.8</v>
      </c>
      <c r="G1262" s="4" t="str">
        <f>HYPERLINK("http://141.218.60.56/~jnz1568/getInfo.php?workbook=20_10.xlsx&amp;sheet=U0&amp;row=1262&amp;col=7&amp;number=0.00129&amp;sourceID=14","0.00129")</f>
        <v>0.00129</v>
      </c>
    </row>
    <row r="1263" spans="1:7">
      <c r="A1263" s="3"/>
      <c r="B1263" s="3"/>
      <c r="C1263" s="3"/>
      <c r="D1263" s="3"/>
      <c r="E1263" s="3">
        <v>20</v>
      </c>
      <c r="F1263" s="4" t="str">
        <f>HYPERLINK("http://141.218.60.56/~jnz1568/getInfo.php?workbook=20_10.xlsx&amp;sheet=U0&amp;row=1263&amp;col=6&amp;number=4.9&amp;sourceID=14","4.9")</f>
        <v>4.9</v>
      </c>
      <c r="G1263" s="4" t="str">
        <f>HYPERLINK("http://141.218.60.56/~jnz1568/getInfo.php?workbook=20_10.xlsx&amp;sheet=U0&amp;row=1263&amp;col=7&amp;number=0.0013&amp;sourceID=14","0.0013")</f>
        <v>0.0013</v>
      </c>
    </row>
    <row r="1264" spans="1:7">
      <c r="A1264" s="3">
        <v>20</v>
      </c>
      <c r="B1264" s="3">
        <v>10</v>
      </c>
      <c r="C1264" s="3">
        <v>1</v>
      </c>
      <c r="D1264" s="3">
        <v>65</v>
      </c>
      <c r="E1264" s="3">
        <v>1</v>
      </c>
      <c r="F1264" s="4" t="str">
        <f>HYPERLINK("http://141.218.60.56/~jnz1568/getInfo.php?workbook=20_10.xlsx&amp;sheet=U0&amp;row=1264&amp;col=6&amp;number=3&amp;sourceID=14","3")</f>
        <v>3</v>
      </c>
      <c r="G1264" s="4" t="str">
        <f>HYPERLINK("http://141.218.60.56/~jnz1568/getInfo.php?workbook=20_10.xlsx&amp;sheet=U0&amp;row=1264&amp;col=7&amp;number=0.000774&amp;sourceID=14","0.000774")</f>
        <v>0.000774</v>
      </c>
    </row>
    <row r="1265" spans="1:7">
      <c r="A1265" s="3"/>
      <c r="B1265" s="3"/>
      <c r="C1265" s="3"/>
      <c r="D1265" s="3"/>
      <c r="E1265" s="3">
        <v>2</v>
      </c>
      <c r="F1265" s="4" t="str">
        <f>HYPERLINK("http://141.218.60.56/~jnz1568/getInfo.php?workbook=20_10.xlsx&amp;sheet=U0&amp;row=1265&amp;col=6&amp;number=3.1&amp;sourceID=14","3.1")</f>
        <v>3.1</v>
      </c>
      <c r="G1265" s="4" t="str">
        <f>HYPERLINK("http://141.218.60.56/~jnz1568/getInfo.php?workbook=20_10.xlsx&amp;sheet=U0&amp;row=1265&amp;col=7&amp;number=0.000774&amp;sourceID=14","0.000774")</f>
        <v>0.000774</v>
      </c>
    </row>
    <row r="1266" spans="1:7">
      <c r="A1266" s="3"/>
      <c r="B1266" s="3"/>
      <c r="C1266" s="3"/>
      <c r="D1266" s="3"/>
      <c r="E1266" s="3">
        <v>3</v>
      </c>
      <c r="F1266" s="4" t="str">
        <f>HYPERLINK("http://141.218.60.56/~jnz1568/getInfo.php?workbook=20_10.xlsx&amp;sheet=U0&amp;row=1266&amp;col=6&amp;number=3.2&amp;sourceID=14","3.2")</f>
        <v>3.2</v>
      </c>
      <c r="G1266" s="4" t="str">
        <f>HYPERLINK("http://141.218.60.56/~jnz1568/getInfo.php?workbook=20_10.xlsx&amp;sheet=U0&amp;row=1266&amp;col=7&amp;number=0.000774&amp;sourceID=14","0.000774")</f>
        <v>0.000774</v>
      </c>
    </row>
    <row r="1267" spans="1:7">
      <c r="A1267" s="3"/>
      <c r="B1267" s="3"/>
      <c r="C1267" s="3"/>
      <c r="D1267" s="3"/>
      <c r="E1267" s="3">
        <v>4</v>
      </c>
      <c r="F1267" s="4" t="str">
        <f>HYPERLINK("http://141.218.60.56/~jnz1568/getInfo.php?workbook=20_10.xlsx&amp;sheet=U0&amp;row=1267&amp;col=6&amp;number=3.3&amp;sourceID=14","3.3")</f>
        <v>3.3</v>
      </c>
      <c r="G1267" s="4" t="str">
        <f>HYPERLINK("http://141.218.60.56/~jnz1568/getInfo.php?workbook=20_10.xlsx&amp;sheet=U0&amp;row=1267&amp;col=7&amp;number=0.000773&amp;sourceID=14","0.000773")</f>
        <v>0.000773</v>
      </c>
    </row>
    <row r="1268" spans="1:7">
      <c r="A1268" s="3"/>
      <c r="B1268" s="3"/>
      <c r="C1268" s="3"/>
      <c r="D1268" s="3"/>
      <c r="E1268" s="3">
        <v>5</v>
      </c>
      <c r="F1268" s="4" t="str">
        <f>HYPERLINK("http://141.218.60.56/~jnz1568/getInfo.php?workbook=20_10.xlsx&amp;sheet=U0&amp;row=1268&amp;col=6&amp;number=3.4&amp;sourceID=14","3.4")</f>
        <v>3.4</v>
      </c>
      <c r="G1268" s="4" t="str">
        <f>HYPERLINK("http://141.218.60.56/~jnz1568/getInfo.php?workbook=20_10.xlsx&amp;sheet=U0&amp;row=1268&amp;col=7&amp;number=0.000773&amp;sourceID=14","0.000773")</f>
        <v>0.000773</v>
      </c>
    </row>
    <row r="1269" spans="1:7">
      <c r="A1269" s="3"/>
      <c r="B1269" s="3"/>
      <c r="C1269" s="3"/>
      <c r="D1269" s="3"/>
      <c r="E1269" s="3">
        <v>6</v>
      </c>
      <c r="F1269" s="4" t="str">
        <f>HYPERLINK("http://141.218.60.56/~jnz1568/getInfo.php?workbook=20_10.xlsx&amp;sheet=U0&amp;row=1269&amp;col=6&amp;number=3.5&amp;sourceID=14","3.5")</f>
        <v>3.5</v>
      </c>
      <c r="G1269" s="4" t="str">
        <f>HYPERLINK("http://141.218.60.56/~jnz1568/getInfo.php?workbook=20_10.xlsx&amp;sheet=U0&amp;row=1269&amp;col=7&amp;number=0.000773&amp;sourceID=14","0.000773")</f>
        <v>0.000773</v>
      </c>
    </row>
    <row r="1270" spans="1:7">
      <c r="A1270" s="3"/>
      <c r="B1270" s="3"/>
      <c r="C1270" s="3"/>
      <c r="D1270" s="3"/>
      <c r="E1270" s="3">
        <v>7</v>
      </c>
      <c r="F1270" s="4" t="str">
        <f>HYPERLINK("http://141.218.60.56/~jnz1568/getInfo.php?workbook=20_10.xlsx&amp;sheet=U0&amp;row=1270&amp;col=6&amp;number=3.6&amp;sourceID=14","3.6")</f>
        <v>3.6</v>
      </c>
      <c r="G1270" s="4" t="str">
        <f>HYPERLINK("http://141.218.60.56/~jnz1568/getInfo.php?workbook=20_10.xlsx&amp;sheet=U0&amp;row=1270&amp;col=7&amp;number=0.000773&amp;sourceID=14","0.000773")</f>
        <v>0.000773</v>
      </c>
    </row>
    <row r="1271" spans="1:7">
      <c r="A1271" s="3"/>
      <c r="B1271" s="3"/>
      <c r="C1271" s="3"/>
      <c r="D1271" s="3"/>
      <c r="E1271" s="3">
        <v>8</v>
      </c>
      <c r="F1271" s="4" t="str">
        <f>HYPERLINK("http://141.218.60.56/~jnz1568/getInfo.php?workbook=20_10.xlsx&amp;sheet=U0&amp;row=1271&amp;col=6&amp;number=3.7&amp;sourceID=14","3.7")</f>
        <v>3.7</v>
      </c>
      <c r="G1271" s="4" t="str">
        <f>HYPERLINK("http://141.218.60.56/~jnz1568/getInfo.php?workbook=20_10.xlsx&amp;sheet=U0&amp;row=1271&amp;col=7&amp;number=0.000773&amp;sourceID=14","0.000773")</f>
        <v>0.000773</v>
      </c>
    </row>
    <row r="1272" spans="1:7">
      <c r="A1272" s="3"/>
      <c r="B1272" s="3"/>
      <c r="C1272" s="3"/>
      <c r="D1272" s="3"/>
      <c r="E1272" s="3">
        <v>9</v>
      </c>
      <c r="F1272" s="4" t="str">
        <f>HYPERLINK("http://141.218.60.56/~jnz1568/getInfo.php?workbook=20_10.xlsx&amp;sheet=U0&amp;row=1272&amp;col=6&amp;number=3.8&amp;sourceID=14","3.8")</f>
        <v>3.8</v>
      </c>
      <c r="G1272" s="4" t="str">
        <f>HYPERLINK("http://141.218.60.56/~jnz1568/getInfo.php?workbook=20_10.xlsx&amp;sheet=U0&amp;row=1272&amp;col=7&amp;number=0.000772&amp;sourceID=14","0.000772")</f>
        <v>0.000772</v>
      </c>
    </row>
    <row r="1273" spans="1:7">
      <c r="A1273" s="3"/>
      <c r="B1273" s="3"/>
      <c r="C1273" s="3"/>
      <c r="D1273" s="3"/>
      <c r="E1273" s="3">
        <v>10</v>
      </c>
      <c r="F1273" s="4" t="str">
        <f>HYPERLINK("http://141.218.60.56/~jnz1568/getInfo.php?workbook=20_10.xlsx&amp;sheet=U0&amp;row=1273&amp;col=6&amp;number=3.9&amp;sourceID=14","3.9")</f>
        <v>3.9</v>
      </c>
      <c r="G1273" s="4" t="str">
        <f>HYPERLINK("http://141.218.60.56/~jnz1568/getInfo.php?workbook=20_10.xlsx&amp;sheet=U0&amp;row=1273&amp;col=7&amp;number=0.000772&amp;sourceID=14","0.000772")</f>
        <v>0.000772</v>
      </c>
    </row>
    <row r="1274" spans="1:7">
      <c r="A1274" s="3"/>
      <c r="B1274" s="3"/>
      <c r="C1274" s="3"/>
      <c r="D1274" s="3"/>
      <c r="E1274" s="3">
        <v>11</v>
      </c>
      <c r="F1274" s="4" t="str">
        <f>HYPERLINK("http://141.218.60.56/~jnz1568/getInfo.php?workbook=20_10.xlsx&amp;sheet=U0&amp;row=1274&amp;col=6&amp;number=4&amp;sourceID=14","4")</f>
        <v>4</v>
      </c>
      <c r="G1274" s="4" t="str">
        <f>HYPERLINK("http://141.218.60.56/~jnz1568/getInfo.php?workbook=20_10.xlsx&amp;sheet=U0&amp;row=1274&amp;col=7&amp;number=0.000772&amp;sourceID=14","0.000772")</f>
        <v>0.000772</v>
      </c>
    </row>
    <row r="1275" spans="1:7">
      <c r="A1275" s="3"/>
      <c r="B1275" s="3"/>
      <c r="C1275" s="3"/>
      <c r="D1275" s="3"/>
      <c r="E1275" s="3">
        <v>12</v>
      </c>
      <c r="F1275" s="4" t="str">
        <f>HYPERLINK("http://141.218.60.56/~jnz1568/getInfo.php?workbook=20_10.xlsx&amp;sheet=U0&amp;row=1275&amp;col=6&amp;number=4.1&amp;sourceID=14","4.1")</f>
        <v>4.1</v>
      </c>
      <c r="G1275" s="4" t="str">
        <f>HYPERLINK("http://141.218.60.56/~jnz1568/getInfo.php?workbook=20_10.xlsx&amp;sheet=U0&amp;row=1275&amp;col=7&amp;number=0.000771&amp;sourceID=14","0.000771")</f>
        <v>0.000771</v>
      </c>
    </row>
    <row r="1276" spans="1:7">
      <c r="A1276" s="3"/>
      <c r="B1276" s="3"/>
      <c r="C1276" s="3"/>
      <c r="D1276" s="3"/>
      <c r="E1276" s="3">
        <v>13</v>
      </c>
      <c r="F1276" s="4" t="str">
        <f>HYPERLINK("http://141.218.60.56/~jnz1568/getInfo.php?workbook=20_10.xlsx&amp;sheet=U0&amp;row=1276&amp;col=6&amp;number=4.2&amp;sourceID=14","4.2")</f>
        <v>4.2</v>
      </c>
      <c r="G1276" s="4" t="str">
        <f>HYPERLINK("http://141.218.60.56/~jnz1568/getInfo.php?workbook=20_10.xlsx&amp;sheet=U0&amp;row=1276&amp;col=7&amp;number=0.00077&amp;sourceID=14","0.00077")</f>
        <v>0.00077</v>
      </c>
    </row>
    <row r="1277" spans="1:7">
      <c r="A1277" s="3"/>
      <c r="B1277" s="3"/>
      <c r="C1277" s="3"/>
      <c r="D1277" s="3"/>
      <c r="E1277" s="3">
        <v>14</v>
      </c>
      <c r="F1277" s="4" t="str">
        <f>HYPERLINK("http://141.218.60.56/~jnz1568/getInfo.php?workbook=20_10.xlsx&amp;sheet=U0&amp;row=1277&amp;col=6&amp;number=4.3&amp;sourceID=14","4.3")</f>
        <v>4.3</v>
      </c>
      <c r="G1277" s="4" t="str">
        <f>HYPERLINK("http://141.218.60.56/~jnz1568/getInfo.php?workbook=20_10.xlsx&amp;sheet=U0&amp;row=1277&amp;col=7&amp;number=0.000769&amp;sourceID=14","0.000769")</f>
        <v>0.000769</v>
      </c>
    </row>
    <row r="1278" spans="1:7">
      <c r="A1278" s="3"/>
      <c r="B1278" s="3"/>
      <c r="C1278" s="3"/>
      <c r="D1278" s="3"/>
      <c r="E1278" s="3">
        <v>15</v>
      </c>
      <c r="F1278" s="4" t="str">
        <f>HYPERLINK("http://141.218.60.56/~jnz1568/getInfo.php?workbook=20_10.xlsx&amp;sheet=U0&amp;row=1278&amp;col=6&amp;number=4.4&amp;sourceID=14","4.4")</f>
        <v>4.4</v>
      </c>
      <c r="G1278" s="4" t="str">
        <f>HYPERLINK("http://141.218.60.56/~jnz1568/getInfo.php?workbook=20_10.xlsx&amp;sheet=U0&amp;row=1278&amp;col=7&amp;number=0.000768&amp;sourceID=14","0.000768")</f>
        <v>0.000768</v>
      </c>
    </row>
    <row r="1279" spans="1:7">
      <c r="A1279" s="3"/>
      <c r="B1279" s="3"/>
      <c r="C1279" s="3"/>
      <c r="D1279" s="3"/>
      <c r="E1279" s="3">
        <v>16</v>
      </c>
      <c r="F1279" s="4" t="str">
        <f>HYPERLINK("http://141.218.60.56/~jnz1568/getInfo.php?workbook=20_10.xlsx&amp;sheet=U0&amp;row=1279&amp;col=6&amp;number=4.5&amp;sourceID=14","4.5")</f>
        <v>4.5</v>
      </c>
      <c r="G1279" s="4" t="str">
        <f>HYPERLINK("http://141.218.60.56/~jnz1568/getInfo.php?workbook=20_10.xlsx&amp;sheet=U0&amp;row=1279&amp;col=7&amp;number=0.000767&amp;sourceID=14","0.000767")</f>
        <v>0.000767</v>
      </c>
    </row>
    <row r="1280" spans="1:7">
      <c r="A1280" s="3"/>
      <c r="B1280" s="3"/>
      <c r="C1280" s="3"/>
      <c r="D1280" s="3"/>
      <c r="E1280" s="3">
        <v>17</v>
      </c>
      <c r="F1280" s="4" t="str">
        <f>HYPERLINK("http://141.218.60.56/~jnz1568/getInfo.php?workbook=20_10.xlsx&amp;sheet=U0&amp;row=1280&amp;col=6&amp;number=4.6&amp;sourceID=14","4.6")</f>
        <v>4.6</v>
      </c>
      <c r="G1280" s="4" t="str">
        <f>HYPERLINK("http://141.218.60.56/~jnz1568/getInfo.php?workbook=20_10.xlsx&amp;sheet=U0&amp;row=1280&amp;col=7&amp;number=0.000765&amp;sourceID=14","0.000765")</f>
        <v>0.000765</v>
      </c>
    </row>
    <row r="1281" spans="1:7">
      <c r="A1281" s="3"/>
      <c r="B1281" s="3"/>
      <c r="C1281" s="3"/>
      <c r="D1281" s="3"/>
      <c r="E1281" s="3">
        <v>18</v>
      </c>
      <c r="F1281" s="4" t="str">
        <f>HYPERLINK("http://141.218.60.56/~jnz1568/getInfo.php?workbook=20_10.xlsx&amp;sheet=U0&amp;row=1281&amp;col=6&amp;number=4.7&amp;sourceID=14","4.7")</f>
        <v>4.7</v>
      </c>
      <c r="G1281" s="4" t="str">
        <f>HYPERLINK("http://141.218.60.56/~jnz1568/getInfo.php?workbook=20_10.xlsx&amp;sheet=U0&amp;row=1281&amp;col=7&amp;number=0.000762&amp;sourceID=14","0.000762")</f>
        <v>0.000762</v>
      </c>
    </row>
    <row r="1282" spans="1:7">
      <c r="A1282" s="3"/>
      <c r="B1282" s="3"/>
      <c r="C1282" s="3"/>
      <c r="D1282" s="3"/>
      <c r="E1282" s="3">
        <v>19</v>
      </c>
      <c r="F1282" s="4" t="str">
        <f>HYPERLINK("http://141.218.60.56/~jnz1568/getInfo.php?workbook=20_10.xlsx&amp;sheet=U0&amp;row=1282&amp;col=6&amp;number=4.8&amp;sourceID=14","4.8")</f>
        <v>4.8</v>
      </c>
      <c r="G1282" s="4" t="str">
        <f>HYPERLINK("http://141.218.60.56/~jnz1568/getInfo.php?workbook=20_10.xlsx&amp;sheet=U0&amp;row=1282&amp;col=7&amp;number=0.000759&amp;sourceID=14","0.000759")</f>
        <v>0.000759</v>
      </c>
    </row>
    <row r="1283" spans="1:7">
      <c r="A1283" s="3"/>
      <c r="B1283" s="3"/>
      <c r="C1283" s="3"/>
      <c r="D1283" s="3"/>
      <c r="E1283" s="3">
        <v>20</v>
      </c>
      <c r="F1283" s="4" t="str">
        <f>HYPERLINK("http://141.218.60.56/~jnz1568/getInfo.php?workbook=20_10.xlsx&amp;sheet=U0&amp;row=1283&amp;col=6&amp;number=4.9&amp;sourceID=14","4.9")</f>
        <v>4.9</v>
      </c>
      <c r="G1283" s="4" t="str">
        <f>HYPERLINK("http://141.218.60.56/~jnz1568/getInfo.php?workbook=20_10.xlsx&amp;sheet=U0&amp;row=1283&amp;col=7&amp;number=0.000756&amp;sourceID=14","0.000756")</f>
        <v>0.000756</v>
      </c>
    </row>
    <row r="1284" spans="1:7">
      <c r="A1284" s="3">
        <v>20</v>
      </c>
      <c r="B1284" s="3">
        <v>10</v>
      </c>
      <c r="C1284" s="3">
        <v>1</v>
      </c>
      <c r="D1284" s="3">
        <v>66</v>
      </c>
      <c r="E1284" s="3">
        <v>1</v>
      </c>
      <c r="F1284" s="4" t="str">
        <f>HYPERLINK("http://141.218.60.56/~jnz1568/getInfo.php?workbook=20_10.xlsx&amp;sheet=U0&amp;row=1284&amp;col=6&amp;number=3&amp;sourceID=14","3")</f>
        <v>3</v>
      </c>
      <c r="G1284" s="4" t="str">
        <f>HYPERLINK("http://141.218.60.56/~jnz1568/getInfo.php?workbook=20_10.xlsx&amp;sheet=U0&amp;row=1284&amp;col=7&amp;number=0.00047&amp;sourceID=14","0.00047")</f>
        <v>0.00047</v>
      </c>
    </row>
    <row r="1285" spans="1:7">
      <c r="A1285" s="3"/>
      <c r="B1285" s="3"/>
      <c r="C1285" s="3"/>
      <c r="D1285" s="3"/>
      <c r="E1285" s="3">
        <v>2</v>
      </c>
      <c r="F1285" s="4" t="str">
        <f>HYPERLINK("http://141.218.60.56/~jnz1568/getInfo.php?workbook=20_10.xlsx&amp;sheet=U0&amp;row=1285&amp;col=6&amp;number=3.1&amp;sourceID=14","3.1")</f>
        <v>3.1</v>
      </c>
      <c r="G1285" s="4" t="str">
        <f>HYPERLINK("http://141.218.60.56/~jnz1568/getInfo.php?workbook=20_10.xlsx&amp;sheet=U0&amp;row=1285&amp;col=7&amp;number=0.00047&amp;sourceID=14","0.00047")</f>
        <v>0.00047</v>
      </c>
    </row>
    <row r="1286" spans="1:7">
      <c r="A1286" s="3"/>
      <c r="B1286" s="3"/>
      <c r="C1286" s="3"/>
      <c r="D1286" s="3"/>
      <c r="E1286" s="3">
        <v>3</v>
      </c>
      <c r="F1286" s="4" t="str">
        <f>HYPERLINK("http://141.218.60.56/~jnz1568/getInfo.php?workbook=20_10.xlsx&amp;sheet=U0&amp;row=1286&amp;col=6&amp;number=3.2&amp;sourceID=14","3.2")</f>
        <v>3.2</v>
      </c>
      <c r="G1286" s="4" t="str">
        <f>HYPERLINK("http://141.218.60.56/~jnz1568/getInfo.php?workbook=20_10.xlsx&amp;sheet=U0&amp;row=1286&amp;col=7&amp;number=0.00047&amp;sourceID=14","0.00047")</f>
        <v>0.00047</v>
      </c>
    </row>
    <row r="1287" spans="1:7">
      <c r="A1287" s="3"/>
      <c r="B1287" s="3"/>
      <c r="C1287" s="3"/>
      <c r="D1287" s="3"/>
      <c r="E1287" s="3">
        <v>4</v>
      </c>
      <c r="F1287" s="4" t="str">
        <f>HYPERLINK("http://141.218.60.56/~jnz1568/getInfo.php?workbook=20_10.xlsx&amp;sheet=U0&amp;row=1287&amp;col=6&amp;number=3.3&amp;sourceID=14","3.3")</f>
        <v>3.3</v>
      </c>
      <c r="G1287" s="4" t="str">
        <f>HYPERLINK("http://141.218.60.56/~jnz1568/getInfo.php?workbook=20_10.xlsx&amp;sheet=U0&amp;row=1287&amp;col=7&amp;number=0.00047&amp;sourceID=14","0.00047")</f>
        <v>0.00047</v>
      </c>
    </row>
    <row r="1288" spans="1:7">
      <c r="A1288" s="3"/>
      <c r="B1288" s="3"/>
      <c r="C1288" s="3"/>
      <c r="D1288" s="3"/>
      <c r="E1288" s="3">
        <v>5</v>
      </c>
      <c r="F1288" s="4" t="str">
        <f>HYPERLINK("http://141.218.60.56/~jnz1568/getInfo.php?workbook=20_10.xlsx&amp;sheet=U0&amp;row=1288&amp;col=6&amp;number=3.4&amp;sourceID=14","3.4")</f>
        <v>3.4</v>
      </c>
      <c r="G1288" s="4" t="str">
        <f>HYPERLINK("http://141.218.60.56/~jnz1568/getInfo.php?workbook=20_10.xlsx&amp;sheet=U0&amp;row=1288&amp;col=7&amp;number=0.000469&amp;sourceID=14","0.000469")</f>
        <v>0.000469</v>
      </c>
    </row>
    <row r="1289" spans="1:7">
      <c r="A1289" s="3"/>
      <c r="B1289" s="3"/>
      <c r="C1289" s="3"/>
      <c r="D1289" s="3"/>
      <c r="E1289" s="3">
        <v>6</v>
      </c>
      <c r="F1289" s="4" t="str">
        <f>HYPERLINK("http://141.218.60.56/~jnz1568/getInfo.php?workbook=20_10.xlsx&amp;sheet=U0&amp;row=1289&amp;col=6&amp;number=3.5&amp;sourceID=14","3.5")</f>
        <v>3.5</v>
      </c>
      <c r="G1289" s="4" t="str">
        <f>HYPERLINK("http://141.218.60.56/~jnz1568/getInfo.php?workbook=20_10.xlsx&amp;sheet=U0&amp;row=1289&amp;col=7&amp;number=0.000469&amp;sourceID=14","0.000469")</f>
        <v>0.000469</v>
      </c>
    </row>
    <row r="1290" spans="1:7">
      <c r="A1290" s="3"/>
      <c r="B1290" s="3"/>
      <c r="C1290" s="3"/>
      <c r="D1290" s="3"/>
      <c r="E1290" s="3">
        <v>7</v>
      </c>
      <c r="F1290" s="4" t="str">
        <f>HYPERLINK("http://141.218.60.56/~jnz1568/getInfo.php?workbook=20_10.xlsx&amp;sheet=U0&amp;row=1290&amp;col=6&amp;number=3.6&amp;sourceID=14","3.6")</f>
        <v>3.6</v>
      </c>
      <c r="G1290" s="4" t="str">
        <f>HYPERLINK("http://141.218.60.56/~jnz1568/getInfo.php?workbook=20_10.xlsx&amp;sheet=U0&amp;row=1290&amp;col=7&amp;number=0.000469&amp;sourceID=14","0.000469")</f>
        <v>0.000469</v>
      </c>
    </row>
    <row r="1291" spans="1:7">
      <c r="A1291" s="3"/>
      <c r="B1291" s="3"/>
      <c r="C1291" s="3"/>
      <c r="D1291" s="3"/>
      <c r="E1291" s="3">
        <v>8</v>
      </c>
      <c r="F1291" s="4" t="str">
        <f>HYPERLINK("http://141.218.60.56/~jnz1568/getInfo.php?workbook=20_10.xlsx&amp;sheet=U0&amp;row=1291&amp;col=6&amp;number=3.7&amp;sourceID=14","3.7")</f>
        <v>3.7</v>
      </c>
      <c r="G1291" s="4" t="str">
        <f>HYPERLINK("http://141.218.60.56/~jnz1568/getInfo.php?workbook=20_10.xlsx&amp;sheet=U0&amp;row=1291&amp;col=7&amp;number=0.000469&amp;sourceID=14","0.000469")</f>
        <v>0.000469</v>
      </c>
    </row>
    <row r="1292" spans="1:7">
      <c r="A1292" s="3"/>
      <c r="B1292" s="3"/>
      <c r="C1292" s="3"/>
      <c r="D1292" s="3"/>
      <c r="E1292" s="3">
        <v>9</v>
      </c>
      <c r="F1292" s="4" t="str">
        <f>HYPERLINK("http://141.218.60.56/~jnz1568/getInfo.php?workbook=20_10.xlsx&amp;sheet=U0&amp;row=1292&amp;col=6&amp;number=3.8&amp;sourceID=14","3.8")</f>
        <v>3.8</v>
      </c>
      <c r="G1292" s="4" t="str">
        <f>HYPERLINK("http://141.218.60.56/~jnz1568/getInfo.php?workbook=20_10.xlsx&amp;sheet=U0&amp;row=1292&amp;col=7&amp;number=0.000469&amp;sourceID=14","0.000469")</f>
        <v>0.000469</v>
      </c>
    </row>
    <row r="1293" spans="1:7">
      <c r="A1293" s="3"/>
      <c r="B1293" s="3"/>
      <c r="C1293" s="3"/>
      <c r="D1293" s="3"/>
      <c r="E1293" s="3">
        <v>10</v>
      </c>
      <c r="F1293" s="4" t="str">
        <f>HYPERLINK("http://141.218.60.56/~jnz1568/getInfo.php?workbook=20_10.xlsx&amp;sheet=U0&amp;row=1293&amp;col=6&amp;number=3.9&amp;sourceID=14","3.9")</f>
        <v>3.9</v>
      </c>
      <c r="G1293" s="4" t="str">
        <f>HYPERLINK("http://141.218.60.56/~jnz1568/getInfo.php?workbook=20_10.xlsx&amp;sheet=U0&amp;row=1293&amp;col=7&amp;number=0.000469&amp;sourceID=14","0.000469")</f>
        <v>0.000469</v>
      </c>
    </row>
    <row r="1294" spans="1:7">
      <c r="A1294" s="3"/>
      <c r="B1294" s="3"/>
      <c r="C1294" s="3"/>
      <c r="D1294" s="3"/>
      <c r="E1294" s="3">
        <v>11</v>
      </c>
      <c r="F1294" s="4" t="str">
        <f>HYPERLINK("http://141.218.60.56/~jnz1568/getInfo.php?workbook=20_10.xlsx&amp;sheet=U0&amp;row=1294&amp;col=6&amp;number=4&amp;sourceID=14","4")</f>
        <v>4</v>
      </c>
      <c r="G1294" s="4" t="str">
        <f>HYPERLINK("http://141.218.60.56/~jnz1568/getInfo.php?workbook=20_10.xlsx&amp;sheet=U0&amp;row=1294&amp;col=7&amp;number=0.000469&amp;sourceID=14","0.000469")</f>
        <v>0.000469</v>
      </c>
    </row>
    <row r="1295" spans="1:7">
      <c r="A1295" s="3"/>
      <c r="B1295" s="3"/>
      <c r="C1295" s="3"/>
      <c r="D1295" s="3"/>
      <c r="E1295" s="3">
        <v>12</v>
      </c>
      <c r="F1295" s="4" t="str">
        <f>HYPERLINK("http://141.218.60.56/~jnz1568/getInfo.php?workbook=20_10.xlsx&amp;sheet=U0&amp;row=1295&amp;col=6&amp;number=4.1&amp;sourceID=14","4.1")</f>
        <v>4.1</v>
      </c>
      <c r="G1295" s="4" t="str">
        <f>HYPERLINK("http://141.218.60.56/~jnz1568/getInfo.php?workbook=20_10.xlsx&amp;sheet=U0&amp;row=1295&amp;col=7&amp;number=0.000468&amp;sourceID=14","0.000468")</f>
        <v>0.000468</v>
      </c>
    </row>
    <row r="1296" spans="1:7">
      <c r="A1296" s="3"/>
      <c r="B1296" s="3"/>
      <c r="C1296" s="3"/>
      <c r="D1296" s="3"/>
      <c r="E1296" s="3">
        <v>13</v>
      </c>
      <c r="F1296" s="4" t="str">
        <f>HYPERLINK("http://141.218.60.56/~jnz1568/getInfo.php?workbook=20_10.xlsx&amp;sheet=U0&amp;row=1296&amp;col=6&amp;number=4.2&amp;sourceID=14","4.2")</f>
        <v>4.2</v>
      </c>
      <c r="G1296" s="4" t="str">
        <f>HYPERLINK("http://141.218.60.56/~jnz1568/getInfo.php?workbook=20_10.xlsx&amp;sheet=U0&amp;row=1296&amp;col=7&amp;number=0.000468&amp;sourceID=14","0.000468")</f>
        <v>0.000468</v>
      </c>
    </row>
    <row r="1297" spans="1:7">
      <c r="A1297" s="3"/>
      <c r="B1297" s="3"/>
      <c r="C1297" s="3"/>
      <c r="D1297" s="3"/>
      <c r="E1297" s="3">
        <v>14</v>
      </c>
      <c r="F1297" s="4" t="str">
        <f>HYPERLINK("http://141.218.60.56/~jnz1568/getInfo.php?workbook=20_10.xlsx&amp;sheet=U0&amp;row=1297&amp;col=6&amp;number=4.3&amp;sourceID=14","4.3")</f>
        <v>4.3</v>
      </c>
      <c r="G1297" s="4" t="str">
        <f>HYPERLINK("http://141.218.60.56/~jnz1568/getInfo.php?workbook=20_10.xlsx&amp;sheet=U0&amp;row=1297&amp;col=7&amp;number=0.000467&amp;sourceID=14","0.000467")</f>
        <v>0.000467</v>
      </c>
    </row>
    <row r="1298" spans="1:7">
      <c r="A1298" s="3"/>
      <c r="B1298" s="3"/>
      <c r="C1298" s="3"/>
      <c r="D1298" s="3"/>
      <c r="E1298" s="3">
        <v>15</v>
      </c>
      <c r="F1298" s="4" t="str">
        <f>HYPERLINK("http://141.218.60.56/~jnz1568/getInfo.php?workbook=20_10.xlsx&amp;sheet=U0&amp;row=1298&amp;col=6&amp;number=4.4&amp;sourceID=14","4.4")</f>
        <v>4.4</v>
      </c>
      <c r="G1298" s="4" t="str">
        <f>HYPERLINK("http://141.218.60.56/~jnz1568/getInfo.php?workbook=20_10.xlsx&amp;sheet=U0&amp;row=1298&amp;col=7&amp;number=0.000467&amp;sourceID=14","0.000467")</f>
        <v>0.000467</v>
      </c>
    </row>
    <row r="1299" spans="1:7">
      <c r="A1299" s="3"/>
      <c r="B1299" s="3"/>
      <c r="C1299" s="3"/>
      <c r="D1299" s="3"/>
      <c r="E1299" s="3">
        <v>16</v>
      </c>
      <c r="F1299" s="4" t="str">
        <f>HYPERLINK("http://141.218.60.56/~jnz1568/getInfo.php?workbook=20_10.xlsx&amp;sheet=U0&amp;row=1299&amp;col=6&amp;number=4.5&amp;sourceID=14","4.5")</f>
        <v>4.5</v>
      </c>
      <c r="G1299" s="4" t="str">
        <f>HYPERLINK("http://141.218.60.56/~jnz1568/getInfo.php?workbook=20_10.xlsx&amp;sheet=U0&amp;row=1299&amp;col=7&amp;number=0.000466&amp;sourceID=14","0.000466")</f>
        <v>0.000466</v>
      </c>
    </row>
    <row r="1300" spans="1:7">
      <c r="A1300" s="3"/>
      <c r="B1300" s="3"/>
      <c r="C1300" s="3"/>
      <c r="D1300" s="3"/>
      <c r="E1300" s="3">
        <v>17</v>
      </c>
      <c r="F1300" s="4" t="str">
        <f>HYPERLINK("http://141.218.60.56/~jnz1568/getInfo.php?workbook=20_10.xlsx&amp;sheet=U0&amp;row=1300&amp;col=6&amp;number=4.6&amp;sourceID=14","4.6")</f>
        <v>4.6</v>
      </c>
      <c r="G1300" s="4" t="str">
        <f>HYPERLINK("http://141.218.60.56/~jnz1568/getInfo.php?workbook=20_10.xlsx&amp;sheet=U0&amp;row=1300&amp;col=7&amp;number=0.000465&amp;sourceID=14","0.000465")</f>
        <v>0.000465</v>
      </c>
    </row>
    <row r="1301" spans="1:7">
      <c r="A1301" s="3"/>
      <c r="B1301" s="3"/>
      <c r="C1301" s="3"/>
      <c r="D1301" s="3"/>
      <c r="E1301" s="3">
        <v>18</v>
      </c>
      <c r="F1301" s="4" t="str">
        <f>HYPERLINK("http://141.218.60.56/~jnz1568/getInfo.php?workbook=20_10.xlsx&amp;sheet=U0&amp;row=1301&amp;col=6&amp;number=4.7&amp;sourceID=14","4.7")</f>
        <v>4.7</v>
      </c>
      <c r="G1301" s="4" t="str">
        <f>HYPERLINK("http://141.218.60.56/~jnz1568/getInfo.php?workbook=20_10.xlsx&amp;sheet=U0&amp;row=1301&amp;col=7&amp;number=0.000464&amp;sourceID=14","0.000464")</f>
        <v>0.000464</v>
      </c>
    </row>
    <row r="1302" spans="1:7">
      <c r="A1302" s="3"/>
      <c r="B1302" s="3"/>
      <c r="C1302" s="3"/>
      <c r="D1302" s="3"/>
      <c r="E1302" s="3">
        <v>19</v>
      </c>
      <c r="F1302" s="4" t="str">
        <f>HYPERLINK("http://141.218.60.56/~jnz1568/getInfo.php?workbook=20_10.xlsx&amp;sheet=U0&amp;row=1302&amp;col=6&amp;number=4.8&amp;sourceID=14","4.8")</f>
        <v>4.8</v>
      </c>
      <c r="G1302" s="4" t="str">
        <f>HYPERLINK("http://141.218.60.56/~jnz1568/getInfo.php?workbook=20_10.xlsx&amp;sheet=U0&amp;row=1302&amp;col=7&amp;number=0.000462&amp;sourceID=14","0.000462")</f>
        <v>0.000462</v>
      </c>
    </row>
    <row r="1303" spans="1:7">
      <c r="A1303" s="3"/>
      <c r="B1303" s="3"/>
      <c r="C1303" s="3"/>
      <c r="D1303" s="3"/>
      <c r="E1303" s="3">
        <v>20</v>
      </c>
      <c r="F1303" s="4" t="str">
        <f>HYPERLINK("http://141.218.60.56/~jnz1568/getInfo.php?workbook=20_10.xlsx&amp;sheet=U0&amp;row=1303&amp;col=6&amp;number=4.9&amp;sourceID=14","4.9")</f>
        <v>4.9</v>
      </c>
      <c r="G1303" s="4" t="str">
        <f>HYPERLINK("http://141.218.60.56/~jnz1568/getInfo.php?workbook=20_10.xlsx&amp;sheet=U0&amp;row=1303&amp;col=7&amp;number=0.00046&amp;sourceID=14","0.00046")</f>
        <v>0.00046</v>
      </c>
    </row>
    <row r="1304" spans="1:7">
      <c r="A1304" s="3">
        <v>20</v>
      </c>
      <c r="B1304" s="3">
        <v>10</v>
      </c>
      <c r="C1304" s="3">
        <v>1</v>
      </c>
      <c r="D1304" s="3">
        <v>67</v>
      </c>
      <c r="E1304" s="3">
        <v>1</v>
      </c>
      <c r="F1304" s="4" t="str">
        <f>HYPERLINK("http://141.218.60.56/~jnz1568/getInfo.php?workbook=20_10.xlsx&amp;sheet=U0&amp;row=1304&amp;col=6&amp;number=3&amp;sourceID=14","3")</f>
        <v>3</v>
      </c>
      <c r="G1304" s="4" t="str">
        <f>HYPERLINK("http://141.218.60.56/~jnz1568/getInfo.php?workbook=20_10.xlsx&amp;sheet=U0&amp;row=1304&amp;col=7&amp;number=0.00344&amp;sourceID=14","0.00344")</f>
        <v>0.00344</v>
      </c>
    </row>
    <row r="1305" spans="1:7">
      <c r="A1305" s="3"/>
      <c r="B1305" s="3"/>
      <c r="C1305" s="3"/>
      <c r="D1305" s="3"/>
      <c r="E1305" s="3">
        <v>2</v>
      </c>
      <c r="F1305" s="4" t="str">
        <f>HYPERLINK("http://141.218.60.56/~jnz1568/getInfo.php?workbook=20_10.xlsx&amp;sheet=U0&amp;row=1305&amp;col=6&amp;number=3.1&amp;sourceID=14","3.1")</f>
        <v>3.1</v>
      </c>
      <c r="G1305" s="4" t="str">
        <f>HYPERLINK("http://141.218.60.56/~jnz1568/getInfo.php?workbook=20_10.xlsx&amp;sheet=U0&amp;row=1305&amp;col=7&amp;number=0.00344&amp;sourceID=14","0.00344")</f>
        <v>0.00344</v>
      </c>
    </row>
    <row r="1306" spans="1:7">
      <c r="A1306" s="3"/>
      <c r="B1306" s="3"/>
      <c r="C1306" s="3"/>
      <c r="D1306" s="3"/>
      <c r="E1306" s="3">
        <v>3</v>
      </c>
      <c r="F1306" s="4" t="str">
        <f>HYPERLINK("http://141.218.60.56/~jnz1568/getInfo.php?workbook=20_10.xlsx&amp;sheet=U0&amp;row=1306&amp;col=6&amp;number=3.2&amp;sourceID=14","3.2")</f>
        <v>3.2</v>
      </c>
      <c r="G1306" s="4" t="str">
        <f>HYPERLINK("http://141.218.60.56/~jnz1568/getInfo.php?workbook=20_10.xlsx&amp;sheet=U0&amp;row=1306&amp;col=7&amp;number=0.00344&amp;sourceID=14","0.00344")</f>
        <v>0.00344</v>
      </c>
    </row>
    <row r="1307" spans="1:7">
      <c r="A1307" s="3"/>
      <c r="B1307" s="3"/>
      <c r="C1307" s="3"/>
      <c r="D1307" s="3"/>
      <c r="E1307" s="3">
        <v>4</v>
      </c>
      <c r="F1307" s="4" t="str">
        <f>HYPERLINK("http://141.218.60.56/~jnz1568/getInfo.php?workbook=20_10.xlsx&amp;sheet=U0&amp;row=1307&amp;col=6&amp;number=3.3&amp;sourceID=14","3.3")</f>
        <v>3.3</v>
      </c>
      <c r="G1307" s="4" t="str">
        <f>HYPERLINK("http://141.218.60.56/~jnz1568/getInfo.php?workbook=20_10.xlsx&amp;sheet=U0&amp;row=1307&amp;col=7&amp;number=0.00344&amp;sourceID=14","0.00344")</f>
        <v>0.00344</v>
      </c>
    </row>
    <row r="1308" spans="1:7">
      <c r="A1308" s="3"/>
      <c r="B1308" s="3"/>
      <c r="C1308" s="3"/>
      <c r="D1308" s="3"/>
      <c r="E1308" s="3">
        <v>5</v>
      </c>
      <c r="F1308" s="4" t="str">
        <f>HYPERLINK("http://141.218.60.56/~jnz1568/getInfo.php?workbook=20_10.xlsx&amp;sheet=U0&amp;row=1308&amp;col=6&amp;number=3.4&amp;sourceID=14","3.4")</f>
        <v>3.4</v>
      </c>
      <c r="G1308" s="4" t="str">
        <f>HYPERLINK("http://141.218.60.56/~jnz1568/getInfo.php?workbook=20_10.xlsx&amp;sheet=U0&amp;row=1308&amp;col=7&amp;number=0.00344&amp;sourceID=14","0.00344")</f>
        <v>0.00344</v>
      </c>
    </row>
    <row r="1309" spans="1:7">
      <c r="A1309" s="3"/>
      <c r="B1309" s="3"/>
      <c r="C1309" s="3"/>
      <c r="D1309" s="3"/>
      <c r="E1309" s="3">
        <v>6</v>
      </c>
      <c r="F1309" s="4" t="str">
        <f>HYPERLINK("http://141.218.60.56/~jnz1568/getInfo.php?workbook=20_10.xlsx&amp;sheet=U0&amp;row=1309&amp;col=6&amp;number=3.5&amp;sourceID=14","3.5")</f>
        <v>3.5</v>
      </c>
      <c r="G1309" s="4" t="str">
        <f>HYPERLINK("http://141.218.60.56/~jnz1568/getInfo.php?workbook=20_10.xlsx&amp;sheet=U0&amp;row=1309&amp;col=7&amp;number=0.00344&amp;sourceID=14","0.00344")</f>
        <v>0.00344</v>
      </c>
    </row>
    <row r="1310" spans="1:7">
      <c r="A1310" s="3"/>
      <c r="B1310" s="3"/>
      <c r="C1310" s="3"/>
      <c r="D1310" s="3"/>
      <c r="E1310" s="3">
        <v>7</v>
      </c>
      <c r="F1310" s="4" t="str">
        <f>HYPERLINK("http://141.218.60.56/~jnz1568/getInfo.php?workbook=20_10.xlsx&amp;sheet=U0&amp;row=1310&amp;col=6&amp;number=3.6&amp;sourceID=14","3.6")</f>
        <v>3.6</v>
      </c>
      <c r="G1310" s="4" t="str">
        <f>HYPERLINK("http://141.218.60.56/~jnz1568/getInfo.php?workbook=20_10.xlsx&amp;sheet=U0&amp;row=1310&amp;col=7&amp;number=0.00344&amp;sourceID=14","0.00344")</f>
        <v>0.00344</v>
      </c>
    </row>
    <row r="1311" spans="1:7">
      <c r="A1311" s="3"/>
      <c r="B1311" s="3"/>
      <c r="C1311" s="3"/>
      <c r="D1311" s="3"/>
      <c r="E1311" s="3">
        <v>8</v>
      </c>
      <c r="F1311" s="4" t="str">
        <f>HYPERLINK("http://141.218.60.56/~jnz1568/getInfo.php?workbook=20_10.xlsx&amp;sheet=U0&amp;row=1311&amp;col=6&amp;number=3.7&amp;sourceID=14","3.7")</f>
        <v>3.7</v>
      </c>
      <c r="G1311" s="4" t="str">
        <f>HYPERLINK("http://141.218.60.56/~jnz1568/getInfo.php?workbook=20_10.xlsx&amp;sheet=U0&amp;row=1311&amp;col=7&amp;number=0.00344&amp;sourceID=14","0.00344")</f>
        <v>0.00344</v>
      </c>
    </row>
    <row r="1312" spans="1:7">
      <c r="A1312" s="3"/>
      <c r="B1312" s="3"/>
      <c r="C1312" s="3"/>
      <c r="D1312" s="3"/>
      <c r="E1312" s="3">
        <v>9</v>
      </c>
      <c r="F1312" s="4" t="str">
        <f>HYPERLINK("http://141.218.60.56/~jnz1568/getInfo.php?workbook=20_10.xlsx&amp;sheet=U0&amp;row=1312&amp;col=6&amp;number=3.8&amp;sourceID=14","3.8")</f>
        <v>3.8</v>
      </c>
      <c r="G1312" s="4" t="str">
        <f>HYPERLINK("http://141.218.60.56/~jnz1568/getInfo.php?workbook=20_10.xlsx&amp;sheet=U0&amp;row=1312&amp;col=7&amp;number=0.00344&amp;sourceID=14","0.00344")</f>
        <v>0.00344</v>
      </c>
    </row>
    <row r="1313" spans="1:7">
      <c r="A1313" s="3"/>
      <c r="B1313" s="3"/>
      <c r="C1313" s="3"/>
      <c r="D1313" s="3"/>
      <c r="E1313" s="3">
        <v>10</v>
      </c>
      <c r="F1313" s="4" t="str">
        <f>HYPERLINK("http://141.218.60.56/~jnz1568/getInfo.php?workbook=20_10.xlsx&amp;sheet=U0&amp;row=1313&amp;col=6&amp;number=3.9&amp;sourceID=14","3.9")</f>
        <v>3.9</v>
      </c>
      <c r="G1313" s="4" t="str">
        <f>HYPERLINK("http://141.218.60.56/~jnz1568/getInfo.php?workbook=20_10.xlsx&amp;sheet=U0&amp;row=1313&amp;col=7&amp;number=0.00344&amp;sourceID=14","0.00344")</f>
        <v>0.00344</v>
      </c>
    </row>
    <row r="1314" spans="1:7">
      <c r="A1314" s="3"/>
      <c r="B1314" s="3"/>
      <c r="C1314" s="3"/>
      <c r="D1314" s="3"/>
      <c r="E1314" s="3">
        <v>11</v>
      </c>
      <c r="F1314" s="4" t="str">
        <f>HYPERLINK("http://141.218.60.56/~jnz1568/getInfo.php?workbook=20_10.xlsx&amp;sheet=U0&amp;row=1314&amp;col=6&amp;number=4&amp;sourceID=14","4")</f>
        <v>4</v>
      </c>
      <c r="G1314" s="4" t="str">
        <f>HYPERLINK("http://141.218.60.56/~jnz1568/getInfo.php?workbook=20_10.xlsx&amp;sheet=U0&amp;row=1314&amp;col=7&amp;number=0.00343&amp;sourceID=14","0.00343")</f>
        <v>0.00343</v>
      </c>
    </row>
    <row r="1315" spans="1:7">
      <c r="A1315" s="3"/>
      <c r="B1315" s="3"/>
      <c r="C1315" s="3"/>
      <c r="D1315" s="3"/>
      <c r="E1315" s="3">
        <v>12</v>
      </c>
      <c r="F1315" s="4" t="str">
        <f>HYPERLINK("http://141.218.60.56/~jnz1568/getInfo.php?workbook=20_10.xlsx&amp;sheet=U0&amp;row=1315&amp;col=6&amp;number=4.1&amp;sourceID=14","4.1")</f>
        <v>4.1</v>
      </c>
      <c r="G1315" s="4" t="str">
        <f>HYPERLINK("http://141.218.60.56/~jnz1568/getInfo.php?workbook=20_10.xlsx&amp;sheet=U0&amp;row=1315&amp;col=7&amp;number=0.00343&amp;sourceID=14","0.00343")</f>
        <v>0.00343</v>
      </c>
    </row>
    <row r="1316" spans="1:7">
      <c r="A1316" s="3"/>
      <c r="B1316" s="3"/>
      <c r="C1316" s="3"/>
      <c r="D1316" s="3"/>
      <c r="E1316" s="3">
        <v>13</v>
      </c>
      <c r="F1316" s="4" t="str">
        <f>HYPERLINK("http://141.218.60.56/~jnz1568/getInfo.php?workbook=20_10.xlsx&amp;sheet=U0&amp;row=1316&amp;col=6&amp;number=4.2&amp;sourceID=14","4.2")</f>
        <v>4.2</v>
      </c>
      <c r="G1316" s="4" t="str">
        <f>HYPERLINK("http://141.218.60.56/~jnz1568/getInfo.php?workbook=20_10.xlsx&amp;sheet=U0&amp;row=1316&amp;col=7&amp;number=0.00343&amp;sourceID=14","0.00343")</f>
        <v>0.00343</v>
      </c>
    </row>
    <row r="1317" spans="1:7">
      <c r="A1317" s="3"/>
      <c r="B1317" s="3"/>
      <c r="C1317" s="3"/>
      <c r="D1317" s="3"/>
      <c r="E1317" s="3">
        <v>14</v>
      </c>
      <c r="F1317" s="4" t="str">
        <f>HYPERLINK("http://141.218.60.56/~jnz1568/getInfo.php?workbook=20_10.xlsx&amp;sheet=U0&amp;row=1317&amp;col=6&amp;number=4.3&amp;sourceID=14","4.3")</f>
        <v>4.3</v>
      </c>
      <c r="G1317" s="4" t="str">
        <f>HYPERLINK("http://141.218.60.56/~jnz1568/getInfo.php?workbook=20_10.xlsx&amp;sheet=U0&amp;row=1317&amp;col=7&amp;number=0.00343&amp;sourceID=14","0.00343")</f>
        <v>0.00343</v>
      </c>
    </row>
    <row r="1318" spans="1:7">
      <c r="A1318" s="3"/>
      <c r="B1318" s="3"/>
      <c r="C1318" s="3"/>
      <c r="D1318" s="3"/>
      <c r="E1318" s="3">
        <v>15</v>
      </c>
      <c r="F1318" s="4" t="str">
        <f>HYPERLINK("http://141.218.60.56/~jnz1568/getInfo.php?workbook=20_10.xlsx&amp;sheet=U0&amp;row=1318&amp;col=6&amp;number=4.4&amp;sourceID=14","4.4")</f>
        <v>4.4</v>
      </c>
      <c r="G1318" s="4" t="str">
        <f>HYPERLINK("http://141.218.60.56/~jnz1568/getInfo.php?workbook=20_10.xlsx&amp;sheet=U0&amp;row=1318&amp;col=7&amp;number=0.00343&amp;sourceID=14","0.00343")</f>
        <v>0.00343</v>
      </c>
    </row>
    <row r="1319" spans="1:7">
      <c r="A1319" s="3"/>
      <c r="B1319" s="3"/>
      <c r="C1319" s="3"/>
      <c r="D1319" s="3"/>
      <c r="E1319" s="3">
        <v>16</v>
      </c>
      <c r="F1319" s="4" t="str">
        <f>HYPERLINK("http://141.218.60.56/~jnz1568/getInfo.php?workbook=20_10.xlsx&amp;sheet=U0&amp;row=1319&amp;col=6&amp;number=4.5&amp;sourceID=14","4.5")</f>
        <v>4.5</v>
      </c>
      <c r="G1319" s="4" t="str">
        <f>HYPERLINK("http://141.218.60.56/~jnz1568/getInfo.php?workbook=20_10.xlsx&amp;sheet=U0&amp;row=1319&amp;col=7&amp;number=0.00342&amp;sourceID=14","0.00342")</f>
        <v>0.00342</v>
      </c>
    </row>
    <row r="1320" spans="1:7">
      <c r="A1320" s="3"/>
      <c r="B1320" s="3"/>
      <c r="C1320" s="3"/>
      <c r="D1320" s="3"/>
      <c r="E1320" s="3">
        <v>17</v>
      </c>
      <c r="F1320" s="4" t="str">
        <f>HYPERLINK("http://141.218.60.56/~jnz1568/getInfo.php?workbook=20_10.xlsx&amp;sheet=U0&amp;row=1320&amp;col=6&amp;number=4.6&amp;sourceID=14","4.6")</f>
        <v>4.6</v>
      </c>
      <c r="G1320" s="4" t="str">
        <f>HYPERLINK("http://141.218.60.56/~jnz1568/getInfo.php?workbook=20_10.xlsx&amp;sheet=U0&amp;row=1320&amp;col=7&amp;number=0.00342&amp;sourceID=14","0.00342")</f>
        <v>0.00342</v>
      </c>
    </row>
    <row r="1321" spans="1:7">
      <c r="A1321" s="3"/>
      <c r="B1321" s="3"/>
      <c r="C1321" s="3"/>
      <c r="D1321" s="3"/>
      <c r="E1321" s="3">
        <v>18</v>
      </c>
      <c r="F1321" s="4" t="str">
        <f>HYPERLINK("http://141.218.60.56/~jnz1568/getInfo.php?workbook=20_10.xlsx&amp;sheet=U0&amp;row=1321&amp;col=6&amp;number=4.7&amp;sourceID=14","4.7")</f>
        <v>4.7</v>
      </c>
      <c r="G1321" s="4" t="str">
        <f>HYPERLINK("http://141.218.60.56/~jnz1568/getInfo.php?workbook=20_10.xlsx&amp;sheet=U0&amp;row=1321&amp;col=7&amp;number=0.00341&amp;sourceID=14","0.00341")</f>
        <v>0.00341</v>
      </c>
    </row>
    <row r="1322" spans="1:7">
      <c r="A1322" s="3"/>
      <c r="B1322" s="3"/>
      <c r="C1322" s="3"/>
      <c r="D1322" s="3"/>
      <c r="E1322" s="3">
        <v>19</v>
      </c>
      <c r="F1322" s="4" t="str">
        <f>HYPERLINK("http://141.218.60.56/~jnz1568/getInfo.php?workbook=20_10.xlsx&amp;sheet=U0&amp;row=1322&amp;col=6&amp;number=4.8&amp;sourceID=14","4.8")</f>
        <v>4.8</v>
      </c>
      <c r="G1322" s="4" t="str">
        <f>HYPERLINK("http://141.218.60.56/~jnz1568/getInfo.php?workbook=20_10.xlsx&amp;sheet=U0&amp;row=1322&amp;col=7&amp;number=0.0034&amp;sourceID=14","0.0034")</f>
        <v>0.0034</v>
      </c>
    </row>
    <row r="1323" spans="1:7">
      <c r="A1323" s="3"/>
      <c r="B1323" s="3"/>
      <c r="C1323" s="3"/>
      <c r="D1323" s="3"/>
      <c r="E1323" s="3">
        <v>20</v>
      </c>
      <c r="F1323" s="4" t="str">
        <f>HYPERLINK("http://141.218.60.56/~jnz1568/getInfo.php?workbook=20_10.xlsx&amp;sheet=U0&amp;row=1323&amp;col=6&amp;number=4.9&amp;sourceID=14","4.9")</f>
        <v>4.9</v>
      </c>
      <c r="G1323" s="4" t="str">
        <f>HYPERLINK("http://141.218.60.56/~jnz1568/getInfo.php?workbook=20_10.xlsx&amp;sheet=U0&amp;row=1323&amp;col=7&amp;number=0.0034&amp;sourceID=14","0.0034")</f>
        <v>0.0034</v>
      </c>
    </row>
    <row r="1324" spans="1:7">
      <c r="A1324" s="3">
        <v>20</v>
      </c>
      <c r="B1324" s="3">
        <v>10</v>
      </c>
      <c r="C1324" s="3">
        <v>1</v>
      </c>
      <c r="D1324" s="3">
        <v>68</v>
      </c>
      <c r="E1324" s="3">
        <v>1</v>
      </c>
      <c r="F1324" s="4" t="str">
        <f>HYPERLINK("http://141.218.60.56/~jnz1568/getInfo.php?workbook=20_10.xlsx&amp;sheet=U0&amp;row=1324&amp;col=6&amp;number=3&amp;sourceID=14","3")</f>
        <v>3</v>
      </c>
      <c r="G1324" s="4" t="str">
        <f>HYPERLINK("http://141.218.60.56/~jnz1568/getInfo.php?workbook=20_10.xlsx&amp;sheet=U0&amp;row=1324&amp;col=7&amp;number=0.00574&amp;sourceID=14","0.00574")</f>
        <v>0.00574</v>
      </c>
    </row>
    <row r="1325" spans="1:7">
      <c r="A1325" s="3"/>
      <c r="B1325" s="3"/>
      <c r="C1325" s="3"/>
      <c r="D1325" s="3"/>
      <c r="E1325" s="3">
        <v>2</v>
      </c>
      <c r="F1325" s="4" t="str">
        <f>HYPERLINK("http://141.218.60.56/~jnz1568/getInfo.php?workbook=20_10.xlsx&amp;sheet=U0&amp;row=1325&amp;col=6&amp;number=3.1&amp;sourceID=14","3.1")</f>
        <v>3.1</v>
      </c>
      <c r="G1325" s="4" t="str">
        <f>HYPERLINK("http://141.218.60.56/~jnz1568/getInfo.php?workbook=20_10.xlsx&amp;sheet=U0&amp;row=1325&amp;col=7&amp;number=0.00574&amp;sourceID=14","0.00574")</f>
        <v>0.00574</v>
      </c>
    </row>
    <row r="1326" spans="1:7">
      <c r="A1326" s="3"/>
      <c r="B1326" s="3"/>
      <c r="C1326" s="3"/>
      <c r="D1326" s="3"/>
      <c r="E1326" s="3">
        <v>3</v>
      </c>
      <c r="F1326" s="4" t="str">
        <f>HYPERLINK("http://141.218.60.56/~jnz1568/getInfo.php?workbook=20_10.xlsx&amp;sheet=U0&amp;row=1326&amp;col=6&amp;number=3.2&amp;sourceID=14","3.2")</f>
        <v>3.2</v>
      </c>
      <c r="G1326" s="4" t="str">
        <f>HYPERLINK("http://141.218.60.56/~jnz1568/getInfo.php?workbook=20_10.xlsx&amp;sheet=U0&amp;row=1326&amp;col=7&amp;number=0.00574&amp;sourceID=14","0.00574")</f>
        <v>0.00574</v>
      </c>
    </row>
    <row r="1327" spans="1:7">
      <c r="A1327" s="3"/>
      <c r="B1327" s="3"/>
      <c r="C1327" s="3"/>
      <c r="D1327" s="3"/>
      <c r="E1327" s="3">
        <v>4</v>
      </c>
      <c r="F1327" s="4" t="str">
        <f>HYPERLINK("http://141.218.60.56/~jnz1568/getInfo.php?workbook=20_10.xlsx&amp;sheet=U0&amp;row=1327&amp;col=6&amp;number=3.3&amp;sourceID=14","3.3")</f>
        <v>3.3</v>
      </c>
      <c r="G1327" s="4" t="str">
        <f>HYPERLINK("http://141.218.60.56/~jnz1568/getInfo.php?workbook=20_10.xlsx&amp;sheet=U0&amp;row=1327&amp;col=7&amp;number=0.00574&amp;sourceID=14","0.00574")</f>
        <v>0.00574</v>
      </c>
    </row>
    <row r="1328" spans="1:7">
      <c r="A1328" s="3"/>
      <c r="B1328" s="3"/>
      <c r="C1328" s="3"/>
      <c r="D1328" s="3"/>
      <c r="E1328" s="3">
        <v>5</v>
      </c>
      <c r="F1328" s="4" t="str">
        <f>HYPERLINK("http://141.218.60.56/~jnz1568/getInfo.php?workbook=20_10.xlsx&amp;sheet=U0&amp;row=1328&amp;col=6&amp;number=3.4&amp;sourceID=14","3.4")</f>
        <v>3.4</v>
      </c>
      <c r="G1328" s="4" t="str">
        <f>HYPERLINK("http://141.218.60.56/~jnz1568/getInfo.php?workbook=20_10.xlsx&amp;sheet=U0&amp;row=1328&amp;col=7&amp;number=0.00574&amp;sourceID=14","0.00574")</f>
        <v>0.00574</v>
      </c>
    </row>
    <row r="1329" spans="1:7">
      <c r="A1329" s="3"/>
      <c r="B1329" s="3"/>
      <c r="C1329" s="3"/>
      <c r="D1329" s="3"/>
      <c r="E1329" s="3">
        <v>6</v>
      </c>
      <c r="F1329" s="4" t="str">
        <f>HYPERLINK("http://141.218.60.56/~jnz1568/getInfo.php?workbook=20_10.xlsx&amp;sheet=U0&amp;row=1329&amp;col=6&amp;number=3.5&amp;sourceID=14","3.5")</f>
        <v>3.5</v>
      </c>
      <c r="G1329" s="4" t="str">
        <f>HYPERLINK("http://141.218.60.56/~jnz1568/getInfo.php?workbook=20_10.xlsx&amp;sheet=U0&amp;row=1329&amp;col=7&amp;number=0.00574&amp;sourceID=14","0.00574")</f>
        <v>0.00574</v>
      </c>
    </row>
    <row r="1330" spans="1:7">
      <c r="A1330" s="3"/>
      <c r="B1330" s="3"/>
      <c r="C1330" s="3"/>
      <c r="D1330" s="3"/>
      <c r="E1330" s="3">
        <v>7</v>
      </c>
      <c r="F1330" s="4" t="str">
        <f>HYPERLINK("http://141.218.60.56/~jnz1568/getInfo.php?workbook=20_10.xlsx&amp;sheet=U0&amp;row=1330&amp;col=6&amp;number=3.6&amp;sourceID=14","3.6")</f>
        <v>3.6</v>
      </c>
      <c r="G1330" s="4" t="str">
        <f>HYPERLINK("http://141.218.60.56/~jnz1568/getInfo.php?workbook=20_10.xlsx&amp;sheet=U0&amp;row=1330&amp;col=7&amp;number=0.00574&amp;sourceID=14","0.00574")</f>
        <v>0.00574</v>
      </c>
    </row>
    <row r="1331" spans="1:7">
      <c r="A1331" s="3"/>
      <c r="B1331" s="3"/>
      <c r="C1331" s="3"/>
      <c r="D1331" s="3"/>
      <c r="E1331" s="3">
        <v>8</v>
      </c>
      <c r="F1331" s="4" t="str">
        <f>HYPERLINK("http://141.218.60.56/~jnz1568/getInfo.php?workbook=20_10.xlsx&amp;sheet=U0&amp;row=1331&amp;col=6&amp;number=3.7&amp;sourceID=14","3.7")</f>
        <v>3.7</v>
      </c>
      <c r="G1331" s="4" t="str">
        <f>HYPERLINK("http://141.218.60.56/~jnz1568/getInfo.php?workbook=20_10.xlsx&amp;sheet=U0&amp;row=1331&amp;col=7&amp;number=0.00574&amp;sourceID=14","0.00574")</f>
        <v>0.00574</v>
      </c>
    </row>
    <row r="1332" spans="1:7">
      <c r="A1332" s="3"/>
      <c r="B1332" s="3"/>
      <c r="C1332" s="3"/>
      <c r="D1332" s="3"/>
      <c r="E1332" s="3">
        <v>9</v>
      </c>
      <c r="F1332" s="4" t="str">
        <f>HYPERLINK("http://141.218.60.56/~jnz1568/getInfo.php?workbook=20_10.xlsx&amp;sheet=U0&amp;row=1332&amp;col=6&amp;number=3.8&amp;sourceID=14","3.8")</f>
        <v>3.8</v>
      </c>
      <c r="G1332" s="4" t="str">
        <f>HYPERLINK("http://141.218.60.56/~jnz1568/getInfo.php?workbook=20_10.xlsx&amp;sheet=U0&amp;row=1332&amp;col=7&amp;number=0.00574&amp;sourceID=14","0.00574")</f>
        <v>0.00574</v>
      </c>
    </row>
    <row r="1333" spans="1:7">
      <c r="A1333" s="3"/>
      <c r="B1333" s="3"/>
      <c r="C1333" s="3"/>
      <c r="D1333" s="3"/>
      <c r="E1333" s="3">
        <v>10</v>
      </c>
      <c r="F1333" s="4" t="str">
        <f>HYPERLINK("http://141.218.60.56/~jnz1568/getInfo.php?workbook=20_10.xlsx&amp;sheet=U0&amp;row=1333&amp;col=6&amp;number=3.9&amp;sourceID=14","3.9")</f>
        <v>3.9</v>
      </c>
      <c r="G1333" s="4" t="str">
        <f>HYPERLINK("http://141.218.60.56/~jnz1568/getInfo.php?workbook=20_10.xlsx&amp;sheet=U0&amp;row=1333&amp;col=7&amp;number=0.00574&amp;sourceID=14","0.00574")</f>
        <v>0.00574</v>
      </c>
    </row>
    <row r="1334" spans="1:7">
      <c r="A1334" s="3"/>
      <c r="B1334" s="3"/>
      <c r="C1334" s="3"/>
      <c r="D1334" s="3"/>
      <c r="E1334" s="3">
        <v>11</v>
      </c>
      <c r="F1334" s="4" t="str">
        <f>HYPERLINK("http://141.218.60.56/~jnz1568/getInfo.php?workbook=20_10.xlsx&amp;sheet=U0&amp;row=1334&amp;col=6&amp;number=4&amp;sourceID=14","4")</f>
        <v>4</v>
      </c>
      <c r="G1334" s="4" t="str">
        <f>HYPERLINK("http://141.218.60.56/~jnz1568/getInfo.php?workbook=20_10.xlsx&amp;sheet=U0&amp;row=1334&amp;col=7&amp;number=0.00573&amp;sourceID=14","0.00573")</f>
        <v>0.00573</v>
      </c>
    </row>
    <row r="1335" spans="1:7">
      <c r="A1335" s="3"/>
      <c r="B1335" s="3"/>
      <c r="C1335" s="3"/>
      <c r="D1335" s="3"/>
      <c r="E1335" s="3">
        <v>12</v>
      </c>
      <c r="F1335" s="4" t="str">
        <f>HYPERLINK("http://141.218.60.56/~jnz1568/getInfo.php?workbook=20_10.xlsx&amp;sheet=U0&amp;row=1335&amp;col=6&amp;number=4.1&amp;sourceID=14","4.1")</f>
        <v>4.1</v>
      </c>
      <c r="G1335" s="4" t="str">
        <f>HYPERLINK("http://141.218.60.56/~jnz1568/getInfo.php?workbook=20_10.xlsx&amp;sheet=U0&amp;row=1335&amp;col=7&amp;number=0.00573&amp;sourceID=14","0.00573")</f>
        <v>0.00573</v>
      </c>
    </row>
    <row r="1336" spans="1:7">
      <c r="A1336" s="3"/>
      <c r="B1336" s="3"/>
      <c r="C1336" s="3"/>
      <c r="D1336" s="3"/>
      <c r="E1336" s="3">
        <v>13</v>
      </c>
      <c r="F1336" s="4" t="str">
        <f>HYPERLINK("http://141.218.60.56/~jnz1568/getInfo.php?workbook=20_10.xlsx&amp;sheet=U0&amp;row=1336&amp;col=6&amp;number=4.2&amp;sourceID=14","4.2")</f>
        <v>4.2</v>
      </c>
      <c r="G1336" s="4" t="str">
        <f>HYPERLINK("http://141.218.60.56/~jnz1568/getInfo.php?workbook=20_10.xlsx&amp;sheet=U0&amp;row=1336&amp;col=7&amp;number=0.00573&amp;sourceID=14","0.00573")</f>
        <v>0.00573</v>
      </c>
    </row>
    <row r="1337" spans="1:7">
      <c r="A1337" s="3"/>
      <c r="B1337" s="3"/>
      <c r="C1337" s="3"/>
      <c r="D1337" s="3"/>
      <c r="E1337" s="3">
        <v>14</v>
      </c>
      <c r="F1337" s="4" t="str">
        <f>HYPERLINK("http://141.218.60.56/~jnz1568/getInfo.php?workbook=20_10.xlsx&amp;sheet=U0&amp;row=1337&amp;col=6&amp;number=4.3&amp;sourceID=14","4.3")</f>
        <v>4.3</v>
      </c>
      <c r="G1337" s="4" t="str">
        <f>HYPERLINK("http://141.218.60.56/~jnz1568/getInfo.php?workbook=20_10.xlsx&amp;sheet=U0&amp;row=1337&amp;col=7&amp;number=0.00573&amp;sourceID=14","0.00573")</f>
        <v>0.00573</v>
      </c>
    </row>
    <row r="1338" spans="1:7">
      <c r="A1338" s="3"/>
      <c r="B1338" s="3"/>
      <c r="C1338" s="3"/>
      <c r="D1338" s="3"/>
      <c r="E1338" s="3">
        <v>15</v>
      </c>
      <c r="F1338" s="4" t="str">
        <f>HYPERLINK("http://141.218.60.56/~jnz1568/getInfo.php?workbook=20_10.xlsx&amp;sheet=U0&amp;row=1338&amp;col=6&amp;number=4.4&amp;sourceID=14","4.4")</f>
        <v>4.4</v>
      </c>
      <c r="G1338" s="4" t="str">
        <f>HYPERLINK("http://141.218.60.56/~jnz1568/getInfo.php?workbook=20_10.xlsx&amp;sheet=U0&amp;row=1338&amp;col=7&amp;number=0.00572&amp;sourceID=14","0.00572")</f>
        <v>0.00572</v>
      </c>
    </row>
    <row r="1339" spans="1:7">
      <c r="A1339" s="3"/>
      <c r="B1339" s="3"/>
      <c r="C1339" s="3"/>
      <c r="D1339" s="3"/>
      <c r="E1339" s="3">
        <v>16</v>
      </c>
      <c r="F1339" s="4" t="str">
        <f>HYPERLINK("http://141.218.60.56/~jnz1568/getInfo.php?workbook=20_10.xlsx&amp;sheet=U0&amp;row=1339&amp;col=6&amp;number=4.5&amp;sourceID=14","4.5")</f>
        <v>4.5</v>
      </c>
      <c r="G1339" s="4" t="str">
        <f>HYPERLINK("http://141.218.60.56/~jnz1568/getInfo.php?workbook=20_10.xlsx&amp;sheet=U0&amp;row=1339&amp;col=7&amp;number=0.00571&amp;sourceID=14","0.00571")</f>
        <v>0.00571</v>
      </c>
    </row>
    <row r="1340" spans="1:7">
      <c r="A1340" s="3"/>
      <c r="B1340" s="3"/>
      <c r="C1340" s="3"/>
      <c r="D1340" s="3"/>
      <c r="E1340" s="3">
        <v>17</v>
      </c>
      <c r="F1340" s="4" t="str">
        <f>HYPERLINK("http://141.218.60.56/~jnz1568/getInfo.php?workbook=20_10.xlsx&amp;sheet=U0&amp;row=1340&amp;col=6&amp;number=4.6&amp;sourceID=14","4.6")</f>
        <v>4.6</v>
      </c>
      <c r="G1340" s="4" t="str">
        <f>HYPERLINK("http://141.218.60.56/~jnz1568/getInfo.php?workbook=20_10.xlsx&amp;sheet=U0&amp;row=1340&amp;col=7&amp;number=0.00571&amp;sourceID=14","0.00571")</f>
        <v>0.00571</v>
      </c>
    </row>
    <row r="1341" spans="1:7">
      <c r="A1341" s="3"/>
      <c r="B1341" s="3"/>
      <c r="C1341" s="3"/>
      <c r="D1341" s="3"/>
      <c r="E1341" s="3">
        <v>18</v>
      </c>
      <c r="F1341" s="4" t="str">
        <f>HYPERLINK("http://141.218.60.56/~jnz1568/getInfo.php?workbook=20_10.xlsx&amp;sheet=U0&amp;row=1341&amp;col=6&amp;number=4.7&amp;sourceID=14","4.7")</f>
        <v>4.7</v>
      </c>
      <c r="G1341" s="4" t="str">
        <f>HYPERLINK("http://141.218.60.56/~jnz1568/getInfo.php?workbook=20_10.xlsx&amp;sheet=U0&amp;row=1341&amp;col=7&amp;number=0.0057&amp;sourceID=14","0.0057")</f>
        <v>0.0057</v>
      </c>
    </row>
    <row r="1342" spans="1:7">
      <c r="A1342" s="3"/>
      <c r="B1342" s="3"/>
      <c r="C1342" s="3"/>
      <c r="D1342" s="3"/>
      <c r="E1342" s="3">
        <v>19</v>
      </c>
      <c r="F1342" s="4" t="str">
        <f>HYPERLINK("http://141.218.60.56/~jnz1568/getInfo.php?workbook=20_10.xlsx&amp;sheet=U0&amp;row=1342&amp;col=6&amp;number=4.8&amp;sourceID=14","4.8")</f>
        <v>4.8</v>
      </c>
      <c r="G1342" s="4" t="str">
        <f>HYPERLINK("http://141.218.60.56/~jnz1568/getInfo.php?workbook=20_10.xlsx&amp;sheet=U0&amp;row=1342&amp;col=7&amp;number=0.00569&amp;sourceID=14","0.00569")</f>
        <v>0.00569</v>
      </c>
    </row>
    <row r="1343" spans="1:7">
      <c r="A1343" s="3"/>
      <c r="B1343" s="3"/>
      <c r="C1343" s="3"/>
      <c r="D1343" s="3"/>
      <c r="E1343" s="3">
        <v>20</v>
      </c>
      <c r="F1343" s="4" t="str">
        <f>HYPERLINK("http://141.218.60.56/~jnz1568/getInfo.php?workbook=20_10.xlsx&amp;sheet=U0&amp;row=1343&amp;col=6&amp;number=4.9&amp;sourceID=14","4.9")</f>
        <v>4.9</v>
      </c>
      <c r="G1343" s="4" t="str">
        <f>HYPERLINK("http://141.218.60.56/~jnz1568/getInfo.php?workbook=20_10.xlsx&amp;sheet=U0&amp;row=1343&amp;col=7&amp;number=0.00567&amp;sourceID=14","0.00567")</f>
        <v>0.00567</v>
      </c>
    </row>
    <row r="1344" spans="1:7">
      <c r="A1344" s="3">
        <v>20</v>
      </c>
      <c r="B1344" s="3">
        <v>10</v>
      </c>
      <c r="C1344" s="3">
        <v>1</v>
      </c>
      <c r="D1344" s="3">
        <v>69</v>
      </c>
      <c r="E1344" s="3">
        <v>1</v>
      </c>
      <c r="F1344" s="4" t="str">
        <f>HYPERLINK("http://141.218.60.56/~jnz1568/getInfo.php?workbook=20_10.xlsx&amp;sheet=U0&amp;row=1344&amp;col=6&amp;number=3&amp;sourceID=14","3")</f>
        <v>3</v>
      </c>
      <c r="G1344" s="4" t="str">
        <f>HYPERLINK("http://141.218.60.56/~jnz1568/getInfo.php?workbook=20_10.xlsx&amp;sheet=U0&amp;row=1344&amp;col=7&amp;number=0.00801&amp;sourceID=14","0.00801")</f>
        <v>0.00801</v>
      </c>
    </row>
    <row r="1345" spans="1:7">
      <c r="A1345" s="3"/>
      <c r="B1345" s="3"/>
      <c r="C1345" s="3"/>
      <c r="D1345" s="3"/>
      <c r="E1345" s="3">
        <v>2</v>
      </c>
      <c r="F1345" s="4" t="str">
        <f>HYPERLINK("http://141.218.60.56/~jnz1568/getInfo.php?workbook=20_10.xlsx&amp;sheet=U0&amp;row=1345&amp;col=6&amp;number=3.1&amp;sourceID=14","3.1")</f>
        <v>3.1</v>
      </c>
      <c r="G1345" s="4" t="str">
        <f>HYPERLINK("http://141.218.60.56/~jnz1568/getInfo.php?workbook=20_10.xlsx&amp;sheet=U0&amp;row=1345&amp;col=7&amp;number=0.00801&amp;sourceID=14","0.00801")</f>
        <v>0.00801</v>
      </c>
    </row>
    <row r="1346" spans="1:7">
      <c r="A1346" s="3"/>
      <c r="B1346" s="3"/>
      <c r="C1346" s="3"/>
      <c r="D1346" s="3"/>
      <c r="E1346" s="3">
        <v>3</v>
      </c>
      <c r="F1346" s="4" t="str">
        <f>HYPERLINK("http://141.218.60.56/~jnz1568/getInfo.php?workbook=20_10.xlsx&amp;sheet=U0&amp;row=1346&amp;col=6&amp;number=3.2&amp;sourceID=14","3.2")</f>
        <v>3.2</v>
      </c>
      <c r="G1346" s="4" t="str">
        <f>HYPERLINK("http://141.218.60.56/~jnz1568/getInfo.php?workbook=20_10.xlsx&amp;sheet=U0&amp;row=1346&amp;col=7&amp;number=0.00801&amp;sourceID=14","0.00801")</f>
        <v>0.00801</v>
      </c>
    </row>
    <row r="1347" spans="1:7">
      <c r="A1347" s="3"/>
      <c r="B1347" s="3"/>
      <c r="C1347" s="3"/>
      <c r="D1347" s="3"/>
      <c r="E1347" s="3">
        <v>4</v>
      </c>
      <c r="F1347" s="4" t="str">
        <f>HYPERLINK("http://141.218.60.56/~jnz1568/getInfo.php?workbook=20_10.xlsx&amp;sheet=U0&amp;row=1347&amp;col=6&amp;number=3.3&amp;sourceID=14","3.3")</f>
        <v>3.3</v>
      </c>
      <c r="G1347" s="4" t="str">
        <f>HYPERLINK("http://141.218.60.56/~jnz1568/getInfo.php?workbook=20_10.xlsx&amp;sheet=U0&amp;row=1347&amp;col=7&amp;number=0.00801&amp;sourceID=14","0.00801")</f>
        <v>0.00801</v>
      </c>
    </row>
    <row r="1348" spans="1:7">
      <c r="A1348" s="3"/>
      <c r="B1348" s="3"/>
      <c r="C1348" s="3"/>
      <c r="D1348" s="3"/>
      <c r="E1348" s="3">
        <v>5</v>
      </c>
      <c r="F1348" s="4" t="str">
        <f>HYPERLINK("http://141.218.60.56/~jnz1568/getInfo.php?workbook=20_10.xlsx&amp;sheet=U0&amp;row=1348&amp;col=6&amp;number=3.4&amp;sourceID=14","3.4")</f>
        <v>3.4</v>
      </c>
      <c r="G1348" s="4" t="str">
        <f>HYPERLINK("http://141.218.60.56/~jnz1568/getInfo.php?workbook=20_10.xlsx&amp;sheet=U0&amp;row=1348&amp;col=7&amp;number=0.00801&amp;sourceID=14","0.00801")</f>
        <v>0.00801</v>
      </c>
    </row>
    <row r="1349" spans="1:7">
      <c r="A1349" s="3"/>
      <c r="B1349" s="3"/>
      <c r="C1349" s="3"/>
      <c r="D1349" s="3"/>
      <c r="E1349" s="3">
        <v>6</v>
      </c>
      <c r="F1349" s="4" t="str">
        <f>HYPERLINK("http://141.218.60.56/~jnz1568/getInfo.php?workbook=20_10.xlsx&amp;sheet=U0&amp;row=1349&amp;col=6&amp;number=3.5&amp;sourceID=14","3.5")</f>
        <v>3.5</v>
      </c>
      <c r="G1349" s="4" t="str">
        <f>HYPERLINK("http://141.218.60.56/~jnz1568/getInfo.php?workbook=20_10.xlsx&amp;sheet=U0&amp;row=1349&amp;col=7&amp;number=0.00801&amp;sourceID=14","0.00801")</f>
        <v>0.00801</v>
      </c>
    </row>
    <row r="1350" spans="1:7">
      <c r="A1350" s="3"/>
      <c r="B1350" s="3"/>
      <c r="C1350" s="3"/>
      <c r="D1350" s="3"/>
      <c r="E1350" s="3">
        <v>7</v>
      </c>
      <c r="F1350" s="4" t="str">
        <f>HYPERLINK("http://141.218.60.56/~jnz1568/getInfo.php?workbook=20_10.xlsx&amp;sheet=U0&amp;row=1350&amp;col=6&amp;number=3.6&amp;sourceID=14","3.6")</f>
        <v>3.6</v>
      </c>
      <c r="G1350" s="4" t="str">
        <f>HYPERLINK("http://141.218.60.56/~jnz1568/getInfo.php?workbook=20_10.xlsx&amp;sheet=U0&amp;row=1350&amp;col=7&amp;number=0.00801&amp;sourceID=14","0.00801")</f>
        <v>0.00801</v>
      </c>
    </row>
    <row r="1351" spans="1:7">
      <c r="A1351" s="3"/>
      <c r="B1351" s="3"/>
      <c r="C1351" s="3"/>
      <c r="D1351" s="3"/>
      <c r="E1351" s="3">
        <v>8</v>
      </c>
      <c r="F1351" s="4" t="str">
        <f>HYPERLINK("http://141.218.60.56/~jnz1568/getInfo.php?workbook=20_10.xlsx&amp;sheet=U0&amp;row=1351&amp;col=6&amp;number=3.7&amp;sourceID=14","3.7")</f>
        <v>3.7</v>
      </c>
      <c r="G1351" s="4" t="str">
        <f>HYPERLINK("http://141.218.60.56/~jnz1568/getInfo.php?workbook=20_10.xlsx&amp;sheet=U0&amp;row=1351&amp;col=7&amp;number=0.00801&amp;sourceID=14","0.00801")</f>
        <v>0.00801</v>
      </c>
    </row>
    <row r="1352" spans="1:7">
      <c r="A1352" s="3"/>
      <c r="B1352" s="3"/>
      <c r="C1352" s="3"/>
      <c r="D1352" s="3"/>
      <c r="E1352" s="3">
        <v>9</v>
      </c>
      <c r="F1352" s="4" t="str">
        <f>HYPERLINK("http://141.218.60.56/~jnz1568/getInfo.php?workbook=20_10.xlsx&amp;sheet=U0&amp;row=1352&amp;col=6&amp;number=3.8&amp;sourceID=14","3.8")</f>
        <v>3.8</v>
      </c>
      <c r="G1352" s="4" t="str">
        <f>HYPERLINK("http://141.218.60.56/~jnz1568/getInfo.php?workbook=20_10.xlsx&amp;sheet=U0&amp;row=1352&amp;col=7&amp;number=0.00801&amp;sourceID=14","0.00801")</f>
        <v>0.00801</v>
      </c>
    </row>
    <row r="1353" spans="1:7">
      <c r="A1353" s="3"/>
      <c r="B1353" s="3"/>
      <c r="C1353" s="3"/>
      <c r="D1353" s="3"/>
      <c r="E1353" s="3">
        <v>10</v>
      </c>
      <c r="F1353" s="4" t="str">
        <f>HYPERLINK("http://141.218.60.56/~jnz1568/getInfo.php?workbook=20_10.xlsx&amp;sheet=U0&amp;row=1353&amp;col=6&amp;number=3.9&amp;sourceID=14","3.9")</f>
        <v>3.9</v>
      </c>
      <c r="G1353" s="4" t="str">
        <f>HYPERLINK("http://141.218.60.56/~jnz1568/getInfo.php?workbook=20_10.xlsx&amp;sheet=U0&amp;row=1353&amp;col=7&amp;number=0.00801&amp;sourceID=14","0.00801")</f>
        <v>0.00801</v>
      </c>
    </row>
    <row r="1354" spans="1:7">
      <c r="A1354" s="3"/>
      <c r="B1354" s="3"/>
      <c r="C1354" s="3"/>
      <c r="D1354" s="3"/>
      <c r="E1354" s="3">
        <v>11</v>
      </c>
      <c r="F1354" s="4" t="str">
        <f>HYPERLINK("http://141.218.60.56/~jnz1568/getInfo.php?workbook=20_10.xlsx&amp;sheet=U0&amp;row=1354&amp;col=6&amp;number=4&amp;sourceID=14","4")</f>
        <v>4</v>
      </c>
      <c r="G1354" s="4" t="str">
        <f>HYPERLINK("http://141.218.60.56/~jnz1568/getInfo.php?workbook=20_10.xlsx&amp;sheet=U0&amp;row=1354&amp;col=7&amp;number=0.008&amp;sourceID=14","0.008")</f>
        <v>0.008</v>
      </c>
    </row>
    <row r="1355" spans="1:7">
      <c r="A1355" s="3"/>
      <c r="B1355" s="3"/>
      <c r="C1355" s="3"/>
      <c r="D1355" s="3"/>
      <c r="E1355" s="3">
        <v>12</v>
      </c>
      <c r="F1355" s="4" t="str">
        <f>HYPERLINK("http://141.218.60.56/~jnz1568/getInfo.php?workbook=20_10.xlsx&amp;sheet=U0&amp;row=1355&amp;col=6&amp;number=4.1&amp;sourceID=14","4.1")</f>
        <v>4.1</v>
      </c>
      <c r="G1355" s="4" t="str">
        <f>HYPERLINK("http://141.218.60.56/~jnz1568/getInfo.php?workbook=20_10.xlsx&amp;sheet=U0&amp;row=1355&amp;col=7&amp;number=0.008&amp;sourceID=14","0.008")</f>
        <v>0.008</v>
      </c>
    </row>
    <row r="1356" spans="1:7">
      <c r="A1356" s="3"/>
      <c r="B1356" s="3"/>
      <c r="C1356" s="3"/>
      <c r="D1356" s="3"/>
      <c r="E1356" s="3">
        <v>13</v>
      </c>
      <c r="F1356" s="4" t="str">
        <f>HYPERLINK("http://141.218.60.56/~jnz1568/getInfo.php?workbook=20_10.xlsx&amp;sheet=U0&amp;row=1356&amp;col=6&amp;number=4.2&amp;sourceID=14","4.2")</f>
        <v>4.2</v>
      </c>
      <c r="G1356" s="4" t="str">
        <f>HYPERLINK("http://141.218.60.56/~jnz1568/getInfo.php?workbook=20_10.xlsx&amp;sheet=U0&amp;row=1356&amp;col=7&amp;number=0.008&amp;sourceID=14","0.008")</f>
        <v>0.008</v>
      </c>
    </row>
    <row r="1357" spans="1:7">
      <c r="A1357" s="3"/>
      <c r="B1357" s="3"/>
      <c r="C1357" s="3"/>
      <c r="D1357" s="3"/>
      <c r="E1357" s="3">
        <v>14</v>
      </c>
      <c r="F1357" s="4" t="str">
        <f>HYPERLINK("http://141.218.60.56/~jnz1568/getInfo.php?workbook=20_10.xlsx&amp;sheet=U0&amp;row=1357&amp;col=6&amp;number=4.3&amp;sourceID=14","4.3")</f>
        <v>4.3</v>
      </c>
      <c r="G1357" s="4" t="str">
        <f>HYPERLINK("http://141.218.60.56/~jnz1568/getInfo.php?workbook=20_10.xlsx&amp;sheet=U0&amp;row=1357&amp;col=7&amp;number=0.00799&amp;sourceID=14","0.00799")</f>
        <v>0.00799</v>
      </c>
    </row>
    <row r="1358" spans="1:7">
      <c r="A1358" s="3"/>
      <c r="B1358" s="3"/>
      <c r="C1358" s="3"/>
      <c r="D1358" s="3"/>
      <c r="E1358" s="3">
        <v>15</v>
      </c>
      <c r="F1358" s="4" t="str">
        <f>HYPERLINK("http://141.218.60.56/~jnz1568/getInfo.php?workbook=20_10.xlsx&amp;sheet=U0&amp;row=1358&amp;col=6&amp;number=4.4&amp;sourceID=14","4.4")</f>
        <v>4.4</v>
      </c>
      <c r="G1358" s="4" t="str">
        <f>HYPERLINK("http://141.218.60.56/~jnz1568/getInfo.php?workbook=20_10.xlsx&amp;sheet=U0&amp;row=1358&amp;col=7&amp;number=0.00798&amp;sourceID=14","0.00798")</f>
        <v>0.00798</v>
      </c>
    </row>
    <row r="1359" spans="1:7">
      <c r="A1359" s="3"/>
      <c r="B1359" s="3"/>
      <c r="C1359" s="3"/>
      <c r="D1359" s="3"/>
      <c r="E1359" s="3">
        <v>16</v>
      </c>
      <c r="F1359" s="4" t="str">
        <f>HYPERLINK("http://141.218.60.56/~jnz1568/getInfo.php?workbook=20_10.xlsx&amp;sheet=U0&amp;row=1359&amp;col=6&amp;number=4.5&amp;sourceID=14","4.5")</f>
        <v>4.5</v>
      </c>
      <c r="G1359" s="4" t="str">
        <f>HYPERLINK("http://141.218.60.56/~jnz1568/getInfo.php?workbook=20_10.xlsx&amp;sheet=U0&amp;row=1359&amp;col=7&amp;number=0.00798&amp;sourceID=14","0.00798")</f>
        <v>0.00798</v>
      </c>
    </row>
    <row r="1360" spans="1:7">
      <c r="A1360" s="3"/>
      <c r="B1360" s="3"/>
      <c r="C1360" s="3"/>
      <c r="D1360" s="3"/>
      <c r="E1360" s="3">
        <v>17</v>
      </c>
      <c r="F1360" s="4" t="str">
        <f>HYPERLINK("http://141.218.60.56/~jnz1568/getInfo.php?workbook=20_10.xlsx&amp;sheet=U0&amp;row=1360&amp;col=6&amp;number=4.6&amp;sourceID=14","4.6")</f>
        <v>4.6</v>
      </c>
      <c r="G1360" s="4" t="str">
        <f>HYPERLINK("http://141.218.60.56/~jnz1568/getInfo.php?workbook=20_10.xlsx&amp;sheet=U0&amp;row=1360&amp;col=7&amp;number=0.00797&amp;sourceID=14","0.00797")</f>
        <v>0.00797</v>
      </c>
    </row>
    <row r="1361" spans="1:7">
      <c r="A1361" s="3"/>
      <c r="B1361" s="3"/>
      <c r="C1361" s="3"/>
      <c r="D1361" s="3"/>
      <c r="E1361" s="3">
        <v>18</v>
      </c>
      <c r="F1361" s="4" t="str">
        <f>HYPERLINK("http://141.218.60.56/~jnz1568/getInfo.php?workbook=20_10.xlsx&amp;sheet=U0&amp;row=1361&amp;col=6&amp;number=4.7&amp;sourceID=14","4.7")</f>
        <v>4.7</v>
      </c>
      <c r="G1361" s="4" t="str">
        <f>HYPERLINK("http://141.218.60.56/~jnz1568/getInfo.php?workbook=20_10.xlsx&amp;sheet=U0&amp;row=1361&amp;col=7&amp;number=0.00795&amp;sourceID=14","0.00795")</f>
        <v>0.00795</v>
      </c>
    </row>
    <row r="1362" spans="1:7">
      <c r="A1362" s="3"/>
      <c r="B1362" s="3"/>
      <c r="C1362" s="3"/>
      <c r="D1362" s="3"/>
      <c r="E1362" s="3">
        <v>19</v>
      </c>
      <c r="F1362" s="4" t="str">
        <f>HYPERLINK("http://141.218.60.56/~jnz1568/getInfo.php?workbook=20_10.xlsx&amp;sheet=U0&amp;row=1362&amp;col=6&amp;number=4.8&amp;sourceID=14","4.8")</f>
        <v>4.8</v>
      </c>
      <c r="G1362" s="4" t="str">
        <f>HYPERLINK("http://141.218.60.56/~jnz1568/getInfo.php?workbook=20_10.xlsx&amp;sheet=U0&amp;row=1362&amp;col=7&amp;number=0.00794&amp;sourceID=14","0.00794")</f>
        <v>0.00794</v>
      </c>
    </row>
    <row r="1363" spans="1:7">
      <c r="A1363" s="3"/>
      <c r="B1363" s="3"/>
      <c r="C1363" s="3"/>
      <c r="D1363" s="3"/>
      <c r="E1363" s="3">
        <v>20</v>
      </c>
      <c r="F1363" s="4" t="str">
        <f>HYPERLINK("http://141.218.60.56/~jnz1568/getInfo.php?workbook=20_10.xlsx&amp;sheet=U0&amp;row=1363&amp;col=6&amp;number=4.9&amp;sourceID=14","4.9")</f>
        <v>4.9</v>
      </c>
      <c r="G1363" s="4" t="str">
        <f>HYPERLINK("http://141.218.60.56/~jnz1568/getInfo.php?workbook=20_10.xlsx&amp;sheet=U0&amp;row=1363&amp;col=7&amp;number=0.00792&amp;sourceID=14","0.00792")</f>
        <v>0.00792</v>
      </c>
    </row>
    <row r="1364" spans="1:7">
      <c r="A1364" s="3">
        <v>20</v>
      </c>
      <c r="B1364" s="3">
        <v>10</v>
      </c>
      <c r="C1364" s="3">
        <v>1</v>
      </c>
      <c r="D1364" s="3">
        <v>70</v>
      </c>
      <c r="E1364" s="3">
        <v>1</v>
      </c>
      <c r="F1364" s="4" t="str">
        <f>HYPERLINK("http://141.218.60.56/~jnz1568/getInfo.php?workbook=20_10.xlsx&amp;sheet=U0&amp;row=1364&amp;col=6&amp;number=3&amp;sourceID=14","3")</f>
        <v>3</v>
      </c>
      <c r="G1364" s="4" t="str">
        <f>HYPERLINK("http://141.218.60.56/~jnz1568/getInfo.php?workbook=20_10.xlsx&amp;sheet=U0&amp;row=1364&amp;col=7&amp;number=0.034&amp;sourceID=14","0.034")</f>
        <v>0.034</v>
      </c>
    </row>
    <row r="1365" spans="1:7">
      <c r="A1365" s="3"/>
      <c r="B1365" s="3"/>
      <c r="C1365" s="3"/>
      <c r="D1365" s="3"/>
      <c r="E1365" s="3">
        <v>2</v>
      </c>
      <c r="F1365" s="4" t="str">
        <f>HYPERLINK("http://141.218.60.56/~jnz1568/getInfo.php?workbook=20_10.xlsx&amp;sheet=U0&amp;row=1365&amp;col=6&amp;number=3.1&amp;sourceID=14","3.1")</f>
        <v>3.1</v>
      </c>
      <c r="G1365" s="4" t="str">
        <f>HYPERLINK("http://141.218.60.56/~jnz1568/getInfo.php?workbook=20_10.xlsx&amp;sheet=U0&amp;row=1365&amp;col=7&amp;number=0.034&amp;sourceID=14","0.034")</f>
        <v>0.034</v>
      </c>
    </row>
    <row r="1366" spans="1:7">
      <c r="A1366" s="3"/>
      <c r="B1366" s="3"/>
      <c r="C1366" s="3"/>
      <c r="D1366" s="3"/>
      <c r="E1366" s="3">
        <v>3</v>
      </c>
      <c r="F1366" s="4" t="str">
        <f>HYPERLINK("http://141.218.60.56/~jnz1568/getInfo.php?workbook=20_10.xlsx&amp;sheet=U0&amp;row=1366&amp;col=6&amp;number=3.2&amp;sourceID=14","3.2")</f>
        <v>3.2</v>
      </c>
      <c r="G1366" s="4" t="str">
        <f>HYPERLINK("http://141.218.60.56/~jnz1568/getInfo.php?workbook=20_10.xlsx&amp;sheet=U0&amp;row=1366&amp;col=7&amp;number=0.034&amp;sourceID=14","0.034")</f>
        <v>0.034</v>
      </c>
    </row>
    <row r="1367" spans="1:7">
      <c r="A1367" s="3"/>
      <c r="B1367" s="3"/>
      <c r="C1367" s="3"/>
      <c r="D1367" s="3"/>
      <c r="E1367" s="3">
        <v>4</v>
      </c>
      <c r="F1367" s="4" t="str">
        <f>HYPERLINK("http://141.218.60.56/~jnz1568/getInfo.php?workbook=20_10.xlsx&amp;sheet=U0&amp;row=1367&amp;col=6&amp;number=3.3&amp;sourceID=14","3.3")</f>
        <v>3.3</v>
      </c>
      <c r="G1367" s="4" t="str">
        <f>HYPERLINK("http://141.218.60.56/~jnz1568/getInfo.php?workbook=20_10.xlsx&amp;sheet=U0&amp;row=1367&amp;col=7&amp;number=0.034&amp;sourceID=14","0.034")</f>
        <v>0.034</v>
      </c>
    </row>
    <row r="1368" spans="1:7">
      <c r="A1368" s="3"/>
      <c r="B1368" s="3"/>
      <c r="C1368" s="3"/>
      <c r="D1368" s="3"/>
      <c r="E1368" s="3">
        <v>5</v>
      </c>
      <c r="F1368" s="4" t="str">
        <f>HYPERLINK("http://141.218.60.56/~jnz1568/getInfo.php?workbook=20_10.xlsx&amp;sheet=U0&amp;row=1368&amp;col=6&amp;number=3.4&amp;sourceID=14","3.4")</f>
        <v>3.4</v>
      </c>
      <c r="G1368" s="4" t="str">
        <f>HYPERLINK("http://141.218.60.56/~jnz1568/getInfo.php?workbook=20_10.xlsx&amp;sheet=U0&amp;row=1368&amp;col=7&amp;number=0.034&amp;sourceID=14","0.034")</f>
        <v>0.034</v>
      </c>
    </row>
    <row r="1369" spans="1:7">
      <c r="A1369" s="3"/>
      <c r="B1369" s="3"/>
      <c r="C1369" s="3"/>
      <c r="D1369" s="3"/>
      <c r="E1369" s="3">
        <v>6</v>
      </c>
      <c r="F1369" s="4" t="str">
        <f>HYPERLINK("http://141.218.60.56/~jnz1568/getInfo.php?workbook=20_10.xlsx&amp;sheet=U0&amp;row=1369&amp;col=6&amp;number=3.5&amp;sourceID=14","3.5")</f>
        <v>3.5</v>
      </c>
      <c r="G1369" s="4" t="str">
        <f>HYPERLINK("http://141.218.60.56/~jnz1568/getInfo.php?workbook=20_10.xlsx&amp;sheet=U0&amp;row=1369&amp;col=7&amp;number=0.034&amp;sourceID=14","0.034")</f>
        <v>0.034</v>
      </c>
    </row>
    <row r="1370" spans="1:7">
      <c r="A1370" s="3"/>
      <c r="B1370" s="3"/>
      <c r="C1370" s="3"/>
      <c r="D1370" s="3"/>
      <c r="E1370" s="3">
        <v>7</v>
      </c>
      <c r="F1370" s="4" t="str">
        <f>HYPERLINK("http://141.218.60.56/~jnz1568/getInfo.php?workbook=20_10.xlsx&amp;sheet=U0&amp;row=1370&amp;col=6&amp;number=3.6&amp;sourceID=14","3.6")</f>
        <v>3.6</v>
      </c>
      <c r="G1370" s="4" t="str">
        <f>HYPERLINK("http://141.218.60.56/~jnz1568/getInfo.php?workbook=20_10.xlsx&amp;sheet=U0&amp;row=1370&amp;col=7&amp;number=0.034&amp;sourceID=14","0.034")</f>
        <v>0.034</v>
      </c>
    </row>
    <row r="1371" spans="1:7">
      <c r="A1371" s="3"/>
      <c r="B1371" s="3"/>
      <c r="C1371" s="3"/>
      <c r="D1371" s="3"/>
      <c r="E1371" s="3">
        <v>8</v>
      </c>
      <c r="F1371" s="4" t="str">
        <f>HYPERLINK("http://141.218.60.56/~jnz1568/getInfo.php?workbook=20_10.xlsx&amp;sheet=U0&amp;row=1371&amp;col=6&amp;number=3.7&amp;sourceID=14","3.7")</f>
        <v>3.7</v>
      </c>
      <c r="G1371" s="4" t="str">
        <f>HYPERLINK("http://141.218.60.56/~jnz1568/getInfo.php?workbook=20_10.xlsx&amp;sheet=U0&amp;row=1371&amp;col=7&amp;number=0.0341&amp;sourceID=14","0.0341")</f>
        <v>0.0341</v>
      </c>
    </row>
    <row r="1372" spans="1:7">
      <c r="A1372" s="3"/>
      <c r="B1372" s="3"/>
      <c r="C1372" s="3"/>
      <c r="D1372" s="3"/>
      <c r="E1372" s="3">
        <v>9</v>
      </c>
      <c r="F1372" s="4" t="str">
        <f>HYPERLINK("http://141.218.60.56/~jnz1568/getInfo.php?workbook=20_10.xlsx&amp;sheet=U0&amp;row=1372&amp;col=6&amp;number=3.8&amp;sourceID=14","3.8")</f>
        <v>3.8</v>
      </c>
      <c r="G1372" s="4" t="str">
        <f>HYPERLINK("http://141.218.60.56/~jnz1568/getInfo.php?workbook=20_10.xlsx&amp;sheet=U0&amp;row=1372&amp;col=7&amp;number=0.0341&amp;sourceID=14","0.0341")</f>
        <v>0.0341</v>
      </c>
    </row>
    <row r="1373" spans="1:7">
      <c r="A1373" s="3"/>
      <c r="B1373" s="3"/>
      <c r="C1373" s="3"/>
      <c r="D1373" s="3"/>
      <c r="E1373" s="3">
        <v>10</v>
      </c>
      <c r="F1373" s="4" t="str">
        <f>HYPERLINK("http://141.218.60.56/~jnz1568/getInfo.php?workbook=20_10.xlsx&amp;sheet=U0&amp;row=1373&amp;col=6&amp;number=3.9&amp;sourceID=14","3.9")</f>
        <v>3.9</v>
      </c>
      <c r="G1373" s="4" t="str">
        <f>HYPERLINK("http://141.218.60.56/~jnz1568/getInfo.php?workbook=20_10.xlsx&amp;sheet=U0&amp;row=1373&amp;col=7&amp;number=0.0341&amp;sourceID=14","0.0341")</f>
        <v>0.0341</v>
      </c>
    </row>
    <row r="1374" spans="1:7">
      <c r="A1374" s="3"/>
      <c r="B1374" s="3"/>
      <c r="C1374" s="3"/>
      <c r="D1374" s="3"/>
      <c r="E1374" s="3">
        <v>11</v>
      </c>
      <c r="F1374" s="4" t="str">
        <f>HYPERLINK("http://141.218.60.56/~jnz1568/getInfo.php?workbook=20_10.xlsx&amp;sheet=U0&amp;row=1374&amp;col=6&amp;number=4&amp;sourceID=14","4")</f>
        <v>4</v>
      </c>
      <c r="G1374" s="4" t="str">
        <f>HYPERLINK("http://141.218.60.56/~jnz1568/getInfo.php?workbook=20_10.xlsx&amp;sheet=U0&amp;row=1374&amp;col=7&amp;number=0.0341&amp;sourceID=14","0.0341")</f>
        <v>0.0341</v>
      </c>
    </row>
    <row r="1375" spans="1:7">
      <c r="A1375" s="3"/>
      <c r="B1375" s="3"/>
      <c r="C1375" s="3"/>
      <c r="D1375" s="3"/>
      <c r="E1375" s="3">
        <v>12</v>
      </c>
      <c r="F1375" s="4" t="str">
        <f>HYPERLINK("http://141.218.60.56/~jnz1568/getInfo.php?workbook=20_10.xlsx&amp;sheet=U0&amp;row=1375&amp;col=6&amp;number=4.1&amp;sourceID=14","4.1")</f>
        <v>4.1</v>
      </c>
      <c r="G1375" s="4" t="str">
        <f>HYPERLINK("http://141.218.60.56/~jnz1568/getInfo.php?workbook=20_10.xlsx&amp;sheet=U0&amp;row=1375&amp;col=7&amp;number=0.0341&amp;sourceID=14","0.0341")</f>
        <v>0.0341</v>
      </c>
    </row>
    <row r="1376" spans="1:7">
      <c r="A1376" s="3"/>
      <c r="B1376" s="3"/>
      <c r="C1376" s="3"/>
      <c r="D1376" s="3"/>
      <c r="E1376" s="3">
        <v>13</v>
      </c>
      <c r="F1376" s="4" t="str">
        <f>HYPERLINK("http://141.218.60.56/~jnz1568/getInfo.php?workbook=20_10.xlsx&amp;sheet=U0&amp;row=1376&amp;col=6&amp;number=4.2&amp;sourceID=14","4.2")</f>
        <v>4.2</v>
      </c>
      <c r="G1376" s="4" t="str">
        <f>HYPERLINK("http://141.218.60.56/~jnz1568/getInfo.php?workbook=20_10.xlsx&amp;sheet=U0&amp;row=1376&amp;col=7&amp;number=0.0341&amp;sourceID=14","0.0341")</f>
        <v>0.0341</v>
      </c>
    </row>
    <row r="1377" spans="1:7">
      <c r="A1377" s="3"/>
      <c r="B1377" s="3"/>
      <c r="C1377" s="3"/>
      <c r="D1377" s="3"/>
      <c r="E1377" s="3">
        <v>14</v>
      </c>
      <c r="F1377" s="4" t="str">
        <f>HYPERLINK("http://141.218.60.56/~jnz1568/getInfo.php?workbook=20_10.xlsx&amp;sheet=U0&amp;row=1377&amp;col=6&amp;number=4.3&amp;sourceID=14","4.3")</f>
        <v>4.3</v>
      </c>
      <c r="G1377" s="4" t="str">
        <f>HYPERLINK("http://141.218.60.56/~jnz1568/getInfo.php?workbook=20_10.xlsx&amp;sheet=U0&amp;row=1377&amp;col=7&amp;number=0.0341&amp;sourceID=14","0.0341")</f>
        <v>0.0341</v>
      </c>
    </row>
    <row r="1378" spans="1:7">
      <c r="A1378" s="3"/>
      <c r="B1378" s="3"/>
      <c r="C1378" s="3"/>
      <c r="D1378" s="3"/>
      <c r="E1378" s="3">
        <v>15</v>
      </c>
      <c r="F1378" s="4" t="str">
        <f>HYPERLINK("http://141.218.60.56/~jnz1568/getInfo.php?workbook=20_10.xlsx&amp;sheet=U0&amp;row=1378&amp;col=6&amp;number=4.4&amp;sourceID=14","4.4")</f>
        <v>4.4</v>
      </c>
      <c r="G1378" s="4" t="str">
        <f>HYPERLINK("http://141.218.60.56/~jnz1568/getInfo.php?workbook=20_10.xlsx&amp;sheet=U0&amp;row=1378&amp;col=7&amp;number=0.0342&amp;sourceID=14","0.0342")</f>
        <v>0.0342</v>
      </c>
    </row>
    <row r="1379" spans="1:7">
      <c r="A1379" s="3"/>
      <c r="B1379" s="3"/>
      <c r="C1379" s="3"/>
      <c r="D1379" s="3"/>
      <c r="E1379" s="3">
        <v>16</v>
      </c>
      <c r="F1379" s="4" t="str">
        <f>HYPERLINK("http://141.218.60.56/~jnz1568/getInfo.php?workbook=20_10.xlsx&amp;sheet=U0&amp;row=1379&amp;col=6&amp;number=4.5&amp;sourceID=14","4.5")</f>
        <v>4.5</v>
      </c>
      <c r="G1379" s="4" t="str">
        <f>HYPERLINK("http://141.218.60.56/~jnz1568/getInfo.php?workbook=20_10.xlsx&amp;sheet=U0&amp;row=1379&amp;col=7&amp;number=0.0342&amp;sourceID=14","0.0342")</f>
        <v>0.0342</v>
      </c>
    </row>
    <row r="1380" spans="1:7">
      <c r="A1380" s="3"/>
      <c r="B1380" s="3"/>
      <c r="C1380" s="3"/>
      <c r="D1380" s="3"/>
      <c r="E1380" s="3">
        <v>17</v>
      </c>
      <c r="F1380" s="4" t="str">
        <f>HYPERLINK("http://141.218.60.56/~jnz1568/getInfo.php?workbook=20_10.xlsx&amp;sheet=U0&amp;row=1380&amp;col=6&amp;number=4.6&amp;sourceID=14","4.6")</f>
        <v>4.6</v>
      </c>
      <c r="G1380" s="4" t="str">
        <f>HYPERLINK("http://141.218.60.56/~jnz1568/getInfo.php?workbook=20_10.xlsx&amp;sheet=U0&amp;row=1380&amp;col=7&amp;number=0.0342&amp;sourceID=14","0.0342")</f>
        <v>0.0342</v>
      </c>
    </row>
    <row r="1381" spans="1:7">
      <c r="A1381" s="3"/>
      <c r="B1381" s="3"/>
      <c r="C1381" s="3"/>
      <c r="D1381" s="3"/>
      <c r="E1381" s="3">
        <v>18</v>
      </c>
      <c r="F1381" s="4" t="str">
        <f>HYPERLINK("http://141.218.60.56/~jnz1568/getInfo.php?workbook=20_10.xlsx&amp;sheet=U0&amp;row=1381&amp;col=6&amp;number=4.7&amp;sourceID=14","4.7")</f>
        <v>4.7</v>
      </c>
      <c r="G1381" s="4" t="str">
        <f>HYPERLINK("http://141.218.60.56/~jnz1568/getInfo.php?workbook=20_10.xlsx&amp;sheet=U0&amp;row=1381&amp;col=7&amp;number=0.0343&amp;sourceID=14","0.0343")</f>
        <v>0.0343</v>
      </c>
    </row>
    <row r="1382" spans="1:7">
      <c r="A1382" s="3"/>
      <c r="B1382" s="3"/>
      <c r="C1382" s="3"/>
      <c r="D1382" s="3"/>
      <c r="E1382" s="3">
        <v>19</v>
      </c>
      <c r="F1382" s="4" t="str">
        <f>HYPERLINK("http://141.218.60.56/~jnz1568/getInfo.php?workbook=20_10.xlsx&amp;sheet=U0&amp;row=1382&amp;col=6&amp;number=4.8&amp;sourceID=14","4.8")</f>
        <v>4.8</v>
      </c>
      <c r="G1382" s="4" t="str">
        <f>HYPERLINK("http://141.218.60.56/~jnz1568/getInfo.php?workbook=20_10.xlsx&amp;sheet=U0&amp;row=1382&amp;col=7&amp;number=0.0343&amp;sourceID=14","0.0343")</f>
        <v>0.0343</v>
      </c>
    </row>
    <row r="1383" spans="1:7">
      <c r="A1383" s="3"/>
      <c r="B1383" s="3"/>
      <c r="C1383" s="3"/>
      <c r="D1383" s="3"/>
      <c r="E1383" s="3">
        <v>20</v>
      </c>
      <c r="F1383" s="4" t="str">
        <f>HYPERLINK("http://141.218.60.56/~jnz1568/getInfo.php?workbook=20_10.xlsx&amp;sheet=U0&amp;row=1383&amp;col=6&amp;number=4.9&amp;sourceID=14","4.9")</f>
        <v>4.9</v>
      </c>
      <c r="G1383" s="4" t="str">
        <f>HYPERLINK("http://141.218.60.56/~jnz1568/getInfo.php?workbook=20_10.xlsx&amp;sheet=U0&amp;row=1383&amp;col=7&amp;number=0.0344&amp;sourceID=14","0.0344")</f>
        <v>0.0344</v>
      </c>
    </row>
    <row r="1384" spans="1:7">
      <c r="A1384" s="3">
        <v>20</v>
      </c>
      <c r="B1384" s="3">
        <v>10</v>
      </c>
      <c r="C1384" s="3">
        <v>1</v>
      </c>
      <c r="D1384" s="3">
        <v>71</v>
      </c>
      <c r="E1384" s="3">
        <v>1</v>
      </c>
      <c r="F1384" s="4" t="str">
        <f>HYPERLINK("http://141.218.60.56/~jnz1568/getInfo.php?workbook=20_10.xlsx&amp;sheet=U0&amp;row=1384&amp;col=6&amp;number=3&amp;sourceID=14","3")</f>
        <v>3</v>
      </c>
      <c r="G1384" s="4" t="str">
        <f>HYPERLINK("http://141.218.60.56/~jnz1568/getInfo.php?workbook=20_10.xlsx&amp;sheet=U0&amp;row=1384&amp;col=7&amp;number=0.0236&amp;sourceID=14","0.0236")</f>
        <v>0.0236</v>
      </c>
    </row>
    <row r="1385" spans="1:7">
      <c r="A1385" s="3"/>
      <c r="B1385" s="3"/>
      <c r="C1385" s="3"/>
      <c r="D1385" s="3"/>
      <c r="E1385" s="3">
        <v>2</v>
      </c>
      <c r="F1385" s="4" t="str">
        <f>HYPERLINK("http://141.218.60.56/~jnz1568/getInfo.php?workbook=20_10.xlsx&amp;sheet=U0&amp;row=1385&amp;col=6&amp;number=3.1&amp;sourceID=14","3.1")</f>
        <v>3.1</v>
      </c>
      <c r="G1385" s="4" t="str">
        <f>HYPERLINK("http://141.218.60.56/~jnz1568/getInfo.php?workbook=20_10.xlsx&amp;sheet=U0&amp;row=1385&amp;col=7&amp;number=0.0236&amp;sourceID=14","0.0236")</f>
        <v>0.0236</v>
      </c>
    </row>
    <row r="1386" spans="1:7">
      <c r="A1386" s="3"/>
      <c r="B1386" s="3"/>
      <c r="C1386" s="3"/>
      <c r="D1386" s="3"/>
      <c r="E1386" s="3">
        <v>3</v>
      </c>
      <c r="F1386" s="4" t="str">
        <f>HYPERLINK("http://141.218.60.56/~jnz1568/getInfo.php?workbook=20_10.xlsx&amp;sheet=U0&amp;row=1386&amp;col=6&amp;number=3.2&amp;sourceID=14","3.2")</f>
        <v>3.2</v>
      </c>
      <c r="G1386" s="4" t="str">
        <f>HYPERLINK("http://141.218.60.56/~jnz1568/getInfo.php?workbook=20_10.xlsx&amp;sheet=U0&amp;row=1386&amp;col=7&amp;number=0.0236&amp;sourceID=14","0.0236")</f>
        <v>0.0236</v>
      </c>
    </row>
    <row r="1387" spans="1:7">
      <c r="A1387" s="3"/>
      <c r="B1387" s="3"/>
      <c r="C1387" s="3"/>
      <c r="D1387" s="3"/>
      <c r="E1387" s="3">
        <v>4</v>
      </c>
      <c r="F1387" s="4" t="str">
        <f>HYPERLINK("http://141.218.60.56/~jnz1568/getInfo.php?workbook=20_10.xlsx&amp;sheet=U0&amp;row=1387&amp;col=6&amp;number=3.3&amp;sourceID=14","3.3")</f>
        <v>3.3</v>
      </c>
      <c r="G1387" s="4" t="str">
        <f>HYPERLINK("http://141.218.60.56/~jnz1568/getInfo.php?workbook=20_10.xlsx&amp;sheet=U0&amp;row=1387&amp;col=7&amp;number=0.0236&amp;sourceID=14","0.0236")</f>
        <v>0.0236</v>
      </c>
    </row>
    <row r="1388" spans="1:7">
      <c r="A1388" s="3"/>
      <c r="B1388" s="3"/>
      <c r="C1388" s="3"/>
      <c r="D1388" s="3"/>
      <c r="E1388" s="3">
        <v>5</v>
      </c>
      <c r="F1388" s="4" t="str">
        <f>HYPERLINK("http://141.218.60.56/~jnz1568/getInfo.php?workbook=20_10.xlsx&amp;sheet=U0&amp;row=1388&amp;col=6&amp;number=3.4&amp;sourceID=14","3.4")</f>
        <v>3.4</v>
      </c>
      <c r="G1388" s="4" t="str">
        <f>HYPERLINK("http://141.218.60.56/~jnz1568/getInfo.php?workbook=20_10.xlsx&amp;sheet=U0&amp;row=1388&amp;col=7&amp;number=0.0236&amp;sourceID=14","0.0236")</f>
        <v>0.0236</v>
      </c>
    </row>
    <row r="1389" spans="1:7">
      <c r="A1389" s="3"/>
      <c r="B1389" s="3"/>
      <c r="C1389" s="3"/>
      <c r="D1389" s="3"/>
      <c r="E1389" s="3">
        <v>6</v>
      </c>
      <c r="F1389" s="4" t="str">
        <f>HYPERLINK("http://141.218.60.56/~jnz1568/getInfo.php?workbook=20_10.xlsx&amp;sheet=U0&amp;row=1389&amp;col=6&amp;number=3.5&amp;sourceID=14","3.5")</f>
        <v>3.5</v>
      </c>
      <c r="G1389" s="4" t="str">
        <f>HYPERLINK("http://141.218.60.56/~jnz1568/getInfo.php?workbook=20_10.xlsx&amp;sheet=U0&amp;row=1389&amp;col=7&amp;number=0.0236&amp;sourceID=14","0.0236")</f>
        <v>0.0236</v>
      </c>
    </row>
    <row r="1390" spans="1:7">
      <c r="A1390" s="3"/>
      <c r="B1390" s="3"/>
      <c r="C1390" s="3"/>
      <c r="D1390" s="3"/>
      <c r="E1390" s="3">
        <v>7</v>
      </c>
      <c r="F1390" s="4" t="str">
        <f>HYPERLINK("http://141.218.60.56/~jnz1568/getInfo.php?workbook=20_10.xlsx&amp;sheet=U0&amp;row=1390&amp;col=6&amp;number=3.6&amp;sourceID=14","3.6")</f>
        <v>3.6</v>
      </c>
      <c r="G1390" s="4" t="str">
        <f>HYPERLINK("http://141.218.60.56/~jnz1568/getInfo.php?workbook=20_10.xlsx&amp;sheet=U0&amp;row=1390&amp;col=7&amp;number=0.0236&amp;sourceID=14","0.0236")</f>
        <v>0.0236</v>
      </c>
    </row>
    <row r="1391" spans="1:7">
      <c r="A1391" s="3"/>
      <c r="B1391" s="3"/>
      <c r="C1391" s="3"/>
      <c r="D1391" s="3"/>
      <c r="E1391" s="3">
        <v>8</v>
      </c>
      <c r="F1391" s="4" t="str">
        <f>HYPERLINK("http://141.218.60.56/~jnz1568/getInfo.php?workbook=20_10.xlsx&amp;sheet=U0&amp;row=1391&amp;col=6&amp;number=3.7&amp;sourceID=14","3.7")</f>
        <v>3.7</v>
      </c>
      <c r="G1391" s="4" t="str">
        <f>HYPERLINK("http://141.218.60.56/~jnz1568/getInfo.php?workbook=20_10.xlsx&amp;sheet=U0&amp;row=1391&amp;col=7&amp;number=0.0236&amp;sourceID=14","0.0236")</f>
        <v>0.0236</v>
      </c>
    </row>
    <row r="1392" spans="1:7">
      <c r="A1392" s="3"/>
      <c r="B1392" s="3"/>
      <c r="C1392" s="3"/>
      <c r="D1392" s="3"/>
      <c r="E1392" s="3">
        <v>9</v>
      </c>
      <c r="F1392" s="4" t="str">
        <f>HYPERLINK("http://141.218.60.56/~jnz1568/getInfo.php?workbook=20_10.xlsx&amp;sheet=U0&amp;row=1392&amp;col=6&amp;number=3.8&amp;sourceID=14","3.8")</f>
        <v>3.8</v>
      </c>
      <c r="G1392" s="4" t="str">
        <f>HYPERLINK("http://141.218.60.56/~jnz1568/getInfo.php?workbook=20_10.xlsx&amp;sheet=U0&amp;row=1392&amp;col=7&amp;number=0.0236&amp;sourceID=14","0.0236")</f>
        <v>0.0236</v>
      </c>
    </row>
    <row r="1393" spans="1:7">
      <c r="A1393" s="3"/>
      <c r="B1393" s="3"/>
      <c r="C1393" s="3"/>
      <c r="D1393" s="3"/>
      <c r="E1393" s="3">
        <v>10</v>
      </c>
      <c r="F1393" s="4" t="str">
        <f>HYPERLINK("http://141.218.60.56/~jnz1568/getInfo.php?workbook=20_10.xlsx&amp;sheet=U0&amp;row=1393&amp;col=6&amp;number=3.9&amp;sourceID=14","3.9")</f>
        <v>3.9</v>
      </c>
      <c r="G1393" s="4" t="str">
        <f>HYPERLINK("http://141.218.60.56/~jnz1568/getInfo.php?workbook=20_10.xlsx&amp;sheet=U0&amp;row=1393&amp;col=7&amp;number=0.0237&amp;sourceID=14","0.0237")</f>
        <v>0.0237</v>
      </c>
    </row>
    <row r="1394" spans="1:7">
      <c r="A1394" s="3"/>
      <c r="B1394" s="3"/>
      <c r="C1394" s="3"/>
      <c r="D1394" s="3"/>
      <c r="E1394" s="3">
        <v>11</v>
      </c>
      <c r="F1394" s="4" t="str">
        <f>HYPERLINK("http://141.218.60.56/~jnz1568/getInfo.php?workbook=20_10.xlsx&amp;sheet=U0&amp;row=1394&amp;col=6&amp;number=4&amp;sourceID=14","4")</f>
        <v>4</v>
      </c>
      <c r="G1394" s="4" t="str">
        <f>HYPERLINK("http://141.218.60.56/~jnz1568/getInfo.php?workbook=20_10.xlsx&amp;sheet=U0&amp;row=1394&amp;col=7&amp;number=0.0237&amp;sourceID=14","0.0237")</f>
        <v>0.0237</v>
      </c>
    </row>
    <row r="1395" spans="1:7">
      <c r="A1395" s="3"/>
      <c r="B1395" s="3"/>
      <c r="C1395" s="3"/>
      <c r="D1395" s="3"/>
      <c r="E1395" s="3">
        <v>12</v>
      </c>
      <c r="F1395" s="4" t="str">
        <f>HYPERLINK("http://141.218.60.56/~jnz1568/getInfo.php?workbook=20_10.xlsx&amp;sheet=U0&amp;row=1395&amp;col=6&amp;number=4.1&amp;sourceID=14","4.1")</f>
        <v>4.1</v>
      </c>
      <c r="G1395" s="4" t="str">
        <f>HYPERLINK("http://141.218.60.56/~jnz1568/getInfo.php?workbook=20_10.xlsx&amp;sheet=U0&amp;row=1395&amp;col=7&amp;number=0.0237&amp;sourceID=14","0.0237")</f>
        <v>0.0237</v>
      </c>
    </row>
    <row r="1396" spans="1:7">
      <c r="A1396" s="3"/>
      <c r="B1396" s="3"/>
      <c r="C1396" s="3"/>
      <c r="D1396" s="3"/>
      <c r="E1396" s="3">
        <v>13</v>
      </c>
      <c r="F1396" s="4" t="str">
        <f>HYPERLINK("http://141.218.60.56/~jnz1568/getInfo.php?workbook=20_10.xlsx&amp;sheet=U0&amp;row=1396&amp;col=6&amp;number=4.2&amp;sourceID=14","4.2")</f>
        <v>4.2</v>
      </c>
      <c r="G1396" s="4" t="str">
        <f>HYPERLINK("http://141.218.60.56/~jnz1568/getInfo.php?workbook=20_10.xlsx&amp;sheet=U0&amp;row=1396&amp;col=7&amp;number=0.0237&amp;sourceID=14","0.0237")</f>
        <v>0.0237</v>
      </c>
    </row>
    <row r="1397" spans="1:7">
      <c r="A1397" s="3"/>
      <c r="B1397" s="3"/>
      <c r="C1397" s="3"/>
      <c r="D1397" s="3"/>
      <c r="E1397" s="3">
        <v>14</v>
      </c>
      <c r="F1397" s="4" t="str">
        <f>HYPERLINK("http://141.218.60.56/~jnz1568/getInfo.php?workbook=20_10.xlsx&amp;sheet=U0&amp;row=1397&amp;col=6&amp;number=4.3&amp;sourceID=14","4.3")</f>
        <v>4.3</v>
      </c>
      <c r="G1397" s="4" t="str">
        <f>HYPERLINK("http://141.218.60.56/~jnz1568/getInfo.php?workbook=20_10.xlsx&amp;sheet=U0&amp;row=1397&amp;col=7&amp;number=0.0237&amp;sourceID=14","0.0237")</f>
        <v>0.0237</v>
      </c>
    </row>
    <row r="1398" spans="1:7">
      <c r="A1398" s="3"/>
      <c r="B1398" s="3"/>
      <c r="C1398" s="3"/>
      <c r="D1398" s="3"/>
      <c r="E1398" s="3">
        <v>15</v>
      </c>
      <c r="F1398" s="4" t="str">
        <f>HYPERLINK("http://141.218.60.56/~jnz1568/getInfo.php?workbook=20_10.xlsx&amp;sheet=U0&amp;row=1398&amp;col=6&amp;number=4.4&amp;sourceID=14","4.4")</f>
        <v>4.4</v>
      </c>
      <c r="G1398" s="4" t="str">
        <f>HYPERLINK("http://141.218.60.56/~jnz1568/getInfo.php?workbook=20_10.xlsx&amp;sheet=U0&amp;row=1398&amp;col=7&amp;number=0.0237&amp;sourceID=14","0.0237")</f>
        <v>0.0237</v>
      </c>
    </row>
    <row r="1399" spans="1:7">
      <c r="A1399" s="3"/>
      <c r="B1399" s="3"/>
      <c r="C1399" s="3"/>
      <c r="D1399" s="3"/>
      <c r="E1399" s="3">
        <v>16</v>
      </c>
      <c r="F1399" s="4" t="str">
        <f>HYPERLINK("http://141.218.60.56/~jnz1568/getInfo.php?workbook=20_10.xlsx&amp;sheet=U0&amp;row=1399&amp;col=6&amp;number=4.5&amp;sourceID=14","4.5")</f>
        <v>4.5</v>
      </c>
      <c r="G1399" s="4" t="str">
        <f>HYPERLINK("http://141.218.60.56/~jnz1568/getInfo.php?workbook=20_10.xlsx&amp;sheet=U0&amp;row=1399&amp;col=7&amp;number=0.0237&amp;sourceID=14","0.0237")</f>
        <v>0.0237</v>
      </c>
    </row>
    <row r="1400" spans="1:7">
      <c r="A1400" s="3"/>
      <c r="B1400" s="3"/>
      <c r="C1400" s="3"/>
      <c r="D1400" s="3"/>
      <c r="E1400" s="3">
        <v>17</v>
      </c>
      <c r="F1400" s="4" t="str">
        <f>HYPERLINK("http://141.218.60.56/~jnz1568/getInfo.php?workbook=20_10.xlsx&amp;sheet=U0&amp;row=1400&amp;col=6&amp;number=4.6&amp;sourceID=14","4.6")</f>
        <v>4.6</v>
      </c>
      <c r="G1400" s="4" t="str">
        <f>HYPERLINK("http://141.218.60.56/~jnz1568/getInfo.php?workbook=20_10.xlsx&amp;sheet=U0&amp;row=1400&amp;col=7&amp;number=0.0238&amp;sourceID=14","0.0238")</f>
        <v>0.0238</v>
      </c>
    </row>
    <row r="1401" spans="1:7">
      <c r="A1401" s="3"/>
      <c r="B1401" s="3"/>
      <c r="C1401" s="3"/>
      <c r="D1401" s="3"/>
      <c r="E1401" s="3">
        <v>18</v>
      </c>
      <c r="F1401" s="4" t="str">
        <f>HYPERLINK("http://141.218.60.56/~jnz1568/getInfo.php?workbook=20_10.xlsx&amp;sheet=U0&amp;row=1401&amp;col=6&amp;number=4.7&amp;sourceID=14","4.7")</f>
        <v>4.7</v>
      </c>
      <c r="G1401" s="4" t="str">
        <f>HYPERLINK("http://141.218.60.56/~jnz1568/getInfo.php?workbook=20_10.xlsx&amp;sheet=U0&amp;row=1401&amp;col=7&amp;number=0.0238&amp;sourceID=14","0.0238")</f>
        <v>0.0238</v>
      </c>
    </row>
    <row r="1402" spans="1:7">
      <c r="A1402" s="3"/>
      <c r="B1402" s="3"/>
      <c r="C1402" s="3"/>
      <c r="D1402" s="3"/>
      <c r="E1402" s="3">
        <v>19</v>
      </c>
      <c r="F1402" s="4" t="str">
        <f>HYPERLINK("http://141.218.60.56/~jnz1568/getInfo.php?workbook=20_10.xlsx&amp;sheet=U0&amp;row=1402&amp;col=6&amp;number=4.8&amp;sourceID=14","4.8")</f>
        <v>4.8</v>
      </c>
      <c r="G1402" s="4" t="str">
        <f>HYPERLINK("http://141.218.60.56/~jnz1568/getInfo.php?workbook=20_10.xlsx&amp;sheet=U0&amp;row=1402&amp;col=7&amp;number=0.0238&amp;sourceID=14","0.0238")</f>
        <v>0.0238</v>
      </c>
    </row>
    <row r="1403" spans="1:7">
      <c r="A1403" s="3"/>
      <c r="B1403" s="3"/>
      <c r="C1403" s="3"/>
      <c r="D1403" s="3"/>
      <c r="E1403" s="3">
        <v>20</v>
      </c>
      <c r="F1403" s="4" t="str">
        <f>HYPERLINK("http://141.218.60.56/~jnz1568/getInfo.php?workbook=20_10.xlsx&amp;sheet=U0&amp;row=1403&amp;col=6&amp;number=4.9&amp;sourceID=14","4.9")</f>
        <v>4.9</v>
      </c>
      <c r="G1403" s="4" t="str">
        <f>HYPERLINK("http://141.218.60.56/~jnz1568/getInfo.php?workbook=20_10.xlsx&amp;sheet=U0&amp;row=1403&amp;col=7&amp;number=0.0239&amp;sourceID=14","0.0239")</f>
        <v>0.0239</v>
      </c>
    </row>
    <row r="1404" spans="1:7">
      <c r="A1404" s="3">
        <v>20</v>
      </c>
      <c r="B1404" s="3">
        <v>10</v>
      </c>
      <c r="C1404" s="3">
        <v>1</v>
      </c>
      <c r="D1404" s="3">
        <v>72</v>
      </c>
      <c r="E1404" s="3">
        <v>1</v>
      </c>
      <c r="F1404" s="4" t="str">
        <f>HYPERLINK("http://141.218.60.56/~jnz1568/getInfo.php?workbook=20_10.xlsx&amp;sheet=U0&amp;row=1404&amp;col=6&amp;number=3&amp;sourceID=14","3")</f>
        <v>3</v>
      </c>
      <c r="G1404" s="4" t="str">
        <f>HYPERLINK("http://141.218.60.56/~jnz1568/getInfo.php?workbook=20_10.xlsx&amp;sheet=U0&amp;row=1404&amp;col=7&amp;number=0.000621&amp;sourceID=14","0.000621")</f>
        <v>0.000621</v>
      </c>
    </row>
    <row r="1405" spans="1:7">
      <c r="A1405" s="3"/>
      <c r="B1405" s="3"/>
      <c r="C1405" s="3"/>
      <c r="D1405" s="3"/>
      <c r="E1405" s="3">
        <v>2</v>
      </c>
      <c r="F1405" s="4" t="str">
        <f>HYPERLINK("http://141.218.60.56/~jnz1568/getInfo.php?workbook=20_10.xlsx&amp;sheet=U0&amp;row=1405&amp;col=6&amp;number=3.1&amp;sourceID=14","3.1")</f>
        <v>3.1</v>
      </c>
      <c r="G1405" s="4" t="str">
        <f>HYPERLINK("http://141.218.60.56/~jnz1568/getInfo.php?workbook=20_10.xlsx&amp;sheet=U0&amp;row=1405&amp;col=7&amp;number=0.000621&amp;sourceID=14","0.000621")</f>
        <v>0.000621</v>
      </c>
    </row>
    <row r="1406" spans="1:7">
      <c r="A1406" s="3"/>
      <c r="B1406" s="3"/>
      <c r="C1406" s="3"/>
      <c r="D1406" s="3"/>
      <c r="E1406" s="3">
        <v>3</v>
      </c>
      <c r="F1406" s="4" t="str">
        <f>HYPERLINK("http://141.218.60.56/~jnz1568/getInfo.php?workbook=20_10.xlsx&amp;sheet=U0&amp;row=1406&amp;col=6&amp;number=3.2&amp;sourceID=14","3.2")</f>
        <v>3.2</v>
      </c>
      <c r="G1406" s="4" t="str">
        <f>HYPERLINK("http://141.218.60.56/~jnz1568/getInfo.php?workbook=20_10.xlsx&amp;sheet=U0&amp;row=1406&amp;col=7&amp;number=0.000621&amp;sourceID=14","0.000621")</f>
        <v>0.000621</v>
      </c>
    </row>
    <row r="1407" spans="1:7">
      <c r="A1407" s="3"/>
      <c r="B1407" s="3"/>
      <c r="C1407" s="3"/>
      <c r="D1407" s="3"/>
      <c r="E1407" s="3">
        <v>4</v>
      </c>
      <c r="F1407" s="4" t="str">
        <f>HYPERLINK("http://141.218.60.56/~jnz1568/getInfo.php?workbook=20_10.xlsx&amp;sheet=U0&amp;row=1407&amp;col=6&amp;number=3.3&amp;sourceID=14","3.3")</f>
        <v>3.3</v>
      </c>
      <c r="G1407" s="4" t="str">
        <f>HYPERLINK("http://141.218.60.56/~jnz1568/getInfo.php?workbook=20_10.xlsx&amp;sheet=U0&amp;row=1407&amp;col=7&amp;number=0.00062&amp;sourceID=14","0.00062")</f>
        <v>0.00062</v>
      </c>
    </row>
    <row r="1408" spans="1:7">
      <c r="A1408" s="3"/>
      <c r="B1408" s="3"/>
      <c r="C1408" s="3"/>
      <c r="D1408" s="3"/>
      <c r="E1408" s="3">
        <v>5</v>
      </c>
      <c r="F1408" s="4" t="str">
        <f>HYPERLINK("http://141.218.60.56/~jnz1568/getInfo.php?workbook=20_10.xlsx&amp;sheet=U0&amp;row=1408&amp;col=6&amp;number=3.4&amp;sourceID=14","3.4")</f>
        <v>3.4</v>
      </c>
      <c r="G1408" s="4" t="str">
        <f>HYPERLINK("http://141.218.60.56/~jnz1568/getInfo.php?workbook=20_10.xlsx&amp;sheet=U0&amp;row=1408&amp;col=7&amp;number=0.00062&amp;sourceID=14","0.00062")</f>
        <v>0.00062</v>
      </c>
    </row>
    <row r="1409" spans="1:7">
      <c r="A1409" s="3"/>
      <c r="B1409" s="3"/>
      <c r="C1409" s="3"/>
      <c r="D1409" s="3"/>
      <c r="E1409" s="3">
        <v>6</v>
      </c>
      <c r="F1409" s="4" t="str">
        <f>HYPERLINK("http://141.218.60.56/~jnz1568/getInfo.php?workbook=20_10.xlsx&amp;sheet=U0&amp;row=1409&amp;col=6&amp;number=3.5&amp;sourceID=14","3.5")</f>
        <v>3.5</v>
      </c>
      <c r="G1409" s="4" t="str">
        <f>HYPERLINK("http://141.218.60.56/~jnz1568/getInfo.php?workbook=20_10.xlsx&amp;sheet=U0&amp;row=1409&amp;col=7&amp;number=0.00062&amp;sourceID=14","0.00062")</f>
        <v>0.00062</v>
      </c>
    </row>
    <row r="1410" spans="1:7">
      <c r="A1410" s="3"/>
      <c r="B1410" s="3"/>
      <c r="C1410" s="3"/>
      <c r="D1410" s="3"/>
      <c r="E1410" s="3">
        <v>7</v>
      </c>
      <c r="F1410" s="4" t="str">
        <f>HYPERLINK("http://141.218.60.56/~jnz1568/getInfo.php?workbook=20_10.xlsx&amp;sheet=U0&amp;row=1410&amp;col=6&amp;number=3.6&amp;sourceID=14","3.6")</f>
        <v>3.6</v>
      </c>
      <c r="G1410" s="4" t="str">
        <f>HYPERLINK("http://141.218.60.56/~jnz1568/getInfo.php?workbook=20_10.xlsx&amp;sheet=U0&amp;row=1410&amp;col=7&amp;number=0.00062&amp;sourceID=14","0.00062")</f>
        <v>0.00062</v>
      </c>
    </row>
    <row r="1411" spans="1:7">
      <c r="A1411" s="3"/>
      <c r="B1411" s="3"/>
      <c r="C1411" s="3"/>
      <c r="D1411" s="3"/>
      <c r="E1411" s="3">
        <v>8</v>
      </c>
      <c r="F1411" s="4" t="str">
        <f>HYPERLINK("http://141.218.60.56/~jnz1568/getInfo.php?workbook=20_10.xlsx&amp;sheet=U0&amp;row=1411&amp;col=6&amp;number=3.7&amp;sourceID=14","3.7")</f>
        <v>3.7</v>
      </c>
      <c r="G1411" s="4" t="str">
        <f>HYPERLINK("http://141.218.60.56/~jnz1568/getInfo.php?workbook=20_10.xlsx&amp;sheet=U0&amp;row=1411&amp;col=7&amp;number=0.00062&amp;sourceID=14","0.00062")</f>
        <v>0.00062</v>
      </c>
    </row>
    <row r="1412" spans="1:7">
      <c r="A1412" s="3"/>
      <c r="B1412" s="3"/>
      <c r="C1412" s="3"/>
      <c r="D1412" s="3"/>
      <c r="E1412" s="3">
        <v>9</v>
      </c>
      <c r="F1412" s="4" t="str">
        <f>HYPERLINK("http://141.218.60.56/~jnz1568/getInfo.php?workbook=20_10.xlsx&amp;sheet=U0&amp;row=1412&amp;col=6&amp;number=3.8&amp;sourceID=14","3.8")</f>
        <v>3.8</v>
      </c>
      <c r="G1412" s="4" t="str">
        <f>HYPERLINK("http://141.218.60.56/~jnz1568/getInfo.php?workbook=20_10.xlsx&amp;sheet=U0&amp;row=1412&amp;col=7&amp;number=0.00062&amp;sourceID=14","0.00062")</f>
        <v>0.00062</v>
      </c>
    </row>
    <row r="1413" spans="1:7">
      <c r="A1413" s="3"/>
      <c r="B1413" s="3"/>
      <c r="C1413" s="3"/>
      <c r="D1413" s="3"/>
      <c r="E1413" s="3">
        <v>10</v>
      </c>
      <c r="F1413" s="4" t="str">
        <f>HYPERLINK("http://141.218.60.56/~jnz1568/getInfo.php?workbook=20_10.xlsx&amp;sheet=U0&amp;row=1413&amp;col=6&amp;number=3.9&amp;sourceID=14","3.9")</f>
        <v>3.9</v>
      </c>
      <c r="G1413" s="4" t="str">
        <f>HYPERLINK("http://141.218.60.56/~jnz1568/getInfo.php?workbook=20_10.xlsx&amp;sheet=U0&amp;row=1413&amp;col=7&amp;number=0.000619&amp;sourceID=14","0.000619")</f>
        <v>0.000619</v>
      </c>
    </row>
    <row r="1414" spans="1:7">
      <c r="A1414" s="3"/>
      <c r="B1414" s="3"/>
      <c r="C1414" s="3"/>
      <c r="D1414" s="3"/>
      <c r="E1414" s="3">
        <v>11</v>
      </c>
      <c r="F1414" s="4" t="str">
        <f>HYPERLINK("http://141.218.60.56/~jnz1568/getInfo.php?workbook=20_10.xlsx&amp;sheet=U0&amp;row=1414&amp;col=6&amp;number=4&amp;sourceID=14","4")</f>
        <v>4</v>
      </c>
      <c r="G1414" s="4" t="str">
        <f>HYPERLINK("http://141.218.60.56/~jnz1568/getInfo.php?workbook=20_10.xlsx&amp;sheet=U0&amp;row=1414&amp;col=7&amp;number=0.000619&amp;sourceID=14","0.000619")</f>
        <v>0.000619</v>
      </c>
    </row>
    <row r="1415" spans="1:7">
      <c r="A1415" s="3"/>
      <c r="B1415" s="3"/>
      <c r="C1415" s="3"/>
      <c r="D1415" s="3"/>
      <c r="E1415" s="3">
        <v>12</v>
      </c>
      <c r="F1415" s="4" t="str">
        <f>HYPERLINK("http://141.218.60.56/~jnz1568/getInfo.php?workbook=20_10.xlsx&amp;sheet=U0&amp;row=1415&amp;col=6&amp;number=4.1&amp;sourceID=14","4.1")</f>
        <v>4.1</v>
      </c>
      <c r="G1415" s="4" t="str">
        <f>HYPERLINK("http://141.218.60.56/~jnz1568/getInfo.php?workbook=20_10.xlsx&amp;sheet=U0&amp;row=1415&amp;col=7&amp;number=0.000618&amp;sourceID=14","0.000618")</f>
        <v>0.000618</v>
      </c>
    </row>
    <row r="1416" spans="1:7">
      <c r="A1416" s="3"/>
      <c r="B1416" s="3"/>
      <c r="C1416" s="3"/>
      <c r="D1416" s="3"/>
      <c r="E1416" s="3">
        <v>13</v>
      </c>
      <c r="F1416" s="4" t="str">
        <f>HYPERLINK("http://141.218.60.56/~jnz1568/getInfo.php?workbook=20_10.xlsx&amp;sheet=U0&amp;row=1416&amp;col=6&amp;number=4.2&amp;sourceID=14","4.2")</f>
        <v>4.2</v>
      </c>
      <c r="G1416" s="4" t="str">
        <f>HYPERLINK("http://141.218.60.56/~jnz1568/getInfo.php?workbook=20_10.xlsx&amp;sheet=U0&amp;row=1416&amp;col=7&amp;number=0.000618&amp;sourceID=14","0.000618")</f>
        <v>0.000618</v>
      </c>
    </row>
    <row r="1417" spans="1:7">
      <c r="A1417" s="3"/>
      <c r="B1417" s="3"/>
      <c r="C1417" s="3"/>
      <c r="D1417" s="3"/>
      <c r="E1417" s="3">
        <v>14</v>
      </c>
      <c r="F1417" s="4" t="str">
        <f>HYPERLINK("http://141.218.60.56/~jnz1568/getInfo.php?workbook=20_10.xlsx&amp;sheet=U0&amp;row=1417&amp;col=6&amp;number=4.3&amp;sourceID=14","4.3")</f>
        <v>4.3</v>
      </c>
      <c r="G1417" s="4" t="str">
        <f>HYPERLINK("http://141.218.60.56/~jnz1568/getInfo.php?workbook=20_10.xlsx&amp;sheet=U0&amp;row=1417&amp;col=7&amp;number=0.000617&amp;sourceID=14","0.000617")</f>
        <v>0.000617</v>
      </c>
    </row>
    <row r="1418" spans="1:7">
      <c r="A1418" s="3"/>
      <c r="B1418" s="3"/>
      <c r="C1418" s="3"/>
      <c r="D1418" s="3"/>
      <c r="E1418" s="3">
        <v>15</v>
      </c>
      <c r="F1418" s="4" t="str">
        <f>HYPERLINK("http://141.218.60.56/~jnz1568/getInfo.php?workbook=20_10.xlsx&amp;sheet=U0&amp;row=1418&amp;col=6&amp;number=4.4&amp;sourceID=14","4.4")</f>
        <v>4.4</v>
      </c>
      <c r="G1418" s="4" t="str">
        <f>HYPERLINK("http://141.218.60.56/~jnz1568/getInfo.php?workbook=20_10.xlsx&amp;sheet=U0&amp;row=1418&amp;col=7&amp;number=0.000616&amp;sourceID=14","0.000616")</f>
        <v>0.000616</v>
      </c>
    </row>
    <row r="1419" spans="1:7">
      <c r="A1419" s="3"/>
      <c r="B1419" s="3"/>
      <c r="C1419" s="3"/>
      <c r="D1419" s="3"/>
      <c r="E1419" s="3">
        <v>16</v>
      </c>
      <c r="F1419" s="4" t="str">
        <f>HYPERLINK("http://141.218.60.56/~jnz1568/getInfo.php?workbook=20_10.xlsx&amp;sheet=U0&amp;row=1419&amp;col=6&amp;number=4.5&amp;sourceID=14","4.5")</f>
        <v>4.5</v>
      </c>
      <c r="G1419" s="4" t="str">
        <f>HYPERLINK("http://141.218.60.56/~jnz1568/getInfo.php?workbook=20_10.xlsx&amp;sheet=U0&amp;row=1419&amp;col=7&amp;number=0.000615&amp;sourceID=14","0.000615")</f>
        <v>0.000615</v>
      </c>
    </row>
    <row r="1420" spans="1:7">
      <c r="A1420" s="3"/>
      <c r="B1420" s="3"/>
      <c r="C1420" s="3"/>
      <c r="D1420" s="3"/>
      <c r="E1420" s="3">
        <v>17</v>
      </c>
      <c r="F1420" s="4" t="str">
        <f>HYPERLINK("http://141.218.60.56/~jnz1568/getInfo.php?workbook=20_10.xlsx&amp;sheet=U0&amp;row=1420&amp;col=6&amp;number=4.6&amp;sourceID=14","4.6")</f>
        <v>4.6</v>
      </c>
      <c r="G1420" s="4" t="str">
        <f>HYPERLINK("http://141.218.60.56/~jnz1568/getInfo.php?workbook=20_10.xlsx&amp;sheet=U0&amp;row=1420&amp;col=7&amp;number=0.000614&amp;sourceID=14","0.000614")</f>
        <v>0.000614</v>
      </c>
    </row>
    <row r="1421" spans="1:7">
      <c r="A1421" s="3"/>
      <c r="B1421" s="3"/>
      <c r="C1421" s="3"/>
      <c r="D1421" s="3"/>
      <c r="E1421" s="3">
        <v>18</v>
      </c>
      <c r="F1421" s="4" t="str">
        <f>HYPERLINK("http://141.218.60.56/~jnz1568/getInfo.php?workbook=20_10.xlsx&amp;sheet=U0&amp;row=1421&amp;col=6&amp;number=4.7&amp;sourceID=14","4.7")</f>
        <v>4.7</v>
      </c>
      <c r="G1421" s="4" t="str">
        <f>HYPERLINK("http://141.218.60.56/~jnz1568/getInfo.php?workbook=20_10.xlsx&amp;sheet=U0&amp;row=1421&amp;col=7&amp;number=0.000612&amp;sourceID=14","0.000612")</f>
        <v>0.000612</v>
      </c>
    </row>
    <row r="1422" spans="1:7">
      <c r="A1422" s="3"/>
      <c r="B1422" s="3"/>
      <c r="C1422" s="3"/>
      <c r="D1422" s="3"/>
      <c r="E1422" s="3">
        <v>19</v>
      </c>
      <c r="F1422" s="4" t="str">
        <f>HYPERLINK("http://141.218.60.56/~jnz1568/getInfo.php?workbook=20_10.xlsx&amp;sheet=U0&amp;row=1422&amp;col=6&amp;number=4.8&amp;sourceID=14","4.8")</f>
        <v>4.8</v>
      </c>
      <c r="G1422" s="4" t="str">
        <f>HYPERLINK("http://141.218.60.56/~jnz1568/getInfo.php?workbook=20_10.xlsx&amp;sheet=U0&amp;row=1422&amp;col=7&amp;number=0.000609&amp;sourceID=14","0.000609")</f>
        <v>0.000609</v>
      </c>
    </row>
    <row r="1423" spans="1:7">
      <c r="A1423" s="3"/>
      <c r="B1423" s="3"/>
      <c r="C1423" s="3"/>
      <c r="D1423" s="3"/>
      <c r="E1423" s="3">
        <v>20</v>
      </c>
      <c r="F1423" s="4" t="str">
        <f>HYPERLINK("http://141.218.60.56/~jnz1568/getInfo.php?workbook=20_10.xlsx&amp;sheet=U0&amp;row=1423&amp;col=6&amp;number=4.9&amp;sourceID=14","4.9")</f>
        <v>4.9</v>
      </c>
      <c r="G1423" s="4" t="str">
        <f>HYPERLINK("http://141.218.60.56/~jnz1568/getInfo.php?workbook=20_10.xlsx&amp;sheet=U0&amp;row=1423&amp;col=7&amp;number=0.000607&amp;sourceID=14","0.000607")</f>
        <v>0.000607</v>
      </c>
    </row>
    <row r="1424" spans="1:7">
      <c r="A1424" s="3">
        <v>20</v>
      </c>
      <c r="B1424" s="3">
        <v>10</v>
      </c>
      <c r="C1424" s="3">
        <v>1</v>
      </c>
      <c r="D1424" s="3">
        <v>73</v>
      </c>
      <c r="E1424" s="3">
        <v>1</v>
      </c>
      <c r="F1424" s="4" t="str">
        <f>HYPERLINK("http://141.218.60.56/~jnz1568/getInfo.php?workbook=20_10.xlsx&amp;sheet=U0&amp;row=1424&amp;col=6&amp;number=3&amp;sourceID=14","3")</f>
        <v>3</v>
      </c>
      <c r="G1424" s="4" t="str">
        <f>HYPERLINK("http://141.218.60.56/~jnz1568/getInfo.php?workbook=20_10.xlsx&amp;sheet=U0&amp;row=1424&amp;col=7&amp;number=0.000757&amp;sourceID=14","0.000757")</f>
        <v>0.000757</v>
      </c>
    </row>
    <row r="1425" spans="1:7">
      <c r="A1425" s="3"/>
      <c r="B1425" s="3"/>
      <c r="C1425" s="3"/>
      <c r="D1425" s="3"/>
      <c r="E1425" s="3">
        <v>2</v>
      </c>
      <c r="F1425" s="4" t="str">
        <f>HYPERLINK("http://141.218.60.56/~jnz1568/getInfo.php?workbook=20_10.xlsx&amp;sheet=U0&amp;row=1425&amp;col=6&amp;number=3.1&amp;sourceID=14","3.1")</f>
        <v>3.1</v>
      </c>
      <c r="G1425" s="4" t="str">
        <f>HYPERLINK("http://141.218.60.56/~jnz1568/getInfo.php?workbook=20_10.xlsx&amp;sheet=U0&amp;row=1425&amp;col=7&amp;number=0.000757&amp;sourceID=14","0.000757")</f>
        <v>0.000757</v>
      </c>
    </row>
    <row r="1426" spans="1:7">
      <c r="A1426" s="3"/>
      <c r="B1426" s="3"/>
      <c r="C1426" s="3"/>
      <c r="D1426" s="3"/>
      <c r="E1426" s="3">
        <v>3</v>
      </c>
      <c r="F1426" s="4" t="str">
        <f>HYPERLINK("http://141.218.60.56/~jnz1568/getInfo.php?workbook=20_10.xlsx&amp;sheet=U0&amp;row=1426&amp;col=6&amp;number=3.2&amp;sourceID=14","3.2")</f>
        <v>3.2</v>
      </c>
      <c r="G1426" s="4" t="str">
        <f>HYPERLINK("http://141.218.60.56/~jnz1568/getInfo.php?workbook=20_10.xlsx&amp;sheet=U0&amp;row=1426&amp;col=7&amp;number=0.000756&amp;sourceID=14","0.000756")</f>
        <v>0.000756</v>
      </c>
    </row>
    <row r="1427" spans="1:7">
      <c r="A1427" s="3"/>
      <c r="B1427" s="3"/>
      <c r="C1427" s="3"/>
      <c r="D1427" s="3"/>
      <c r="E1427" s="3">
        <v>4</v>
      </c>
      <c r="F1427" s="4" t="str">
        <f>HYPERLINK("http://141.218.60.56/~jnz1568/getInfo.php?workbook=20_10.xlsx&amp;sheet=U0&amp;row=1427&amp;col=6&amp;number=3.3&amp;sourceID=14","3.3")</f>
        <v>3.3</v>
      </c>
      <c r="G1427" s="4" t="str">
        <f>HYPERLINK("http://141.218.60.56/~jnz1568/getInfo.php?workbook=20_10.xlsx&amp;sheet=U0&amp;row=1427&amp;col=7&amp;number=0.000756&amp;sourceID=14","0.000756")</f>
        <v>0.000756</v>
      </c>
    </row>
    <row r="1428" spans="1:7">
      <c r="A1428" s="3"/>
      <c r="B1428" s="3"/>
      <c r="C1428" s="3"/>
      <c r="D1428" s="3"/>
      <c r="E1428" s="3">
        <v>5</v>
      </c>
      <c r="F1428" s="4" t="str">
        <f>HYPERLINK("http://141.218.60.56/~jnz1568/getInfo.php?workbook=20_10.xlsx&amp;sheet=U0&amp;row=1428&amp;col=6&amp;number=3.4&amp;sourceID=14","3.4")</f>
        <v>3.4</v>
      </c>
      <c r="G1428" s="4" t="str">
        <f>HYPERLINK("http://141.218.60.56/~jnz1568/getInfo.php?workbook=20_10.xlsx&amp;sheet=U0&amp;row=1428&amp;col=7&amp;number=0.000756&amp;sourceID=14","0.000756")</f>
        <v>0.000756</v>
      </c>
    </row>
    <row r="1429" spans="1:7">
      <c r="A1429" s="3"/>
      <c r="B1429" s="3"/>
      <c r="C1429" s="3"/>
      <c r="D1429" s="3"/>
      <c r="E1429" s="3">
        <v>6</v>
      </c>
      <c r="F1429" s="4" t="str">
        <f>HYPERLINK("http://141.218.60.56/~jnz1568/getInfo.php?workbook=20_10.xlsx&amp;sheet=U0&amp;row=1429&amp;col=6&amp;number=3.5&amp;sourceID=14","3.5")</f>
        <v>3.5</v>
      </c>
      <c r="G1429" s="4" t="str">
        <f>HYPERLINK("http://141.218.60.56/~jnz1568/getInfo.php?workbook=20_10.xlsx&amp;sheet=U0&amp;row=1429&amp;col=7&amp;number=0.000756&amp;sourceID=14","0.000756")</f>
        <v>0.000756</v>
      </c>
    </row>
    <row r="1430" spans="1:7">
      <c r="A1430" s="3"/>
      <c r="B1430" s="3"/>
      <c r="C1430" s="3"/>
      <c r="D1430" s="3"/>
      <c r="E1430" s="3">
        <v>7</v>
      </c>
      <c r="F1430" s="4" t="str">
        <f>HYPERLINK("http://141.218.60.56/~jnz1568/getInfo.php?workbook=20_10.xlsx&amp;sheet=U0&amp;row=1430&amp;col=6&amp;number=3.6&amp;sourceID=14","3.6")</f>
        <v>3.6</v>
      </c>
      <c r="G1430" s="4" t="str">
        <f>HYPERLINK("http://141.218.60.56/~jnz1568/getInfo.php?workbook=20_10.xlsx&amp;sheet=U0&amp;row=1430&amp;col=7&amp;number=0.000756&amp;sourceID=14","0.000756")</f>
        <v>0.000756</v>
      </c>
    </row>
    <row r="1431" spans="1:7">
      <c r="A1431" s="3"/>
      <c r="B1431" s="3"/>
      <c r="C1431" s="3"/>
      <c r="D1431" s="3"/>
      <c r="E1431" s="3">
        <v>8</v>
      </c>
      <c r="F1431" s="4" t="str">
        <f>HYPERLINK("http://141.218.60.56/~jnz1568/getInfo.php?workbook=20_10.xlsx&amp;sheet=U0&amp;row=1431&amp;col=6&amp;number=3.7&amp;sourceID=14","3.7")</f>
        <v>3.7</v>
      </c>
      <c r="G1431" s="4" t="str">
        <f>HYPERLINK("http://141.218.60.56/~jnz1568/getInfo.php?workbook=20_10.xlsx&amp;sheet=U0&amp;row=1431&amp;col=7&amp;number=0.000756&amp;sourceID=14","0.000756")</f>
        <v>0.000756</v>
      </c>
    </row>
    <row r="1432" spans="1:7">
      <c r="A1432" s="3"/>
      <c r="B1432" s="3"/>
      <c r="C1432" s="3"/>
      <c r="D1432" s="3"/>
      <c r="E1432" s="3">
        <v>9</v>
      </c>
      <c r="F1432" s="4" t="str">
        <f>HYPERLINK("http://141.218.60.56/~jnz1568/getInfo.php?workbook=20_10.xlsx&amp;sheet=U0&amp;row=1432&amp;col=6&amp;number=3.8&amp;sourceID=14","3.8")</f>
        <v>3.8</v>
      </c>
      <c r="G1432" s="4" t="str">
        <f>HYPERLINK("http://141.218.60.56/~jnz1568/getInfo.php?workbook=20_10.xlsx&amp;sheet=U0&amp;row=1432&amp;col=7&amp;number=0.000755&amp;sourceID=14","0.000755")</f>
        <v>0.000755</v>
      </c>
    </row>
    <row r="1433" spans="1:7">
      <c r="A1433" s="3"/>
      <c r="B1433" s="3"/>
      <c r="C1433" s="3"/>
      <c r="D1433" s="3"/>
      <c r="E1433" s="3">
        <v>10</v>
      </c>
      <c r="F1433" s="4" t="str">
        <f>HYPERLINK("http://141.218.60.56/~jnz1568/getInfo.php?workbook=20_10.xlsx&amp;sheet=U0&amp;row=1433&amp;col=6&amp;number=3.9&amp;sourceID=14","3.9")</f>
        <v>3.9</v>
      </c>
      <c r="G1433" s="4" t="str">
        <f>HYPERLINK("http://141.218.60.56/~jnz1568/getInfo.php?workbook=20_10.xlsx&amp;sheet=U0&amp;row=1433&amp;col=7&amp;number=0.000755&amp;sourceID=14","0.000755")</f>
        <v>0.000755</v>
      </c>
    </row>
    <row r="1434" spans="1:7">
      <c r="A1434" s="3"/>
      <c r="B1434" s="3"/>
      <c r="C1434" s="3"/>
      <c r="D1434" s="3"/>
      <c r="E1434" s="3">
        <v>11</v>
      </c>
      <c r="F1434" s="4" t="str">
        <f>HYPERLINK("http://141.218.60.56/~jnz1568/getInfo.php?workbook=20_10.xlsx&amp;sheet=U0&amp;row=1434&amp;col=6&amp;number=4&amp;sourceID=14","4")</f>
        <v>4</v>
      </c>
      <c r="G1434" s="4" t="str">
        <f>HYPERLINK("http://141.218.60.56/~jnz1568/getInfo.php?workbook=20_10.xlsx&amp;sheet=U0&amp;row=1434&amp;col=7&amp;number=0.000755&amp;sourceID=14","0.000755")</f>
        <v>0.000755</v>
      </c>
    </row>
    <row r="1435" spans="1:7">
      <c r="A1435" s="3"/>
      <c r="B1435" s="3"/>
      <c r="C1435" s="3"/>
      <c r="D1435" s="3"/>
      <c r="E1435" s="3">
        <v>12</v>
      </c>
      <c r="F1435" s="4" t="str">
        <f>HYPERLINK("http://141.218.60.56/~jnz1568/getInfo.php?workbook=20_10.xlsx&amp;sheet=U0&amp;row=1435&amp;col=6&amp;number=4.1&amp;sourceID=14","4.1")</f>
        <v>4.1</v>
      </c>
      <c r="G1435" s="4" t="str">
        <f>HYPERLINK("http://141.218.60.56/~jnz1568/getInfo.php?workbook=20_10.xlsx&amp;sheet=U0&amp;row=1435&amp;col=7&amp;number=0.000754&amp;sourceID=14","0.000754")</f>
        <v>0.000754</v>
      </c>
    </row>
    <row r="1436" spans="1:7">
      <c r="A1436" s="3"/>
      <c r="B1436" s="3"/>
      <c r="C1436" s="3"/>
      <c r="D1436" s="3"/>
      <c r="E1436" s="3">
        <v>13</v>
      </c>
      <c r="F1436" s="4" t="str">
        <f>HYPERLINK("http://141.218.60.56/~jnz1568/getInfo.php?workbook=20_10.xlsx&amp;sheet=U0&amp;row=1436&amp;col=6&amp;number=4.2&amp;sourceID=14","4.2")</f>
        <v>4.2</v>
      </c>
      <c r="G1436" s="4" t="str">
        <f>HYPERLINK("http://141.218.60.56/~jnz1568/getInfo.php?workbook=20_10.xlsx&amp;sheet=U0&amp;row=1436&amp;col=7&amp;number=0.000753&amp;sourceID=14","0.000753")</f>
        <v>0.000753</v>
      </c>
    </row>
    <row r="1437" spans="1:7">
      <c r="A1437" s="3"/>
      <c r="B1437" s="3"/>
      <c r="C1437" s="3"/>
      <c r="D1437" s="3"/>
      <c r="E1437" s="3">
        <v>14</v>
      </c>
      <c r="F1437" s="4" t="str">
        <f>HYPERLINK("http://141.218.60.56/~jnz1568/getInfo.php?workbook=20_10.xlsx&amp;sheet=U0&amp;row=1437&amp;col=6&amp;number=4.3&amp;sourceID=14","4.3")</f>
        <v>4.3</v>
      </c>
      <c r="G1437" s="4" t="str">
        <f>HYPERLINK("http://141.218.60.56/~jnz1568/getInfo.php?workbook=20_10.xlsx&amp;sheet=U0&amp;row=1437&amp;col=7&amp;number=0.000752&amp;sourceID=14","0.000752")</f>
        <v>0.000752</v>
      </c>
    </row>
    <row r="1438" spans="1:7">
      <c r="A1438" s="3"/>
      <c r="B1438" s="3"/>
      <c r="C1438" s="3"/>
      <c r="D1438" s="3"/>
      <c r="E1438" s="3">
        <v>15</v>
      </c>
      <c r="F1438" s="4" t="str">
        <f>HYPERLINK("http://141.218.60.56/~jnz1568/getInfo.php?workbook=20_10.xlsx&amp;sheet=U0&amp;row=1438&amp;col=6&amp;number=4.4&amp;sourceID=14","4.4")</f>
        <v>4.4</v>
      </c>
      <c r="G1438" s="4" t="str">
        <f>HYPERLINK("http://141.218.60.56/~jnz1568/getInfo.php?workbook=20_10.xlsx&amp;sheet=U0&amp;row=1438&amp;col=7&amp;number=0.000751&amp;sourceID=14","0.000751")</f>
        <v>0.000751</v>
      </c>
    </row>
    <row r="1439" spans="1:7">
      <c r="A1439" s="3"/>
      <c r="B1439" s="3"/>
      <c r="C1439" s="3"/>
      <c r="D1439" s="3"/>
      <c r="E1439" s="3">
        <v>16</v>
      </c>
      <c r="F1439" s="4" t="str">
        <f>HYPERLINK("http://141.218.60.56/~jnz1568/getInfo.php?workbook=20_10.xlsx&amp;sheet=U0&amp;row=1439&amp;col=6&amp;number=4.5&amp;sourceID=14","4.5")</f>
        <v>4.5</v>
      </c>
      <c r="G1439" s="4" t="str">
        <f>HYPERLINK("http://141.218.60.56/~jnz1568/getInfo.php?workbook=20_10.xlsx&amp;sheet=U0&amp;row=1439&amp;col=7&amp;number=0.00075&amp;sourceID=14","0.00075")</f>
        <v>0.00075</v>
      </c>
    </row>
    <row r="1440" spans="1:7">
      <c r="A1440" s="3"/>
      <c r="B1440" s="3"/>
      <c r="C1440" s="3"/>
      <c r="D1440" s="3"/>
      <c r="E1440" s="3">
        <v>17</v>
      </c>
      <c r="F1440" s="4" t="str">
        <f>HYPERLINK("http://141.218.60.56/~jnz1568/getInfo.php?workbook=20_10.xlsx&amp;sheet=U0&amp;row=1440&amp;col=6&amp;number=4.6&amp;sourceID=14","4.6")</f>
        <v>4.6</v>
      </c>
      <c r="G1440" s="4" t="str">
        <f>HYPERLINK("http://141.218.60.56/~jnz1568/getInfo.php?workbook=20_10.xlsx&amp;sheet=U0&amp;row=1440&amp;col=7&amp;number=0.000748&amp;sourceID=14","0.000748")</f>
        <v>0.000748</v>
      </c>
    </row>
    <row r="1441" spans="1:7">
      <c r="A1441" s="3"/>
      <c r="B1441" s="3"/>
      <c r="C1441" s="3"/>
      <c r="D1441" s="3"/>
      <c r="E1441" s="3">
        <v>18</v>
      </c>
      <c r="F1441" s="4" t="str">
        <f>HYPERLINK("http://141.218.60.56/~jnz1568/getInfo.php?workbook=20_10.xlsx&amp;sheet=U0&amp;row=1441&amp;col=6&amp;number=4.7&amp;sourceID=14","4.7")</f>
        <v>4.7</v>
      </c>
      <c r="G1441" s="4" t="str">
        <f>HYPERLINK("http://141.218.60.56/~jnz1568/getInfo.php?workbook=20_10.xlsx&amp;sheet=U0&amp;row=1441&amp;col=7&amp;number=0.000745&amp;sourceID=14","0.000745")</f>
        <v>0.000745</v>
      </c>
    </row>
    <row r="1442" spans="1:7">
      <c r="A1442" s="3"/>
      <c r="B1442" s="3"/>
      <c r="C1442" s="3"/>
      <c r="D1442" s="3"/>
      <c r="E1442" s="3">
        <v>19</v>
      </c>
      <c r="F1442" s="4" t="str">
        <f>HYPERLINK("http://141.218.60.56/~jnz1568/getInfo.php?workbook=20_10.xlsx&amp;sheet=U0&amp;row=1442&amp;col=6&amp;number=4.8&amp;sourceID=14","4.8")</f>
        <v>4.8</v>
      </c>
      <c r="G1442" s="4" t="str">
        <f>HYPERLINK("http://141.218.60.56/~jnz1568/getInfo.php?workbook=20_10.xlsx&amp;sheet=U0&amp;row=1442&amp;col=7&amp;number=0.000743&amp;sourceID=14","0.000743")</f>
        <v>0.000743</v>
      </c>
    </row>
    <row r="1443" spans="1:7">
      <c r="A1443" s="3"/>
      <c r="B1443" s="3"/>
      <c r="C1443" s="3"/>
      <c r="D1443" s="3"/>
      <c r="E1443" s="3">
        <v>20</v>
      </c>
      <c r="F1443" s="4" t="str">
        <f>HYPERLINK("http://141.218.60.56/~jnz1568/getInfo.php?workbook=20_10.xlsx&amp;sheet=U0&amp;row=1443&amp;col=6&amp;number=4.9&amp;sourceID=14","4.9")</f>
        <v>4.9</v>
      </c>
      <c r="G1443" s="4" t="str">
        <f>HYPERLINK("http://141.218.60.56/~jnz1568/getInfo.php?workbook=20_10.xlsx&amp;sheet=U0&amp;row=1443&amp;col=7&amp;number=0.000739&amp;sourceID=14","0.000739")</f>
        <v>0.000739</v>
      </c>
    </row>
    <row r="1444" spans="1:7">
      <c r="A1444" s="3">
        <v>20</v>
      </c>
      <c r="B1444" s="3">
        <v>10</v>
      </c>
      <c r="C1444" s="3">
        <v>1</v>
      </c>
      <c r="D1444" s="3">
        <v>74</v>
      </c>
      <c r="E1444" s="3">
        <v>1</v>
      </c>
      <c r="F1444" s="4" t="str">
        <f>HYPERLINK("http://141.218.60.56/~jnz1568/getInfo.php?workbook=20_10.xlsx&amp;sheet=U0&amp;row=1444&amp;col=6&amp;number=3&amp;sourceID=14","3")</f>
        <v>3</v>
      </c>
      <c r="G1444" s="4" t="str">
        <f>HYPERLINK("http://141.218.60.56/~jnz1568/getInfo.php?workbook=20_10.xlsx&amp;sheet=U0&amp;row=1444&amp;col=7&amp;number=0.000527&amp;sourceID=14","0.000527")</f>
        <v>0.000527</v>
      </c>
    </row>
    <row r="1445" spans="1:7">
      <c r="A1445" s="3"/>
      <c r="B1445" s="3"/>
      <c r="C1445" s="3"/>
      <c r="D1445" s="3"/>
      <c r="E1445" s="3">
        <v>2</v>
      </c>
      <c r="F1445" s="4" t="str">
        <f>HYPERLINK("http://141.218.60.56/~jnz1568/getInfo.php?workbook=20_10.xlsx&amp;sheet=U0&amp;row=1445&amp;col=6&amp;number=3.1&amp;sourceID=14","3.1")</f>
        <v>3.1</v>
      </c>
      <c r="G1445" s="4" t="str">
        <f>HYPERLINK("http://141.218.60.56/~jnz1568/getInfo.php?workbook=20_10.xlsx&amp;sheet=U0&amp;row=1445&amp;col=7&amp;number=0.000527&amp;sourceID=14","0.000527")</f>
        <v>0.000527</v>
      </c>
    </row>
    <row r="1446" spans="1:7">
      <c r="A1446" s="3"/>
      <c r="B1446" s="3"/>
      <c r="C1446" s="3"/>
      <c r="D1446" s="3"/>
      <c r="E1446" s="3">
        <v>3</v>
      </c>
      <c r="F1446" s="4" t="str">
        <f>HYPERLINK("http://141.218.60.56/~jnz1568/getInfo.php?workbook=20_10.xlsx&amp;sheet=U0&amp;row=1446&amp;col=6&amp;number=3.2&amp;sourceID=14","3.2")</f>
        <v>3.2</v>
      </c>
      <c r="G1446" s="4" t="str">
        <f>HYPERLINK("http://141.218.60.56/~jnz1568/getInfo.php?workbook=20_10.xlsx&amp;sheet=U0&amp;row=1446&amp;col=7&amp;number=0.000527&amp;sourceID=14","0.000527")</f>
        <v>0.000527</v>
      </c>
    </row>
    <row r="1447" spans="1:7">
      <c r="A1447" s="3"/>
      <c r="B1447" s="3"/>
      <c r="C1447" s="3"/>
      <c r="D1447" s="3"/>
      <c r="E1447" s="3">
        <v>4</v>
      </c>
      <c r="F1447" s="4" t="str">
        <f>HYPERLINK("http://141.218.60.56/~jnz1568/getInfo.php?workbook=20_10.xlsx&amp;sheet=U0&amp;row=1447&amp;col=6&amp;number=3.3&amp;sourceID=14","3.3")</f>
        <v>3.3</v>
      </c>
      <c r="G1447" s="4" t="str">
        <f>HYPERLINK("http://141.218.60.56/~jnz1568/getInfo.php?workbook=20_10.xlsx&amp;sheet=U0&amp;row=1447&amp;col=7&amp;number=0.000527&amp;sourceID=14","0.000527")</f>
        <v>0.000527</v>
      </c>
    </row>
    <row r="1448" spans="1:7">
      <c r="A1448" s="3"/>
      <c r="B1448" s="3"/>
      <c r="C1448" s="3"/>
      <c r="D1448" s="3"/>
      <c r="E1448" s="3">
        <v>5</v>
      </c>
      <c r="F1448" s="4" t="str">
        <f>HYPERLINK("http://141.218.60.56/~jnz1568/getInfo.php?workbook=20_10.xlsx&amp;sheet=U0&amp;row=1448&amp;col=6&amp;number=3.4&amp;sourceID=14","3.4")</f>
        <v>3.4</v>
      </c>
      <c r="G1448" s="4" t="str">
        <f>HYPERLINK("http://141.218.60.56/~jnz1568/getInfo.php?workbook=20_10.xlsx&amp;sheet=U0&amp;row=1448&amp;col=7&amp;number=0.000527&amp;sourceID=14","0.000527")</f>
        <v>0.000527</v>
      </c>
    </row>
    <row r="1449" spans="1:7">
      <c r="A1449" s="3"/>
      <c r="B1449" s="3"/>
      <c r="C1449" s="3"/>
      <c r="D1449" s="3"/>
      <c r="E1449" s="3">
        <v>6</v>
      </c>
      <c r="F1449" s="4" t="str">
        <f>HYPERLINK("http://141.218.60.56/~jnz1568/getInfo.php?workbook=20_10.xlsx&amp;sheet=U0&amp;row=1449&amp;col=6&amp;number=3.5&amp;sourceID=14","3.5")</f>
        <v>3.5</v>
      </c>
      <c r="G1449" s="4" t="str">
        <f>HYPERLINK("http://141.218.60.56/~jnz1568/getInfo.php?workbook=20_10.xlsx&amp;sheet=U0&amp;row=1449&amp;col=7&amp;number=0.000527&amp;sourceID=14","0.000527")</f>
        <v>0.000527</v>
      </c>
    </row>
    <row r="1450" spans="1:7">
      <c r="A1450" s="3"/>
      <c r="B1450" s="3"/>
      <c r="C1450" s="3"/>
      <c r="D1450" s="3"/>
      <c r="E1450" s="3">
        <v>7</v>
      </c>
      <c r="F1450" s="4" t="str">
        <f>HYPERLINK("http://141.218.60.56/~jnz1568/getInfo.php?workbook=20_10.xlsx&amp;sheet=U0&amp;row=1450&amp;col=6&amp;number=3.6&amp;sourceID=14","3.6")</f>
        <v>3.6</v>
      </c>
      <c r="G1450" s="4" t="str">
        <f>HYPERLINK("http://141.218.60.56/~jnz1568/getInfo.php?workbook=20_10.xlsx&amp;sheet=U0&amp;row=1450&amp;col=7&amp;number=0.000527&amp;sourceID=14","0.000527")</f>
        <v>0.000527</v>
      </c>
    </row>
    <row r="1451" spans="1:7">
      <c r="A1451" s="3"/>
      <c r="B1451" s="3"/>
      <c r="C1451" s="3"/>
      <c r="D1451" s="3"/>
      <c r="E1451" s="3">
        <v>8</v>
      </c>
      <c r="F1451" s="4" t="str">
        <f>HYPERLINK("http://141.218.60.56/~jnz1568/getInfo.php?workbook=20_10.xlsx&amp;sheet=U0&amp;row=1451&amp;col=6&amp;number=3.7&amp;sourceID=14","3.7")</f>
        <v>3.7</v>
      </c>
      <c r="G1451" s="4" t="str">
        <f>HYPERLINK("http://141.218.60.56/~jnz1568/getInfo.php?workbook=20_10.xlsx&amp;sheet=U0&amp;row=1451&amp;col=7&amp;number=0.000527&amp;sourceID=14","0.000527")</f>
        <v>0.000527</v>
      </c>
    </row>
    <row r="1452" spans="1:7">
      <c r="A1452" s="3"/>
      <c r="B1452" s="3"/>
      <c r="C1452" s="3"/>
      <c r="D1452" s="3"/>
      <c r="E1452" s="3">
        <v>9</v>
      </c>
      <c r="F1452" s="4" t="str">
        <f>HYPERLINK("http://141.218.60.56/~jnz1568/getInfo.php?workbook=20_10.xlsx&amp;sheet=U0&amp;row=1452&amp;col=6&amp;number=3.8&amp;sourceID=14","3.8")</f>
        <v>3.8</v>
      </c>
      <c r="G1452" s="4" t="str">
        <f>HYPERLINK("http://141.218.60.56/~jnz1568/getInfo.php?workbook=20_10.xlsx&amp;sheet=U0&amp;row=1452&amp;col=7&amp;number=0.000527&amp;sourceID=14","0.000527")</f>
        <v>0.000527</v>
      </c>
    </row>
    <row r="1453" spans="1:7">
      <c r="A1453" s="3"/>
      <c r="B1453" s="3"/>
      <c r="C1453" s="3"/>
      <c r="D1453" s="3"/>
      <c r="E1453" s="3">
        <v>10</v>
      </c>
      <c r="F1453" s="4" t="str">
        <f>HYPERLINK("http://141.218.60.56/~jnz1568/getInfo.php?workbook=20_10.xlsx&amp;sheet=U0&amp;row=1453&amp;col=6&amp;number=3.9&amp;sourceID=14","3.9")</f>
        <v>3.9</v>
      </c>
      <c r="G1453" s="4" t="str">
        <f>HYPERLINK("http://141.218.60.56/~jnz1568/getInfo.php?workbook=20_10.xlsx&amp;sheet=U0&amp;row=1453&amp;col=7&amp;number=0.000527&amp;sourceID=14","0.000527")</f>
        <v>0.000527</v>
      </c>
    </row>
    <row r="1454" spans="1:7">
      <c r="A1454" s="3"/>
      <c r="B1454" s="3"/>
      <c r="C1454" s="3"/>
      <c r="D1454" s="3"/>
      <c r="E1454" s="3">
        <v>11</v>
      </c>
      <c r="F1454" s="4" t="str">
        <f>HYPERLINK("http://141.218.60.56/~jnz1568/getInfo.php?workbook=20_10.xlsx&amp;sheet=U0&amp;row=1454&amp;col=6&amp;number=4&amp;sourceID=14","4")</f>
        <v>4</v>
      </c>
      <c r="G1454" s="4" t="str">
        <f>HYPERLINK("http://141.218.60.56/~jnz1568/getInfo.php?workbook=20_10.xlsx&amp;sheet=U0&amp;row=1454&amp;col=7&amp;number=0.000526&amp;sourceID=14","0.000526")</f>
        <v>0.000526</v>
      </c>
    </row>
    <row r="1455" spans="1:7">
      <c r="A1455" s="3"/>
      <c r="B1455" s="3"/>
      <c r="C1455" s="3"/>
      <c r="D1455" s="3"/>
      <c r="E1455" s="3">
        <v>12</v>
      </c>
      <c r="F1455" s="4" t="str">
        <f>HYPERLINK("http://141.218.60.56/~jnz1568/getInfo.php?workbook=20_10.xlsx&amp;sheet=U0&amp;row=1455&amp;col=6&amp;number=4.1&amp;sourceID=14","4.1")</f>
        <v>4.1</v>
      </c>
      <c r="G1455" s="4" t="str">
        <f>HYPERLINK("http://141.218.60.56/~jnz1568/getInfo.php?workbook=20_10.xlsx&amp;sheet=U0&amp;row=1455&amp;col=7&amp;number=0.000526&amp;sourceID=14","0.000526")</f>
        <v>0.000526</v>
      </c>
    </row>
    <row r="1456" spans="1:7">
      <c r="A1456" s="3"/>
      <c r="B1456" s="3"/>
      <c r="C1456" s="3"/>
      <c r="D1456" s="3"/>
      <c r="E1456" s="3">
        <v>13</v>
      </c>
      <c r="F1456" s="4" t="str">
        <f>HYPERLINK("http://141.218.60.56/~jnz1568/getInfo.php?workbook=20_10.xlsx&amp;sheet=U0&amp;row=1456&amp;col=6&amp;number=4.2&amp;sourceID=14","4.2")</f>
        <v>4.2</v>
      </c>
      <c r="G1456" s="4" t="str">
        <f>HYPERLINK("http://141.218.60.56/~jnz1568/getInfo.php?workbook=20_10.xlsx&amp;sheet=U0&amp;row=1456&amp;col=7&amp;number=0.000526&amp;sourceID=14","0.000526")</f>
        <v>0.000526</v>
      </c>
    </row>
    <row r="1457" spans="1:7">
      <c r="A1457" s="3"/>
      <c r="B1457" s="3"/>
      <c r="C1457" s="3"/>
      <c r="D1457" s="3"/>
      <c r="E1457" s="3">
        <v>14</v>
      </c>
      <c r="F1457" s="4" t="str">
        <f>HYPERLINK("http://141.218.60.56/~jnz1568/getInfo.php?workbook=20_10.xlsx&amp;sheet=U0&amp;row=1457&amp;col=6&amp;number=4.3&amp;sourceID=14","4.3")</f>
        <v>4.3</v>
      </c>
      <c r="G1457" s="4" t="str">
        <f>HYPERLINK("http://141.218.60.56/~jnz1568/getInfo.php?workbook=20_10.xlsx&amp;sheet=U0&amp;row=1457&amp;col=7&amp;number=0.000525&amp;sourceID=14","0.000525")</f>
        <v>0.000525</v>
      </c>
    </row>
    <row r="1458" spans="1:7">
      <c r="A1458" s="3"/>
      <c r="B1458" s="3"/>
      <c r="C1458" s="3"/>
      <c r="D1458" s="3"/>
      <c r="E1458" s="3">
        <v>15</v>
      </c>
      <c r="F1458" s="4" t="str">
        <f>HYPERLINK("http://141.218.60.56/~jnz1568/getInfo.php?workbook=20_10.xlsx&amp;sheet=U0&amp;row=1458&amp;col=6&amp;number=4.4&amp;sourceID=14","4.4")</f>
        <v>4.4</v>
      </c>
      <c r="G1458" s="4" t="str">
        <f>HYPERLINK("http://141.218.60.56/~jnz1568/getInfo.php?workbook=20_10.xlsx&amp;sheet=U0&amp;row=1458&amp;col=7&amp;number=0.000525&amp;sourceID=14","0.000525")</f>
        <v>0.000525</v>
      </c>
    </row>
    <row r="1459" spans="1:7">
      <c r="A1459" s="3"/>
      <c r="B1459" s="3"/>
      <c r="C1459" s="3"/>
      <c r="D1459" s="3"/>
      <c r="E1459" s="3">
        <v>16</v>
      </c>
      <c r="F1459" s="4" t="str">
        <f>HYPERLINK("http://141.218.60.56/~jnz1568/getInfo.php?workbook=20_10.xlsx&amp;sheet=U0&amp;row=1459&amp;col=6&amp;number=4.5&amp;sourceID=14","4.5")</f>
        <v>4.5</v>
      </c>
      <c r="G1459" s="4" t="str">
        <f>HYPERLINK("http://141.218.60.56/~jnz1568/getInfo.php?workbook=20_10.xlsx&amp;sheet=U0&amp;row=1459&amp;col=7&amp;number=0.000524&amp;sourceID=14","0.000524")</f>
        <v>0.000524</v>
      </c>
    </row>
    <row r="1460" spans="1:7">
      <c r="A1460" s="3"/>
      <c r="B1460" s="3"/>
      <c r="C1460" s="3"/>
      <c r="D1460" s="3"/>
      <c r="E1460" s="3">
        <v>17</v>
      </c>
      <c r="F1460" s="4" t="str">
        <f>HYPERLINK("http://141.218.60.56/~jnz1568/getInfo.php?workbook=20_10.xlsx&amp;sheet=U0&amp;row=1460&amp;col=6&amp;number=4.6&amp;sourceID=14","4.6")</f>
        <v>4.6</v>
      </c>
      <c r="G1460" s="4" t="str">
        <f>HYPERLINK("http://141.218.60.56/~jnz1568/getInfo.php?workbook=20_10.xlsx&amp;sheet=U0&amp;row=1460&amp;col=7&amp;number=0.000523&amp;sourceID=14","0.000523")</f>
        <v>0.000523</v>
      </c>
    </row>
    <row r="1461" spans="1:7">
      <c r="A1461" s="3"/>
      <c r="B1461" s="3"/>
      <c r="C1461" s="3"/>
      <c r="D1461" s="3"/>
      <c r="E1461" s="3">
        <v>18</v>
      </c>
      <c r="F1461" s="4" t="str">
        <f>HYPERLINK("http://141.218.60.56/~jnz1568/getInfo.php?workbook=20_10.xlsx&amp;sheet=U0&amp;row=1461&amp;col=6&amp;number=4.7&amp;sourceID=14","4.7")</f>
        <v>4.7</v>
      </c>
      <c r="G1461" s="4" t="str">
        <f>HYPERLINK("http://141.218.60.56/~jnz1568/getInfo.php?workbook=20_10.xlsx&amp;sheet=U0&amp;row=1461&amp;col=7&amp;number=0.000522&amp;sourceID=14","0.000522")</f>
        <v>0.000522</v>
      </c>
    </row>
    <row r="1462" spans="1:7">
      <c r="A1462" s="3"/>
      <c r="B1462" s="3"/>
      <c r="C1462" s="3"/>
      <c r="D1462" s="3"/>
      <c r="E1462" s="3">
        <v>19</v>
      </c>
      <c r="F1462" s="4" t="str">
        <f>HYPERLINK("http://141.218.60.56/~jnz1568/getInfo.php?workbook=20_10.xlsx&amp;sheet=U0&amp;row=1462&amp;col=6&amp;number=4.8&amp;sourceID=14","4.8")</f>
        <v>4.8</v>
      </c>
      <c r="G1462" s="4" t="str">
        <f>HYPERLINK("http://141.218.60.56/~jnz1568/getInfo.php?workbook=20_10.xlsx&amp;sheet=U0&amp;row=1462&amp;col=7&amp;number=0.000521&amp;sourceID=14","0.000521")</f>
        <v>0.000521</v>
      </c>
    </row>
    <row r="1463" spans="1:7">
      <c r="A1463" s="3"/>
      <c r="B1463" s="3"/>
      <c r="C1463" s="3"/>
      <c r="D1463" s="3"/>
      <c r="E1463" s="3">
        <v>20</v>
      </c>
      <c r="F1463" s="4" t="str">
        <f>HYPERLINK("http://141.218.60.56/~jnz1568/getInfo.php?workbook=20_10.xlsx&amp;sheet=U0&amp;row=1463&amp;col=6&amp;number=4.9&amp;sourceID=14","4.9")</f>
        <v>4.9</v>
      </c>
      <c r="G1463" s="4" t="str">
        <f>HYPERLINK("http://141.218.60.56/~jnz1568/getInfo.php?workbook=20_10.xlsx&amp;sheet=U0&amp;row=1463&amp;col=7&amp;number=0.00052&amp;sourceID=14","0.00052")</f>
        <v>0.00052</v>
      </c>
    </row>
    <row r="1464" spans="1:7">
      <c r="A1464" s="3">
        <v>20</v>
      </c>
      <c r="B1464" s="3">
        <v>10</v>
      </c>
      <c r="C1464" s="3">
        <v>1</v>
      </c>
      <c r="D1464" s="3">
        <v>75</v>
      </c>
      <c r="E1464" s="3">
        <v>1</v>
      </c>
      <c r="F1464" s="4" t="str">
        <f>HYPERLINK("http://141.218.60.56/~jnz1568/getInfo.php?workbook=20_10.xlsx&amp;sheet=U0&amp;row=1464&amp;col=6&amp;number=3&amp;sourceID=14","3")</f>
        <v>3</v>
      </c>
      <c r="G1464" s="4" t="str">
        <f>HYPERLINK("http://141.218.60.56/~jnz1568/getInfo.php?workbook=20_10.xlsx&amp;sheet=U0&amp;row=1464&amp;col=7&amp;number=0.00107&amp;sourceID=14","0.00107")</f>
        <v>0.00107</v>
      </c>
    </row>
    <row r="1465" spans="1:7">
      <c r="A1465" s="3"/>
      <c r="B1465" s="3"/>
      <c r="C1465" s="3"/>
      <c r="D1465" s="3"/>
      <c r="E1465" s="3">
        <v>2</v>
      </c>
      <c r="F1465" s="4" t="str">
        <f>HYPERLINK("http://141.218.60.56/~jnz1568/getInfo.php?workbook=20_10.xlsx&amp;sheet=U0&amp;row=1465&amp;col=6&amp;number=3.1&amp;sourceID=14","3.1")</f>
        <v>3.1</v>
      </c>
      <c r="G1465" s="4" t="str">
        <f>HYPERLINK("http://141.218.60.56/~jnz1568/getInfo.php?workbook=20_10.xlsx&amp;sheet=U0&amp;row=1465&amp;col=7&amp;number=0.00107&amp;sourceID=14","0.00107")</f>
        <v>0.00107</v>
      </c>
    </row>
    <row r="1466" spans="1:7">
      <c r="A1466" s="3"/>
      <c r="B1466" s="3"/>
      <c r="C1466" s="3"/>
      <c r="D1466" s="3"/>
      <c r="E1466" s="3">
        <v>3</v>
      </c>
      <c r="F1466" s="4" t="str">
        <f>HYPERLINK("http://141.218.60.56/~jnz1568/getInfo.php?workbook=20_10.xlsx&amp;sheet=U0&amp;row=1466&amp;col=6&amp;number=3.2&amp;sourceID=14","3.2")</f>
        <v>3.2</v>
      </c>
      <c r="G1466" s="4" t="str">
        <f>HYPERLINK("http://141.218.60.56/~jnz1568/getInfo.php?workbook=20_10.xlsx&amp;sheet=U0&amp;row=1466&amp;col=7&amp;number=0.00107&amp;sourceID=14","0.00107")</f>
        <v>0.00107</v>
      </c>
    </row>
    <row r="1467" spans="1:7">
      <c r="A1467" s="3"/>
      <c r="B1467" s="3"/>
      <c r="C1467" s="3"/>
      <c r="D1467" s="3"/>
      <c r="E1467" s="3">
        <v>4</v>
      </c>
      <c r="F1467" s="4" t="str">
        <f>HYPERLINK("http://141.218.60.56/~jnz1568/getInfo.php?workbook=20_10.xlsx&amp;sheet=U0&amp;row=1467&amp;col=6&amp;number=3.3&amp;sourceID=14","3.3")</f>
        <v>3.3</v>
      </c>
      <c r="G1467" s="4" t="str">
        <f>HYPERLINK("http://141.218.60.56/~jnz1568/getInfo.php?workbook=20_10.xlsx&amp;sheet=U0&amp;row=1467&amp;col=7&amp;number=0.00107&amp;sourceID=14","0.00107")</f>
        <v>0.00107</v>
      </c>
    </row>
    <row r="1468" spans="1:7">
      <c r="A1468" s="3"/>
      <c r="B1468" s="3"/>
      <c r="C1468" s="3"/>
      <c r="D1468" s="3"/>
      <c r="E1468" s="3">
        <v>5</v>
      </c>
      <c r="F1468" s="4" t="str">
        <f>HYPERLINK("http://141.218.60.56/~jnz1568/getInfo.php?workbook=20_10.xlsx&amp;sheet=U0&amp;row=1468&amp;col=6&amp;number=3.4&amp;sourceID=14","3.4")</f>
        <v>3.4</v>
      </c>
      <c r="G1468" s="4" t="str">
        <f>HYPERLINK("http://141.218.60.56/~jnz1568/getInfo.php?workbook=20_10.xlsx&amp;sheet=U0&amp;row=1468&amp;col=7&amp;number=0.00107&amp;sourceID=14","0.00107")</f>
        <v>0.00107</v>
      </c>
    </row>
    <row r="1469" spans="1:7">
      <c r="A1469" s="3"/>
      <c r="B1469" s="3"/>
      <c r="C1469" s="3"/>
      <c r="D1469" s="3"/>
      <c r="E1469" s="3">
        <v>6</v>
      </c>
      <c r="F1469" s="4" t="str">
        <f>HYPERLINK("http://141.218.60.56/~jnz1568/getInfo.php?workbook=20_10.xlsx&amp;sheet=U0&amp;row=1469&amp;col=6&amp;number=3.5&amp;sourceID=14","3.5")</f>
        <v>3.5</v>
      </c>
      <c r="G1469" s="4" t="str">
        <f>HYPERLINK("http://141.218.60.56/~jnz1568/getInfo.php?workbook=20_10.xlsx&amp;sheet=U0&amp;row=1469&amp;col=7&amp;number=0.00107&amp;sourceID=14","0.00107")</f>
        <v>0.00107</v>
      </c>
    </row>
    <row r="1470" spans="1:7">
      <c r="A1470" s="3"/>
      <c r="B1470" s="3"/>
      <c r="C1470" s="3"/>
      <c r="D1470" s="3"/>
      <c r="E1470" s="3">
        <v>7</v>
      </c>
      <c r="F1470" s="4" t="str">
        <f>HYPERLINK("http://141.218.60.56/~jnz1568/getInfo.php?workbook=20_10.xlsx&amp;sheet=U0&amp;row=1470&amp;col=6&amp;number=3.6&amp;sourceID=14","3.6")</f>
        <v>3.6</v>
      </c>
      <c r="G1470" s="4" t="str">
        <f>HYPERLINK("http://141.218.60.56/~jnz1568/getInfo.php?workbook=20_10.xlsx&amp;sheet=U0&amp;row=1470&amp;col=7&amp;number=0.00107&amp;sourceID=14","0.00107")</f>
        <v>0.00107</v>
      </c>
    </row>
    <row r="1471" spans="1:7">
      <c r="A1471" s="3"/>
      <c r="B1471" s="3"/>
      <c r="C1471" s="3"/>
      <c r="D1471" s="3"/>
      <c r="E1471" s="3">
        <v>8</v>
      </c>
      <c r="F1471" s="4" t="str">
        <f>HYPERLINK("http://141.218.60.56/~jnz1568/getInfo.php?workbook=20_10.xlsx&amp;sheet=U0&amp;row=1471&amp;col=6&amp;number=3.7&amp;sourceID=14","3.7")</f>
        <v>3.7</v>
      </c>
      <c r="G1471" s="4" t="str">
        <f>HYPERLINK("http://141.218.60.56/~jnz1568/getInfo.php?workbook=20_10.xlsx&amp;sheet=U0&amp;row=1471&amp;col=7&amp;number=0.00107&amp;sourceID=14","0.00107")</f>
        <v>0.00107</v>
      </c>
    </row>
    <row r="1472" spans="1:7">
      <c r="A1472" s="3"/>
      <c r="B1472" s="3"/>
      <c r="C1472" s="3"/>
      <c r="D1472" s="3"/>
      <c r="E1472" s="3">
        <v>9</v>
      </c>
      <c r="F1472" s="4" t="str">
        <f>HYPERLINK("http://141.218.60.56/~jnz1568/getInfo.php?workbook=20_10.xlsx&amp;sheet=U0&amp;row=1472&amp;col=6&amp;number=3.8&amp;sourceID=14","3.8")</f>
        <v>3.8</v>
      </c>
      <c r="G1472" s="4" t="str">
        <f>HYPERLINK("http://141.218.60.56/~jnz1568/getInfo.php?workbook=20_10.xlsx&amp;sheet=U0&amp;row=1472&amp;col=7&amp;number=0.00107&amp;sourceID=14","0.00107")</f>
        <v>0.00107</v>
      </c>
    </row>
    <row r="1473" spans="1:7">
      <c r="A1473" s="3"/>
      <c r="B1473" s="3"/>
      <c r="C1473" s="3"/>
      <c r="D1473" s="3"/>
      <c r="E1473" s="3">
        <v>10</v>
      </c>
      <c r="F1473" s="4" t="str">
        <f>HYPERLINK("http://141.218.60.56/~jnz1568/getInfo.php?workbook=20_10.xlsx&amp;sheet=U0&amp;row=1473&amp;col=6&amp;number=3.9&amp;sourceID=14","3.9")</f>
        <v>3.9</v>
      </c>
      <c r="G1473" s="4" t="str">
        <f>HYPERLINK("http://141.218.60.56/~jnz1568/getInfo.php?workbook=20_10.xlsx&amp;sheet=U0&amp;row=1473&amp;col=7&amp;number=0.00107&amp;sourceID=14","0.00107")</f>
        <v>0.00107</v>
      </c>
    </row>
    <row r="1474" spans="1:7">
      <c r="A1474" s="3"/>
      <c r="B1474" s="3"/>
      <c r="C1474" s="3"/>
      <c r="D1474" s="3"/>
      <c r="E1474" s="3">
        <v>11</v>
      </c>
      <c r="F1474" s="4" t="str">
        <f>HYPERLINK("http://141.218.60.56/~jnz1568/getInfo.php?workbook=20_10.xlsx&amp;sheet=U0&amp;row=1474&amp;col=6&amp;number=4&amp;sourceID=14","4")</f>
        <v>4</v>
      </c>
      <c r="G1474" s="4" t="str">
        <f>HYPERLINK("http://141.218.60.56/~jnz1568/getInfo.php?workbook=20_10.xlsx&amp;sheet=U0&amp;row=1474&amp;col=7&amp;number=0.00107&amp;sourceID=14","0.00107")</f>
        <v>0.00107</v>
      </c>
    </row>
    <row r="1475" spans="1:7">
      <c r="A1475" s="3"/>
      <c r="B1475" s="3"/>
      <c r="C1475" s="3"/>
      <c r="D1475" s="3"/>
      <c r="E1475" s="3">
        <v>12</v>
      </c>
      <c r="F1475" s="4" t="str">
        <f>HYPERLINK("http://141.218.60.56/~jnz1568/getInfo.php?workbook=20_10.xlsx&amp;sheet=U0&amp;row=1475&amp;col=6&amp;number=4.1&amp;sourceID=14","4.1")</f>
        <v>4.1</v>
      </c>
      <c r="G1475" s="4" t="str">
        <f>HYPERLINK("http://141.218.60.56/~jnz1568/getInfo.php?workbook=20_10.xlsx&amp;sheet=U0&amp;row=1475&amp;col=7&amp;number=0.00107&amp;sourceID=14","0.00107")</f>
        <v>0.00107</v>
      </c>
    </row>
    <row r="1476" spans="1:7">
      <c r="A1476" s="3"/>
      <c r="B1476" s="3"/>
      <c r="C1476" s="3"/>
      <c r="D1476" s="3"/>
      <c r="E1476" s="3">
        <v>13</v>
      </c>
      <c r="F1476" s="4" t="str">
        <f>HYPERLINK("http://141.218.60.56/~jnz1568/getInfo.php?workbook=20_10.xlsx&amp;sheet=U0&amp;row=1476&amp;col=6&amp;number=4.2&amp;sourceID=14","4.2")</f>
        <v>4.2</v>
      </c>
      <c r="G1476" s="4" t="str">
        <f>HYPERLINK("http://141.218.60.56/~jnz1568/getInfo.php?workbook=20_10.xlsx&amp;sheet=U0&amp;row=1476&amp;col=7&amp;number=0.00107&amp;sourceID=14","0.00107")</f>
        <v>0.00107</v>
      </c>
    </row>
    <row r="1477" spans="1:7">
      <c r="A1477" s="3"/>
      <c r="B1477" s="3"/>
      <c r="C1477" s="3"/>
      <c r="D1477" s="3"/>
      <c r="E1477" s="3">
        <v>14</v>
      </c>
      <c r="F1477" s="4" t="str">
        <f>HYPERLINK("http://141.218.60.56/~jnz1568/getInfo.php?workbook=20_10.xlsx&amp;sheet=U0&amp;row=1477&amp;col=6&amp;number=4.3&amp;sourceID=14","4.3")</f>
        <v>4.3</v>
      </c>
      <c r="G1477" s="4" t="str">
        <f>HYPERLINK("http://141.218.60.56/~jnz1568/getInfo.php?workbook=20_10.xlsx&amp;sheet=U0&amp;row=1477&amp;col=7&amp;number=0.00107&amp;sourceID=14","0.00107")</f>
        <v>0.00107</v>
      </c>
    </row>
    <row r="1478" spans="1:7">
      <c r="A1478" s="3"/>
      <c r="B1478" s="3"/>
      <c r="C1478" s="3"/>
      <c r="D1478" s="3"/>
      <c r="E1478" s="3">
        <v>15</v>
      </c>
      <c r="F1478" s="4" t="str">
        <f>HYPERLINK("http://141.218.60.56/~jnz1568/getInfo.php?workbook=20_10.xlsx&amp;sheet=U0&amp;row=1478&amp;col=6&amp;number=4.4&amp;sourceID=14","4.4")</f>
        <v>4.4</v>
      </c>
      <c r="G1478" s="4" t="str">
        <f>HYPERLINK("http://141.218.60.56/~jnz1568/getInfo.php?workbook=20_10.xlsx&amp;sheet=U0&amp;row=1478&amp;col=7&amp;number=0.00108&amp;sourceID=14","0.00108")</f>
        <v>0.00108</v>
      </c>
    </row>
    <row r="1479" spans="1:7">
      <c r="A1479" s="3"/>
      <c r="B1479" s="3"/>
      <c r="C1479" s="3"/>
      <c r="D1479" s="3"/>
      <c r="E1479" s="3">
        <v>16</v>
      </c>
      <c r="F1479" s="4" t="str">
        <f>HYPERLINK("http://141.218.60.56/~jnz1568/getInfo.php?workbook=20_10.xlsx&amp;sheet=U0&amp;row=1479&amp;col=6&amp;number=4.5&amp;sourceID=14","4.5")</f>
        <v>4.5</v>
      </c>
      <c r="G1479" s="4" t="str">
        <f>HYPERLINK("http://141.218.60.56/~jnz1568/getInfo.php?workbook=20_10.xlsx&amp;sheet=U0&amp;row=1479&amp;col=7&amp;number=0.00108&amp;sourceID=14","0.00108")</f>
        <v>0.00108</v>
      </c>
    </row>
    <row r="1480" spans="1:7">
      <c r="A1480" s="3"/>
      <c r="B1480" s="3"/>
      <c r="C1480" s="3"/>
      <c r="D1480" s="3"/>
      <c r="E1480" s="3">
        <v>17</v>
      </c>
      <c r="F1480" s="4" t="str">
        <f>HYPERLINK("http://141.218.60.56/~jnz1568/getInfo.php?workbook=20_10.xlsx&amp;sheet=U0&amp;row=1480&amp;col=6&amp;number=4.6&amp;sourceID=14","4.6")</f>
        <v>4.6</v>
      </c>
      <c r="G1480" s="4" t="str">
        <f>HYPERLINK("http://141.218.60.56/~jnz1568/getInfo.php?workbook=20_10.xlsx&amp;sheet=U0&amp;row=1480&amp;col=7&amp;number=0.00108&amp;sourceID=14","0.00108")</f>
        <v>0.00108</v>
      </c>
    </row>
    <row r="1481" spans="1:7">
      <c r="A1481" s="3"/>
      <c r="B1481" s="3"/>
      <c r="C1481" s="3"/>
      <c r="D1481" s="3"/>
      <c r="E1481" s="3">
        <v>18</v>
      </c>
      <c r="F1481" s="4" t="str">
        <f>HYPERLINK("http://141.218.60.56/~jnz1568/getInfo.php?workbook=20_10.xlsx&amp;sheet=U0&amp;row=1481&amp;col=6&amp;number=4.7&amp;sourceID=14","4.7")</f>
        <v>4.7</v>
      </c>
      <c r="G1481" s="4" t="str">
        <f>HYPERLINK("http://141.218.60.56/~jnz1568/getInfo.php?workbook=20_10.xlsx&amp;sheet=U0&amp;row=1481&amp;col=7&amp;number=0.00108&amp;sourceID=14","0.00108")</f>
        <v>0.00108</v>
      </c>
    </row>
    <row r="1482" spans="1:7">
      <c r="A1482" s="3"/>
      <c r="B1482" s="3"/>
      <c r="C1482" s="3"/>
      <c r="D1482" s="3"/>
      <c r="E1482" s="3">
        <v>19</v>
      </c>
      <c r="F1482" s="4" t="str">
        <f>HYPERLINK("http://141.218.60.56/~jnz1568/getInfo.php?workbook=20_10.xlsx&amp;sheet=U0&amp;row=1482&amp;col=6&amp;number=4.8&amp;sourceID=14","4.8")</f>
        <v>4.8</v>
      </c>
      <c r="G1482" s="4" t="str">
        <f>HYPERLINK("http://141.218.60.56/~jnz1568/getInfo.php?workbook=20_10.xlsx&amp;sheet=U0&amp;row=1482&amp;col=7&amp;number=0.00108&amp;sourceID=14","0.00108")</f>
        <v>0.00108</v>
      </c>
    </row>
    <row r="1483" spans="1:7">
      <c r="A1483" s="3"/>
      <c r="B1483" s="3"/>
      <c r="C1483" s="3"/>
      <c r="D1483" s="3"/>
      <c r="E1483" s="3">
        <v>20</v>
      </c>
      <c r="F1483" s="4" t="str">
        <f>HYPERLINK("http://141.218.60.56/~jnz1568/getInfo.php?workbook=20_10.xlsx&amp;sheet=U0&amp;row=1483&amp;col=6&amp;number=4.9&amp;sourceID=14","4.9")</f>
        <v>4.9</v>
      </c>
      <c r="G1483" s="4" t="str">
        <f>HYPERLINK("http://141.218.60.56/~jnz1568/getInfo.php?workbook=20_10.xlsx&amp;sheet=U0&amp;row=1483&amp;col=7&amp;number=0.00108&amp;sourceID=14","0.00108")</f>
        <v>0.00108</v>
      </c>
    </row>
    <row r="1484" spans="1:7">
      <c r="A1484" s="3">
        <v>20</v>
      </c>
      <c r="B1484" s="3">
        <v>10</v>
      </c>
      <c r="C1484" s="3">
        <v>1</v>
      </c>
      <c r="D1484" s="3">
        <v>76</v>
      </c>
      <c r="E1484" s="3">
        <v>1</v>
      </c>
      <c r="F1484" s="4" t="str">
        <f>HYPERLINK("http://141.218.60.56/~jnz1568/getInfo.php?workbook=20_10.xlsx&amp;sheet=U0&amp;row=1484&amp;col=6&amp;number=3&amp;sourceID=14","3")</f>
        <v>3</v>
      </c>
      <c r="G1484" s="4" t="str">
        <f>HYPERLINK("http://141.218.60.56/~jnz1568/getInfo.php?workbook=20_10.xlsx&amp;sheet=U0&amp;row=1484&amp;col=7&amp;number=0.00103&amp;sourceID=14","0.00103")</f>
        <v>0.00103</v>
      </c>
    </row>
    <row r="1485" spans="1:7">
      <c r="A1485" s="3"/>
      <c r="B1485" s="3"/>
      <c r="C1485" s="3"/>
      <c r="D1485" s="3"/>
      <c r="E1485" s="3">
        <v>2</v>
      </c>
      <c r="F1485" s="4" t="str">
        <f>HYPERLINK("http://141.218.60.56/~jnz1568/getInfo.php?workbook=20_10.xlsx&amp;sheet=U0&amp;row=1485&amp;col=6&amp;number=3.1&amp;sourceID=14","3.1")</f>
        <v>3.1</v>
      </c>
      <c r="G1485" s="4" t="str">
        <f>HYPERLINK("http://141.218.60.56/~jnz1568/getInfo.php?workbook=20_10.xlsx&amp;sheet=U0&amp;row=1485&amp;col=7&amp;number=0.00103&amp;sourceID=14","0.00103")</f>
        <v>0.00103</v>
      </c>
    </row>
    <row r="1486" spans="1:7">
      <c r="A1486" s="3"/>
      <c r="B1486" s="3"/>
      <c r="C1486" s="3"/>
      <c r="D1486" s="3"/>
      <c r="E1486" s="3">
        <v>3</v>
      </c>
      <c r="F1486" s="4" t="str">
        <f>HYPERLINK("http://141.218.60.56/~jnz1568/getInfo.php?workbook=20_10.xlsx&amp;sheet=U0&amp;row=1486&amp;col=6&amp;number=3.2&amp;sourceID=14","3.2")</f>
        <v>3.2</v>
      </c>
      <c r="G1486" s="4" t="str">
        <f>HYPERLINK("http://141.218.60.56/~jnz1568/getInfo.php?workbook=20_10.xlsx&amp;sheet=U0&amp;row=1486&amp;col=7&amp;number=0.00103&amp;sourceID=14","0.00103")</f>
        <v>0.00103</v>
      </c>
    </row>
    <row r="1487" spans="1:7">
      <c r="A1487" s="3"/>
      <c r="B1487" s="3"/>
      <c r="C1487" s="3"/>
      <c r="D1487" s="3"/>
      <c r="E1487" s="3">
        <v>4</v>
      </c>
      <c r="F1487" s="4" t="str">
        <f>HYPERLINK("http://141.218.60.56/~jnz1568/getInfo.php?workbook=20_10.xlsx&amp;sheet=U0&amp;row=1487&amp;col=6&amp;number=3.3&amp;sourceID=14","3.3")</f>
        <v>3.3</v>
      </c>
      <c r="G1487" s="4" t="str">
        <f>HYPERLINK("http://141.218.60.56/~jnz1568/getInfo.php?workbook=20_10.xlsx&amp;sheet=U0&amp;row=1487&amp;col=7&amp;number=0.00103&amp;sourceID=14","0.00103")</f>
        <v>0.00103</v>
      </c>
    </row>
    <row r="1488" spans="1:7">
      <c r="A1488" s="3"/>
      <c r="B1488" s="3"/>
      <c r="C1488" s="3"/>
      <c r="D1488" s="3"/>
      <c r="E1488" s="3">
        <v>5</v>
      </c>
      <c r="F1488" s="4" t="str">
        <f>HYPERLINK("http://141.218.60.56/~jnz1568/getInfo.php?workbook=20_10.xlsx&amp;sheet=U0&amp;row=1488&amp;col=6&amp;number=3.4&amp;sourceID=14","3.4")</f>
        <v>3.4</v>
      </c>
      <c r="G1488" s="4" t="str">
        <f>HYPERLINK("http://141.218.60.56/~jnz1568/getInfo.php?workbook=20_10.xlsx&amp;sheet=U0&amp;row=1488&amp;col=7&amp;number=0.00103&amp;sourceID=14","0.00103")</f>
        <v>0.00103</v>
      </c>
    </row>
    <row r="1489" spans="1:7">
      <c r="A1489" s="3"/>
      <c r="B1489" s="3"/>
      <c r="C1489" s="3"/>
      <c r="D1489" s="3"/>
      <c r="E1489" s="3">
        <v>6</v>
      </c>
      <c r="F1489" s="4" t="str">
        <f>HYPERLINK("http://141.218.60.56/~jnz1568/getInfo.php?workbook=20_10.xlsx&amp;sheet=U0&amp;row=1489&amp;col=6&amp;number=3.5&amp;sourceID=14","3.5")</f>
        <v>3.5</v>
      </c>
      <c r="G1489" s="4" t="str">
        <f>HYPERLINK("http://141.218.60.56/~jnz1568/getInfo.php?workbook=20_10.xlsx&amp;sheet=U0&amp;row=1489&amp;col=7&amp;number=0.00103&amp;sourceID=14","0.00103")</f>
        <v>0.00103</v>
      </c>
    </row>
    <row r="1490" spans="1:7">
      <c r="A1490" s="3"/>
      <c r="B1490" s="3"/>
      <c r="C1490" s="3"/>
      <c r="D1490" s="3"/>
      <c r="E1490" s="3">
        <v>7</v>
      </c>
      <c r="F1490" s="4" t="str">
        <f>HYPERLINK("http://141.218.60.56/~jnz1568/getInfo.php?workbook=20_10.xlsx&amp;sheet=U0&amp;row=1490&amp;col=6&amp;number=3.6&amp;sourceID=14","3.6")</f>
        <v>3.6</v>
      </c>
      <c r="G1490" s="4" t="str">
        <f>HYPERLINK("http://141.218.60.56/~jnz1568/getInfo.php?workbook=20_10.xlsx&amp;sheet=U0&amp;row=1490&amp;col=7&amp;number=0.00103&amp;sourceID=14","0.00103")</f>
        <v>0.00103</v>
      </c>
    </row>
    <row r="1491" spans="1:7">
      <c r="A1491" s="3"/>
      <c r="B1491" s="3"/>
      <c r="C1491" s="3"/>
      <c r="D1491" s="3"/>
      <c r="E1491" s="3">
        <v>8</v>
      </c>
      <c r="F1491" s="4" t="str">
        <f>HYPERLINK("http://141.218.60.56/~jnz1568/getInfo.php?workbook=20_10.xlsx&amp;sheet=U0&amp;row=1491&amp;col=6&amp;number=3.7&amp;sourceID=14","3.7")</f>
        <v>3.7</v>
      </c>
      <c r="G1491" s="4" t="str">
        <f>HYPERLINK("http://141.218.60.56/~jnz1568/getInfo.php?workbook=20_10.xlsx&amp;sheet=U0&amp;row=1491&amp;col=7&amp;number=0.00102&amp;sourceID=14","0.00102")</f>
        <v>0.00102</v>
      </c>
    </row>
    <row r="1492" spans="1:7">
      <c r="A1492" s="3"/>
      <c r="B1492" s="3"/>
      <c r="C1492" s="3"/>
      <c r="D1492" s="3"/>
      <c r="E1492" s="3">
        <v>9</v>
      </c>
      <c r="F1492" s="4" t="str">
        <f>HYPERLINK("http://141.218.60.56/~jnz1568/getInfo.php?workbook=20_10.xlsx&amp;sheet=U0&amp;row=1492&amp;col=6&amp;number=3.8&amp;sourceID=14","3.8")</f>
        <v>3.8</v>
      </c>
      <c r="G1492" s="4" t="str">
        <f>HYPERLINK("http://141.218.60.56/~jnz1568/getInfo.php?workbook=20_10.xlsx&amp;sheet=U0&amp;row=1492&amp;col=7&amp;number=0.00102&amp;sourceID=14","0.00102")</f>
        <v>0.00102</v>
      </c>
    </row>
    <row r="1493" spans="1:7">
      <c r="A1493" s="3"/>
      <c r="B1493" s="3"/>
      <c r="C1493" s="3"/>
      <c r="D1493" s="3"/>
      <c r="E1493" s="3">
        <v>10</v>
      </c>
      <c r="F1493" s="4" t="str">
        <f>HYPERLINK("http://141.218.60.56/~jnz1568/getInfo.php?workbook=20_10.xlsx&amp;sheet=U0&amp;row=1493&amp;col=6&amp;number=3.9&amp;sourceID=14","3.9")</f>
        <v>3.9</v>
      </c>
      <c r="G1493" s="4" t="str">
        <f>HYPERLINK("http://141.218.60.56/~jnz1568/getInfo.php?workbook=20_10.xlsx&amp;sheet=U0&amp;row=1493&amp;col=7&amp;number=0.00102&amp;sourceID=14","0.00102")</f>
        <v>0.00102</v>
      </c>
    </row>
    <row r="1494" spans="1:7">
      <c r="A1494" s="3"/>
      <c r="B1494" s="3"/>
      <c r="C1494" s="3"/>
      <c r="D1494" s="3"/>
      <c r="E1494" s="3">
        <v>11</v>
      </c>
      <c r="F1494" s="4" t="str">
        <f>HYPERLINK("http://141.218.60.56/~jnz1568/getInfo.php?workbook=20_10.xlsx&amp;sheet=U0&amp;row=1494&amp;col=6&amp;number=4&amp;sourceID=14","4")</f>
        <v>4</v>
      </c>
      <c r="G1494" s="4" t="str">
        <f>HYPERLINK("http://141.218.60.56/~jnz1568/getInfo.php?workbook=20_10.xlsx&amp;sheet=U0&amp;row=1494&amp;col=7&amp;number=0.00102&amp;sourceID=14","0.00102")</f>
        <v>0.00102</v>
      </c>
    </row>
    <row r="1495" spans="1:7">
      <c r="A1495" s="3"/>
      <c r="B1495" s="3"/>
      <c r="C1495" s="3"/>
      <c r="D1495" s="3"/>
      <c r="E1495" s="3">
        <v>12</v>
      </c>
      <c r="F1495" s="4" t="str">
        <f>HYPERLINK("http://141.218.60.56/~jnz1568/getInfo.php?workbook=20_10.xlsx&amp;sheet=U0&amp;row=1495&amp;col=6&amp;number=4.1&amp;sourceID=14","4.1")</f>
        <v>4.1</v>
      </c>
      <c r="G1495" s="4" t="str">
        <f>HYPERLINK("http://141.218.60.56/~jnz1568/getInfo.php?workbook=20_10.xlsx&amp;sheet=U0&amp;row=1495&amp;col=7&amp;number=0.00102&amp;sourceID=14","0.00102")</f>
        <v>0.00102</v>
      </c>
    </row>
    <row r="1496" spans="1:7">
      <c r="A1496" s="3"/>
      <c r="B1496" s="3"/>
      <c r="C1496" s="3"/>
      <c r="D1496" s="3"/>
      <c r="E1496" s="3">
        <v>13</v>
      </c>
      <c r="F1496" s="4" t="str">
        <f>HYPERLINK("http://141.218.60.56/~jnz1568/getInfo.php?workbook=20_10.xlsx&amp;sheet=U0&amp;row=1496&amp;col=6&amp;number=4.2&amp;sourceID=14","4.2")</f>
        <v>4.2</v>
      </c>
      <c r="G1496" s="4" t="str">
        <f>HYPERLINK("http://141.218.60.56/~jnz1568/getInfo.php?workbook=20_10.xlsx&amp;sheet=U0&amp;row=1496&amp;col=7&amp;number=0.00102&amp;sourceID=14","0.00102")</f>
        <v>0.00102</v>
      </c>
    </row>
    <row r="1497" spans="1:7">
      <c r="A1497" s="3"/>
      <c r="B1497" s="3"/>
      <c r="C1497" s="3"/>
      <c r="D1497" s="3"/>
      <c r="E1497" s="3">
        <v>14</v>
      </c>
      <c r="F1497" s="4" t="str">
        <f>HYPERLINK("http://141.218.60.56/~jnz1568/getInfo.php?workbook=20_10.xlsx&amp;sheet=U0&amp;row=1497&amp;col=6&amp;number=4.3&amp;sourceID=14","4.3")</f>
        <v>4.3</v>
      </c>
      <c r="G1497" s="4" t="str">
        <f>HYPERLINK("http://141.218.60.56/~jnz1568/getInfo.php?workbook=20_10.xlsx&amp;sheet=U0&amp;row=1497&amp;col=7&amp;number=0.00102&amp;sourceID=14","0.00102")</f>
        <v>0.00102</v>
      </c>
    </row>
    <row r="1498" spans="1:7">
      <c r="A1498" s="3"/>
      <c r="B1498" s="3"/>
      <c r="C1498" s="3"/>
      <c r="D1498" s="3"/>
      <c r="E1498" s="3">
        <v>15</v>
      </c>
      <c r="F1498" s="4" t="str">
        <f>HYPERLINK("http://141.218.60.56/~jnz1568/getInfo.php?workbook=20_10.xlsx&amp;sheet=U0&amp;row=1498&amp;col=6&amp;number=4.4&amp;sourceID=14","4.4")</f>
        <v>4.4</v>
      </c>
      <c r="G1498" s="4" t="str">
        <f>HYPERLINK("http://141.218.60.56/~jnz1568/getInfo.php?workbook=20_10.xlsx&amp;sheet=U0&amp;row=1498&amp;col=7&amp;number=0.00102&amp;sourceID=14","0.00102")</f>
        <v>0.00102</v>
      </c>
    </row>
    <row r="1499" spans="1:7">
      <c r="A1499" s="3"/>
      <c r="B1499" s="3"/>
      <c r="C1499" s="3"/>
      <c r="D1499" s="3"/>
      <c r="E1499" s="3">
        <v>16</v>
      </c>
      <c r="F1499" s="4" t="str">
        <f>HYPERLINK("http://141.218.60.56/~jnz1568/getInfo.php?workbook=20_10.xlsx&amp;sheet=U0&amp;row=1499&amp;col=6&amp;number=4.5&amp;sourceID=14","4.5")</f>
        <v>4.5</v>
      </c>
      <c r="G1499" s="4" t="str">
        <f>HYPERLINK("http://141.218.60.56/~jnz1568/getInfo.php?workbook=20_10.xlsx&amp;sheet=U0&amp;row=1499&amp;col=7&amp;number=0.00102&amp;sourceID=14","0.00102")</f>
        <v>0.00102</v>
      </c>
    </row>
    <row r="1500" spans="1:7">
      <c r="A1500" s="3"/>
      <c r="B1500" s="3"/>
      <c r="C1500" s="3"/>
      <c r="D1500" s="3"/>
      <c r="E1500" s="3">
        <v>17</v>
      </c>
      <c r="F1500" s="4" t="str">
        <f>HYPERLINK("http://141.218.60.56/~jnz1568/getInfo.php?workbook=20_10.xlsx&amp;sheet=U0&amp;row=1500&amp;col=6&amp;number=4.6&amp;sourceID=14","4.6")</f>
        <v>4.6</v>
      </c>
      <c r="G1500" s="4" t="str">
        <f>HYPERLINK("http://141.218.60.56/~jnz1568/getInfo.php?workbook=20_10.xlsx&amp;sheet=U0&amp;row=1500&amp;col=7&amp;number=0.00102&amp;sourceID=14","0.00102")</f>
        <v>0.00102</v>
      </c>
    </row>
    <row r="1501" spans="1:7">
      <c r="A1501" s="3"/>
      <c r="B1501" s="3"/>
      <c r="C1501" s="3"/>
      <c r="D1501" s="3"/>
      <c r="E1501" s="3">
        <v>18</v>
      </c>
      <c r="F1501" s="4" t="str">
        <f>HYPERLINK("http://141.218.60.56/~jnz1568/getInfo.php?workbook=20_10.xlsx&amp;sheet=U0&amp;row=1501&amp;col=6&amp;number=4.7&amp;sourceID=14","4.7")</f>
        <v>4.7</v>
      </c>
      <c r="G1501" s="4" t="str">
        <f>HYPERLINK("http://141.218.60.56/~jnz1568/getInfo.php?workbook=20_10.xlsx&amp;sheet=U0&amp;row=1501&amp;col=7&amp;number=0.00102&amp;sourceID=14","0.00102")</f>
        <v>0.00102</v>
      </c>
    </row>
    <row r="1502" spans="1:7">
      <c r="A1502" s="3"/>
      <c r="B1502" s="3"/>
      <c r="C1502" s="3"/>
      <c r="D1502" s="3"/>
      <c r="E1502" s="3">
        <v>19</v>
      </c>
      <c r="F1502" s="4" t="str">
        <f>HYPERLINK("http://141.218.60.56/~jnz1568/getInfo.php?workbook=20_10.xlsx&amp;sheet=U0&amp;row=1502&amp;col=6&amp;number=4.8&amp;sourceID=14","4.8")</f>
        <v>4.8</v>
      </c>
      <c r="G1502" s="4" t="str">
        <f>HYPERLINK("http://141.218.60.56/~jnz1568/getInfo.php?workbook=20_10.xlsx&amp;sheet=U0&amp;row=1502&amp;col=7&amp;number=0.00101&amp;sourceID=14","0.00101")</f>
        <v>0.00101</v>
      </c>
    </row>
    <row r="1503" spans="1:7">
      <c r="A1503" s="3"/>
      <c r="B1503" s="3"/>
      <c r="C1503" s="3"/>
      <c r="D1503" s="3"/>
      <c r="E1503" s="3">
        <v>20</v>
      </c>
      <c r="F1503" s="4" t="str">
        <f>HYPERLINK("http://141.218.60.56/~jnz1568/getInfo.php?workbook=20_10.xlsx&amp;sheet=U0&amp;row=1503&amp;col=6&amp;number=4.9&amp;sourceID=14","4.9")</f>
        <v>4.9</v>
      </c>
      <c r="G1503" s="4" t="str">
        <f>HYPERLINK("http://141.218.60.56/~jnz1568/getInfo.php?workbook=20_10.xlsx&amp;sheet=U0&amp;row=1503&amp;col=7&amp;number=0.00101&amp;sourceID=14","0.00101")</f>
        <v>0.00101</v>
      </c>
    </row>
    <row r="1504" spans="1:7">
      <c r="A1504" s="3">
        <v>20</v>
      </c>
      <c r="B1504" s="3">
        <v>10</v>
      </c>
      <c r="C1504" s="3">
        <v>1</v>
      </c>
      <c r="D1504" s="3">
        <v>77</v>
      </c>
      <c r="E1504" s="3">
        <v>1</v>
      </c>
      <c r="F1504" s="4" t="str">
        <f>HYPERLINK("http://141.218.60.56/~jnz1568/getInfo.php?workbook=20_10.xlsx&amp;sheet=U0&amp;row=1504&amp;col=6&amp;number=3&amp;sourceID=14","3")</f>
        <v>3</v>
      </c>
      <c r="G1504" s="4" t="str">
        <f>HYPERLINK("http://141.218.60.56/~jnz1568/getInfo.php?workbook=20_10.xlsx&amp;sheet=U0&amp;row=1504&amp;col=7&amp;number=0.00524&amp;sourceID=14","0.00524")</f>
        <v>0.00524</v>
      </c>
    </row>
    <row r="1505" spans="1:7">
      <c r="A1505" s="3"/>
      <c r="B1505" s="3"/>
      <c r="C1505" s="3"/>
      <c r="D1505" s="3"/>
      <c r="E1505" s="3">
        <v>2</v>
      </c>
      <c r="F1505" s="4" t="str">
        <f>HYPERLINK("http://141.218.60.56/~jnz1568/getInfo.php?workbook=20_10.xlsx&amp;sheet=U0&amp;row=1505&amp;col=6&amp;number=3.1&amp;sourceID=14","3.1")</f>
        <v>3.1</v>
      </c>
      <c r="G1505" s="4" t="str">
        <f>HYPERLINK("http://141.218.60.56/~jnz1568/getInfo.php?workbook=20_10.xlsx&amp;sheet=U0&amp;row=1505&amp;col=7&amp;number=0.00524&amp;sourceID=14","0.00524")</f>
        <v>0.00524</v>
      </c>
    </row>
    <row r="1506" spans="1:7">
      <c r="A1506" s="3"/>
      <c r="B1506" s="3"/>
      <c r="C1506" s="3"/>
      <c r="D1506" s="3"/>
      <c r="E1506" s="3">
        <v>3</v>
      </c>
      <c r="F1506" s="4" t="str">
        <f>HYPERLINK("http://141.218.60.56/~jnz1568/getInfo.php?workbook=20_10.xlsx&amp;sheet=U0&amp;row=1506&amp;col=6&amp;number=3.2&amp;sourceID=14","3.2")</f>
        <v>3.2</v>
      </c>
      <c r="G1506" s="4" t="str">
        <f>HYPERLINK("http://141.218.60.56/~jnz1568/getInfo.php?workbook=20_10.xlsx&amp;sheet=U0&amp;row=1506&amp;col=7&amp;number=0.00524&amp;sourceID=14","0.00524")</f>
        <v>0.00524</v>
      </c>
    </row>
    <row r="1507" spans="1:7">
      <c r="A1507" s="3"/>
      <c r="B1507" s="3"/>
      <c r="C1507" s="3"/>
      <c r="D1507" s="3"/>
      <c r="E1507" s="3">
        <v>4</v>
      </c>
      <c r="F1507" s="4" t="str">
        <f>HYPERLINK("http://141.218.60.56/~jnz1568/getInfo.php?workbook=20_10.xlsx&amp;sheet=U0&amp;row=1507&amp;col=6&amp;number=3.3&amp;sourceID=14","3.3")</f>
        <v>3.3</v>
      </c>
      <c r="G1507" s="4" t="str">
        <f>HYPERLINK("http://141.218.60.56/~jnz1568/getInfo.php?workbook=20_10.xlsx&amp;sheet=U0&amp;row=1507&amp;col=7&amp;number=0.00524&amp;sourceID=14","0.00524")</f>
        <v>0.00524</v>
      </c>
    </row>
    <row r="1508" spans="1:7">
      <c r="A1508" s="3"/>
      <c r="B1508" s="3"/>
      <c r="C1508" s="3"/>
      <c r="D1508" s="3"/>
      <c r="E1508" s="3">
        <v>5</v>
      </c>
      <c r="F1508" s="4" t="str">
        <f>HYPERLINK("http://141.218.60.56/~jnz1568/getInfo.php?workbook=20_10.xlsx&amp;sheet=U0&amp;row=1508&amp;col=6&amp;number=3.4&amp;sourceID=14","3.4")</f>
        <v>3.4</v>
      </c>
      <c r="G1508" s="4" t="str">
        <f>HYPERLINK("http://141.218.60.56/~jnz1568/getInfo.php?workbook=20_10.xlsx&amp;sheet=U0&amp;row=1508&amp;col=7&amp;number=0.00524&amp;sourceID=14","0.00524")</f>
        <v>0.00524</v>
      </c>
    </row>
    <row r="1509" spans="1:7">
      <c r="A1509" s="3"/>
      <c r="B1509" s="3"/>
      <c r="C1509" s="3"/>
      <c r="D1509" s="3"/>
      <c r="E1509" s="3">
        <v>6</v>
      </c>
      <c r="F1509" s="4" t="str">
        <f>HYPERLINK("http://141.218.60.56/~jnz1568/getInfo.php?workbook=20_10.xlsx&amp;sheet=U0&amp;row=1509&amp;col=6&amp;number=3.5&amp;sourceID=14","3.5")</f>
        <v>3.5</v>
      </c>
      <c r="G1509" s="4" t="str">
        <f>HYPERLINK("http://141.218.60.56/~jnz1568/getInfo.php?workbook=20_10.xlsx&amp;sheet=U0&amp;row=1509&amp;col=7&amp;number=0.00524&amp;sourceID=14","0.00524")</f>
        <v>0.00524</v>
      </c>
    </row>
    <row r="1510" spans="1:7">
      <c r="A1510" s="3"/>
      <c r="B1510" s="3"/>
      <c r="C1510" s="3"/>
      <c r="D1510" s="3"/>
      <c r="E1510" s="3">
        <v>7</v>
      </c>
      <c r="F1510" s="4" t="str">
        <f>HYPERLINK("http://141.218.60.56/~jnz1568/getInfo.php?workbook=20_10.xlsx&amp;sheet=U0&amp;row=1510&amp;col=6&amp;number=3.6&amp;sourceID=14","3.6")</f>
        <v>3.6</v>
      </c>
      <c r="G1510" s="4" t="str">
        <f>HYPERLINK("http://141.218.60.56/~jnz1568/getInfo.php?workbook=20_10.xlsx&amp;sheet=U0&amp;row=1510&amp;col=7&amp;number=0.00524&amp;sourceID=14","0.00524")</f>
        <v>0.00524</v>
      </c>
    </row>
    <row r="1511" spans="1:7">
      <c r="A1511" s="3"/>
      <c r="B1511" s="3"/>
      <c r="C1511" s="3"/>
      <c r="D1511" s="3"/>
      <c r="E1511" s="3">
        <v>8</v>
      </c>
      <c r="F1511" s="4" t="str">
        <f>HYPERLINK("http://141.218.60.56/~jnz1568/getInfo.php?workbook=20_10.xlsx&amp;sheet=U0&amp;row=1511&amp;col=6&amp;number=3.7&amp;sourceID=14","3.7")</f>
        <v>3.7</v>
      </c>
      <c r="G1511" s="4" t="str">
        <f>HYPERLINK("http://141.218.60.56/~jnz1568/getInfo.php?workbook=20_10.xlsx&amp;sheet=U0&amp;row=1511&amp;col=7&amp;number=0.00524&amp;sourceID=14","0.00524")</f>
        <v>0.00524</v>
      </c>
    </row>
    <row r="1512" spans="1:7">
      <c r="A1512" s="3"/>
      <c r="B1512" s="3"/>
      <c r="C1512" s="3"/>
      <c r="D1512" s="3"/>
      <c r="E1512" s="3">
        <v>9</v>
      </c>
      <c r="F1512" s="4" t="str">
        <f>HYPERLINK("http://141.218.60.56/~jnz1568/getInfo.php?workbook=20_10.xlsx&amp;sheet=U0&amp;row=1512&amp;col=6&amp;number=3.8&amp;sourceID=14","3.8")</f>
        <v>3.8</v>
      </c>
      <c r="G1512" s="4" t="str">
        <f>HYPERLINK("http://141.218.60.56/~jnz1568/getInfo.php?workbook=20_10.xlsx&amp;sheet=U0&amp;row=1512&amp;col=7&amp;number=0.00524&amp;sourceID=14","0.00524")</f>
        <v>0.00524</v>
      </c>
    </row>
    <row r="1513" spans="1:7">
      <c r="A1513" s="3"/>
      <c r="B1513" s="3"/>
      <c r="C1513" s="3"/>
      <c r="D1513" s="3"/>
      <c r="E1513" s="3">
        <v>10</v>
      </c>
      <c r="F1513" s="4" t="str">
        <f>HYPERLINK("http://141.218.60.56/~jnz1568/getInfo.php?workbook=20_10.xlsx&amp;sheet=U0&amp;row=1513&amp;col=6&amp;number=3.9&amp;sourceID=14","3.9")</f>
        <v>3.9</v>
      </c>
      <c r="G1513" s="4" t="str">
        <f>HYPERLINK("http://141.218.60.56/~jnz1568/getInfo.php?workbook=20_10.xlsx&amp;sheet=U0&amp;row=1513&amp;col=7&amp;number=0.00524&amp;sourceID=14","0.00524")</f>
        <v>0.00524</v>
      </c>
    </row>
    <row r="1514" spans="1:7">
      <c r="A1514" s="3"/>
      <c r="B1514" s="3"/>
      <c r="C1514" s="3"/>
      <c r="D1514" s="3"/>
      <c r="E1514" s="3">
        <v>11</v>
      </c>
      <c r="F1514" s="4" t="str">
        <f>HYPERLINK("http://141.218.60.56/~jnz1568/getInfo.php?workbook=20_10.xlsx&amp;sheet=U0&amp;row=1514&amp;col=6&amp;number=4&amp;sourceID=14","4")</f>
        <v>4</v>
      </c>
      <c r="G1514" s="4" t="str">
        <f>HYPERLINK("http://141.218.60.56/~jnz1568/getInfo.php?workbook=20_10.xlsx&amp;sheet=U0&amp;row=1514&amp;col=7&amp;number=0.00524&amp;sourceID=14","0.00524")</f>
        <v>0.00524</v>
      </c>
    </row>
    <row r="1515" spans="1:7">
      <c r="A1515" s="3"/>
      <c r="B1515" s="3"/>
      <c r="C1515" s="3"/>
      <c r="D1515" s="3"/>
      <c r="E1515" s="3">
        <v>12</v>
      </c>
      <c r="F1515" s="4" t="str">
        <f>HYPERLINK("http://141.218.60.56/~jnz1568/getInfo.php?workbook=20_10.xlsx&amp;sheet=U0&amp;row=1515&amp;col=6&amp;number=4.1&amp;sourceID=14","4.1")</f>
        <v>4.1</v>
      </c>
      <c r="G1515" s="4" t="str">
        <f>HYPERLINK("http://141.218.60.56/~jnz1568/getInfo.php?workbook=20_10.xlsx&amp;sheet=U0&amp;row=1515&amp;col=7&amp;number=0.00524&amp;sourceID=14","0.00524")</f>
        <v>0.00524</v>
      </c>
    </row>
    <row r="1516" spans="1:7">
      <c r="A1516" s="3"/>
      <c r="B1516" s="3"/>
      <c r="C1516" s="3"/>
      <c r="D1516" s="3"/>
      <c r="E1516" s="3">
        <v>13</v>
      </c>
      <c r="F1516" s="4" t="str">
        <f>HYPERLINK("http://141.218.60.56/~jnz1568/getInfo.php?workbook=20_10.xlsx&amp;sheet=U0&amp;row=1516&amp;col=6&amp;number=4.2&amp;sourceID=14","4.2")</f>
        <v>4.2</v>
      </c>
      <c r="G1516" s="4" t="str">
        <f>HYPERLINK("http://141.218.60.56/~jnz1568/getInfo.php?workbook=20_10.xlsx&amp;sheet=U0&amp;row=1516&amp;col=7&amp;number=0.00524&amp;sourceID=14","0.00524")</f>
        <v>0.00524</v>
      </c>
    </row>
    <row r="1517" spans="1:7">
      <c r="A1517" s="3"/>
      <c r="B1517" s="3"/>
      <c r="C1517" s="3"/>
      <c r="D1517" s="3"/>
      <c r="E1517" s="3">
        <v>14</v>
      </c>
      <c r="F1517" s="4" t="str">
        <f>HYPERLINK("http://141.218.60.56/~jnz1568/getInfo.php?workbook=20_10.xlsx&amp;sheet=U0&amp;row=1517&amp;col=6&amp;number=4.3&amp;sourceID=14","4.3")</f>
        <v>4.3</v>
      </c>
      <c r="G1517" s="4" t="str">
        <f>HYPERLINK("http://141.218.60.56/~jnz1568/getInfo.php?workbook=20_10.xlsx&amp;sheet=U0&amp;row=1517&amp;col=7&amp;number=0.00524&amp;sourceID=14","0.00524")</f>
        <v>0.00524</v>
      </c>
    </row>
    <row r="1518" spans="1:7">
      <c r="A1518" s="3"/>
      <c r="B1518" s="3"/>
      <c r="C1518" s="3"/>
      <c r="D1518" s="3"/>
      <c r="E1518" s="3">
        <v>15</v>
      </c>
      <c r="F1518" s="4" t="str">
        <f>HYPERLINK("http://141.218.60.56/~jnz1568/getInfo.php?workbook=20_10.xlsx&amp;sheet=U0&amp;row=1518&amp;col=6&amp;number=4.4&amp;sourceID=14","4.4")</f>
        <v>4.4</v>
      </c>
      <c r="G1518" s="4" t="str">
        <f>HYPERLINK("http://141.218.60.56/~jnz1568/getInfo.php?workbook=20_10.xlsx&amp;sheet=U0&amp;row=1518&amp;col=7&amp;number=0.00525&amp;sourceID=14","0.00525")</f>
        <v>0.00525</v>
      </c>
    </row>
    <row r="1519" spans="1:7">
      <c r="A1519" s="3"/>
      <c r="B1519" s="3"/>
      <c r="C1519" s="3"/>
      <c r="D1519" s="3"/>
      <c r="E1519" s="3">
        <v>16</v>
      </c>
      <c r="F1519" s="4" t="str">
        <f>HYPERLINK("http://141.218.60.56/~jnz1568/getInfo.php?workbook=20_10.xlsx&amp;sheet=U0&amp;row=1519&amp;col=6&amp;number=4.5&amp;sourceID=14","4.5")</f>
        <v>4.5</v>
      </c>
      <c r="G1519" s="4" t="str">
        <f>HYPERLINK("http://141.218.60.56/~jnz1568/getInfo.php?workbook=20_10.xlsx&amp;sheet=U0&amp;row=1519&amp;col=7&amp;number=0.00525&amp;sourceID=14","0.00525")</f>
        <v>0.00525</v>
      </c>
    </row>
    <row r="1520" spans="1:7">
      <c r="A1520" s="3"/>
      <c r="B1520" s="3"/>
      <c r="C1520" s="3"/>
      <c r="D1520" s="3"/>
      <c r="E1520" s="3">
        <v>17</v>
      </c>
      <c r="F1520" s="4" t="str">
        <f>HYPERLINK("http://141.218.60.56/~jnz1568/getInfo.php?workbook=20_10.xlsx&amp;sheet=U0&amp;row=1520&amp;col=6&amp;number=4.6&amp;sourceID=14","4.6")</f>
        <v>4.6</v>
      </c>
      <c r="G1520" s="4" t="str">
        <f>HYPERLINK("http://141.218.60.56/~jnz1568/getInfo.php?workbook=20_10.xlsx&amp;sheet=U0&amp;row=1520&amp;col=7&amp;number=0.00525&amp;sourceID=14","0.00525")</f>
        <v>0.00525</v>
      </c>
    </row>
    <row r="1521" spans="1:7">
      <c r="A1521" s="3"/>
      <c r="B1521" s="3"/>
      <c r="C1521" s="3"/>
      <c r="D1521" s="3"/>
      <c r="E1521" s="3">
        <v>18</v>
      </c>
      <c r="F1521" s="4" t="str">
        <f>HYPERLINK("http://141.218.60.56/~jnz1568/getInfo.php?workbook=20_10.xlsx&amp;sheet=U0&amp;row=1521&amp;col=6&amp;number=4.7&amp;sourceID=14","4.7")</f>
        <v>4.7</v>
      </c>
      <c r="G1521" s="4" t="str">
        <f>HYPERLINK("http://141.218.60.56/~jnz1568/getInfo.php?workbook=20_10.xlsx&amp;sheet=U0&amp;row=1521&amp;col=7&amp;number=0.00525&amp;sourceID=14","0.00525")</f>
        <v>0.00525</v>
      </c>
    </row>
    <row r="1522" spans="1:7">
      <c r="A1522" s="3"/>
      <c r="B1522" s="3"/>
      <c r="C1522" s="3"/>
      <c r="D1522" s="3"/>
      <c r="E1522" s="3">
        <v>19</v>
      </c>
      <c r="F1522" s="4" t="str">
        <f>HYPERLINK("http://141.218.60.56/~jnz1568/getInfo.php?workbook=20_10.xlsx&amp;sheet=U0&amp;row=1522&amp;col=6&amp;number=4.8&amp;sourceID=14","4.8")</f>
        <v>4.8</v>
      </c>
      <c r="G1522" s="4" t="str">
        <f>HYPERLINK("http://141.218.60.56/~jnz1568/getInfo.php?workbook=20_10.xlsx&amp;sheet=U0&amp;row=1522&amp;col=7&amp;number=0.00525&amp;sourceID=14","0.00525")</f>
        <v>0.00525</v>
      </c>
    </row>
    <row r="1523" spans="1:7">
      <c r="A1523" s="3"/>
      <c r="B1523" s="3"/>
      <c r="C1523" s="3"/>
      <c r="D1523" s="3"/>
      <c r="E1523" s="3">
        <v>20</v>
      </c>
      <c r="F1523" s="4" t="str">
        <f>HYPERLINK("http://141.218.60.56/~jnz1568/getInfo.php?workbook=20_10.xlsx&amp;sheet=U0&amp;row=1523&amp;col=6&amp;number=4.9&amp;sourceID=14","4.9")</f>
        <v>4.9</v>
      </c>
      <c r="G1523" s="4" t="str">
        <f>HYPERLINK("http://141.218.60.56/~jnz1568/getInfo.php?workbook=20_10.xlsx&amp;sheet=U0&amp;row=1523&amp;col=7&amp;number=0.00526&amp;sourceID=14","0.00526")</f>
        <v>0.00526</v>
      </c>
    </row>
    <row r="1524" spans="1:7">
      <c r="A1524" s="3">
        <v>20</v>
      </c>
      <c r="B1524" s="3">
        <v>10</v>
      </c>
      <c r="C1524" s="3">
        <v>1</v>
      </c>
      <c r="D1524" s="3">
        <v>78</v>
      </c>
      <c r="E1524" s="3">
        <v>1</v>
      </c>
      <c r="F1524" s="4" t="str">
        <f>HYPERLINK("http://141.218.60.56/~jnz1568/getInfo.php?workbook=20_10.xlsx&amp;sheet=U0&amp;row=1524&amp;col=6&amp;number=3&amp;sourceID=14","3")</f>
        <v>3</v>
      </c>
      <c r="G1524" s="4" t="str">
        <f>HYPERLINK("http://141.218.60.56/~jnz1568/getInfo.php?workbook=20_10.xlsx&amp;sheet=U0&amp;row=1524&amp;col=7&amp;number=0.000211&amp;sourceID=14","0.000211")</f>
        <v>0.000211</v>
      </c>
    </row>
    <row r="1525" spans="1:7">
      <c r="A1525" s="3"/>
      <c r="B1525" s="3"/>
      <c r="C1525" s="3"/>
      <c r="D1525" s="3"/>
      <c r="E1525" s="3">
        <v>2</v>
      </c>
      <c r="F1525" s="4" t="str">
        <f>HYPERLINK("http://141.218.60.56/~jnz1568/getInfo.php?workbook=20_10.xlsx&amp;sheet=U0&amp;row=1525&amp;col=6&amp;number=3.1&amp;sourceID=14","3.1")</f>
        <v>3.1</v>
      </c>
      <c r="G1525" s="4" t="str">
        <f>HYPERLINK("http://141.218.60.56/~jnz1568/getInfo.php?workbook=20_10.xlsx&amp;sheet=U0&amp;row=1525&amp;col=7&amp;number=0.000211&amp;sourceID=14","0.000211")</f>
        <v>0.000211</v>
      </c>
    </row>
    <row r="1526" spans="1:7">
      <c r="A1526" s="3"/>
      <c r="B1526" s="3"/>
      <c r="C1526" s="3"/>
      <c r="D1526" s="3"/>
      <c r="E1526" s="3">
        <v>3</v>
      </c>
      <c r="F1526" s="4" t="str">
        <f>HYPERLINK("http://141.218.60.56/~jnz1568/getInfo.php?workbook=20_10.xlsx&amp;sheet=U0&amp;row=1526&amp;col=6&amp;number=3.2&amp;sourceID=14","3.2")</f>
        <v>3.2</v>
      </c>
      <c r="G1526" s="4" t="str">
        <f>HYPERLINK("http://141.218.60.56/~jnz1568/getInfo.php?workbook=20_10.xlsx&amp;sheet=U0&amp;row=1526&amp;col=7&amp;number=0.000211&amp;sourceID=14","0.000211")</f>
        <v>0.000211</v>
      </c>
    </row>
    <row r="1527" spans="1:7">
      <c r="A1527" s="3"/>
      <c r="B1527" s="3"/>
      <c r="C1527" s="3"/>
      <c r="D1527" s="3"/>
      <c r="E1527" s="3">
        <v>4</v>
      </c>
      <c r="F1527" s="4" t="str">
        <f>HYPERLINK("http://141.218.60.56/~jnz1568/getInfo.php?workbook=20_10.xlsx&amp;sheet=U0&amp;row=1527&amp;col=6&amp;number=3.3&amp;sourceID=14","3.3")</f>
        <v>3.3</v>
      </c>
      <c r="G1527" s="4" t="str">
        <f>HYPERLINK("http://141.218.60.56/~jnz1568/getInfo.php?workbook=20_10.xlsx&amp;sheet=U0&amp;row=1527&amp;col=7&amp;number=0.000211&amp;sourceID=14","0.000211")</f>
        <v>0.000211</v>
      </c>
    </row>
    <row r="1528" spans="1:7">
      <c r="A1528" s="3"/>
      <c r="B1528" s="3"/>
      <c r="C1528" s="3"/>
      <c r="D1528" s="3"/>
      <c r="E1528" s="3">
        <v>5</v>
      </c>
      <c r="F1528" s="4" t="str">
        <f>HYPERLINK("http://141.218.60.56/~jnz1568/getInfo.php?workbook=20_10.xlsx&amp;sheet=U0&amp;row=1528&amp;col=6&amp;number=3.4&amp;sourceID=14","3.4")</f>
        <v>3.4</v>
      </c>
      <c r="G1528" s="4" t="str">
        <f>HYPERLINK("http://141.218.60.56/~jnz1568/getInfo.php?workbook=20_10.xlsx&amp;sheet=U0&amp;row=1528&amp;col=7&amp;number=0.000211&amp;sourceID=14","0.000211")</f>
        <v>0.000211</v>
      </c>
    </row>
    <row r="1529" spans="1:7">
      <c r="A1529" s="3"/>
      <c r="B1529" s="3"/>
      <c r="C1529" s="3"/>
      <c r="D1529" s="3"/>
      <c r="E1529" s="3">
        <v>6</v>
      </c>
      <c r="F1529" s="4" t="str">
        <f>HYPERLINK("http://141.218.60.56/~jnz1568/getInfo.php?workbook=20_10.xlsx&amp;sheet=U0&amp;row=1529&amp;col=6&amp;number=3.5&amp;sourceID=14","3.5")</f>
        <v>3.5</v>
      </c>
      <c r="G1529" s="4" t="str">
        <f>HYPERLINK("http://141.218.60.56/~jnz1568/getInfo.php?workbook=20_10.xlsx&amp;sheet=U0&amp;row=1529&amp;col=7&amp;number=0.000211&amp;sourceID=14","0.000211")</f>
        <v>0.000211</v>
      </c>
    </row>
    <row r="1530" spans="1:7">
      <c r="A1530" s="3"/>
      <c r="B1530" s="3"/>
      <c r="C1530" s="3"/>
      <c r="D1530" s="3"/>
      <c r="E1530" s="3">
        <v>7</v>
      </c>
      <c r="F1530" s="4" t="str">
        <f>HYPERLINK("http://141.218.60.56/~jnz1568/getInfo.php?workbook=20_10.xlsx&amp;sheet=U0&amp;row=1530&amp;col=6&amp;number=3.6&amp;sourceID=14","3.6")</f>
        <v>3.6</v>
      </c>
      <c r="G1530" s="4" t="str">
        <f>HYPERLINK("http://141.218.60.56/~jnz1568/getInfo.php?workbook=20_10.xlsx&amp;sheet=U0&amp;row=1530&amp;col=7&amp;number=0.000211&amp;sourceID=14","0.000211")</f>
        <v>0.000211</v>
      </c>
    </row>
    <row r="1531" spans="1:7">
      <c r="A1531" s="3"/>
      <c r="B1531" s="3"/>
      <c r="C1531" s="3"/>
      <c r="D1531" s="3"/>
      <c r="E1531" s="3">
        <v>8</v>
      </c>
      <c r="F1531" s="4" t="str">
        <f>HYPERLINK("http://141.218.60.56/~jnz1568/getInfo.php?workbook=20_10.xlsx&amp;sheet=U0&amp;row=1531&amp;col=6&amp;number=3.7&amp;sourceID=14","3.7")</f>
        <v>3.7</v>
      </c>
      <c r="G1531" s="4" t="str">
        <f>HYPERLINK("http://141.218.60.56/~jnz1568/getInfo.php?workbook=20_10.xlsx&amp;sheet=U0&amp;row=1531&amp;col=7&amp;number=0.000211&amp;sourceID=14","0.000211")</f>
        <v>0.000211</v>
      </c>
    </row>
    <row r="1532" spans="1:7">
      <c r="A1532" s="3"/>
      <c r="B1532" s="3"/>
      <c r="C1532" s="3"/>
      <c r="D1532" s="3"/>
      <c r="E1532" s="3">
        <v>9</v>
      </c>
      <c r="F1532" s="4" t="str">
        <f>HYPERLINK("http://141.218.60.56/~jnz1568/getInfo.php?workbook=20_10.xlsx&amp;sheet=U0&amp;row=1532&amp;col=6&amp;number=3.8&amp;sourceID=14","3.8")</f>
        <v>3.8</v>
      </c>
      <c r="G1532" s="4" t="str">
        <f>HYPERLINK("http://141.218.60.56/~jnz1568/getInfo.php?workbook=20_10.xlsx&amp;sheet=U0&amp;row=1532&amp;col=7&amp;number=0.000211&amp;sourceID=14","0.000211")</f>
        <v>0.000211</v>
      </c>
    </row>
    <row r="1533" spans="1:7">
      <c r="A1533" s="3"/>
      <c r="B1533" s="3"/>
      <c r="C1533" s="3"/>
      <c r="D1533" s="3"/>
      <c r="E1533" s="3">
        <v>10</v>
      </c>
      <c r="F1533" s="4" t="str">
        <f>HYPERLINK("http://141.218.60.56/~jnz1568/getInfo.php?workbook=20_10.xlsx&amp;sheet=U0&amp;row=1533&amp;col=6&amp;number=3.9&amp;sourceID=14","3.9")</f>
        <v>3.9</v>
      </c>
      <c r="G1533" s="4" t="str">
        <f>HYPERLINK("http://141.218.60.56/~jnz1568/getInfo.php?workbook=20_10.xlsx&amp;sheet=U0&amp;row=1533&amp;col=7&amp;number=0.000211&amp;sourceID=14","0.000211")</f>
        <v>0.000211</v>
      </c>
    </row>
    <row r="1534" spans="1:7">
      <c r="A1534" s="3"/>
      <c r="B1534" s="3"/>
      <c r="C1534" s="3"/>
      <c r="D1534" s="3"/>
      <c r="E1534" s="3">
        <v>11</v>
      </c>
      <c r="F1534" s="4" t="str">
        <f>HYPERLINK("http://141.218.60.56/~jnz1568/getInfo.php?workbook=20_10.xlsx&amp;sheet=U0&amp;row=1534&amp;col=6&amp;number=4&amp;sourceID=14","4")</f>
        <v>4</v>
      </c>
      <c r="G1534" s="4" t="str">
        <f>HYPERLINK("http://141.218.60.56/~jnz1568/getInfo.php?workbook=20_10.xlsx&amp;sheet=U0&amp;row=1534&amp;col=7&amp;number=0.000211&amp;sourceID=14","0.000211")</f>
        <v>0.000211</v>
      </c>
    </row>
    <row r="1535" spans="1:7">
      <c r="A1535" s="3"/>
      <c r="B1535" s="3"/>
      <c r="C1535" s="3"/>
      <c r="D1535" s="3"/>
      <c r="E1535" s="3">
        <v>12</v>
      </c>
      <c r="F1535" s="4" t="str">
        <f>HYPERLINK("http://141.218.60.56/~jnz1568/getInfo.php?workbook=20_10.xlsx&amp;sheet=U0&amp;row=1535&amp;col=6&amp;number=4.1&amp;sourceID=14","4.1")</f>
        <v>4.1</v>
      </c>
      <c r="G1535" s="4" t="str">
        <f>HYPERLINK("http://141.218.60.56/~jnz1568/getInfo.php?workbook=20_10.xlsx&amp;sheet=U0&amp;row=1535&amp;col=7&amp;number=0.000211&amp;sourceID=14","0.000211")</f>
        <v>0.000211</v>
      </c>
    </row>
    <row r="1536" spans="1:7">
      <c r="A1536" s="3"/>
      <c r="B1536" s="3"/>
      <c r="C1536" s="3"/>
      <c r="D1536" s="3"/>
      <c r="E1536" s="3">
        <v>13</v>
      </c>
      <c r="F1536" s="4" t="str">
        <f>HYPERLINK("http://141.218.60.56/~jnz1568/getInfo.php?workbook=20_10.xlsx&amp;sheet=U0&amp;row=1536&amp;col=6&amp;number=4.2&amp;sourceID=14","4.2")</f>
        <v>4.2</v>
      </c>
      <c r="G1536" s="4" t="str">
        <f>HYPERLINK("http://141.218.60.56/~jnz1568/getInfo.php?workbook=20_10.xlsx&amp;sheet=U0&amp;row=1536&amp;col=7&amp;number=0.000211&amp;sourceID=14","0.000211")</f>
        <v>0.000211</v>
      </c>
    </row>
    <row r="1537" spans="1:7">
      <c r="A1537" s="3"/>
      <c r="B1537" s="3"/>
      <c r="C1537" s="3"/>
      <c r="D1537" s="3"/>
      <c r="E1537" s="3">
        <v>14</v>
      </c>
      <c r="F1537" s="4" t="str">
        <f>HYPERLINK("http://141.218.60.56/~jnz1568/getInfo.php?workbook=20_10.xlsx&amp;sheet=U0&amp;row=1537&amp;col=6&amp;number=4.3&amp;sourceID=14","4.3")</f>
        <v>4.3</v>
      </c>
      <c r="G1537" s="4" t="str">
        <f>HYPERLINK("http://141.218.60.56/~jnz1568/getInfo.php?workbook=20_10.xlsx&amp;sheet=U0&amp;row=1537&amp;col=7&amp;number=0.000211&amp;sourceID=14","0.000211")</f>
        <v>0.000211</v>
      </c>
    </row>
    <row r="1538" spans="1:7">
      <c r="A1538" s="3"/>
      <c r="B1538" s="3"/>
      <c r="C1538" s="3"/>
      <c r="D1538" s="3"/>
      <c r="E1538" s="3">
        <v>15</v>
      </c>
      <c r="F1538" s="4" t="str">
        <f>HYPERLINK("http://141.218.60.56/~jnz1568/getInfo.php?workbook=20_10.xlsx&amp;sheet=U0&amp;row=1538&amp;col=6&amp;number=4.4&amp;sourceID=14","4.4")</f>
        <v>4.4</v>
      </c>
      <c r="G1538" s="4" t="str">
        <f>HYPERLINK("http://141.218.60.56/~jnz1568/getInfo.php?workbook=20_10.xlsx&amp;sheet=U0&amp;row=1538&amp;col=7&amp;number=0.000211&amp;sourceID=14","0.000211")</f>
        <v>0.000211</v>
      </c>
    </row>
    <row r="1539" spans="1:7">
      <c r="A1539" s="3"/>
      <c r="B1539" s="3"/>
      <c r="C1539" s="3"/>
      <c r="D1539" s="3"/>
      <c r="E1539" s="3">
        <v>16</v>
      </c>
      <c r="F1539" s="4" t="str">
        <f>HYPERLINK("http://141.218.60.56/~jnz1568/getInfo.php?workbook=20_10.xlsx&amp;sheet=U0&amp;row=1539&amp;col=6&amp;number=4.5&amp;sourceID=14","4.5")</f>
        <v>4.5</v>
      </c>
      <c r="G1539" s="4" t="str">
        <f>HYPERLINK("http://141.218.60.56/~jnz1568/getInfo.php?workbook=20_10.xlsx&amp;sheet=U0&amp;row=1539&amp;col=7&amp;number=0.00021&amp;sourceID=14","0.00021")</f>
        <v>0.00021</v>
      </c>
    </row>
    <row r="1540" spans="1:7">
      <c r="A1540" s="3"/>
      <c r="B1540" s="3"/>
      <c r="C1540" s="3"/>
      <c r="D1540" s="3"/>
      <c r="E1540" s="3">
        <v>17</v>
      </c>
      <c r="F1540" s="4" t="str">
        <f>HYPERLINK("http://141.218.60.56/~jnz1568/getInfo.php?workbook=20_10.xlsx&amp;sheet=U0&amp;row=1540&amp;col=6&amp;number=4.6&amp;sourceID=14","4.6")</f>
        <v>4.6</v>
      </c>
      <c r="G1540" s="4" t="str">
        <f>HYPERLINK("http://141.218.60.56/~jnz1568/getInfo.php?workbook=20_10.xlsx&amp;sheet=U0&amp;row=1540&amp;col=7&amp;number=0.00021&amp;sourceID=14","0.00021")</f>
        <v>0.00021</v>
      </c>
    </row>
    <row r="1541" spans="1:7">
      <c r="A1541" s="3"/>
      <c r="B1541" s="3"/>
      <c r="C1541" s="3"/>
      <c r="D1541" s="3"/>
      <c r="E1541" s="3">
        <v>18</v>
      </c>
      <c r="F1541" s="4" t="str">
        <f>HYPERLINK("http://141.218.60.56/~jnz1568/getInfo.php?workbook=20_10.xlsx&amp;sheet=U0&amp;row=1541&amp;col=6&amp;number=4.7&amp;sourceID=14","4.7")</f>
        <v>4.7</v>
      </c>
      <c r="G1541" s="4" t="str">
        <f>HYPERLINK("http://141.218.60.56/~jnz1568/getInfo.php?workbook=20_10.xlsx&amp;sheet=U0&amp;row=1541&amp;col=7&amp;number=0.00021&amp;sourceID=14","0.00021")</f>
        <v>0.00021</v>
      </c>
    </row>
    <row r="1542" spans="1:7">
      <c r="A1542" s="3"/>
      <c r="B1542" s="3"/>
      <c r="C1542" s="3"/>
      <c r="D1542" s="3"/>
      <c r="E1542" s="3">
        <v>19</v>
      </c>
      <c r="F1542" s="4" t="str">
        <f>HYPERLINK("http://141.218.60.56/~jnz1568/getInfo.php?workbook=20_10.xlsx&amp;sheet=U0&amp;row=1542&amp;col=6&amp;number=4.8&amp;sourceID=14","4.8")</f>
        <v>4.8</v>
      </c>
      <c r="G1542" s="4" t="str">
        <f>HYPERLINK("http://141.218.60.56/~jnz1568/getInfo.php?workbook=20_10.xlsx&amp;sheet=U0&amp;row=1542&amp;col=7&amp;number=0.000209&amp;sourceID=14","0.000209")</f>
        <v>0.000209</v>
      </c>
    </row>
    <row r="1543" spans="1:7">
      <c r="A1543" s="3"/>
      <c r="B1543" s="3"/>
      <c r="C1543" s="3"/>
      <c r="D1543" s="3"/>
      <c r="E1543" s="3">
        <v>20</v>
      </c>
      <c r="F1543" s="4" t="str">
        <f>HYPERLINK("http://141.218.60.56/~jnz1568/getInfo.php?workbook=20_10.xlsx&amp;sheet=U0&amp;row=1543&amp;col=6&amp;number=4.9&amp;sourceID=14","4.9")</f>
        <v>4.9</v>
      </c>
      <c r="G1543" s="4" t="str">
        <f>HYPERLINK("http://141.218.60.56/~jnz1568/getInfo.php?workbook=20_10.xlsx&amp;sheet=U0&amp;row=1543&amp;col=7&amp;number=0.000209&amp;sourceID=14","0.000209")</f>
        <v>0.000209</v>
      </c>
    </row>
    <row r="1544" spans="1:7">
      <c r="A1544" s="3">
        <v>20</v>
      </c>
      <c r="B1544" s="3">
        <v>10</v>
      </c>
      <c r="C1544" s="3">
        <v>1</v>
      </c>
      <c r="D1544" s="3">
        <v>79</v>
      </c>
      <c r="E1544" s="3">
        <v>1</v>
      </c>
      <c r="F1544" s="4" t="str">
        <f>HYPERLINK("http://141.218.60.56/~jnz1568/getInfo.php?workbook=20_10.xlsx&amp;sheet=U0&amp;row=1544&amp;col=6&amp;number=3&amp;sourceID=14","3")</f>
        <v>3</v>
      </c>
      <c r="G1544" s="4" t="str">
        <f>HYPERLINK("http://141.218.60.56/~jnz1568/getInfo.php?workbook=20_10.xlsx&amp;sheet=U0&amp;row=1544&amp;col=7&amp;number=0.000685&amp;sourceID=14","0.000685")</f>
        <v>0.000685</v>
      </c>
    </row>
    <row r="1545" spans="1:7">
      <c r="A1545" s="3"/>
      <c r="B1545" s="3"/>
      <c r="C1545" s="3"/>
      <c r="D1545" s="3"/>
      <c r="E1545" s="3">
        <v>2</v>
      </c>
      <c r="F1545" s="4" t="str">
        <f>HYPERLINK("http://141.218.60.56/~jnz1568/getInfo.php?workbook=20_10.xlsx&amp;sheet=U0&amp;row=1545&amp;col=6&amp;number=3.1&amp;sourceID=14","3.1")</f>
        <v>3.1</v>
      </c>
      <c r="G1545" s="4" t="str">
        <f>HYPERLINK("http://141.218.60.56/~jnz1568/getInfo.php?workbook=20_10.xlsx&amp;sheet=U0&amp;row=1545&amp;col=7&amp;number=0.000685&amp;sourceID=14","0.000685")</f>
        <v>0.000685</v>
      </c>
    </row>
    <row r="1546" spans="1:7">
      <c r="A1546" s="3"/>
      <c r="B1546" s="3"/>
      <c r="C1546" s="3"/>
      <c r="D1546" s="3"/>
      <c r="E1546" s="3">
        <v>3</v>
      </c>
      <c r="F1546" s="4" t="str">
        <f>HYPERLINK("http://141.218.60.56/~jnz1568/getInfo.php?workbook=20_10.xlsx&amp;sheet=U0&amp;row=1546&amp;col=6&amp;number=3.2&amp;sourceID=14","3.2")</f>
        <v>3.2</v>
      </c>
      <c r="G1546" s="4" t="str">
        <f>HYPERLINK("http://141.218.60.56/~jnz1568/getInfo.php?workbook=20_10.xlsx&amp;sheet=U0&amp;row=1546&amp;col=7&amp;number=0.000684&amp;sourceID=14","0.000684")</f>
        <v>0.000684</v>
      </c>
    </row>
    <row r="1547" spans="1:7">
      <c r="A1547" s="3"/>
      <c r="B1547" s="3"/>
      <c r="C1547" s="3"/>
      <c r="D1547" s="3"/>
      <c r="E1547" s="3">
        <v>4</v>
      </c>
      <c r="F1547" s="4" t="str">
        <f>HYPERLINK("http://141.218.60.56/~jnz1568/getInfo.php?workbook=20_10.xlsx&amp;sheet=U0&amp;row=1547&amp;col=6&amp;number=3.3&amp;sourceID=14","3.3")</f>
        <v>3.3</v>
      </c>
      <c r="G1547" s="4" t="str">
        <f>HYPERLINK("http://141.218.60.56/~jnz1568/getInfo.php?workbook=20_10.xlsx&amp;sheet=U0&amp;row=1547&amp;col=7&amp;number=0.000684&amp;sourceID=14","0.000684")</f>
        <v>0.000684</v>
      </c>
    </row>
    <row r="1548" spans="1:7">
      <c r="A1548" s="3"/>
      <c r="B1548" s="3"/>
      <c r="C1548" s="3"/>
      <c r="D1548" s="3"/>
      <c r="E1548" s="3">
        <v>5</v>
      </c>
      <c r="F1548" s="4" t="str">
        <f>HYPERLINK("http://141.218.60.56/~jnz1568/getInfo.php?workbook=20_10.xlsx&amp;sheet=U0&amp;row=1548&amp;col=6&amp;number=3.4&amp;sourceID=14","3.4")</f>
        <v>3.4</v>
      </c>
      <c r="G1548" s="4" t="str">
        <f>HYPERLINK("http://141.218.60.56/~jnz1568/getInfo.php?workbook=20_10.xlsx&amp;sheet=U0&amp;row=1548&amp;col=7&amp;number=0.000684&amp;sourceID=14","0.000684")</f>
        <v>0.000684</v>
      </c>
    </row>
    <row r="1549" spans="1:7">
      <c r="A1549" s="3"/>
      <c r="B1549" s="3"/>
      <c r="C1549" s="3"/>
      <c r="D1549" s="3"/>
      <c r="E1549" s="3">
        <v>6</v>
      </c>
      <c r="F1549" s="4" t="str">
        <f>HYPERLINK("http://141.218.60.56/~jnz1568/getInfo.php?workbook=20_10.xlsx&amp;sheet=U0&amp;row=1549&amp;col=6&amp;number=3.5&amp;sourceID=14","3.5")</f>
        <v>3.5</v>
      </c>
      <c r="G1549" s="4" t="str">
        <f>HYPERLINK("http://141.218.60.56/~jnz1568/getInfo.php?workbook=20_10.xlsx&amp;sheet=U0&amp;row=1549&amp;col=7&amp;number=0.000684&amp;sourceID=14","0.000684")</f>
        <v>0.000684</v>
      </c>
    </row>
    <row r="1550" spans="1:7">
      <c r="A1550" s="3"/>
      <c r="B1550" s="3"/>
      <c r="C1550" s="3"/>
      <c r="D1550" s="3"/>
      <c r="E1550" s="3">
        <v>7</v>
      </c>
      <c r="F1550" s="4" t="str">
        <f>HYPERLINK("http://141.218.60.56/~jnz1568/getInfo.php?workbook=20_10.xlsx&amp;sheet=U0&amp;row=1550&amp;col=6&amp;number=3.6&amp;sourceID=14","3.6")</f>
        <v>3.6</v>
      </c>
      <c r="G1550" s="4" t="str">
        <f>HYPERLINK("http://141.218.60.56/~jnz1568/getInfo.php?workbook=20_10.xlsx&amp;sheet=U0&amp;row=1550&amp;col=7&amp;number=0.000684&amp;sourceID=14","0.000684")</f>
        <v>0.000684</v>
      </c>
    </row>
    <row r="1551" spans="1:7">
      <c r="A1551" s="3"/>
      <c r="B1551" s="3"/>
      <c r="C1551" s="3"/>
      <c r="D1551" s="3"/>
      <c r="E1551" s="3">
        <v>8</v>
      </c>
      <c r="F1551" s="4" t="str">
        <f>HYPERLINK("http://141.218.60.56/~jnz1568/getInfo.php?workbook=20_10.xlsx&amp;sheet=U0&amp;row=1551&amp;col=6&amp;number=3.7&amp;sourceID=14","3.7")</f>
        <v>3.7</v>
      </c>
      <c r="G1551" s="4" t="str">
        <f>HYPERLINK("http://141.218.60.56/~jnz1568/getInfo.php?workbook=20_10.xlsx&amp;sheet=U0&amp;row=1551&amp;col=7&amp;number=0.000684&amp;sourceID=14","0.000684")</f>
        <v>0.000684</v>
      </c>
    </row>
    <row r="1552" spans="1:7">
      <c r="A1552" s="3"/>
      <c r="B1552" s="3"/>
      <c r="C1552" s="3"/>
      <c r="D1552" s="3"/>
      <c r="E1552" s="3">
        <v>9</v>
      </c>
      <c r="F1552" s="4" t="str">
        <f>HYPERLINK("http://141.218.60.56/~jnz1568/getInfo.php?workbook=20_10.xlsx&amp;sheet=U0&amp;row=1552&amp;col=6&amp;number=3.8&amp;sourceID=14","3.8")</f>
        <v>3.8</v>
      </c>
      <c r="G1552" s="4" t="str">
        <f>HYPERLINK("http://141.218.60.56/~jnz1568/getInfo.php?workbook=20_10.xlsx&amp;sheet=U0&amp;row=1552&amp;col=7&amp;number=0.000684&amp;sourceID=14","0.000684")</f>
        <v>0.000684</v>
      </c>
    </row>
    <row r="1553" spans="1:7">
      <c r="A1553" s="3"/>
      <c r="B1553" s="3"/>
      <c r="C1553" s="3"/>
      <c r="D1553" s="3"/>
      <c r="E1553" s="3">
        <v>10</v>
      </c>
      <c r="F1553" s="4" t="str">
        <f>HYPERLINK("http://141.218.60.56/~jnz1568/getInfo.php?workbook=20_10.xlsx&amp;sheet=U0&amp;row=1553&amp;col=6&amp;number=3.9&amp;sourceID=14","3.9")</f>
        <v>3.9</v>
      </c>
      <c r="G1553" s="4" t="str">
        <f>HYPERLINK("http://141.218.60.56/~jnz1568/getInfo.php?workbook=20_10.xlsx&amp;sheet=U0&amp;row=1553&amp;col=7&amp;number=0.000684&amp;sourceID=14","0.000684")</f>
        <v>0.000684</v>
      </c>
    </row>
    <row r="1554" spans="1:7">
      <c r="A1554" s="3"/>
      <c r="B1554" s="3"/>
      <c r="C1554" s="3"/>
      <c r="D1554" s="3"/>
      <c r="E1554" s="3">
        <v>11</v>
      </c>
      <c r="F1554" s="4" t="str">
        <f>HYPERLINK("http://141.218.60.56/~jnz1568/getInfo.php?workbook=20_10.xlsx&amp;sheet=U0&amp;row=1554&amp;col=6&amp;number=4&amp;sourceID=14","4")</f>
        <v>4</v>
      </c>
      <c r="G1554" s="4" t="str">
        <f>HYPERLINK("http://141.218.60.56/~jnz1568/getInfo.php?workbook=20_10.xlsx&amp;sheet=U0&amp;row=1554&amp;col=7&amp;number=0.000684&amp;sourceID=14","0.000684")</f>
        <v>0.000684</v>
      </c>
    </row>
    <row r="1555" spans="1:7">
      <c r="A1555" s="3"/>
      <c r="B1555" s="3"/>
      <c r="C1555" s="3"/>
      <c r="D1555" s="3"/>
      <c r="E1555" s="3">
        <v>12</v>
      </c>
      <c r="F1555" s="4" t="str">
        <f>HYPERLINK("http://141.218.60.56/~jnz1568/getInfo.php?workbook=20_10.xlsx&amp;sheet=U0&amp;row=1555&amp;col=6&amp;number=4.1&amp;sourceID=14","4.1")</f>
        <v>4.1</v>
      </c>
      <c r="G1555" s="4" t="str">
        <f>HYPERLINK("http://141.218.60.56/~jnz1568/getInfo.php?workbook=20_10.xlsx&amp;sheet=U0&amp;row=1555&amp;col=7&amp;number=0.000684&amp;sourceID=14","0.000684")</f>
        <v>0.000684</v>
      </c>
    </row>
    <row r="1556" spans="1:7">
      <c r="A1556" s="3"/>
      <c r="B1556" s="3"/>
      <c r="C1556" s="3"/>
      <c r="D1556" s="3"/>
      <c r="E1556" s="3">
        <v>13</v>
      </c>
      <c r="F1556" s="4" t="str">
        <f>HYPERLINK("http://141.218.60.56/~jnz1568/getInfo.php?workbook=20_10.xlsx&amp;sheet=U0&amp;row=1556&amp;col=6&amp;number=4.2&amp;sourceID=14","4.2")</f>
        <v>4.2</v>
      </c>
      <c r="G1556" s="4" t="str">
        <f>HYPERLINK("http://141.218.60.56/~jnz1568/getInfo.php?workbook=20_10.xlsx&amp;sheet=U0&amp;row=1556&amp;col=7&amp;number=0.000684&amp;sourceID=14","0.000684")</f>
        <v>0.000684</v>
      </c>
    </row>
    <row r="1557" spans="1:7">
      <c r="A1557" s="3"/>
      <c r="B1557" s="3"/>
      <c r="C1557" s="3"/>
      <c r="D1557" s="3"/>
      <c r="E1557" s="3">
        <v>14</v>
      </c>
      <c r="F1557" s="4" t="str">
        <f>HYPERLINK("http://141.218.60.56/~jnz1568/getInfo.php?workbook=20_10.xlsx&amp;sheet=U0&amp;row=1557&amp;col=6&amp;number=4.3&amp;sourceID=14","4.3")</f>
        <v>4.3</v>
      </c>
      <c r="G1557" s="4" t="str">
        <f>HYPERLINK("http://141.218.60.56/~jnz1568/getInfo.php?workbook=20_10.xlsx&amp;sheet=U0&amp;row=1557&amp;col=7&amp;number=0.000683&amp;sourceID=14","0.000683")</f>
        <v>0.000683</v>
      </c>
    </row>
    <row r="1558" spans="1:7">
      <c r="A1558" s="3"/>
      <c r="B1558" s="3"/>
      <c r="C1558" s="3"/>
      <c r="D1558" s="3"/>
      <c r="E1558" s="3">
        <v>15</v>
      </c>
      <c r="F1558" s="4" t="str">
        <f>HYPERLINK("http://141.218.60.56/~jnz1568/getInfo.php?workbook=20_10.xlsx&amp;sheet=U0&amp;row=1558&amp;col=6&amp;number=4.4&amp;sourceID=14","4.4")</f>
        <v>4.4</v>
      </c>
      <c r="G1558" s="4" t="str">
        <f>HYPERLINK("http://141.218.60.56/~jnz1568/getInfo.php?workbook=20_10.xlsx&amp;sheet=U0&amp;row=1558&amp;col=7&amp;number=0.000683&amp;sourceID=14","0.000683")</f>
        <v>0.000683</v>
      </c>
    </row>
    <row r="1559" spans="1:7">
      <c r="A1559" s="3"/>
      <c r="B1559" s="3"/>
      <c r="C1559" s="3"/>
      <c r="D1559" s="3"/>
      <c r="E1559" s="3">
        <v>16</v>
      </c>
      <c r="F1559" s="4" t="str">
        <f>HYPERLINK("http://141.218.60.56/~jnz1568/getInfo.php?workbook=20_10.xlsx&amp;sheet=U0&amp;row=1559&amp;col=6&amp;number=4.5&amp;sourceID=14","4.5")</f>
        <v>4.5</v>
      </c>
      <c r="G1559" s="4" t="str">
        <f>HYPERLINK("http://141.218.60.56/~jnz1568/getInfo.php?workbook=20_10.xlsx&amp;sheet=U0&amp;row=1559&amp;col=7&amp;number=0.000683&amp;sourceID=14","0.000683")</f>
        <v>0.000683</v>
      </c>
    </row>
    <row r="1560" spans="1:7">
      <c r="A1560" s="3"/>
      <c r="B1560" s="3"/>
      <c r="C1560" s="3"/>
      <c r="D1560" s="3"/>
      <c r="E1560" s="3">
        <v>17</v>
      </c>
      <c r="F1560" s="4" t="str">
        <f>HYPERLINK("http://141.218.60.56/~jnz1568/getInfo.php?workbook=20_10.xlsx&amp;sheet=U0&amp;row=1560&amp;col=6&amp;number=4.6&amp;sourceID=14","4.6")</f>
        <v>4.6</v>
      </c>
      <c r="G1560" s="4" t="str">
        <f>HYPERLINK("http://141.218.60.56/~jnz1568/getInfo.php?workbook=20_10.xlsx&amp;sheet=U0&amp;row=1560&amp;col=7&amp;number=0.000682&amp;sourceID=14","0.000682")</f>
        <v>0.000682</v>
      </c>
    </row>
    <row r="1561" spans="1:7">
      <c r="A1561" s="3"/>
      <c r="B1561" s="3"/>
      <c r="C1561" s="3"/>
      <c r="D1561" s="3"/>
      <c r="E1561" s="3">
        <v>18</v>
      </c>
      <c r="F1561" s="4" t="str">
        <f>HYPERLINK("http://141.218.60.56/~jnz1568/getInfo.php?workbook=20_10.xlsx&amp;sheet=U0&amp;row=1561&amp;col=6&amp;number=4.7&amp;sourceID=14","4.7")</f>
        <v>4.7</v>
      </c>
      <c r="G1561" s="4" t="str">
        <f>HYPERLINK("http://141.218.60.56/~jnz1568/getInfo.php?workbook=20_10.xlsx&amp;sheet=U0&amp;row=1561&amp;col=7&amp;number=0.000681&amp;sourceID=14","0.000681")</f>
        <v>0.000681</v>
      </c>
    </row>
    <row r="1562" spans="1:7">
      <c r="A1562" s="3"/>
      <c r="B1562" s="3"/>
      <c r="C1562" s="3"/>
      <c r="D1562" s="3"/>
      <c r="E1562" s="3">
        <v>19</v>
      </c>
      <c r="F1562" s="4" t="str">
        <f>HYPERLINK("http://141.218.60.56/~jnz1568/getInfo.php?workbook=20_10.xlsx&amp;sheet=U0&amp;row=1562&amp;col=6&amp;number=4.8&amp;sourceID=14","4.8")</f>
        <v>4.8</v>
      </c>
      <c r="G1562" s="4" t="str">
        <f>HYPERLINK("http://141.218.60.56/~jnz1568/getInfo.php?workbook=20_10.xlsx&amp;sheet=U0&amp;row=1562&amp;col=7&amp;number=0.000681&amp;sourceID=14","0.000681")</f>
        <v>0.000681</v>
      </c>
    </row>
    <row r="1563" spans="1:7">
      <c r="A1563" s="3"/>
      <c r="B1563" s="3"/>
      <c r="C1563" s="3"/>
      <c r="D1563" s="3"/>
      <c r="E1563" s="3">
        <v>20</v>
      </c>
      <c r="F1563" s="4" t="str">
        <f>HYPERLINK("http://141.218.60.56/~jnz1568/getInfo.php?workbook=20_10.xlsx&amp;sheet=U0&amp;row=1563&amp;col=6&amp;number=4.9&amp;sourceID=14","4.9")</f>
        <v>4.9</v>
      </c>
      <c r="G1563" s="4" t="str">
        <f>HYPERLINK("http://141.218.60.56/~jnz1568/getInfo.php?workbook=20_10.xlsx&amp;sheet=U0&amp;row=1563&amp;col=7&amp;number=0.00068&amp;sourceID=14","0.00068")</f>
        <v>0.00068</v>
      </c>
    </row>
    <row r="1564" spans="1:7">
      <c r="A1564" s="3">
        <v>20</v>
      </c>
      <c r="B1564" s="3">
        <v>10</v>
      </c>
      <c r="C1564" s="3">
        <v>1</v>
      </c>
      <c r="D1564" s="3">
        <v>80</v>
      </c>
      <c r="E1564" s="3">
        <v>1</v>
      </c>
      <c r="F1564" s="4" t="str">
        <f>HYPERLINK("http://141.218.60.56/~jnz1568/getInfo.php?workbook=20_10.xlsx&amp;sheet=U0&amp;row=1564&amp;col=6&amp;number=3&amp;sourceID=14","3")</f>
        <v>3</v>
      </c>
      <c r="G1564" s="4" t="str">
        <f>HYPERLINK("http://141.218.60.56/~jnz1568/getInfo.php?workbook=20_10.xlsx&amp;sheet=U0&amp;row=1564&amp;col=7&amp;number=0.00106&amp;sourceID=14","0.00106")</f>
        <v>0.00106</v>
      </c>
    </row>
    <row r="1565" spans="1:7">
      <c r="A1565" s="3"/>
      <c r="B1565" s="3"/>
      <c r="C1565" s="3"/>
      <c r="D1565" s="3"/>
      <c r="E1565" s="3">
        <v>2</v>
      </c>
      <c r="F1565" s="4" t="str">
        <f>HYPERLINK("http://141.218.60.56/~jnz1568/getInfo.php?workbook=20_10.xlsx&amp;sheet=U0&amp;row=1565&amp;col=6&amp;number=3.1&amp;sourceID=14","3.1")</f>
        <v>3.1</v>
      </c>
      <c r="G1565" s="4" t="str">
        <f>HYPERLINK("http://141.218.60.56/~jnz1568/getInfo.php?workbook=20_10.xlsx&amp;sheet=U0&amp;row=1565&amp;col=7&amp;number=0.00106&amp;sourceID=14","0.00106")</f>
        <v>0.00106</v>
      </c>
    </row>
    <row r="1566" spans="1:7">
      <c r="A1566" s="3"/>
      <c r="B1566" s="3"/>
      <c r="C1566" s="3"/>
      <c r="D1566" s="3"/>
      <c r="E1566" s="3">
        <v>3</v>
      </c>
      <c r="F1566" s="4" t="str">
        <f>HYPERLINK("http://141.218.60.56/~jnz1568/getInfo.php?workbook=20_10.xlsx&amp;sheet=U0&amp;row=1566&amp;col=6&amp;number=3.2&amp;sourceID=14","3.2")</f>
        <v>3.2</v>
      </c>
      <c r="G1566" s="4" t="str">
        <f>HYPERLINK("http://141.218.60.56/~jnz1568/getInfo.php?workbook=20_10.xlsx&amp;sheet=U0&amp;row=1566&amp;col=7&amp;number=0.00106&amp;sourceID=14","0.00106")</f>
        <v>0.00106</v>
      </c>
    </row>
    <row r="1567" spans="1:7">
      <c r="A1567" s="3"/>
      <c r="B1567" s="3"/>
      <c r="C1567" s="3"/>
      <c r="D1567" s="3"/>
      <c r="E1567" s="3">
        <v>4</v>
      </c>
      <c r="F1567" s="4" t="str">
        <f>HYPERLINK("http://141.218.60.56/~jnz1568/getInfo.php?workbook=20_10.xlsx&amp;sheet=U0&amp;row=1567&amp;col=6&amp;number=3.3&amp;sourceID=14","3.3")</f>
        <v>3.3</v>
      </c>
      <c r="G1567" s="4" t="str">
        <f>HYPERLINK("http://141.218.60.56/~jnz1568/getInfo.php?workbook=20_10.xlsx&amp;sheet=U0&amp;row=1567&amp;col=7&amp;number=0.00106&amp;sourceID=14","0.00106")</f>
        <v>0.00106</v>
      </c>
    </row>
    <row r="1568" spans="1:7">
      <c r="A1568" s="3"/>
      <c r="B1568" s="3"/>
      <c r="C1568" s="3"/>
      <c r="D1568" s="3"/>
      <c r="E1568" s="3">
        <v>5</v>
      </c>
      <c r="F1568" s="4" t="str">
        <f>HYPERLINK("http://141.218.60.56/~jnz1568/getInfo.php?workbook=20_10.xlsx&amp;sheet=U0&amp;row=1568&amp;col=6&amp;number=3.4&amp;sourceID=14","3.4")</f>
        <v>3.4</v>
      </c>
      <c r="G1568" s="4" t="str">
        <f>HYPERLINK("http://141.218.60.56/~jnz1568/getInfo.php?workbook=20_10.xlsx&amp;sheet=U0&amp;row=1568&amp;col=7&amp;number=0.00106&amp;sourceID=14","0.00106")</f>
        <v>0.00106</v>
      </c>
    </row>
    <row r="1569" spans="1:7">
      <c r="A1569" s="3"/>
      <c r="B1569" s="3"/>
      <c r="C1569" s="3"/>
      <c r="D1569" s="3"/>
      <c r="E1569" s="3">
        <v>6</v>
      </c>
      <c r="F1569" s="4" t="str">
        <f>HYPERLINK("http://141.218.60.56/~jnz1568/getInfo.php?workbook=20_10.xlsx&amp;sheet=U0&amp;row=1569&amp;col=6&amp;number=3.5&amp;sourceID=14","3.5")</f>
        <v>3.5</v>
      </c>
      <c r="G1569" s="4" t="str">
        <f>HYPERLINK("http://141.218.60.56/~jnz1568/getInfo.php?workbook=20_10.xlsx&amp;sheet=U0&amp;row=1569&amp;col=7&amp;number=0.00106&amp;sourceID=14","0.00106")</f>
        <v>0.00106</v>
      </c>
    </row>
    <row r="1570" spans="1:7">
      <c r="A1570" s="3"/>
      <c r="B1570" s="3"/>
      <c r="C1570" s="3"/>
      <c r="D1570" s="3"/>
      <c r="E1570" s="3">
        <v>7</v>
      </c>
      <c r="F1570" s="4" t="str">
        <f>HYPERLINK("http://141.218.60.56/~jnz1568/getInfo.php?workbook=20_10.xlsx&amp;sheet=U0&amp;row=1570&amp;col=6&amp;number=3.6&amp;sourceID=14","3.6")</f>
        <v>3.6</v>
      </c>
      <c r="G1570" s="4" t="str">
        <f>HYPERLINK("http://141.218.60.56/~jnz1568/getInfo.php?workbook=20_10.xlsx&amp;sheet=U0&amp;row=1570&amp;col=7&amp;number=0.00106&amp;sourceID=14","0.00106")</f>
        <v>0.00106</v>
      </c>
    </row>
    <row r="1571" spans="1:7">
      <c r="A1571" s="3"/>
      <c r="B1571" s="3"/>
      <c r="C1571" s="3"/>
      <c r="D1571" s="3"/>
      <c r="E1571" s="3">
        <v>8</v>
      </c>
      <c r="F1571" s="4" t="str">
        <f>HYPERLINK("http://141.218.60.56/~jnz1568/getInfo.php?workbook=20_10.xlsx&amp;sheet=U0&amp;row=1571&amp;col=6&amp;number=3.7&amp;sourceID=14","3.7")</f>
        <v>3.7</v>
      </c>
      <c r="G1571" s="4" t="str">
        <f>HYPERLINK("http://141.218.60.56/~jnz1568/getInfo.php?workbook=20_10.xlsx&amp;sheet=U0&amp;row=1571&amp;col=7&amp;number=0.00106&amp;sourceID=14","0.00106")</f>
        <v>0.00106</v>
      </c>
    </row>
    <row r="1572" spans="1:7">
      <c r="A1572" s="3"/>
      <c r="B1572" s="3"/>
      <c r="C1572" s="3"/>
      <c r="D1572" s="3"/>
      <c r="E1572" s="3">
        <v>9</v>
      </c>
      <c r="F1572" s="4" t="str">
        <f>HYPERLINK("http://141.218.60.56/~jnz1568/getInfo.php?workbook=20_10.xlsx&amp;sheet=U0&amp;row=1572&amp;col=6&amp;number=3.8&amp;sourceID=14","3.8")</f>
        <v>3.8</v>
      </c>
      <c r="G1572" s="4" t="str">
        <f>HYPERLINK("http://141.218.60.56/~jnz1568/getInfo.php?workbook=20_10.xlsx&amp;sheet=U0&amp;row=1572&amp;col=7&amp;number=0.00106&amp;sourceID=14","0.00106")</f>
        <v>0.00106</v>
      </c>
    </row>
    <row r="1573" spans="1:7">
      <c r="A1573" s="3"/>
      <c r="B1573" s="3"/>
      <c r="C1573" s="3"/>
      <c r="D1573" s="3"/>
      <c r="E1573" s="3">
        <v>10</v>
      </c>
      <c r="F1573" s="4" t="str">
        <f>HYPERLINK("http://141.218.60.56/~jnz1568/getInfo.php?workbook=20_10.xlsx&amp;sheet=U0&amp;row=1573&amp;col=6&amp;number=3.9&amp;sourceID=14","3.9")</f>
        <v>3.9</v>
      </c>
      <c r="G1573" s="4" t="str">
        <f>HYPERLINK("http://141.218.60.56/~jnz1568/getInfo.php?workbook=20_10.xlsx&amp;sheet=U0&amp;row=1573&amp;col=7&amp;number=0.00106&amp;sourceID=14","0.00106")</f>
        <v>0.00106</v>
      </c>
    </row>
    <row r="1574" spans="1:7">
      <c r="A1574" s="3"/>
      <c r="B1574" s="3"/>
      <c r="C1574" s="3"/>
      <c r="D1574" s="3"/>
      <c r="E1574" s="3">
        <v>11</v>
      </c>
      <c r="F1574" s="4" t="str">
        <f>HYPERLINK("http://141.218.60.56/~jnz1568/getInfo.php?workbook=20_10.xlsx&amp;sheet=U0&amp;row=1574&amp;col=6&amp;number=4&amp;sourceID=14","4")</f>
        <v>4</v>
      </c>
      <c r="G1574" s="4" t="str">
        <f>HYPERLINK("http://141.218.60.56/~jnz1568/getInfo.php?workbook=20_10.xlsx&amp;sheet=U0&amp;row=1574&amp;col=7&amp;number=0.00106&amp;sourceID=14","0.00106")</f>
        <v>0.00106</v>
      </c>
    </row>
    <row r="1575" spans="1:7">
      <c r="A1575" s="3"/>
      <c r="B1575" s="3"/>
      <c r="C1575" s="3"/>
      <c r="D1575" s="3"/>
      <c r="E1575" s="3">
        <v>12</v>
      </c>
      <c r="F1575" s="4" t="str">
        <f>HYPERLINK("http://141.218.60.56/~jnz1568/getInfo.php?workbook=20_10.xlsx&amp;sheet=U0&amp;row=1575&amp;col=6&amp;number=4.1&amp;sourceID=14","4.1")</f>
        <v>4.1</v>
      </c>
      <c r="G1575" s="4" t="str">
        <f>HYPERLINK("http://141.218.60.56/~jnz1568/getInfo.php?workbook=20_10.xlsx&amp;sheet=U0&amp;row=1575&amp;col=7&amp;number=0.00106&amp;sourceID=14","0.00106")</f>
        <v>0.00106</v>
      </c>
    </row>
    <row r="1576" spans="1:7">
      <c r="A1576" s="3"/>
      <c r="B1576" s="3"/>
      <c r="C1576" s="3"/>
      <c r="D1576" s="3"/>
      <c r="E1576" s="3">
        <v>13</v>
      </c>
      <c r="F1576" s="4" t="str">
        <f>HYPERLINK("http://141.218.60.56/~jnz1568/getInfo.php?workbook=20_10.xlsx&amp;sheet=U0&amp;row=1576&amp;col=6&amp;number=4.2&amp;sourceID=14","4.2")</f>
        <v>4.2</v>
      </c>
      <c r="G1576" s="4" t="str">
        <f>HYPERLINK("http://141.218.60.56/~jnz1568/getInfo.php?workbook=20_10.xlsx&amp;sheet=U0&amp;row=1576&amp;col=7&amp;number=0.00106&amp;sourceID=14","0.00106")</f>
        <v>0.00106</v>
      </c>
    </row>
    <row r="1577" spans="1:7">
      <c r="A1577" s="3"/>
      <c r="B1577" s="3"/>
      <c r="C1577" s="3"/>
      <c r="D1577" s="3"/>
      <c r="E1577" s="3">
        <v>14</v>
      </c>
      <c r="F1577" s="4" t="str">
        <f>HYPERLINK("http://141.218.60.56/~jnz1568/getInfo.php?workbook=20_10.xlsx&amp;sheet=U0&amp;row=1577&amp;col=6&amp;number=4.3&amp;sourceID=14","4.3")</f>
        <v>4.3</v>
      </c>
      <c r="G1577" s="4" t="str">
        <f>HYPERLINK("http://141.218.60.56/~jnz1568/getInfo.php?workbook=20_10.xlsx&amp;sheet=U0&amp;row=1577&amp;col=7&amp;number=0.00106&amp;sourceID=14","0.00106")</f>
        <v>0.00106</v>
      </c>
    </row>
    <row r="1578" spans="1:7">
      <c r="A1578" s="3"/>
      <c r="B1578" s="3"/>
      <c r="C1578" s="3"/>
      <c r="D1578" s="3"/>
      <c r="E1578" s="3">
        <v>15</v>
      </c>
      <c r="F1578" s="4" t="str">
        <f>HYPERLINK("http://141.218.60.56/~jnz1568/getInfo.php?workbook=20_10.xlsx&amp;sheet=U0&amp;row=1578&amp;col=6&amp;number=4.4&amp;sourceID=14","4.4")</f>
        <v>4.4</v>
      </c>
      <c r="G1578" s="4" t="str">
        <f>HYPERLINK("http://141.218.60.56/~jnz1568/getInfo.php?workbook=20_10.xlsx&amp;sheet=U0&amp;row=1578&amp;col=7&amp;number=0.00105&amp;sourceID=14","0.00105")</f>
        <v>0.00105</v>
      </c>
    </row>
    <row r="1579" spans="1:7">
      <c r="A1579" s="3"/>
      <c r="B1579" s="3"/>
      <c r="C1579" s="3"/>
      <c r="D1579" s="3"/>
      <c r="E1579" s="3">
        <v>16</v>
      </c>
      <c r="F1579" s="4" t="str">
        <f>HYPERLINK("http://141.218.60.56/~jnz1568/getInfo.php?workbook=20_10.xlsx&amp;sheet=U0&amp;row=1579&amp;col=6&amp;number=4.5&amp;sourceID=14","4.5")</f>
        <v>4.5</v>
      </c>
      <c r="G1579" s="4" t="str">
        <f>HYPERLINK("http://141.218.60.56/~jnz1568/getInfo.php?workbook=20_10.xlsx&amp;sheet=U0&amp;row=1579&amp;col=7&amp;number=0.00105&amp;sourceID=14","0.00105")</f>
        <v>0.00105</v>
      </c>
    </row>
    <row r="1580" spans="1:7">
      <c r="A1580" s="3"/>
      <c r="B1580" s="3"/>
      <c r="C1580" s="3"/>
      <c r="D1580" s="3"/>
      <c r="E1580" s="3">
        <v>17</v>
      </c>
      <c r="F1580" s="4" t="str">
        <f>HYPERLINK("http://141.218.60.56/~jnz1568/getInfo.php?workbook=20_10.xlsx&amp;sheet=U0&amp;row=1580&amp;col=6&amp;number=4.6&amp;sourceID=14","4.6")</f>
        <v>4.6</v>
      </c>
      <c r="G1580" s="4" t="str">
        <f>HYPERLINK("http://141.218.60.56/~jnz1568/getInfo.php?workbook=20_10.xlsx&amp;sheet=U0&amp;row=1580&amp;col=7&amp;number=0.00105&amp;sourceID=14","0.00105")</f>
        <v>0.00105</v>
      </c>
    </row>
    <row r="1581" spans="1:7">
      <c r="A1581" s="3"/>
      <c r="B1581" s="3"/>
      <c r="C1581" s="3"/>
      <c r="D1581" s="3"/>
      <c r="E1581" s="3">
        <v>18</v>
      </c>
      <c r="F1581" s="4" t="str">
        <f>HYPERLINK("http://141.218.60.56/~jnz1568/getInfo.php?workbook=20_10.xlsx&amp;sheet=U0&amp;row=1581&amp;col=6&amp;number=4.7&amp;sourceID=14","4.7")</f>
        <v>4.7</v>
      </c>
      <c r="G1581" s="4" t="str">
        <f>HYPERLINK("http://141.218.60.56/~jnz1568/getInfo.php?workbook=20_10.xlsx&amp;sheet=U0&amp;row=1581&amp;col=7&amp;number=0.00105&amp;sourceID=14","0.00105")</f>
        <v>0.00105</v>
      </c>
    </row>
    <row r="1582" spans="1:7">
      <c r="A1582" s="3"/>
      <c r="B1582" s="3"/>
      <c r="C1582" s="3"/>
      <c r="D1582" s="3"/>
      <c r="E1582" s="3">
        <v>19</v>
      </c>
      <c r="F1582" s="4" t="str">
        <f>HYPERLINK("http://141.218.60.56/~jnz1568/getInfo.php?workbook=20_10.xlsx&amp;sheet=U0&amp;row=1582&amp;col=6&amp;number=4.8&amp;sourceID=14","4.8")</f>
        <v>4.8</v>
      </c>
      <c r="G1582" s="4" t="str">
        <f>HYPERLINK("http://141.218.60.56/~jnz1568/getInfo.php?workbook=20_10.xlsx&amp;sheet=U0&amp;row=1582&amp;col=7&amp;number=0.00105&amp;sourceID=14","0.00105")</f>
        <v>0.00105</v>
      </c>
    </row>
    <row r="1583" spans="1:7">
      <c r="A1583" s="3"/>
      <c r="B1583" s="3"/>
      <c r="C1583" s="3"/>
      <c r="D1583" s="3"/>
      <c r="E1583" s="3">
        <v>20</v>
      </c>
      <c r="F1583" s="4" t="str">
        <f>HYPERLINK("http://141.218.60.56/~jnz1568/getInfo.php?workbook=20_10.xlsx&amp;sheet=U0&amp;row=1583&amp;col=6&amp;number=4.9&amp;sourceID=14","4.9")</f>
        <v>4.9</v>
      </c>
      <c r="G1583" s="4" t="str">
        <f>HYPERLINK("http://141.218.60.56/~jnz1568/getInfo.php?workbook=20_10.xlsx&amp;sheet=U0&amp;row=1583&amp;col=7&amp;number=0.00104&amp;sourceID=14","0.00104")</f>
        <v>0.00104</v>
      </c>
    </row>
    <row r="1584" spans="1:7">
      <c r="A1584" s="3">
        <v>20</v>
      </c>
      <c r="B1584" s="3">
        <v>10</v>
      </c>
      <c r="C1584" s="3">
        <v>1</v>
      </c>
      <c r="D1584" s="3">
        <v>81</v>
      </c>
      <c r="E1584" s="3">
        <v>1</v>
      </c>
      <c r="F1584" s="4" t="str">
        <f>HYPERLINK("http://141.218.60.56/~jnz1568/getInfo.php?workbook=20_10.xlsx&amp;sheet=U0&amp;row=1584&amp;col=6&amp;number=3&amp;sourceID=14","3")</f>
        <v>3</v>
      </c>
      <c r="G1584" s="4" t="str">
        <f>HYPERLINK("http://141.218.60.56/~jnz1568/getInfo.php?workbook=20_10.xlsx&amp;sheet=U0&amp;row=1584&amp;col=7&amp;number=0.00189&amp;sourceID=14","0.00189")</f>
        <v>0.00189</v>
      </c>
    </row>
    <row r="1585" spans="1:7">
      <c r="A1585" s="3"/>
      <c r="B1585" s="3"/>
      <c r="C1585" s="3"/>
      <c r="D1585" s="3"/>
      <c r="E1585" s="3">
        <v>2</v>
      </c>
      <c r="F1585" s="4" t="str">
        <f>HYPERLINK("http://141.218.60.56/~jnz1568/getInfo.php?workbook=20_10.xlsx&amp;sheet=U0&amp;row=1585&amp;col=6&amp;number=3.1&amp;sourceID=14","3.1")</f>
        <v>3.1</v>
      </c>
      <c r="G1585" s="4" t="str">
        <f>HYPERLINK("http://141.218.60.56/~jnz1568/getInfo.php?workbook=20_10.xlsx&amp;sheet=U0&amp;row=1585&amp;col=7&amp;number=0.00189&amp;sourceID=14","0.00189")</f>
        <v>0.00189</v>
      </c>
    </row>
    <row r="1586" spans="1:7">
      <c r="A1586" s="3"/>
      <c r="B1586" s="3"/>
      <c r="C1586" s="3"/>
      <c r="D1586" s="3"/>
      <c r="E1586" s="3">
        <v>3</v>
      </c>
      <c r="F1586" s="4" t="str">
        <f>HYPERLINK("http://141.218.60.56/~jnz1568/getInfo.php?workbook=20_10.xlsx&amp;sheet=U0&amp;row=1586&amp;col=6&amp;number=3.2&amp;sourceID=14","3.2")</f>
        <v>3.2</v>
      </c>
      <c r="G1586" s="4" t="str">
        <f>HYPERLINK("http://141.218.60.56/~jnz1568/getInfo.php?workbook=20_10.xlsx&amp;sheet=U0&amp;row=1586&amp;col=7&amp;number=0.00189&amp;sourceID=14","0.00189")</f>
        <v>0.00189</v>
      </c>
    </row>
    <row r="1587" spans="1:7">
      <c r="A1587" s="3"/>
      <c r="B1587" s="3"/>
      <c r="C1587" s="3"/>
      <c r="D1587" s="3"/>
      <c r="E1587" s="3">
        <v>4</v>
      </c>
      <c r="F1587" s="4" t="str">
        <f>HYPERLINK("http://141.218.60.56/~jnz1568/getInfo.php?workbook=20_10.xlsx&amp;sheet=U0&amp;row=1587&amp;col=6&amp;number=3.3&amp;sourceID=14","3.3")</f>
        <v>3.3</v>
      </c>
      <c r="G1587" s="4" t="str">
        <f>HYPERLINK("http://141.218.60.56/~jnz1568/getInfo.php?workbook=20_10.xlsx&amp;sheet=U0&amp;row=1587&amp;col=7&amp;number=0.00189&amp;sourceID=14","0.00189")</f>
        <v>0.00189</v>
      </c>
    </row>
    <row r="1588" spans="1:7">
      <c r="A1588" s="3"/>
      <c r="B1588" s="3"/>
      <c r="C1588" s="3"/>
      <c r="D1588" s="3"/>
      <c r="E1588" s="3">
        <v>5</v>
      </c>
      <c r="F1588" s="4" t="str">
        <f>HYPERLINK("http://141.218.60.56/~jnz1568/getInfo.php?workbook=20_10.xlsx&amp;sheet=U0&amp;row=1588&amp;col=6&amp;number=3.4&amp;sourceID=14","3.4")</f>
        <v>3.4</v>
      </c>
      <c r="G1588" s="4" t="str">
        <f>HYPERLINK("http://141.218.60.56/~jnz1568/getInfo.php?workbook=20_10.xlsx&amp;sheet=U0&amp;row=1588&amp;col=7&amp;number=0.00189&amp;sourceID=14","0.00189")</f>
        <v>0.00189</v>
      </c>
    </row>
    <row r="1589" spans="1:7">
      <c r="A1589" s="3"/>
      <c r="B1589" s="3"/>
      <c r="C1589" s="3"/>
      <c r="D1589" s="3"/>
      <c r="E1589" s="3">
        <v>6</v>
      </c>
      <c r="F1589" s="4" t="str">
        <f>HYPERLINK("http://141.218.60.56/~jnz1568/getInfo.php?workbook=20_10.xlsx&amp;sheet=U0&amp;row=1589&amp;col=6&amp;number=3.5&amp;sourceID=14","3.5")</f>
        <v>3.5</v>
      </c>
      <c r="G1589" s="4" t="str">
        <f>HYPERLINK("http://141.218.60.56/~jnz1568/getInfo.php?workbook=20_10.xlsx&amp;sheet=U0&amp;row=1589&amp;col=7&amp;number=0.00189&amp;sourceID=14","0.00189")</f>
        <v>0.00189</v>
      </c>
    </row>
    <row r="1590" spans="1:7">
      <c r="A1590" s="3"/>
      <c r="B1590" s="3"/>
      <c r="C1590" s="3"/>
      <c r="D1590" s="3"/>
      <c r="E1590" s="3">
        <v>7</v>
      </c>
      <c r="F1590" s="4" t="str">
        <f>HYPERLINK("http://141.218.60.56/~jnz1568/getInfo.php?workbook=20_10.xlsx&amp;sheet=U0&amp;row=1590&amp;col=6&amp;number=3.6&amp;sourceID=14","3.6")</f>
        <v>3.6</v>
      </c>
      <c r="G1590" s="4" t="str">
        <f>HYPERLINK("http://141.218.60.56/~jnz1568/getInfo.php?workbook=20_10.xlsx&amp;sheet=U0&amp;row=1590&amp;col=7&amp;number=0.00189&amp;sourceID=14","0.00189")</f>
        <v>0.00189</v>
      </c>
    </row>
    <row r="1591" spans="1:7">
      <c r="A1591" s="3"/>
      <c r="B1591" s="3"/>
      <c r="C1591" s="3"/>
      <c r="D1591" s="3"/>
      <c r="E1591" s="3">
        <v>8</v>
      </c>
      <c r="F1591" s="4" t="str">
        <f>HYPERLINK("http://141.218.60.56/~jnz1568/getInfo.php?workbook=20_10.xlsx&amp;sheet=U0&amp;row=1591&amp;col=6&amp;number=3.7&amp;sourceID=14","3.7")</f>
        <v>3.7</v>
      </c>
      <c r="G1591" s="4" t="str">
        <f>HYPERLINK("http://141.218.60.56/~jnz1568/getInfo.php?workbook=20_10.xlsx&amp;sheet=U0&amp;row=1591&amp;col=7&amp;number=0.00189&amp;sourceID=14","0.00189")</f>
        <v>0.00189</v>
      </c>
    </row>
    <row r="1592" spans="1:7">
      <c r="A1592" s="3"/>
      <c r="B1592" s="3"/>
      <c r="C1592" s="3"/>
      <c r="D1592" s="3"/>
      <c r="E1592" s="3">
        <v>9</v>
      </c>
      <c r="F1592" s="4" t="str">
        <f>HYPERLINK("http://141.218.60.56/~jnz1568/getInfo.php?workbook=20_10.xlsx&amp;sheet=U0&amp;row=1592&amp;col=6&amp;number=3.8&amp;sourceID=14","3.8")</f>
        <v>3.8</v>
      </c>
      <c r="G1592" s="4" t="str">
        <f>HYPERLINK("http://141.218.60.56/~jnz1568/getInfo.php?workbook=20_10.xlsx&amp;sheet=U0&amp;row=1592&amp;col=7&amp;number=0.00189&amp;sourceID=14","0.00189")</f>
        <v>0.00189</v>
      </c>
    </row>
    <row r="1593" spans="1:7">
      <c r="A1593" s="3"/>
      <c r="B1593" s="3"/>
      <c r="C1593" s="3"/>
      <c r="D1593" s="3"/>
      <c r="E1593" s="3">
        <v>10</v>
      </c>
      <c r="F1593" s="4" t="str">
        <f>HYPERLINK("http://141.218.60.56/~jnz1568/getInfo.php?workbook=20_10.xlsx&amp;sheet=U0&amp;row=1593&amp;col=6&amp;number=3.9&amp;sourceID=14","3.9")</f>
        <v>3.9</v>
      </c>
      <c r="G1593" s="4" t="str">
        <f>HYPERLINK("http://141.218.60.56/~jnz1568/getInfo.php?workbook=20_10.xlsx&amp;sheet=U0&amp;row=1593&amp;col=7&amp;number=0.00189&amp;sourceID=14","0.00189")</f>
        <v>0.00189</v>
      </c>
    </row>
    <row r="1594" spans="1:7">
      <c r="A1594" s="3"/>
      <c r="B1594" s="3"/>
      <c r="C1594" s="3"/>
      <c r="D1594" s="3"/>
      <c r="E1594" s="3">
        <v>11</v>
      </c>
      <c r="F1594" s="4" t="str">
        <f>HYPERLINK("http://141.218.60.56/~jnz1568/getInfo.php?workbook=20_10.xlsx&amp;sheet=U0&amp;row=1594&amp;col=6&amp;number=4&amp;sourceID=14","4")</f>
        <v>4</v>
      </c>
      <c r="G1594" s="4" t="str">
        <f>HYPERLINK("http://141.218.60.56/~jnz1568/getInfo.php?workbook=20_10.xlsx&amp;sheet=U0&amp;row=1594&amp;col=7&amp;number=0.00189&amp;sourceID=14","0.00189")</f>
        <v>0.00189</v>
      </c>
    </row>
    <row r="1595" spans="1:7">
      <c r="A1595" s="3"/>
      <c r="B1595" s="3"/>
      <c r="C1595" s="3"/>
      <c r="D1595" s="3"/>
      <c r="E1595" s="3">
        <v>12</v>
      </c>
      <c r="F1595" s="4" t="str">
        <f>HYPERLINK("http://141.218.60.56/~jnz1568/getInfo.php?workbook=20_10.xlsx&amp;sheet=U0&amp;row=1595&amp;col=6&amp;number=4.1&amp;sourceID=14","4.1")</f>
        <v>4.1</v>
      </c>
      <c r="G1595" s="4" t="str">
        <f>HYPERLINK("http://141.218.60.56/~jnz1568/getInfo.php?workbook=20_10.xlsx&amp;sheet=U0&amp;row=1595&amp;col=7&amp;number=0.0019&amp;sourceID=14","0.0019")</f>
        <v>0.0019</v>
      </c>
    </row>
    <row r="1596" spans="1:7">
      <c r="A1596" s="3"/>
      <c r="B1596" s="3"/>
      <c r="C1596" s="3"/>
      <c r="D1596" s="3"/>
      <c r="E1596" s="3">
        <v>13</v>
      </c>
      <c r="F1596" s="4" t="str">
        <f>HYPERLINK("http://141.218.60.56/~jnz1568/getInfo.php?workbook=20_10.xlsx&amp;sheet=U0&amp;row=1596&amp;col=6&amp;number=4.2&amp;sourceID=14","4.2")</f>
        <v>4.2</v>
      </c>
      <c r="G1596" s="4" t="str">
        <f>HYPERLINK("http://141.218.60.56/~jnz1568/getInfo.php?workbook=20_10.xlsx&amp;sheet=U0&amp;row=1596&amp;col=7&amp;number=0.0019&amp;sourceID=14","0.0019")</f>
        <v>0.0019</v>
      </c>
    </row>
    <row r="1597" spans="1:7">
      <c r="A1597" s="3"/>
      <c r="B1597" s="3"/>
      <c r="C1597" s="3"/>
      <c r="D1597" s="3"/>
      <c r="E1597" s="3">
        <v>14</v>
      </c>
      <c r="F1597" s="4" t="str">
        <f>HYPERLINK("http://141.218.60.56/~jnz1568/getInfo.php?workbook=20_10.xlsx&amp;sheet=U0&amp;row=1597&amp;col=6&amp;number=4.3&amp;sourceID=14","4.3")</f>
        <v>4.3</v>
      </c>
      <c r="G1597" s="4" t="str">
        <f>HYPERLINK("http://141.218.60.56/~jnz1568/getInfo.php?workbook=20_10.xlsx&amp;sheet=U0&amp;row=1597&amp;col=7&amp;number=0.0019&amp;sourceID=14","0.0019")</f>
        <v>0.0019</v>
      </c>
    </row>
    <row r="1598" spans="1:7">
      <c r="A1598" s="3"/>
      <c r="B1598" s="3"/>
      <c r="C1598" s="3"/>
      <c r="D1598" s="3"/>
      <c r="E1598" s="3">
        <v>15</v>
      </c>
      <c r="F1598" s="4" t="str">
        <f>HYPERLINK("http://141.218.60.56/~jnz1568/getInfo.php?workbook=20_10.xlsx&amp;sheet=U0&amp;row=1598&amp;col=6&amp;number=4.4&amp;sourceID=14","4.4")</f>
        <v>4.4</v>
      </c>
      <c r="G1598" s="4" t="str">
        <f>HYPERLINK("http://141.218.60.56/~jnz1568/getInfo.php?workbook=20_10.xlsx&amp;sheet=U0&amp;row=1598&amp;col=7&amp;number=0.0019&amp;sourceID=14","0.0019")</f>
        <v>0.0019</v>
      </c>
    </row>
    <row r="1599" spans="1:7">
      <c r="A1599" s="3"/>
      <c r="B1599" s="3"/>
      <c r="C1599" s="3"/>
      <c r="D1599" s="3"/>
      <c r="E1599" s="3">
        <v>16</v>
      </c>
      <c r="F1599" s="4" t="str">
        <f>HYPERLINK("http://141.218.60.56/~jnz1568/getInfo.php?workbook=20_10.xlsx&amp;sheet=U0&amp;row=1599&amp;col=6&amp;number=4.5&amp;sourceID=14","4.5")</f>
        <v>4.5</v>
      </c>
      <c r="G1599" s="4" t="str">
        <f>HYPERLINK("http://141.218.60.56/~jnz1568/getInfo.php?workbook=20_10.xlsx&amp;sheet=U0&amp;row=1599&amp;col=7&amp;number=0.00191&amp;sourceID=14","0.00191")</f>
        <v>0.00191</v>
      </c>
    </row>
    <row r="1600" spans="1:7">
      <c r="A1600" s="3"/>
      <c r="B1600" s="3"/>
      <c r="C1600" s="3"/>
      <c r="D1600" s="3"/>
      <c r="E1600" s="3">
        <v>17</v>
      </c>
      <c r="F1600" s="4" t="str">
        <f>HYPERLINK("http://141.218.60.56/~jnz1568/getInfo.php?workbook=20_10.xlsx&amp;sheet=U0&amp;row=1600&amp;col=6&amp;number=4.6&amp;sourceID=14","4.6")</f>
        <v>4.6</v>
      </c>
      <c r="G1600" s="4" t="str">
        <f>HYPERLINK("http://141.218.60.56/~jnz1568/getInfo.php?workbook=20_10.xlsx&amp;sheet=U0&amp;row=1600&amp;col=7&amp;number=0.00191&amp;sourceID=14","0.00191")</f>
        <v>0.00191</v>
      </c>
    </row>
    <row r="1601" spans="1:7">
      <c r="A1601" s="3"/>
      <c r="B1601" s="3"/>
      <c r="C1601" s="3"/>
      <c r="D1601" s="3"/>
      <c r="E1601" s="3">
        <v>18</v>
      </c>
      <c r="F1601" s="4" t="str">
        <f>HYPERLINK("http://141.218.60.56/~jnz1568/getInfo.php?workbook=20_10.xlsx&amp;sheet=U0&amp;row=1601&amp;col=6&amp;number=4.7&amp;sourceID=14","4.7")</f>
        <v>4.7</v>
      </c>
      <c r="G1601" s="4" t="str">
        <f>HYPERLINK("http://141.218.60.56/~jnz1568/getInfo.php?workbook=20_10.xlsx&amp;sheet=U0&amp;row=1601&amp;col=7&amp;number=0.00191&amp;sourceID=14","0.00191")</f>
        <v>0.00191</v>
      </c>
    </row>
    <row r="1602" spans="1:7">
      <c r="A1602" s="3"/>
      <c r="B1602" s="3"/>
      <c r="C1602" s="3"/>
      <c r="D1602" s="3"/>
      <c r="E1602" s="3">
        <v>19</v>
      </c>
      <c r="F1602" s="4" t="str">
        <f>HYPERLINK("http://141.218.60.56/~jnz1568/getInfo.php?workbook=20_10.xlsx&amp;sheet=U0&amp;row=1602&amp;col=6&amp;number=4.8&amp;sourceID=14","4.8")</f>
        <v>4.8</v>
      </c>
      <c r="G1602" s="4" t="str">
        <f>HYPERLINK("http://141.218.60.56/~jnz1568/getInfo.php?workbook=20_10.xlsx&amp;sheet=U0&amp;row=1602&amp;col=7&amp;number=0.00192&amp;sourceID=14","0.00192")</f>
        <v>0.00192</v>
      </c>
    </row>
    <row r="1603" spans="1:7">
      <c r="A1603" s="3"/>
      <c r="B1603" s="3"/>
      <c r="C1603" s="3"/>
      <c r="D1603" s="3"/>
      <c r="E1603" s="3">
        <v>20</v>
      </c>
      <c r="F1603" s="4" t="str">
        <f>HYPERLINK("http://141.218.60.56/~jnz1568/getInfo.php?workbook=20_10.xlsx&amp;sheet=U0&amp;row=1603&amp;col=6&amp;number=4.9&amp;sourceID=14","4.9")</f>
        <v>4.9</v>
      </c>
      <c r="G1603" s="4" t="str">
        <f>HYPERLINK("http://141.218.60.56/~jnz1568/getInfo.php?workbook=20_10.xlsx&amp;sheet=U0&amp;row=1603&amp;col=7&amp;number=0.00193&amp;sourceID=14","0.00193")</f>
        <v>0.00193</v>
      </c>
    </row>
    <row r="1604" spans="1:7">
      <c r="A1604" s="3">
        <v>20</v>
      </c>
      <c r="B1604" s="3">
        <v>10</v>
      </c>
      <c r="C1604" s="3">
        <v>1</v>
      </c>
      <c r="D1604" s="3">
        <v>82</v>
      </c>
      <c r="E1604" s="3">
        <v>1</v>
      </c>
      <c r="F1604" s="4" t="str">
        <f>HYPERLINK("http://141.218.60.56/~jnz1568/getInfo.php?workbook=20_10.xlsx&amp;sheet=U0&amp;row=1604&amp;col=6&amp;number=3&amp;sourceID=14","3")</f>
        <v>3</v>
      </c>
      <c r="G1604" s="4" t="str">
        <f>HYPERLINK("http://141.218.60.56/~jnz1568/getInfo.php?workbook=20_10.xlsx&amp;sheet=U0&amp;row=1604&amp;col=7&amp;number=0.00121&amp;sourceID=14","0.00121")</f>
        <v>0.00121</v>
      </c>
    </row>
    <row r="1605" spans="1:7">
      <c r="A1605" s="3"/>
      <c r="B1605" s="3"/>
      <c r="C1605" s="3"/>
      <c r="D1605" s="3"/>
      <c r="E1605" s="3">
        <v>2</v>
      </c>
      <c r="F1605" s="4" t="str">
        <f>HYPERLINK("http://141.218.60.56/~jnz1568/getInfo.php?workbook=20_10.xlsx&amp;sheet=U0&amp;row=1605&amp;col=6&amp;number=3.1&amp;sourceID=14","3.1")</f>
        <v>3.1</v>
      </c>
      <c r="G1605" s="4" t="str">
        <f>HYPERLINK("http://141.218.60.56/~jnz1568/getInfo.php?workbook=20_10.xlsx&amp;sheet=U0&amp;row=1605&amp;col=7&amp;number=0.00121&amp;sourceID=14","0.00121")</f>
        <v>0.00121</v>
      </c>
    </row>
    <row r="1606" spans="1:7">
      <c r="A1606" s="3"/>
      <c r="B1606" s="3"/>
      <c r="C1606" s="3"/>
      <c r="D1606" s="3"/>
      <c r="E1606" s="3">
        <v>3</v>
      </c>
      <c r="F1606" s="4" t="str">
        <f>HYPERLINK("http://141.218.60.56/~jnz1568/getInfo.php?workbook=20_10.xlsx&amp;sheet=U0&amp;row=1606&amp;col=6&amp;number=3.2&amp;sourceID=14","3.2")</f>
        <v>3.2</v>
      </c>
      <c r="G1606" s="4" t="str">
        <f>HYPERLINK("http://141.218.60.56/~jnz1568/getInfo.php?workbook=20_10.xlsx&amp;sheet=U0&amp;row=1606&amp;col=7&amp;number=0.00121&amp;sourceID=14","0.00121")</f>
        <v>0.00121</v>
      </c>
    </row>
    <row r="1607" spans="1:7">
      <c r="A1607" s="3"/>
      <c r="B1607" s="3"/>
      <c r="C1607" s="3"/>
      <c r="D1607" s="3"/>
      <c r="E1607" s="3">
        <v>4</v>
      </c>
      <c r="F1607" s="4" t="str">
        <f>HYPERLINK("http://141.218.60.56/~jnz1568/getInfo.php?workbook=20_10.xlsx&amp;sheet=U0&amp;row=1607&amp;col=6&amp;number=3.3&amp;sourceID=14","3.3")</f>
        <v>3.3</v>
      </c>
      <c r="G1607" s="4" t="str">
        <f>HYPERLINK("http://141.218.60.56/~jnz1568/getInfo.php?workbook=20_10.xlsx&amp;sheet=U0&amp;row=1607&amp;col=7&amp;number=0.00121&amp;sourceID=14","0.00121")</f>
        <v>0.00121</v>
      </c>
    </row>
    <row r="1608" spans="1:7">
      <c r="A1608" s="3"/>
      <c r="B1608" s="3"/>
      <c r="C1608" s="3"/>
      <c r="D1608" s="3"/>
      <c r="E1608" s="3">
        <v>5</v>
      </c>
      <c r="F1608" s="4" t="str">
        <f>HYPERLINK("http://141.218.60.56/~jnz1568/getInfo.php?workbook=20_10.xlsx&amp;sheet=U0&amp;row=1608&amp;col=6&amp;number=3.4&amp;sourceID=14","3.4")</f>
        <v>3.4</v>
      </c>
      <c r="G1608" s="4" t="str">
        <f>HYPERLINK("http://141.218.60.56/~jnz1568/getInfo.php?workbook=20_10.xlsx&amp;sheet=U0&amp;row=1608&amp;col=7&amp;number=0.00121&amp;sourceID=14","0.00121")</f>
        <v>0.00121</v>
      </c>
    </row>
    <row r="1609" spans="1:7">
      <c r="A1609" s="3"/>
      <c r="B1609" s="3"/>
      <c r="C1609" s="3"/>
      <c r="D1609" s="3"/>
      <c r="E1609" s="3">
        <v>6</v>
      </c>
      <c r="F1609" s="4" t="str">
        <f>HYPERLINK("http://141.218.60.56/~jnz1568/getInfo.php?workbook=20_10.xlsx&amp;sheet=U0&amp;row=1609&amp;col=6&amp;number=3.5&amp;sourceID=14","3.5")</f>
        <v>3.5</v>
      </c>
      <c r="G1609" s="4" t="str">
        <f>HYPERLINK("http://141.218.60.56/~jnz1568/getInfo.php?workbook=20_10.xlsx&amp;sheet=U0&amp;row=1609&amp;col=7&amp;number=0.00121&amp;sourceID=14","0.00121")</f>
        <v>0.00121</v>
      </c>
    </row>
    <row r="1610" spans="1:7">
      <c r="A1610" s="3"/>
      <c r="B1610" s="3"/>
      <c r="C1610" s="3"/>
      <c r="D1610" s="3"/>
      <c r="E1610" s="3">
        <v>7</v>
      </c>
      <c r="F1610" s="4" t="str">
        <f>HYPERLINK("http://141.218.60.56/~jnz1568/getInfo.php?workbook=20_10.xlsx&amp;sheet=U0&amp;row=1610&amp;col=6&amp;number=3.6&amp;sourceID=14","3.6")</f>
        <v>3.6</v>
      </c>
      <c r="G1610" s="4" t="str">
        <f>HYPERLINK("http://141.218.60.56/~jnz1568/getInfo.php?workbook=20_10.xlsx&amp;sheet=U0&amp;row=1610&amp;col=7&amp;number=0.00121&amp;sourceID=14","0.00121")</f>
        <v>0.00121</v>
      </c>
    </row>
    <row r="1611" spans="1:7">
      <c r="A1611" s="3"/>
      <c r="B1611" s="3"/>
      <c r="C1611" s="3"/>
      <c r="D1611" s="3"/>
      <c r="E1611" s="3">
        <v>8</v>
      </c>
      <c r="F1611" s="4" t="str">
        <f>HYPERLINK("http://141.218.60.56/~jnz1568/getInfo.php?workbook=20_10.xlsx&amp;sheet=U0&amp;row=1611&amp;col=6&amp;number=3.7&amp;sourceID=14","3.7")</f>
        <v>3.7</v>
      </c>
      <c r="G1611" s="4" t="str">
        <f>HYPERLINK("http://141.218.60.56/~jnz1568/getInfo.php?workbook=20_10.xlsx&amp;sheet=U0&amp;row=1611&amp;col=7&amp;number=0.00121&amp;sourceID=14","0.00121")</f>
        <v>0.00121</v>
      </c>
    </row>
    <row r="1612" spans="1:7">
      <c r="A1612" s="3"/>
      <c r="B1612" s="3"/>
      <c r="C1612" s="3"/>
      <c r="D1612" s="3"/>
      <c r="E1612" s="3">
        <v>9</v>
      </c>
      <c r="F1612" s="4" t="str">
        <f>HYPERLINK("http://141.218.60.56/~jnz1568/getInfo.php?workbook=20_10.xlsx&amp;sheet=U0&amp;row=1612&amp;col=6&amp;number=3.8&amp;sourceID=14","3.8")</f>
        <v>3.8</v>
      </c>
      <c r="G1612" s="4" t="str">
        <f>HYPERLINK("http://141.218.60.56/~jnz1568/getInfo.php?workbook=20_10.xlsx&amp;sheet=U0&amp;row=1612&amp;col=7&amp;number=0.00121&amp;sourceID=14","0.00121")</f>
        <v>0.00121</v>
      </c>
    </row>
    <row r="1613" spans="1:7">
      <c r="A1613" s="3"/>
      <c r="B1613" s="3"/>
      <c r="C1613" s="3"/>
      <c r="D1613" s="3"/>
      <c r="E1613" s="3">
        <v>10</v>
      </c>
      <c r="F1613" s="4" t="str">
        <f>HYPERLINK("http://141.218.60.56/~jnz1568/getInfo.php?workbook=20_10.xlsx&amp;sheet=U0&amp;row=1613&amp;col=6&amp;number=3.9&amp;sourceID=14","3.9")</f>
        <v>3.9</v>
      </c>
      <c r="G1613" s="4" t="str">
        <f>HYPERLINK("http://141.218.60.56/~jnz1568/getInfo.php?workbook=20_10.xlsx&amp;sheet=U0&amp;row=1613&amp;col=7&amp;number=0.00121&amp;sourceID=14","0.00121")</f>
        <v>0.00121</v>
      </c>
    </row>
    <row r="1614" spans="1:7">
      <c r="A1614" s="3"/>
      <c r="B1614" s="3"/>
      <c r="C1614" s="3"/>
      <c r="D1614" s="3"/>
      <c r="E1614" s="3">
        <v>11</v>
      </c>
      <c r="F1614" s="4" t="str">
        <f>HYPERLINK("http://141.218.60.56/~jnz1568/getInfo.php?workbook=20_10.xlsx&amp;sheet=U0&amp;row=1614&amp;col=6&amp;number=4&amp;sourceID=14","4")</f>
        <v>4</v>
      </c>
      <c r="G1614" s="4" t="str">
        <f>HYPERLINK("http://141.218.60.56/~jnz1568/getInfo.php?workbook=20_10.xlsx&amp;sheet=U0&amp;row=1614&amp;col=7&amp;number=0.00121&amp;sourceID=14","0.00121")</f>
        <v>0.00121</v>
      </c>
    </row>
    <row r="1615" spans="1:7">
      <c r="A1615" s="3"/>
      <c r="B1615" s="3"/>
      <c r="C1615" s="3"/>
      <c r="D1615" s="3"/>
      <c r="E1615" s="3">
        <v>12</v>
      </c>
      <c r="F1615" s="4" t="str">
        <f>HYPERLINK("http://141.218.60.56/~jnz1568/getInfo.php?workbook=20_10.xlsx&amp;sheet=U0&amp;row=1615&amp;col=6&amp;number=4.1&amp;sourceID=14","4.1")</f>
        <v>4.1</v>
      </c>
      <c r="G1615" s="4" t="str">
        <f>HYPERLINK("http://141.218.60.56/~jnz1568/getInfo.php?workbook=20_10.xlsx&amp;sheet=U0&amp;row=1615&amp;col=7&amp;number=0.00121&amp;sourceID=14","0.00121")</f>
        <v>0.00121</v>
      </c>
    </row>
    <row r="1616" spans="1:7">
      <c r="A1616" s="3"/>
      <c r="B1616" s="3"/>
      <c r="C1616" s="3"/>
      <c r="D1616" s="3"/>
      <c r="E1616" s="3">
        <v>13</v>
      </c>
      <c r="F1616" s="4" t="str">
        <f>HYPERLINK("http://141.218.60.56/~jnz1568/getInfo.php?workbook=20_10.xlsx&amp;sheet=U0&amp;row=1616&amp;col=6&amp;number=4.2&amp;sourceID=14","4.2")</f>
        <v>4.2</v>
      </c>
      <c r="G1616" s="4" t="str">
        <f>HYPERLINK("http://141.218.60.56/~jnz1568/getInfo.php?workbook=20_10.xlsx&amp;sheet=U0&amp;row=1616&amp;col=7&amp;number=0.00121&amp;sourceID=14","0.00121")</f>
        <v>0.00121</v>
      </c>
    </row>
    <row r="1617" spans="1:7">
      <c r="A1617" s="3"/>
      <c r="B1617" s="3"/>
      <c r="C1617" s="3"/>
      <c r="D1617" s="3"/>
      <c r="E1617" s="3">
        <v>14</v>
      </c>
      <c r="F1617" s="4" t="str">
        <f>HYPERLINK("http://141.218.60.56/~jnz1568/getInfo.php?workbook=20_10.xlsx&amp;sheet=U0&amp;row=1617&amp;col=6&amp;number=4.3&amp;sourceID=14","4.3")</f>
        <v>4.3</v>
      </c>
      <c r="G1617" s="4" t="str">
        <f>HYPERLINK("http://141.218.60.56/~jnz1568/getInfo.php?workbook=20_10.xlsx&amp;sheet=U0&amp;row=1617&amp;col=7&amp;number=0.00121&amp;sourceID=14","0.00121")</f>
        <v>0.00121</v>
      </c>
    </row>
    <row r="1618" spans="1:7">
      <c r="A1618" s="3"/>
      <c r="B1618" s="3"/>
      <c r="C1618" s="3"/>
      <c r="D1618" s="3"/>
      <c r="E1618" s="3">
        <v>15</v>
      </c>
      <c r="F1618" s="4" t="str">
        <f>HYPERLINK("http://141.218.60.56/~jnz1568/getInfo.php?workbook=20_10.xlsx&amp;sheet=U0&amp;row=1618&amp;col=6&amp;number=4.4&amp;sourceID=14","4.4")</f>
        <v>4.4</v>
      </c>
      <c r="G1618" s="4" t="str">
        <f>HYPERLINK("http://141.218.60.56/~jnz1568/getInfo.php?workbook=20_10.xlsx&amp;sheet=U0&amp;row=1618&amp;col=7&amp;number=0.00121&amp;sourceID=14","0.00121")</f>
        <v>0.00121</v>
      </c>
    </row>
    <row r="1619" spans="1:7">
      <c r="A1619" s="3"/>
      <c r="B1619" s="3"/>
      <c r="C1619" s="3"/>
      <c r="D1619" s="3"/>
      <c r="E1619" s="3">
        <v>16</v>
      </c>
      <c r="F1619" s="4" t="str">
        <f>HYPERLINK("http://141.218.60.56/~jnz1568/getInfo.php?workbook=20_10.xlsx&amp;sheet=U0&amp;row=1619&amp;col=6&amp;number=4.5&amp;sourceID=14","4.5")</f>
        <v>4.5</v>
      </c>
      <c r="G1619" s="4" t="str">
        <f>HYPERLINK("http://141.218.60.56/~jnz1568/getInfo.php?workbook=20_10.xlsx&amp;sheet=U0&amp;row=1619&amp;col=7&amp;number=0.00121&amp;sourceID=14","0.00121")</f>
        <v>0.00121</v>
      </c>
    </row>
    <row r="1620" spans="1:7">
      <c r="A1620" s="3"/>
      <c r="B1620" s="3"/>
      <c r="C1620" s="3"/>
      <c r="D1620" s="3"/>
      <c r="E1620" s="3">
        <v>17</v>
      </c>
      <c r="F1620" s="4" t="str">
        <f>HYPERLINK("http://141.218.60.56/~jnz1568/getInfo.php?workbook=20_10.xlsx&amp;sheet=U0&amp;row=1620&amp;col=6&amp;number=4.6&amp;sourceID=14","4.6")</f>
        <v>4.6</v>
      </c>
      <c r="G1620" s="4" t="str">
        <f>HYPERLINK("http://141.218.60.56/~jnz1568/getInfo.php?workbook=20_10.xlsx&amp;sheet=U0&amp;row=1620&amp;col=7&amp;number=0.00121&amp;sourceID=14","0.00121")</f>
        <v>0.00121</v>
      </c>
    </row>
    <row r="1621" spans="1:7">
      <c r="A1621" s="3"/>
      <c r="B1621" s="3"/>
      <c r="C1621" s="3"/>
      <c r="D1621" s="3"/>
      <c r="E1621" s="3">
        <v>18</v>
      </c>
      <c r="F1621" s="4" t="str">
        <f>HYPERLINK("http://141.218.60.56/~jnz1568/getInfo.php?workbook=20_10.xlsx&amp;sheet=U0&amp;row=1621&amp;col=6&amp;number=4.7&amp;sourceID=14","4.7")</f>
        <v>4.7</v>
      </c>
      <c r="G1621" s="4" t="str">
        <f>HYPERLINK("http://141.218.60.56/~jnz1568/getInfo.php?workbook=20_10.xlsx&amp;sheet=U0&amp;row=1621&amp;col=7&amp;number=0.0012&amp;sourceID=14","0.0012")</f>
        <v>0.0012</v>
      </c>
    </row>
    <row r="1622" spans="1:7">
      <c r="A1622" s="3"/>
      <c r="B1622" s="3"/>
      <c r="C1622" s="3"/>
      <c r="D1622" s="3"/>
      <c r="E1622" s="3">
        <v>19</v>
      </c>
      <c r="F1622" s="4" t="str">
        <f>HYPERLINK("http://141.218.60.56/~jnz1568/getInfo.php?workbook=20_10.xlsx&amp;sheet=U0&amp;row=1622&amp;col=6&amp;number=4.8&amp;sourceID=14","4.8")</f>
        <v>4.8</v>
      </c>
      <c r="G1622" s="4" t="str">
        <f>HYPERLINK("http://141.218.60.56/~jnz1568/getInfo.php?workbook=20_10.xlsx&amp;sheet=U0&amp;row=1622&amp;col=7&amp;number=0.0012&amp;sourceID=14","0.0012")</f>
        <v>0.0012</v>
      </c>
    </row>
    <row r="1623" spans="1:7">
      <c r="A1623" s="3"/>
      <c r="B1623" s="3"/>
      <c r="C1623" s="3"/>
      <c r="D1623" s="3"/>
      <c r="E1623" s="3">
        <v>20</v>
      </c>
      <c r="F1623" s="4" t="str">
        <f>HYPERLINK("http://141.218.60.56/~jnz1568/getInfo.php?workbook=20_10.xlsx&amp;sheet=U0&amp;row=1623&amp;col=6&amp;number=4.9&amp;sourceID=14","4.9")</f>
        <v>4.9</v>
      </c>
      <c r="G1623" s="4" t="str">
        <f>HYPERLINK("http://141.218.60.56/~jnz1568/getInfo.php?workbook=20_10.xlsx&amp;sheet=U0&amp;row=1623&amp;col=7&amp;number=0.0012&amp;sourceID=14","0.0012")</f>
        <v>0.0012</v>
      </c>
    </row>
    <row r="1624" spans="1:7">
      <c r="A1624" s="3">
        <v>20</v>
      </c>
      <c r="B1624" s="3">
        <v>10</v>
      </c>
      <c r="C1624" s="3">
        <v>1</v>
      </c>
      <c r="D1624" s="3">
        <v>83</v>
      </c>
      <c r="E1624" s="3">
        <v>1</v>
      </c>
      <c r="F1624" s="4" t="str">
        <f>HYPERLINK("http://141.218.60.56/~jnz1568/getInfo.php?workbook=20_10.xlsx&amp;sheet=U0&amp;row=1624&amp;col=6&amp;number=3&amp;sourceID=14","3")</f>
        <v>3</v>
      </c>
      <c r="G1624" s="4" t="str">
        <f>HYPERLINK("http://141.218.60.56/~jnz1568/getInfo.php?workbook=20_10.xlsx&amp;sheet=U0&amp;row=1624&amp;col=7&amp;number=0.00203&amp;sourceID=14","0.00203")</f>
        <v>0.00203</v>
      </c>
    </row>
    <row r="1625" spans="1:7">
      <c r="A1625" s="3"/>
      <c r="B1625" s="3"/>
      <c r="C1625" s="3"/>
      <c r="D1625" s="3"/>
      <c r="E1625" s="3">
        <v>2</v>
      </c>
      <c r="F1625" s="4" t="str">
        <f>HYPERLINK("http://141.218.60.56/~jnz1568/getInfo.php?workbook=20_10.xlsx&amp;sheet=U0&amp;row=1625&amp;col=6&amp;number=3.1&amp;sourceID=14","3.1")</f>
        <v>3.1</v>
      </c>
      <c r="G1625" s="4" t="str">
        <f>HYPERLINK("http://141.218.60.56/~jnz1568/getInfo.php?workbook=20_10.xlsx&amp;sheet=U0&amp;row=1625&amp;col=7&amp;number=0.00203&amp;sourceID=14","0.00203")</f>
        <v>0.00203</v>
      </c>
    </row>
    <row r="1626" spans="1:7">
      <c r="A1626" s="3"/>
      <c r="B1626" s="3"/>
      <c r="C1626" s="3"/>
      <c r="D1626" s="3"/>
      <c r="E1626" s="3">
        <v>3</v>
      </c>
      <c r="F1626" s="4" t="str">
        <f>HYPERLINK("http://141.218.60.56/~jnz1568/getInfo.php?workbook=20_10.xlsx&amp;sheet=U0&amp;row=1626&amp;col=6&amp;number=3.2&amp;sourceID=14","3.2")</f>
        <v>3.2</v>
      </c>
      <c r="G1626" s="4" t="str">
        <f>HYPERLINK("http://141.218.60.56/~jnz1568/getInfo.php?workbook=20_10.xlsx&amp;sheet=U0&amp;row=1626&amp;col=7&amp;number=0.00203&amp;sourceID=14","0.00203")</f>
        <v>0.00203</v>
      </c>
    </row>
    <row r="1627" spans="1:7">
      <c r="A1627" s="3"/>
      <c r="B1627" s="3"/>
      <c r="C1627" s="3"/>
      <c r="D1627" s="3"/>
      <c r="E1627" s="3">
        <v>4</v>
      </c>
      <c r="F1627" s="4" t="str">
        <f>HYPERLINK("http://141.218.60.56/~jnz1568/getInfo.php?workbook=20_10.xlsx&amp;sheet=U0&amp;row=1627&amp;col=6&amp;number=3.3&amp;sourceID=14","3.3")</f>
        <v>3.3</v>
      </c>
      <c r="G1627" s="4" t="str">
        <f>HYPERLINK("http://141.218.60.56/~jnz1568/getInfo.php?workbook=20_10.xlsx&amp;sheet=U0&amp;row=1627&amp;col=7&amp;number=0.00203&amp;sourceID=14","0.00203")</f>
        <v>0.00203</v>
      </c>
    </row>
    <row r="1628" spans="1:7">
      <c r="A1628" s="3"/>
      <c r="B1628" s="3"/>
      <c r="C1628" s="3"/>
      <c r="D1628" s="3"/>
      <c r="E1628" s="3">
        <v>5</v>
      </c>
      <c r="F1628" s="4" t="str">
        <f>HYPERLINK("http://141.218.60.56/~jnz1568/getInfo.php?workbook=20_10.xlsx&amp;sheet=U0&amp;row=1628&amp;col=6&amp;number=3.4&amp;sourceID=14","3.4")</f>
        <v>3.4</v>
      </c>
      <c r="G1628" s="4" t="str">
        <f>HYPERLINK("http://141.218.60.56/~jnz1568/getInfo.php?workbook=20_10.xlsx&amp;sheet=U0&amp;row=1628&amp;col=7&amp;number=0.00203&amp;sourceID=14","0.00203")</f>
        <v>0.00203</v>
      </c>
    </row>
    <row r="1629" spans="1:7">
      <c r="A1629" s="3"/>
      <c r="B1629" s="3"/>
      <c r="C1629" s="3"/>
      <c r="D1629" s="3"/>
      <c r="E1629" s="3">
        <v>6</v>
      </c>
      <c r="F1629" s="4" t="str">
        <f>HYPERLINK("http://141.218.60.56/~jnz1568/getInfo.php?workbook=20_10.xlsx&amp;sheet=U0&amp;row=1629&amp;col=6&amp;number=3.5&amp;sourceID=14","3.5")</f>
        <v>3.5</v>
      </c>
      <c r="G1629" s="4" t="str">
        <f>HYPERLINK("http://141.218.60.56/~jnz1568/getInfo.php?workbook=20_10.xlsx&amp;sheet=U0&amp;row=1629&amp;col=7&amp;number=0.00203&amp;sourceID=14","0.00203")</f>
        <v>0.00203</v>
      </c>
    </row>
    <row r="1630" spans="1:7">
      <c r="A1630" s="3"/>
      <c r="B1630" s="3"/>
      <c r="C1630" s="3"/>
      <c r="D1630" s="3"/>
      <c r="E1630" s="3">
        <v>7</v>
      </c>
      <c r="F1630" s="4" t="str">
        <f>HYPERLINK("http://141.218.60.56/~jnz1568/getInfo.php?workbook=20_10.xlsx&amp;sheet=U0&amp;row=1630&amp;col=6&amp;number=3.6&amp;sourceID=14","3.6")</f>
        <v>3.6</v>
      </c>
      <c r="G1630" s="4" t="str">
        <f>HYPERLINK("http://141.218.60.56/~jnz1568/getInfo.php?workbook=20_10.xlsx&amp;sheet=U0&amp;row=1630&amp;col=7&amp;number=0.00203&amp;sourceID=14","0.00203")</f>
        <v>0.00203</v>
      </c>
    </row>
    <row r="1631" spans="1:7">
      <c r="A1631" s="3"/>
      <c r="B1631" s="3"/>
      <c r="C1631" s="3"/>
      <c r="D1631" s="3"/>
      <c r="E1631" s="3">
        <v>8</v>
      </c>
      <c r="F1631" s="4" t="str">
        <f>HYPERLINK("http://141.218.60.56/~jnz1568/getInfo.php?workbook=20_10.xlsx&amp;sheet=U0&amp;row=1631&amp;col=6&amp;number=3.7&amp;sourceID=14","3.7")</f>
        <v>3.7</v>
      </c>
      <c r="G1631" s="4" t="str">
        <f>HYPERLINK("http://141.218.60.56/~jnz1568/getInfo.php?workbook=20_10.xlsx&amp;sheet=U0&amp;row=1631&amp;col=7&amp;number=0.00203&amp;sourceID=14","0.00203")</f>
        <v>0.00203</v>
      </c>
    </row>
    <row r="1632" spans="1:7">
      <c r="A1632" s="3"/>
      <c r="B1632" s="3"/>
      <c r="C1632" s="3"/>
      <c r="D1632" s="3"/>
      <c r="E1632" s="3">
        <v>9</v>
      </c>
      <c r="F1632" s="4" t="str">
        <f>HYPERLINK("http://141.218.60.56/~jnz1568/getInfo.php?workbook=20_10.xlsx&amp;sheet=U0&amp;row=1632&amp;col=6&amp;number=3.8&amp;sourceID=14","3.8")</f>
        <v>3.8</v>
      </c>
      <c r="G1632" s="4" t="str">
        <f>HYPERLINK("http://141.218.60.56/~jnz1568/getInfo.php?workbook=20_10.xlsx&amp;sheet=U0&amp;row=1632&amp;col=7&amp;number=0.00203&amp;sourceID=14","0.00203")</f>
        <v>0.00203</v>
      </c>
    </row>
    <row r="1633" spans="1:7">
      <c r="A1633" s="3"/>
      <c r="B1633" s="3"/>
      <c r="C1633" s="3"/>
      <c r="D1633" s="3"/>
      <c r="E1633" s="3">
        <v>10</v>
      </c>
      <c r="F1633" s="4" t="str">
        <f>HYPERLINK("http://141.218.60.56/~jnz1568/getInfo.php?workbook=20_10.xlsx&amp;sheet=U0&amp;row=1633&amp;col=6&amp;number=3.9&amp;sourceID=14","3.9")</f>
        <v>3.9</v>
      </c>
      <c r="G1633" s="4" t="str">
        <f>HYPERLINK("http://141.218.60.56/~jnz1568/getInfo.php?workbook=20_10.xlsx&amp;sheet=U0&amp;row=1633&amp;col=7&amp;number=0.00203&amp;sourceID=14","0.00203")</f>
        <v>0.00203</v>
      </c>
    </row>
    <row r="1634" spans="1:7">
      <c r="A1634" s="3"/>
      <c r="B1634" s="3"/>
      <c r="C1634" s="3"/>
      <c r="D1634" s="3"/>
      <c r="E1634" s="3">
        <v>11</v>
      </c>
      <c r="F1634" s="4" t="str">
        <f>HYPERLINK("http://141.218.60.56/~jnz1568/getInfo.php?workbook=20_10.xlsx&amp;sheet=U0&amp;row=1634&amp;col=6&amp;number=4&amp;sourceID=14","4")</f>
        <v>4</v>
      </c>
      <c r="G1634" s="4" t="str">
        <f>HYPERLINK("http://141.218.60.56/~jnz1568/getInfo.php?workbook=20_10.xlsx&amp;sheet=U0&amp;row=1634&amp;col=7&amp;number=0.00203&amp;sourceID=14","0.00203")</f>
        <v>0.00203</v>
      </c>
    </row>
    <row r="1635" spans="1:7">
      <c r="A1635" s="3"/>
      <c r="B1635" s="3"/>
      <c r="C1635" s="3"/>
      <c r="D1635" s="3"/>
      <c r="E1635" s="3">
        <v>12</v>
      </c>
      <c r="F1635" s="4" t="str">
        <f>HYPERLINK("http://141.218.60.56/~jnz1568/getInfo.php?workbook=20_10.xlsx&amp;sheet=U0&amp;row=1635&amp;col=6&amp;number=4.1&amp;sourceID=14","4.1")</f>
        <v>4.1</v>
      </c>
      <c r="G1635" s="4" t="str">
        <f>HYPERLINK("http://141.218.60.56/~jnz1568/getInfo.php?workbook=20_10.xlsx&amp;sheet=U0&amp;row=1635&amp;col=7&amp;number=0.00203&amp;sourceID=14","0.00203")</f>
        <v>0.00203</v>
      </c>
    </row>
    <row r="1636" spans="1:7">
      <c r="A1636" s="3"/>
      <c r="B1636" s="3"/>
      <c r="C1636" s="3"/>
      <c r="D1636" s="3"/>
      <c r="E1636" s="3">
        <v>13</v>
      </c>
      <c r="F1636" s="4" t="str">
        <f>HYPERLINK("http://141.218.60.56/~jnz1568/getInfo.php?workbook=20_10.xlsx&amp;sheet=U0&amp;row=1636&amp;col=6&amp;number=4.2&amp;sourceID=14","4.2")</f>
        <v>4.2</v>
      </c>
      <c r="G1636" s="4" t="str">
        <f>HYPERLINK("http://141.218.60.56/~jnz1568/getInfo.php?workbook=20_10.xlsx&amp;sheet=U0&amp;row=1636&amp;col=7&amp;number=0.00203&amp;sourceID=14","0.00203")</f>
        <v>0.00203</v>
      </c>
    </row>
    <row r="1637" spans="1:7">
      <c r="A1637" s="3"/>
      <c r="B1637" s="3"/>
      <c r="C1637" s="3"/>
      <c r="D1637" s="3"/>
      <c r="E1637" s="3">
        <v>14</v>
      </c>
      <c r="F1637" s="4" t="str">
        <f>HYPERLINK("http://141.218.60.56/~jnz1568/getInfo.php?workbook=20_10.xlsx&amp;sheet=U0&amp;row=1637&amp;col=6&amp;number=4.3&amp;sourceID=14","4.3")</f>
        <v>4.3</v>
      </c>
      <c r="G1637" s="4" t="str">
        <f>HYPERLINK("http://141.218.60.56/~jnz1568/getInfo.php?workbook=20_10.xlsx&amp;sheet=U0&amp;row=1637&amp;col=7&amp;number=0.00202&amp;sourceID=14","0.00202")</f>
        <v>0.00202</v>
      </c>
    </row>
    <row r="1638" spans="1:7">
      <c r="A1638" s="3"/>
      <c r="B1638" s="3"/>
      <c r="C1638" s="3"/>
      <c r="D1638" s="3"/>
      <c r="E1638" s="3">
        <v>15</v>
      </c>
      <c r="F1638" s="4" t="str">
        <f>HYPERLINK("http://141.218.60.56/~jnz1568/getInfo.php?workbook=20_10.xlsx&amp;sheet=U0&amp;row=1638&amp;col=6&amp;number=4.4&amp;sourceID=14","4.4")</f>
        <v>4.4</v>
      </c>
      <c r="G1638" s="4" t="str">
        <f>HYPERLINK("http://141.218.60.56/~jnz1568/getInfo.php?workbook=20_10.xlsx&amp;sheet=U0&amp;row=1638&amp;col=7&amp;number=0.00202&amp;sourceID=14","0.00202")</f>
        <v>0.00202</v>
      </c>
    </row>
    <row r="1639" spans="1:7">
      <c r="A1639" s="3"/>
      <c r="B1639" s="3"/>
      <c r="C1639" s="3"/>
      <c r="D1639" s="3"/>
      <c r="E1639" s="3">
        <v>16</v>
      </c>
      <c r="F1639" s="4" t="str">
        <f>HYPERLINK("http://141.218.60.56/~jnz1568/getInfo.php?workbook=20_10.xlsx&amp;sheet=U0&amp;row=1639&amp;col=6&amp;number=4.5&amp;sourceID=14","4.5")</f>
        <v>4.5</v>
      </c>
      <c r="G1639" s="4" t="str">
        <f>HYPERLINK("http://141.218.60.56/~jnz1568/getInfo.php?workbook=20_10.xlsx&amp;sheet=U0&amp;row=1639&amp;col=7&amp;number=0.00202&amp;sourceID=14","0.00202")</f>
        <v>0.00202</v>
      </c>
    </row>
    <row r="1640" spans="1:7">
      <c r="A1640" s="3"/>
      <c r="B1640" s="3"/>
      <c r="C1640" s="3"/>
      <c r="D1640" s="3"/>
      <c r="E1640" s="3">
        <v>17</v>
      </c>
      <c r="F1640" s="4" t="str">
        <f>HYPERLINK("http://141.218.60.56/~jnz1568/getInfo.php?workbook=20_10.xlsx&amp;sheet=U0&amp;row=1640&amp;col=6&amp;number=4.6&amp;sourceID=14","4.6")</f>
        <v>4.6</v>
      </c>
      <c r="G1640" s="4" t="str">
        <f>HYPERLINK("http://141.218.60.56/~jnz1568/getInfo.php?workbook=20_10.xlsx&amp;sheet=U0&amp;row=1640&amp;col=7&amp;number=0.00202&amp;sourceID=14","0.00202")</f>
        <v>0.00202</v>
      </c>
    </row>
    <row r="1641" spans="1:7">
      <c r="A1641" s="3"/>
      <c r="B1641" s="3"/>
      <c r="C1641" s="3"/>
      <c r="D1641" s="3"/>
      <c r="E1641" s="3">
        <v>18</v>
      </c>
      <c r="F1641" s="4" t="str">
        <f>HYPERLINK("http://141.218.60.56/~jnz1568/getInfo.php?workbook=20_10.xlsx&amp;sheet=U0&amp;row=1641&amp;col=6&amp;number=4.7&amp;sourceID=14","4.7")</f>
        <v>4.7</v>
      </c>
      <c r="G1641" s="4" t="str">
        <f>HYPERLINK("http://141.218.60.56/~jnz1568/getInfo.php?workbook=20_10.xlsx&amp;sheet=U0&amp;row=1641&amp;col=7&amp;number=0.00201&amp;sourceID=14","0.00201")</f>
        <v>0.00201</v>
      </c>
    </row>
    <row r="1642" spans="1:7">
      <c r="A1642" s="3"/>
      <c r="B1642" s="3"/>
      <c r="C1642" s="3"/>
      <c r="D1642" s="3"/>
      <c r="E1642" s="3">
        <v>19</v>
      </c>
      <c r="F1642" s="4" t="str">
        <f>HYPERLINK("http://141.218.60.56/~jnz1568/getInfo.php?workbook=20_10.xlsx&amp;sheet=U0&amp;row=1642&amp;col=6&amp;number=4.8&amp;sourceID=14","4.8")</f>
        <v>4.8</v>
      </c>
      <c r="G1642" s="4" t="str">
        <f>HYPERLINK("http://141.218.60.56/~jnz1568/getInfo.php?workbook=20_10.xlsx&amp;sheet=U0&amp;row=1642&amp;col=7&amp;number=0.00201&amp;sourceID=14","0.00201")</f>
        <v>0.00201</v>
      </c>
    </row>
    <row r="1643" spans="1:7">
      <c r="A1643" s="3"/>
      <c r="B1643" s="3"/>
      <c r="C1643" s="3"/>
      <c r="D1643" s="3"/>
      <c r="E1643" s="3">
        <v>20</v>
      </c>
      <c r="F1643" s="4" t="str">
        <f>HYPERLINK("http://141.218.60.56/~jnz1568/getInfo.php?workbook=20_10.xlsx&amp;sheet=U0&amp;row=1643&amp;col=6&amp;number=4.9&amp;sourceID=14","4.9")</f>
        <v>4.9</v>
      </c>
      <c r="G1643" s="4" t="str">
        <f>HYPERLINK("http://141.218.60.56/~jnz1568/getInfo.php?workbook=20_10.xlsx&amp;sheet=U0&amp;row=1643&amp;col=7&amp;number=0.002&amp;sourceID=14","0.002")</f>
        <v>0.002</v>
      </c>
    </row>
    <row r="1644" spans="1:7">
      <c r="A1644" s="3">
        <v>20</v>
      </c>
      <c r="B1644" s="3">
        <v>10</v>
      </c>
      <c r="C1644" s="3">
        <v>1</v>
      </c>
      <c r="D1644" s="3">
        <v>84</v>
      </c>
      <c r="E1644" s="3">
        <v>1</v>
      </c>
      <c r="F1644" s="4" t="str">
        <f>HYPERLINK("http://141.218.60.56/~jnz1568/getInfo.php?workbook=20_10.xlsx&amp;sheet=U0&amp;row=1644&amp;col=6&amp;number=3&amp;sourceID=14","3")</f>
        <v>3</v>
      </c>
      <c r="G1644" s="4" t="str">
        <f>HYPERLINK("http://141.218.60.56/~jnz1568/getInfo.php?workbook=20_10.xlsx&amp;sheet=U0&amp;row=1644&amp;col=7&amp;number=0.00283&amp;sourceID=14","0.00283")</f>
        <v>0.00283</v>
      </c>
    </row>
    <row r="1645" spans="1:7">
      <c r="A1645" s="3"/>
      <c r="B1645" s="3"/>
      <c r="C1645" s="3"/>
      <c r="D1645" s="3"/>
      <c r="E1645" s="3">
        <v>2</v>
      </c>
      <c r="F1645" s="4" t="str">
        <f>HYPERLINK("http://141.218.60.56/~jnz1568/getInfo.php?workbook=20_10.xlsx&amp;sheet=U0&amp;row=1645&amp;col=6&amp;number=3.1&amp;sourceID=14","3.1")</f>
        <v>3.1</v>
      </c>
      <c r="G1645" s="4" t="str">
        <f>HYPERLINK("http://141.218.60.56/~jnz1568/getInfo.php?workbook=20_10.xlsx&amp;sheet=U0&amp;row=1645&amp;col=7&amp;number=0.00283&amp;sourceID=14","0.00283")</f>
        <v>0.00283</v>
      </c>
    </row>
    <row r="1646" spans="1:7">
      <c r="A1646" s="3"/>
      <c r="B1646" s="3"/>
      <c r="C1646" s="3"/>
      <c r="D1646" s="3"/>
      <c r="E1646" s="3">
        <v>3</v>
      </c>
      <c r="F1646" s="4" t="str">
        <f>HYPERLINK("http://141.218.60.56/~jnz1568/getInfo.php?workbook=20_10.xlsx&amp;sheet=U0&amp;row=1646&amp;col=6&amp;number=3.2&amp;sourceID=14","3.2")</f>
        <v>3.2</v>
      </c>
      <c r="G1646" s="4" t="str">
        <f>HYPERLINK("http://141.218.60.56/~jnz1568/getInfo.php?workbook=20_10.xlsx&amp;sheet=U0&amp;row=1646&amp;col=7&amp;number=0.00283&amp;sourceID=14","0.00283")</f>
        <v>0.00283</v>
      </c>
    </row>
    <row r="1647" spans="1:7">
      <c r="A1647" s="3"/>
      <c r="B1647" s="3"/>
      <c r="C1647" s="3"/>
      <c r="D1647" s="3"/>
      <c r="E1647" s="3">
        <v>4</v>
      </c>
      <c r="F1647" s="4" t="str">
        <f>HYPERLINK("http://141.218.60.56/~jnz1568/getInfo.php?workbook=20_10.xlsx&amp;sheet=U0&amp;row=1647&amp;col=6&amp;number=3.3&amp;sourceID=14","3.3")</f>
        <v>3.3</v>
      </c>
      <c r="G1647" s="4" t="str">
        <f>HYPERLINK("http://141.218.60.56/~jnz1568/getInfo.php?workbook=20_10.xlsx&amp;sheet=U0&amp;row=1647&amp;col=7&amp;number=0.00283&amp;sourceID=14","0.00283")</f>
        <v>0.00283</v>
      </c>
    </row>
    <row r="1648" spans="1:7">
      <c r="A1648" s="3"/>
      <c r="B1648" s="3"/>
      <c r="C1648" s="3"/>
      <c r="D1648" s="3"/>
      <c r="E1648" s="3">
        <v>5</v>
      </c>
      <c r="F1648" s="4" t="str">
        <f>HYPERLINK("http://141.218.60.56/~jnz1568/getInfo.php?workbook=20_10.xlsx&amp;sheet=U0&amp;row=1648&amp;col=6&amp;number=3.4&amp;sourceID=14","3.4")</f>
        <v>3.4</v>
      </c>
      <c r="G1648" s="4" t="str">
        <f>HYPERLINK("http://141.218.60.56/~jnz1568/getInfo.php?workbook=20_10.xlsx&amp;sheet=U0&amp;row=1648&amp;col=7&amp;number=0.00283&amp;sourceID=14","0.00283")</f>
        <v>0.00283</v>
      </c>
    </row>
    <row r="1649" spans="1:7">
      <c r="A1649" s="3"/>
      <c r="B1649" s="3"/>
      <c r="C1649" s="3"/>
      <c r="D1649" s="3"/>
      <c r="E1649" s="3">
        <v>6</v>
      </c>
      <c r="F1649" s="4" t="str">
        <f>HYPERLINK("http://141.218.60.56/~jnz1568/getInfo.php?workbook=20_10.xlsx&amp;sheet=U0&amp;row=1649&amp;col=6&amp;number=3.5&amp;sourceID=14","3.5")</f>
        <v>3.5</v>
      </c>
      <c r="G1649" s="4" t="str">
        <f>HYPERLINK("http://141.218.60.56/~jnz1568/getInfo.php?workbook=20_10.xlsx&amp;sheet=U0&amp;row=1649&amp;col=7&amp;number=0.00283&amp;sourceID=14","0.00283")</f>
        <v>0.00283</v>
      </c>
    </row>
    <row r="1650" spans="1:7">
      <c r="A1650" s="3"/>
      <c r="B1650" s="3"/>
      <c r="C1650" s="3"/>
      <c r="D1650" s="3"/>
      <c r="E1650" s="3">
        <v>7</v>
      </c>
      <c r="F1650" s="4" t="str">
        <f>HYPERLINK("http://141.218.60.56/~jnz1568/getInfo.php?workbook=20_10.xlsx&amp;sheet=U0&amp;row=1650&amp;col=6&amp;number=3.6&amp;sourceID=14","3.6")</f>
        <v>3.6</v>
      </c>
      <c r="G1650" s="4" t="str">
        <f>HYPERLINK("http://141.218.60.56/~jnz1568/getInfo.php?workbook=20_10.xlsx&amp;sheet=U0&amp;row=1650&amp;col=7&amp;number=0.00283&amp;sourceID=14","0.00283")</f>
        <v>0.00283</v>
      </c>
    </row>
    <row r="1651" spans="1:7">
      <c r="A1651" s="3"/>
      <c r="B1651" s="3"/>
      <c r="C1651" s="3"/>
      <c r="D1651" s="3"/>
      <c r="E1651" s="3">
        <v>8</v>
      </c>
      <c r="F1651" s="4" t="str">
        <f>HYPERLINK("http://141.218.60.56/~jnz1568/getInfo.php?workbook=20_10.xlsx&amp;sheet=U0&amp;row=1651&amp;col=6&amp;number=3.7&amp;sourceID=14","3.7")</f>
        <v>3.7</v>
      </c>
      <c r="G1651" s="4" t="str">
        <f>HYPERLINK("http://141.218.60.56/~jnz1568/getInfo.php?workbook=20_10.xlsx&amp;sheet=U0&amp;row=1651&amp;col=7&amp;number=0.00283&amp;sourceID=14","0.00283")</f>
        <v>0.00283</v>
      </c>
    </row>
    <row r="1652" spans="1:7">
      <c r="A1652" s="3"/>
      <c r="B1652" s="3"/>
      <c r="C1652" s="3"/>
      <c r="D1652" s="3"/>
      <c r="E1652" s="3">
        <v>9</v>
      </c>
      <c r="F1652" s="4" t="str">
        <f>HYPERLINK("http://141.218.60.56/~jnz1568/getInfo.php?workbook=20_10.xlsx&amp;sheet=U0&amp;row=1652&amp;col=6&amp;number=3.8&amp;sourceID=14","3.8")</f>
        <v>3.8</v>
      </c>
      <c r="G1652" s="4" t="str">
        <f>HYPERLINK("http://141.218.60.56/~jnz1568/getInfo.php?workbook=20_10.xlsx&amp;sheet=U0&amp;row=1652&amp;col=7&amp;number=0.00283&amp;sourceID=14","0.00283")</f>
        <v>0.00283</v>
      </c>
    </row>
    <row r="1653" spans="1:7">
      <c r="A1653" s="3"/>
      <c r="B1653" s="3"/>
      <c r="C1653" s="3"/>
      <c r="D1653" s="3"/>
      <c r="E1653" s="3">
        <v>10</v>
      </c>
      <c r="F1653" s="4" t="str">
        <f>HYPERLINK("http://141.218.60.56/~jnz1568/getInfo.php?workbook=20_10.xlsx&amp;sheet=U0&amp;row=1653&amp;col=6&amp;number=3.9&amp;sourceID=14","3.9")</f>
        <v>3.9</v>
      </c>
      <c r="G1653" s="4" t="str">
        <f>HYPERLINK("http://141.218.60.56/~jnz1568/getInfo.php?workbook=20_10.xlsx&amp;sheet=U0&amp;row=1653&amp;col=7&amp;number=0.00283&amp;sourceID=14","0.00283")</f>
        <v>0.00283</v>
      </c>
    </row>
    <row r="1654" spans="1:7">
      <c r="A1654" s="3"/>
      <c r="B1654" s="3"/>
      <c r="C1654" s="3"/>
      <c r="D1654" s="3"/>
      <c r="E1654" s="3">
        <v>11</v>
      </c>
      <c r="F1654" s="4" t="str">
        <f>HYPERLINK("http://141.218.60.56/~jnz1568/getInfo.php?workbook=20_10.xlsx&amp;sheet=U0&amp;row=1654&amp;col=6&amp;number=4&amp;sourceID=14","4")</f>
        <v>4</v>
      </c>
      <c r="G1654" s="4" t="str">
        <f>HYPERLINK("http://141.218.60.56/~jnz1568/getInfo.php?workbook=20_10.xlsx&amp;sheet=U0&amp;row=1654&amp;col=7&amp;number=0.00283&amp;sourceID=14","0.00283")</f>
        <v>0.00283</v>
      </c>
    </row>
    <row r="1655" spans="1:7">
      <c r="A1655" s="3"/>
      <c r="B1655" s="3"/>
      <c r="C1655" s="3"/>
      <c r="D1655" s="3"/>
      <c r="E1655" s="3">
        <v>12</v>
      </c>
      <c r="F1655" s="4" t="str">
        <f>HYPERLINK("http://141.218.60.56/~jnz1568/getInfo.php?workbook=20_10.xlsx&amp;sheet=U0&amp;row=1655&amp;col=6&amp;number=4.1&amp;sourceID=14","4.1")</f>
        <v>4.1</v>
      </c>
      <c r="G1655" s="4" t="str">
        <f>HYPERLINK("http://141.218.60.56/~jnz1568/getInfo.php?workbook=20_10.xlsx&amp;sheet=U0&amp;row=1655&amp;col=7&amp;number=0.00283&amp;sourceID=14","0.00283")</f>
        <v>0.00283</v>
      </c>
    </row>
    <row r="1656" spans="1:7">
      <c r="A1656" s="3"/>
      <c r="B1656" s="3"/>
      <c r="C1656" s="3"/>
      <c r="D1656" s="3"/>
      <c r="E1656" s="3">
        <v>13</v>
      </c>
      <c r="F1656" s="4" t="str">
        <f>HYPERLINK("http://141.218.60.56/~jnz1568/getInfo.php?workbook=20_10.xlsx&amp;sheet=U0&amp;row=1656&amp;col=6&amp;number=4.2&amp;sourceID=14","4.2")</f>
        <v>4.2</v>
      </c>
      <c r="G1656" s="4" t="str">
        <f>HYPERLINK("http://141.218.60.56/~jnz1568/getInfo.php?workbook=20_10.xlsx&amp;sheet=U0&amp;row=1656&amp;col=7&amp;number=0.00283&amp;sourceID=14","0.00283")</f>
        <v>0.00283</v>
      </c>
    </row>
    <row r="1657" spans="1:7">
      <c r="A1657" s="3"/>
      <c r="B1657" s="3"/>
      <c r="C1657" s="3"/>
      <c r="D1657" s="3"/>
      <c r="E1657" s="3">
        <v>14</v>
      </c>
      <c r="F1657" s="4" t="str">
        <f>HYPERLINK("http://141.218.60.56/~jnz1568/getInfo.php?workbook=20_10.xlsx&amp;sheet=U0&amp;row=1657&amp;col=6&amp;number=4.3&amp;sourceID=14","4.3")</f>
        <v>4.3</v>
      </c>
      <c r="G1657" s="4" t="str">
        <f>HYPERLINK("http://141.218.60.56/~jnz1568/getInfo.php?workbook=20_10.xlsx&amp;sheet=U0&amp;row=1657&amp;col=7&amp;number=0.00282&amp;sourceID=14","0.00282")</f>
        <v>0.00282</v>
      </c>
    </row>
    <row r="1658" spans="1:7">
      <c r="A1658" s="3"/>
      <c r="B1658" s="3"/>
      <c r="C1658" s="3"/>
      <c r="D1658" s="3"/>
      <c r="E1658" s="3">
        <v>15</v>
      </c>
      <c r="F1658" s="4" t="str">
        <f>HYPERLINK("http://141.218.60.56/~jnz1568/getInfo.php?workbook=20_10.xlsx&amp;sheet=U0&amp;row=1658&amp;col=6&amp;number=4.4&amp;sourceID=14","4.4")</f>
        <v>4.4</v>
      </c>
      <c r="G1658" s="4" t="str">
        <f>HYPERLINK("http://141.218.60.56/~jnz1568/getInfo.php?workbook=20_10.xlsx&amp;sheet=U0&amp;row=1658&amp;col=7&amp;number=0.00282&amp;sourceID=14","0.00282")</f>
        <v>0.00282</v>
      </c>
    </row>
    <row r="1659" spans="1:7">
      <c r="A1659" s="3"/>
      <c r="B1659" s="3"/>
      <c r="C1659" s="3"/>
      <c r="D1659" s="3"/>
      <c r="E1659" s="3">
        <v>16</v>
      </c>
      <c r="F1659" s="4" t="str">
        <f>HYPERLINK("http://141.218.60.56/~jnz1568/getInfo.php?workbook=20_10.xlsx&amp;sheet=U0&amp;row=1659&amp;col=6&amp;number=4.5&amp;sourceID=14","4.5")</f>
        <v>4.5</v>
      </c>
      <c r="G1659" s="4" t="str">
        <f>HYPERLINK("http://141.218.60.56/~jnz1568/getInfo.php?workbook=20_10.xlsx&amp;sheet=U0&amp;row=1659&amp;col=7&amp;number=0.00282&amp;sourceID=14","0.00282")</f>
        <v>0.00282</v>
      </c>
    </row>
    <row r="1660" spans="1:7">
      <c r="A1660" s="3"/>
      <c r="B1660" s="3"/>
      <c r="C1660" s="3"/>
      <c r="D1660" s="3"/>
      <c r="E1660" s="3">
        <v>17</v>
      </c>
      <c r="F1660" s="4" t="str">
        <f>HYPERLINK("http://141.218.60.56/~jnz1568/getInfo.php?workbook=20_10.xlsx&amp;sheet=U0&amp;row=1660&amp;col=6&amp;number=4.6&amp;sourceID=14","4.6")</f>
        <v>4.6</v>
      </c>
      <c r="G1660" s="4" t="str">
        <f>HYPERLINK("http://141.218.60.56/~jnz1568/getInfo.php?workbook=20_10.xlsx&amp;sheet=U0&amp;row=1660&amp;col=7&amp;number=0.00281&amp;sourceID=14","0.00281")</f>
        <v>0.00281</v>
      </c>
    </row>
    <row r="1661" spans="1:7">
      <c r="A1661" s="3"/>
      <c r="B1661" s="3"/>
      <c r="C1661" s="3"/>
      <c r="D1661" s="3"/>
      <c r="E1661" s="3">
        <v>18</v>
      </c>
      <c r="F1661" s="4" t="str">
        <f>HYPERLINK("http://141.218.60.56/~jnz1568/getInfo.php?workbook=20_10.xlsx&amp;sheet=U0&amp;row=1661&amp;col=6&amp;number=4.7&amp;sourceID=14","4.7")</f>
        <v>4.7</v>
      </c>
      <c r="G1661" s="4" t="str">
        <f>HYPERLINK("http://141.218.60.56/~jnz1568/getInfo.php?workbook=20_10.xlsx&amp;sheet=U0&amp;row=1661&amp;col=7&amp;number=0.00281&amp;sourceID=14","0.00281")</f>
        <v>0.00281</v>
      </c>
    </row>
    <row r="1662" spans="1:7">
      <c r="A1662" s="3"/>
      <c r="B1662" s="3"/>
      <c r="C1662" s="3"/>
      <c r="D1662" s="3"/>
      <c r="E1662" s="3">
        <v>19</v>
      </c>
      <c r="F1662" s="4" t="str">
        <f>HYPERLINK("http://141.218.60.56/~jnz1568/getInfo.php?workbook=20_10.xlsx&amp;sheet=U0&amp;row=1662&amp;col=6&amp;number=4.8&amp;sourceID=14","4.8")</f>
        <v>4.8</v>
      </c>
      <c r="G1662" s="4" t="str">
        <f>HYPERLINK("http://141.218.60.56/~jnz1568/getInfo.php?workbook=20_10.xlsx&amp;sheet=U0&amp;row=1662&amp;col=7&amp;number=0.0028&amp;sourceID=14","0.0028")</f>
        <v>0.0028</v>
      </c>
    </row>
    <row r="1663" spans="1:7">
      <c r="A1663" s="3"/>
      <c r="B1663" s="3"/>
      <c r="C1663" s="3"/>
      <c r="D1663" s="3"/>
      <c r="E1663" s="3">
        <v>20</v>
      </c>
      <c r="F1663" s="4" t="str">
        <f>HYPERLINK("http://141.218.60.56/~jnz1568/getInfo.php?workbook=20_10.xlsx&amp;sheet=U0&amp;row=1663&amp;col=6&amp;number=4.9&amp;sourceID=14","4.9")</f>
        <v>4.9</v>
      </c>
      <c r="G1663" s="4" t="str">
        <f>HYPERLINK("http://141.218.60.56/~jnz1568/getInfo.php?workbook=20_10.xlsx&amp;sheet=U0&amp;row=1663&amp;col=7&amp;number=0.00279&amp;sourceID=14","0.00279")</f>
        <v>0.00279</v>
      </c>
    </row>
    <row r="1664" spans="1:7">
      <c r="A1664" s="3">
        <v>20</v>
      </c>
      <c r="B1664" s="3">
        <v>10</v>
      </c>
      <c r="C1664" s="3">
        <v>1</v>
      </c>
      <c r="D1664" s="3">
        <v>85</v>
      </c>
      <c r="E1664" s="3">
        <v>1</v>
      </c>
      <c r="F1664" s="4" t="str">
        <f>HYPERLINK("http://141.218.60.56/~jnz1568/getInfo.php?workbook=20_10.xlsx&amp;sheet=U0&amp;row=1664&amp;col=6&amp;number=3&amp;sourceID=14","3")</f>
        <v>3</v>
      </c>
      <c r="G1664" s="4" t="str">
        <f>HYPERLINK("http://141.218.60.56/~jnz1568/getInfo.php?workbook=20_10.xlsx&amp;sheet=U0&amp;row=1664&amp;col=7&amp;number=0.00651&amp;sourceID=14","0.00651")</f>
        <v>0.00651</v>
      </c>
    </row>
    <row r="1665" spans="1:7">
      <c r="A1665" s="3"/>
      <c r="B1665" s="3"/>
      <c r="C1665" s="3"/>
      <c r="D1665" s="3"/>
      <c r="E1665" s="3">
        <v>2</v>
      </c>
      <c r="F1665" s="4" t="str">
        <f>HYPERLINK("http://141.218.60.56/~jnz1568/getInfo.php?workbook=20_10.xlsx&amp;sheet=U0&amp;row=1665&amp;col=6&amp;number=3.1&amp;sourceID=14","3.1")</f>
        <v>3.1</v>
      </c>
      <c r="G1665" s="4" t="str">
        <f>HYPERLINK("http://141.218.60.56/~jnz1568/getInfo.php?workbook=20_10.xlsx&amp;sheet=U0&amp;row=1665&amp;col=7&amp;number=0.00651&amp;sourceID=14","0.00651")</f>
        <v>0.00651</v>
      </c>
    </row>
    <row r="1666" spans="1:7">
      <c r="A1666" s="3"/>
      <c r="B1666" s="3"/>
      <c r="C1666" s="3"/>
      <c r="D1666" s="3"/>
      <c r="E1666" s="3">
        <v>3</v>
      </c>
      <c r="F1666" s="4" t="str">
        <f>HYPERLINK("http://141.218.60.56/~jnz1568/getInfo.php?workbook=20_10.xlsx&amp;sheet=U0&amp;row=1666&amp;col=6&amp;number=3.2&amp;sourceID=14","3.2")</f>
        <v>3.2</v>
      </c>
      <c r="G1666" s="4" t="str">
        <f>HYPERLINK("http://141.218.60.56/~jnz1568/getInfo.php?workbook=20_10.xlsx&amp;sheet=U0&amp;row=1666&amp;col=7&amp;number=0.00651&amp;sourceID=14","0.00651")</f>
        <v>0.00651</v>
      </c>
    </row>
    <row r="1667" spans="1:7">
      <c r="A1667" s="3"/>
      <c r="B1667" s="3"/>
      <c r="C1667" s="3"/>
      <c r="D1667" s="3"/>
      <c r="E1667" s="3">
        <v>4</v>
      </c>
      <c r="F1667" s="4" t="str">
        <f>HYPERLINK("http://141.218.60.56/~jnz1568/getInfo.php?workbook=20_10.xlsx&amp;sheet=U0&amp;row=1667&amp;col=6&amp;number=3.3&amp;sourceID=14","3.3")</f>
        <v>3.3</v>
      </c>
      <c r="G1667" s="4" t="str">
        <f>HYPERLINK("http://141.218.60.56/~jnz1568/getInfo.php?workbook=20_10.xlsx&amp;sheet=U0&amp;row=1667&amp;col=7&amp;number=0.00651&amp;sourceID=14","0.00651")</f>
        <v>0.00651</v>
      </c>
    </row>
    <row r="1668" spans="1:7">
      <c r="A1668" s="3"/>
      <c r="B1668" s="3"/>
      <c r="C1668" s="3"/>
      <c r="D1668" s="3"/>
      <c r="E1668" s="3">
        <v>5</v>
      </c>
      <c r="F1668" s="4" t="str">
        <f>HYPERLINK("http://141.218.60.56/~jnz1568/getInfo.php?workbook=20_10.xlsx&amp;sheet=U0&amp;row=1668&amp;col=6&amp;number=3.4&amp;sourceID=14","3.4")</f>
        <v>3.4</v>
      </c>
      <c r="G1668" s="4" t="str">
        <f>HYPERLINK("http://141.218.60.56/~jnz1568/getInfo.php?workbook=20_10.xlsx&amp;sheet=U0&amp;row=1668&amp;col=7&amp;number=0.00651&amp;sourceID=14","0.00651")</f>
        <v>0.00651</v>
      </c>
    </row>
    <row r="1669" spans="1:7">
      <c r="A1669" s="3"/>
      <c r="B1669" s="3"/>
      <c r="C1669" s="3"/>
      <c r="D1669" s="3"/>
      <c r="E1669" s="3">
        <v>6</v>
      </c>
      <c r="F1669" s="4" t="str">
        <f>HYPERLINK("http://141.218.60.56/~jnz1568/getInfo.php?workbook=20_10.xlsx&amp;sheet=U0&amp;row=1669&amp;col=6&amp;number=3.5&amp;sourceID=14","3.5")</f>
        <v>3.5</v>
      </c>
      <c r="G1669" s="4" t="str">
        <f>HYPERLINK("http://141.218.60.56/~jnz1568/getInfo.php?workbook=20_10.xlsx&amp;sheet=U0&amp;row=1669&amp;col=7&amp;number=0.00651&amp;sourceID=14","0.00651")</f>
        <v>0.00651</v>
      </c>
    </row>
    <row r="1670" spans="1:7">
      <c r="A1670" s="3"/>
      <c r="B1670" s="3"/>
      <c r="C1670" s="3"/>
      <c r="D1670" s="3"/>
      <c r="E1670" s="3">
        <v>7</v>
      </c>
      <c r="F1670" s="4" t="str">
        <f>HYPERLINK("http://141.218.60.56/~jnz1568/getInfo.php?workbook=20_10.xlsx&amp;sheet=U0&amp;row=1670&amp;col=6&amp;number=3.6&amp;sourceID=14","3.6")</f>
        <v>3.6</v>
      </c>
      <c r="G1670" s="4" t="str">
        <f>HYPERLINK("http://141.218.60.56/~jnz1568/getInfo.php?workbook=20_10.xlsx&amp;sheet=U0&amp;row=1670&amp;col=7&amp;number=0.00651&amp;sourceID=14","0.00651")</f>
        <v>0.00651</v>
      </c>
    </row>
    <row r="1671" spans="1:7">
      <c r="A1671" s="3"/>
      <c r="B1671" s="3"/>
      <c r="C1671" s="3"/>
      <c r="D1671" s="3"/>
      <c r="E1671" s="3">
        <v>8</v>
      </c>
      <c r="F1671" s="4" t="str">
        <f>HYPERLINK("http://141.218.60.56/~jnz1568/getInfo.php?workbook=20_10.xlsx&amp;sheet=U0&amp;row=1671&amp;col=6&amp;number=3.7&amp;sourceID=14","3.7")</f>
        <v>3.7</v>
      </c>
      <c r="G1671" s="4" t="str">
        <f>HYPERLINK("http://141.218.60.56/~jnz1568/getInfo.php?workbook=20_10.xlsx&amp;sheet=U0&amp;row=1671&amp;col=7&amp;number=0.00651&amp;sourceID=14","0.00651")</f>
        <v>0.00651</v>
      </c>
    </row>
    <row r="1672" spans="1:7">
      <c r="A1672" s="3"/>
      <c r="B1672" s="3"/>
      <c r="C1672" s="3"/>
      <c r="D1672" s="3"/>
      <c r="E1672" s="3">
        <v>9</v>
      </c>
      <c r="F1672" s="4" t="str">
        <f>HYPERLINK("http://141.218.60.56/~jnz1568/getInfo.php?workbook=20_10.xlsx&amp;sheet=U0&amp;row=1672&amp;col=6&amp;number=3.8&amp;sourceID=14","3.8")</f>
        <v>3.8</v>
      </c>
      <c r="G1672" s="4" t="str">
        <f>HYPERLINK("http://141.218.60.56/~jnz1568/getInfo.php?workbook=20_10.xlsx&amp;sheet=U0&amp;row=1672&amp;col=7&amp;number=0.00651&amp;sourceID=14","0.00651")</f>
        <v>0.00651</v>
      </c>
    </row>
    <row r="1673" spans="1:7">
      <c r="A1673" s="3"/>
      <c r="B1673" s="3"/>
      <c r="C1673" s="3"/>
      <c r="D1673" s="3"/>
      <c r="E1673" s="3">
        <v>10</v>
      </c>
      <c r="F1673" s="4" t="str">
        <f>HYPERLINK("http://141.218.60.56/~jnz1568/getInfo.php?workbook=20_10.xlsx&amp;sheet=U0&amp;row=1673&amp;col=6&amp;number=3.9&amp;sourceID=14","3.9")</f>
        <v>3.9</v>
      </c>
      <c r="G1673" s="4" t="str">
        <f>HYPERLINK("http://141.218.60.56/~jnz1568/getInfo.php?workbook=20_10.xlsx&amp;sheet=U0&amp;row=1673&amp;col=7&amp;number=0.00651&amp;sourceID=14","0.00651")</f>
        <v>0.00651</v>
      </c>
    </row>
    <row r="1674" spans="1:7">
      <c r="A1674" s="3"/>
      <c r="B1674" s="3"/>
      <c r="C1674" s="3"/>
      <c r="D1674" s="3"/>
      <c r="E1674" s="3">
        <v>11</v>
      </c>
      <c r="F1674" s="4" t="str">
        <f>HYPERLINK("http://141.218.60.56/~jnz1568/getInfo.php?workbook=20_10.xlsx&amp;sheet=U0&amp;row=1674&amp;col=6&amp;number=4&amp;sourceID=14","4")</f>
        <v>4</v>
      </c>
      <c r="G1674" s="4" t="str">
        <f>HYPERLINK("http://141.218.60.56/~jnz1568/getInfo.php?workbook=20_10.xlsx&amp;sheet=U0&amp;row=1674&amp;col=7&amp;number=0.00652&amp;sourceID=14","0.00652")</f>
        <v>0.00652</v>
      </c>
    </row>
    <row r="1675" spans="1:7">
      <c r="A1675" s="3"/>
      <c r="B1675" s="3"/>
      <c r="C1675" s="3"/>
      <c r="D1675" s="3"/>
      <c r="E1675" s="3">
        <v>12</v>
      </c>
      <c r="F1675" s="4" t="str">
        <f>HYPERLINK("http://141.218.60.56/~jnz1568/getInfo.php?workbook=20_10.xlsx&amp;sheet=U0&amp;row=1675&amp;col=6&amp;number=4.1&amp;sourceID=14","4.1")</f>
        <v>4.1</v>
      </c>
      <c r="G1675" s="4" t="str">
        <f>HYPERLINK("http://141.218.60.56/~jnz1568/getInfo.php?workbook=20_10.xlsx&amp;sheet=U0&amp;row=1675&amp;col=7&amp;number=0.00652&amp;sourceID=14","0.00652")</f>
        <v>0.00652</v>
      </c>
    </row>
    <row r="1676" spans="1:7">
      <c r="A1676" s="3"/>
      <c r="B1676" s="3"/>
      <c r="C1676" s="3"/>
      <c r="D1676" s="3"/>
      <c r="E1676" s="3">
        <v>13</v>
      </c>
      <c r="F1676" s="4" t="str">
        <f>HYPERLINK("http://141.218.60.56/~jnz1568/getInfo.php?workbook=20_10.xlsx&amp;sheet=U0&amp;row=1676&amp;col=6&amp;number=4.2&amp;sourceID=14","4.2")</f>
        <v>4.2</v>
      </c>
      <c r="G1676" s="4" t="str">
        <f>HYPERLINK("http://141.218.60.56/~jnz1568/getInfo.php?workbook=20_10.xlsx&amp;sheet=U0&amp;row=1676&amp;col=7&amp;number=0.00652&amp;sourceID=14","0.00652")</f>
        <v>0.00652</v>
      </c>
    </row>
    <row r="1677" spans="1:7">
      <c r="A1677" s="3"/>
      <c r="B1677" s="3"/>
      <c r="C1677" s="3"/>
      <c r="D1677" s="3"/>
      <c r="E1677" s="3">
        <v>14</v>
      </c>
      <c r="F1677" s="4" t="str">
        <f>HYPERLINK("http://141.218.60.56/~jnz1568/getInfo.php?workbook=20_10.xlsx&amp;sheet=U0&amp;row=1677&amp;col=6&amp;number=4.3&amp;sourceID=14","4.3")</f>
        <v>4.3</v>
      </c>
      <c r="G1677" s="4" t="str">
        <f>HYPERLINK("http://141.218.60.56/~jnz1568/getInfo.php?workbook=20_10.xlsx&amp;sheet=U0&amp;row=1677&amp;col=7&amp;number=0.00652&amp;sourceID=14","0.00652")</f>
        <v>0.00652</v>
      </c>
    </row>
    <row r="1678" spans="1:7">
      <c r="A1678" s="3"/>
      <c r="B1678" s="3"/>
      <c r="C1678" s="3"/>
      <c r="D1678" s="3"/>
      <c r="E1678" s="3">
        <v>15</v>
      </c>
      <c r="F1678" s="4" t="str">
        <f>HYPERLINK("http://141.218.60.56/~jnz1568/getInfo.php?workbook=20_10.xlsx&amp;sheet=U0&amp;row=1678&amp;col=6&amp;number=4.4&amp;sourceID=14","4.4")</f>
        <v>4.4</v>
      </c>
      <c r="G1678" s="4" t="str">
        <f>HYPERLINK("http://141.218.60.56/~jnz1568/getInfo.php?workbook=20_10.xlsx&amp;sheet=U0&amp;row=1678&amp;col=7&amp;number=0.00653&amp;sourceID=14","0.00653")</f>
        <v>0.00653</v>
      </c>
    </row>
    <row r="1679" spans="1:7">
      <c r="A1679" s="3"/>
      <c r="B1679" s="3"/>
      <c r="C1679" s="3"/>
      <c r="D1679" s="3"/>
      <c r="E1679" s="3">
        <v>16</v>
      </c>
      <c r="F1679" s="4" t="str">
        <f>HYPERLINK("http://141.218.60.56/~jnz1568/getInfo.php?workbook=20_10.xlsx&amp;sheet=U0&amp;row=1679&amp;col=6&amp;number=4.5&amp;sourceID=14","4.5")</f>
        <v>4.5</v>
      </c>
      <c r="G1679" s="4" t="str">
        <f>HYPERLINK("http://141.218.60.56/~jnz1568/getInfo.php?workbook=20_10.xlsx&amp;sheet=U0&amp;row=1679&amp;col=7&amp;number=0.00653&amp;sourceID=14","0.00653")</f>
        <v>0.00653</v>
      </c>
    </row>
    <row r="1680" spans="1:7">
      <c r="A1680" s="3"/>
      <c r="B1680" s="3"/>
      <c r="C1680" s="3"/>
      <c r="D1680" s="3"/>
      <c r="E1680" s="3">
        <v>17</v>
      </c>
      <c r="F1680" s="4" t="str">
        <f>HYPERLINK("http://141.218.60.56/~jnz1568/getInfo.php?workbook=20_10.xlsx&amp;sheet=U0&amp;row=1680&amp;col=6&amp;number=4.6&amp;sourceID=14","4.6")</f>
        <v>4.6</v>
      </c>
      <c r="G1680" s="4" t="str">
        <f>HYPERLINK("http://141.218.60.56/~jnz1568/getInfo.php?workbook=20_10.xlsx&amp;sheet=U0&amp;row=1680&amp;col=7&amp;number=0.00654&amp;sourceID=14","0.00654")</f>
        <v>0.00654</v>
      </c>
    </row>
    <row r="1681" spans="1:7">
      <c r="A1681" s="3"/>
      <c r="B1681" s="3"/>
      <c r="C1681" s="3"/>
      <c r="D1681" s="3"/>
      <c r="E1681" s="3">
        <v>18</v>
      </c>
      <c r="F1681" s="4" t="str">
        <f>HYPERLINK("http://141.218.60.56/~jnz1568/getInfo.php?workbook=20_10.xlsx&amp;sheet=U0&amp;row=1681&amp;col=6&amp;number=4.7&amp;sourceID=14","4.7")</f>
        <v>4.7</v>
      </c>
      <c r="G1681" s="4" t="str">
        <f>HYPERLINK("http://141.218.60.56/~jnz1568/getInfo.php?workbook=20_10.xlsx&amp;sheet=U0&amp;row=1681&amp;col=7&amp;number=0.00654&amp;sourceID=14","0.00654")</f>
        <v>0.00654</v>
      </c>
    </row>
    <row r="1682" spans="1:7">
      <c r="A1682" s="3"/>
      <c r="B1682" s="3"/>
      <c r="C1682" s="3"/>
      <c r="D1682" s="3"/>
      <c r="E1682" s="3">
        <v>19</v>
      </c>
      <c r="F1682" s="4" t="str">
        <f>HYPERLINK("http://141.218.60.56/~jnz1568/getInfo.php?workbook=20_10.xlsx&amp;sheet=U0&amp;row=1682&amp;col=6&amp;number=4.8&amp;sourceID=14","4.8")</f>
        <v>4.8</v>
      </c>
      <c r="G1682" s="4" t="str">
        <f>HYPERLINK("http://141.218.60.56/~jnz1568/getInfo.php?workbook=20_10.xlsx&amp;sheet=U0&amp;row=1682&amp;col=7&amp;number=0.00655&amp;sourceID=14","0.00655")</f>
        <v>0.00655</v>
      </c>
    </row>
    <row r="1683" spans="1:7">
      <c r="A1683" s="3"/>
      <c r="B1683" s="3"/>
      <c r="C1683" s="3"/>
      <c r="D1683" s="3"/>
      <c r="E1683" s="3">
        <v>20</v>
      </c>
      <c r="F1683" s="4" t="str">
        <f>HYPERLINK("http://141.218.60.56/~jnz1568/getInfo.php?workbook=20_10.xlsx&amp;sheet=U0&amp;row=1683&amp;col=6&amp;number=4.9&amp;sourceID=14","4.9")</f>
        <v>4.9</v>
      </c>
      <c r="G1683" s="4" t="str">
        <f>HYPERLINK("http://141.218.60.56/~jnz1568/getInfo.php?workbook=20_10.xlsx&amp;sheet=U0&amp;row=1683&amp;col=7&amp;number=0.00656&amp;sourceID=14","0.00656")</f>
        <v>0.00656</v>
      </c>
    </row>
    <row r="1684" spans="1:7">
      <c r="A1684" s="3">
        <v>20</v>
      </c>
      <c r="B1684" s="3">
        <v>10</v>
      </c>
      <c r="C1684" s="3">
        <v>1</v>
      </c>
      <c r="D1684" s="3">
        <v>86</v>
      </c>
      <c r="E1684" s="3">
        <v>1</v>
      </c>
      <c r="F1684" s="4" t="str">
        <f>HYPERLINK("http://141.218.60.56/~jnz1568/getInfo.php?workbook=20_10.xlsx&amp;sheet=U0&amp;row=1684&amp;col=6&amp;number=3&amp;sourceID=14","3")</f>
        <v>3</v>
      </c>
      <c r="G1684" s="4" t="str">
        <f>HYPERLINK("http://141.218.60.56/~jnz1568/getInfo.php?workbook=20_10.xlsx&amp;sheet=U0&amp;row=1684&amp;col=7&amp;number=0.000416&amp;sourceID=14","0.000416")</f>
        <v>0.000416</v>
      </c>
    </row>
    <row r="1685" spans="1:7">
      <c r="A1685" s="3"/>
      <c r="B1685" s="3"/>
      <c r="C1685" s="3"/>
      <c r="D1685" s="3"/>
      <c r="E1685" s="3">
        <v>2</v>
      </c>
      <c r="F1685" s="4" t="str">
        <f>HYPERLINK("http://141.218.60.56/~jnz1568/getInfo.php?workbook=20_10.xlsx&amp;sheet=U0&amp;row=1685&amp;col=6&amp;number=3.1&amp;sourceID=14","3.1")</f>
        <v>3.1</v>
      </c>
      <c r="G1685" s="4" t="str">
        <f>HYPERLINK("http://141.218.60.56/~jnz1568/getInfo.php?workbook=20_10.xlsx&amp;sheet=U0&amp;row=1685&amp;col=7&amp;number=0.000416&amp;sourceID=14","0.000416")</f>
        <v>0.000416</v>
      </c>
    </row>
    <row r="1686" spans="1:7">
      <c r="A1686" s="3"/>
      <c r="B1686" s="3"/>
      <c r="C1686" s="3"/>
      <c r="D1686" s="3"/>
      <c r="E1686" s="3">
        <v>3</v>
      </c>
      <c r="F1686" s="4" t="str">
        <f>HYPERLINK("http://141.218.60.56/~jnz1568/getInfo.php?workbook=20_10.xlsx&amp;sheet=U0&amp;row=1686&amp;col=6&amp;number=3.2&amp;sourceID=14","3.2")</f>
        <v>3.2</v>
      </c>
      <c r="G1686" s="4" t="str">
        <f>HYPERLINK("http://141.218.60.56/~jnz1568/getInfo.php?workbook=20_10.xlsx&amp;sheet=U0&amp;row=1686&amp;col=7&amp;number=0.000416&amp;sourceID=14","0.000416")</f>
        <v>0.000416</v>
      </c>
    </row>
    <row r="1687" spans="1:7">
      <c r="A1687" s="3"/>
      <c r="B1687" s="3"/>
      <c r="C1687" s="3"/>
      <c r="D1687" s="3"/>
      <c r="E1687" s="3">
        <v>4</v>
      </c>
      <c r="F1687" s="4" t="str">
        <f>HYPERLINK("http://141.218.60.56/~jnz1568/getInfo.php?workbook=20_10.xlsx&amp;sheet=U0&amp;row=1687&amp;col=6&amp;number=3.3&amp;sourceID=14","3.3")</f>
        <v>3.3</v>
      </c>
      <c r="G1687" s="4" t="str">
        <f>HYPERLINK("http://141.218.60.56/~jnz1568/getInfo.php?workbook=20_10.xlsx&amp;sheet=U0&amp;row=1687&amp;col=7&amp;number=0.000416&amp;sourceID=14","0.000416")</f>
        <v>0.000416</v>
      </c>
    </row>
    <row r="1688" spans="1:7">
      <c r="A1688" s="3"/>
      <c r="B1688" s="3"/>
      <c r="C1688" s="3"/>
      <c r="D1688" s="3"/>
      <c r="E1688" s="3">
        <v>5</v>
      </c>
      <c r="F1688" s="4" t="str">
        <f>HYPERLINK("http://141.218.60.56/~jnz1568/getInfo.php?workbook=20_10.xlsx&amp;sheet=U0&amp;row=1688&amp;col=6&amp;number=3.4&amp;sourceID=14","3.4")</f>
        <v>3.4</v>
      </c>
      <c r="G1688" s="4" t="str">
        <f>HYPERLINK("http://141.218.60.56/~jnz1568/getInfo.php?workbook=20_10.xlsx&amp;sheet=U0&amp;row=1688&amp;col=7&amp;number=0.000416&amp;sourceID=14","0.000416")</f>
        <v>0.000416</v>
      </c>
    </row>
    <row r="1689" spans="1:7">
      <c r="A1689" s="3"/>
      <c r="B1689" s="3"/>
      <c r="C1689" s="3"/>
      <c r="D1689" s="3"/>
      <c r="E1689" s="3">
        <v>6</v>
      </c>
      <c r="F1689" s="4" t="str">
        <f>HYPERLINK("http://141.218.60.56/~jnz1568/getInfo.php?workbook=20_10.xlsx&amp;sheet=U0&amp;row=1689&amp;col=6&amp;number=3.5&amp;sourceID=14","3.5")</f>
        <v>3.5</v>
      </c>
      <c r="G1689" s="4" t="str">
        <f>HYPERLINK("http://141.218.60.56/~jnz1568/getInfo.php?workbook=20_10.xlsx&amp;sheet=U0&amp;row=1689&amp;col=7&amp;number=0.000416&amp;sourceID=14","0.000416")</f>
        <v>0.000416</v>
      </c>
    </row>
    <row r="1690" spans="1:7">
      <c r="A1690" s="3"/>
      <c r="B1690" s="3"/>
      <c r="C1690" s="3"/>
      <c r="D1690" s="3"/>
      <c r="E1690" s="3">
        <v>7</v>
      </c>
      <c r="F1690" s="4" t="str">
        <f>HYPERLINK("http://141.218.60.56/~jnz1568/getInfo.php?workbook=20_10.xlsx&amp;sheet=U0&amp;row=1690&amp;col=6&amp;number=3.6&amp;sourceID=14","3.6")</f>
        <v>3.6</v>
      </c>
      <c r="G1690" s="4" t="str">
        <f>HYPERLINK("http://141.218.60.56/~jnz1568/getInfo.php?workbook=20_10.xlsx&amp;sheet=U0&amp;row=1690&amp;col=7&amp;number=0.000416&amp;sourceID=14","0.000416")</f>
        <v>0.000416</v>
      </c>
    </row>
    <row r="1691" spans="1:7">
      <c r="A1691" s="3"/>
      <c r="B1691" s="3"/>
      <c r="C1691" s="3"/>
      <c r="D1691" s="3"/>
      <c r="E1691" s="3">
        <v>8</v>
      </c>
      <c r="F1691" s="4" t="str">
        <f>HYPERLINK("http://141.218.60.56/~jnz1568/getInfo.php?workbook=20_10.xlsx&amp;sheet=U0&amp;row=1691&amp;col=6&amp;number=3.7&amp;sourceID=14","3.7")</f>
        <v>3.7</v>
      </c>
      <c r="G1691" s="4" t="str">
        <f>HYPERLINK("http://141.218.60.56/~jnz1568/getInfo.php?workbook=20_10.xlsx&amp;sheet=U0&amp;row=1691&amp;col=7&amp;number=0.000416&amp;sourceID=14","0.000416")</f>
        <v>0.000416</v>
      </c>
    </row>
    <row r="1692" spans="1:7">
      <c r="A1692" s="3"/>
      <c r="B1692" s="3"/>
      <c r="C1692" s="3"/>
      <c r="D1692" s="3"/>
      <c r="E1692" s="3">
        <v>9</v>
      </c>
      <c r="F1692" s="4" t="str">
        <f>HYPERLINK("http://141.218.60.56/~jnz1568/getInfo.php?workbook=20_10.xlsx&amp;sheet=U0&amp;row=1692&amp;col=6&amp;number=3.8&amp;sourceID=14","3.8")</f>
        <v>3.8</v>
      </c>
      <c r="G1692" s="4" t="str">
        <f>HYPERLINK("http://141.218.60.56/~jnz1568/getInfo.php?workbook=20_10.xlsx&amp;sheet=U0&amp;row=1692&amp;col=7&amp;number=0.000416&amp;sourceID=14","0.000416")</f>
        <v>0.000416</v>
      </c>
    </row>
    <row r="1693" spans="1:7">
      <c r="A1693" s="3"/>
      <c r="B1693" s="3"/>
      <c r="C1693" s="3"/>
      <c r="D1693" s="3"/>
      <c r="E1693" s="3">
        <v>10</v>
      </c>
      <c r="F1693" s="4" t="str">
        <f>HYPERLINK("http://141.218.60.56/~jnz1568/getInfo.php?workbook=20_10.xlsx&amp;sheet=U0&amp;row=1693&amp;col=6&amp;number=3.9&amp;sourceID=14","3.9")</f>
        <v>3.9</v>
      </c>
      <c r="G1693" s="4" t="str">
        <f>HYPERLINK("http://141.218.60.56/~jnz1568/getInfo.php?workbook=20_10.xlsx&amp;sheet=U0&amp;row=1693&amp;col=7&amp;number=0.000416&amp;sourceID=14","0.000416")</f>
        <v>0.000416</v>
      </c>
    </row>
    <row r="1694" spans="1:7">
      <c r="A1694" s="3"/>
      <c r="B1694" s="3"/>
      <c r="C1694" s="3"/>
      <c r="D1694" s="3"/>
      <c r="E1694" s="3">
        <v>11</v>
      </c>
      <c r="F1694" s="4" t="str">
        <f>HYPERLINK("http://141.218.60.56/~jnz1568/getInfo.php?workbook=20_10.xlsx&amp;sheet=U0&amp;row=1694&amp;col=6&amp;number=4&amp;sourceID=14","4")</f>
        <v>4</v>
      </c>
      <c r="G1694" s="4" t="str">
        <f>HYPERLINK("http://141.218.60.56/~jnz1568/getInfo.php?workbook=20_10.xlsx&amp;sheet=U0&amp;row=1694&amp;col=7&amp;number=0.000415&amp;sourceID=14","0.000415")</f>
        <v>0.000415</v>
      </c>
    </row>
    <row r="1695" spans="1:7">
      <c r="A1695" s="3"/>
      <c r="B1695" s="3"/>
      <c r="C1695" s="3"/>
      <c r="D1695" s="3"/>
      <c r="E1695" s="3">
        <v>12</v>
      </c>
      <c r="F1695" s="4" t="str">
        <f>HYPERLINK("http://141.218.60.56/~jnz1568/getInfo.php?workbook=20_10.xlsx&amp;sheet=U0&amp;row=1695&amp;col=6&amp;number=4.1&amp;sourceID=14","4.1")</f>
        <v>4.1</v>
      </c>
      <c r="G1695" s="4" t="str">
        <f>HYPERLINK("http://141.218.60.56/~jnz1568/getInfo.php?workbook=20_10.xlsx&amp;sheet=U0&amp;row=1695&amp;col=7&amp;number=0.000415&amp;sourceID=14","0.000415")</f>
        <v>0.000415</v>
      </c>
    </row>
    <row r="1696" spans="1:7">
      <c r="A1696" s="3"/>
      <c r="B1696" s="3"/>
      <c r="C1696" s="3"/>
      <c r="D1696" s="3"/>
      <c r="E1696" s="3">
        <v>13</v>
      </c>
      <c r="F1696" s="4" t="str">
        <f>HYPERLINK("http://141.218.60.56/~jnz1568/getInfo.php?workbook=20_10.xlsx&amp;sheet=U0&amp;row=1696&amp;col=6&amp;number=4.2&amp;sourceID=14","4.2")</f>
        <v>4.2</v>
      </c>
      <c r="G1696" s="4" t="str">
        <f>HYPERLINK("http://141.218.60.56/~jnz1568/getInfo.php?workbook=20_10.xlsx&amp;sheet=U0&amp;row=1696&amp;col=7&amp;number=0.000415&amp;sourceID=14","0.000415")</f>
        <v>0.000415</v>
      </c>
    </row>
    <row r="1697" spans="1:7">
      <c r="A1697" s="3"/>
      <c r="B1697" s="3"/>
      <c r="C1697" s="3"/>
      <c r="D1697" s="3"/>
      <c r="E1697" s="3">
        <v>14</v>
      </c>
      <c r="F1697" s="4" t="str">
        <f>HYPERLINK("http://141.218.60.56/~jnz1568/getInfo.php?workbook=20_10.xlsx&amp;sheet=U0&amp;row=1697&amp;col=6&amp;number=4.3&amp;sourceID=14","4.3")</f>
        <v>4.3</v>
      </c>
      <c r="G1697" s="4" t="str">
        <f>HYPERLINK("http://141.218.60.56/~jnz1568/getInfo.php?workbook=20_10.xlsx&amp;sheet=U0&amp;row=1697&amp;col=7&amp;number=0.000414&amp;sourceID=14","0.000414")</f>
        <v>0.000414</v>
      </c>
    </row>
    <row r="1698" spans="1:7">
      <c r="A1698" s="3"/>
      <c r="B1698" s="3"/>
      <c r="C1698" s="3"/>
      <c r="D1698" s="3"/>
      <c r="E1698" s="3">
        <v>15</v>
      </c>
      <c r="F1698" s="4" t="str">
        <f>HYPERLINK("http://141.218.60.56/~jnz1568/getInfo.php?workbook=20_10.xlsx&amp;sheet=U0&amp;row=1698&amp;col=6&amp;number=4.4&amp;sourceID=14","4.4")</f>
        <v>4.4</v>
      </c>
      <c r="G1698" s="4" t="str">
        <f>HYPERLINK("http://141.218.60.56/~jnz1568/getInfo.php?workbook=20_10.xlsx&amp;sheet=U0&amp;row=1698&amp;col=7&amp;number=0.000414&amp;sourceID=14","0.000414")</f>
        <v>0.000414</v>
      </c>
    </row>
    <row r="1699" spans="1:7">
      <c r="A1699" s="3"/>
      <c r="B1699" s="3"/>
      <c r="C1699" s="3"/>
      <c r="D1699" s="3"/>
      <c r="E1699" s="3">
        <v>16</v>
      </c>
      <c r="F1699" s="4" t="str">
        <f>HYPERLINK("http://141.218.60.56/~jnz1568/getInfo.php?workbook=20_10.xlsx&amp;sheet=U0&amp;row=1699&amp;col=6&amp;number=4.5&amp;sourceID=14","4.5")</f>
        <v>4.5</v>
      </c>
      <c r="G1699" s="4" t="str">
        <f>HYPERLINK("http://141.218.60.56/~jnz1568/getInfo.php?workbook=20_10.xlsx&amp;sheet=U0&amp;row=1699&amp;col=7&amp;number=0.000413&amp;sourceID=14","0.000413")</f>
        <v>0.000413</v>
      </c>
    </row>
    <row r="1700" spans="1:7">
      <c r="A1700" s="3"/>
      <c r="B1700" s="3"/>
      <c r="C1700" s="3"/>
      <c r="D1700" s="3"/>
      <c r="E1700" s="3">
        <v>17</v>
      </c>
      <c r="F1700" s="4" t="str">
        <f>HYPERLINK("http://141.218.60.56/~jnz1568/getInfo.php?workbook=20_10.xlsx&amp;sheet=U0&amp;row=1700&amp;col=6&amp;number=4.6&amp;sourceID=14","4.6")</f>
        <v>4.6</v>
      </c>
      <c r="G1700" s="4" t="str">
        <f>HYPERLINK("http://141.218.60.56/~jnz1568/getInfo.php?workbook=20_10.xlsx&amp;sheet=U0&amp;row=1700&amp;col=7&amp;number=0.000412&amp;sourceID=14","0.000412")</f>
        <v>0.000412</v>
      </c>
    </row>
    <row r="1701" spans="1:7">
      <c r="A1701" s="3"/>
      <c r="B1701" s="3"/>
      <c r="C1701" s="3"/>
      <c r="D1701" s="3"/>
      <c r="E1701" s="3">
        <v>18</v>
      </c>
      <c r="F1701" s="4" t="str">
        <f>HYPERLINK("http://141.218.60.56/~jnz1568/getInfo.php?workbook=20_10.xlsx&amp;sheet=U0&amp;row=1701&amp;col=6&amp;number=4.7&amp;sourceID=14","4.7")</f>
        <v>4.7</v>
      </c>
      <c r="G1701" s="4" t="str">
        <f>HYPERLINK("http://141.218.60.56/~jnz1568/getInfo.php?workbook=20_10.xlsx&amp;sheet=U0&amp;row=1701&amp;col=7&amp;number=0.000411&amp;sourceID=14","0.000411")</f>
        <v>0.000411</v>
      </c>
    </row>
    <row r="1702" spans="1:7">
      <c r="A1702" s="3"/>
      <c r="B1702" s="3"/>
      <c r="C1702" s="3"/>
      <c r="D1702" s="3"/>
      <c r="E1702" s="3">
        <v>19</v>
      </c>
      <c r="F1702" s="4" t="str">
        <f>HYPERLINK("http://141.218.60.56/~jnz1568/getInfo.php?workbook=20_10.xlsx&amp;sheet=U0&amp;row=1702&amp;col=6&amp;number=4.8&amp;sourceID=14","4.8")</f>
        <v>4.8</v>
      </c>
      <c r="G1702" s="4" t="str">
        <f>HYPERLINK("http://141.218.60.56/~jnz1568/getInfo.php?workbook=20_10.xlsx&amp;sheet=U0&amp;row=1702&amp;col=7&amp;number=0.00041&amp;sourceID=14","0.00041")</f>
        <v>0.00041</v>
      </c>
    </row>
    <row r="1703" spans="1:7">
      <c r="A1703" s="3"/>
      <c r="B1703" s="3"/>
      <c r="C1703" s="3"/>
      <c r="D1703" s="3"/>
      <c r="E1703" s="3">
        <v>20</v>
      </c>
      <c r="F1703" s="4" t="str">
        <f>HYPERLINK("http://141.218.60.56/~jnz1568/getInfo.php?workbook=20_10.xlsx&amp;sheet=U0&amp;row=1703&amp;col=6&amp;number=4.9&amp;sourceID=14","4.9")</f>
        <v>4.9</v>
      </c>
      <c r="G1703" s="4" t="str">
        <f>HYPERLINK("http://141.218.60.56/~jnz1568/getInfo.php?workbook=20_10.xlsx&amp;sheet=U0&amp;row=1703&amp;col=7&amp;number=0.000409&amp;sourceID=14","0.000409")</f>
        <v>0.000409</v>
      </c>
    </row>
    <row r="1704" spans="1:7">
      <c r="A1704" s="3">
        <v>20</v>
      </c>
      <c r="B1704" s="3">
        <v>10</v>
      </c>
      <c r="C1704" s="3">
        <v>1</v>
      </c>
      <c r="D1704" s="3">
        <v>87</v>
      </c>
      <c r="E1704" s="3">
        <v>1</v>
      </c>
      <c r="F1704" s="4" t="str">
        <f>HYPERLINK("http://141.218.60.56/~jnz1568/getInfo.php?workbook=20_10.xlsx&amp;sheet=U0&amp;row=1704&amp;col=6&amp;number=3&amp;sourceID=14","3")</f>
        <v>3</v>
      </c>
      <c r="G1704" s="4" t="str">
        <f>HYPERLINK("http://141.218.60.56/~jnz1568/getInfo.php?workbook=20_10.xlsx&amp;sheet=U0&amp;row=1704&amp;col=7&amp;number=0.000584&amp;sourceID=14","0.000584")</f>
        <v>0.000584</v>
      </c>
    </row>
    <row r="1705" spans="1:7">
      <c r="A1705" s="3"/>
      <c r="B1705" s="3"/>
      <c r="C1705" s="3"/>
      <c r="D1705" s="3"/>
      <c r="E1705" s="3">
        <v>2</v>
      </c>
      <c r="F1705" s="4" t="str">
        <f>HYPERLINK("http://141.218.60.56/~jnz1568/getInfo.php?workbook=20_10.xlsx&amp;sheet=U0&amp;row=1705&amp;col=6&amp;number=3.1&amp;sourceID=14","3.1")</f>
        <v>3.1</v>
      </c>
      <c r="G1705" s="4" t="str">
        <f>HYPERLINK("http://141.218.60.56/~jnz1568/getInfo.php?workbook=20_10.xlsx&amp;sheet=U0&amp;row=1705&amp;col=7&amp;number=0.000584&amp;sourceID=14","0.000584")</f>
        <v>0.000584</v>
      </c>
    </row>
    <row r="1706" spans="1:7">
      <c r="A1706" s="3"/>
      <c r="B1706" s="3"/>
      <c r="C1706" s="3"/>
      <c r="D1706" s="3"/>
      <c r="E1706" s="3">
        <v>3</v>
      </c>
      <c r="F1706" s="4" t="str">
        <f>HYPERLINK("http://141.218.60.56/~jnz1568/getInfo.php?workbook=20_10.xlsx&amp;sheet=U0&amp;row=1706&amp;col=6&amp;number=3.2&amp;sourceID=14","3.2")</f>
        <v>3.2</v>
      </c>
      <c r="G1706" s="4" t="str">
        <f>HYPERLINK("http://141.218.60.56/~jnz1568/getInfo.php?workbook=20_10.xlsx&amp;sheet=U0&amp;row=1706&amp;col=7&amp;number=0.000584&amp;sourceID=14","0.000584")</f>
        <v>0.000584</v>
      </c>
    </row>
    <row r="1707" spans="1:7">
      <c r="A1707" s="3"/>
      <c r="B1707" s="3"/>
      <c r="C1707" s="3"/>
      <c r="D1707" s="3"/>
      <c r="E1707" s="3">
        <v>4</v>
      </c>
      <c r="F1707" s="4" t="str">
        <f>HYPERLINK("http://141.218.60.56/~jnz1568/getInfo.php?workbook=20_10.xlsx&amp;sheet=U0&amp;row=1707&amp;col=6&amp;number=3.3&amp;sourceID=14","3.3")</f>
        <v>3.3</v>
      </c>
      <c r="G1707" s="4" t="str">
        <f>HYPERLINK("http://141.218.60.56/~jnz1568/getInfo.php?workbook=20_10.xlsx&amp;sheet=U0&amp;row=1707&amp;col=7&amp;number=0.000584&amp;sourceID=14","0.000584")</f>
        <v>0.000584</v>
      </c>
    </row>
    <row r="1708" spans="1:7">
      <c r="A1708" s="3"/>
      <c r="B1708" s="3"/>
      <c r="C1708" s="3"/>
      <c r="D1708" s="3"/>
      <c r="E1708" s="3">
        <v>5</v>
      </c>
      <c r="F1708" s="4" t="str">
        <f>HYPERLINK("http://141.218.60.56/~jnz1568/getInfo.php?workbook=20_10.xlsx&amp;sheet=U0&amp;row=1708&amp;col=6&amp;number=3.4&amp;sourceID=14","3.4")</f>
        <v>3.4</v>
      </c>
      <c r="G1708" s="4" t="str">
        <f>HYPERLINK("http://141.218.60.56/~jnz1568/getInfo.php?workbook=20_10.xlsx&amp;sheet=U0&amp;row=1708&amp;col=7&amp;number=0.000584&amp;sourceID=14","0.000584")</f>
        <v>0.000584</v>
      </c>
    </row>
    <row r="1709" spans="1:7">
      <c r="A1709" s="3"/>
      <c r="B1709" s="3"/>
      <c r="C1709" s="3"/>
      <c r="D1709" s="3"/>
      <c r="E1709" s="3">
        <v>6</v>
      </c>
      <c r="F1709" s="4" t="str">
        <f>HYPERLINK("http://141.218.60.56/~jnz1568/getInfo.php?workbook=20_10.xlsx&amp;sheet=U0&amp;row=1709&amp;col=6&amp;number=3.5&amp;sourceID=14","3.5")</f>
        <v>3.5</v>
      </c>
      <c r="G1709" s="4" t="str">
        <f>HYPERLINK("http://141.218.60.56/~jnz1568/getInfo.php?workbook=20_10.xlsx&amp;sheet=U0&amp;row=1709&amp;col=7&amp;number=0.000584&amp;sourceID=14","0.000584")</f>
        <v>0.000584</v>
      </c>
    </row>
    <row r="1710" spans="1:7">
      <c r="A1710" s="3"/>
      <c r="B1710" s="3"/>
      <c r="C1710" s="3"/>
      <c r="D1710" s="3"/>
      <c r="E1710" s="3">
        <v>7</v>
      </c>
      <c r="F1710" s="4" t="str">
        <f>HYPERLINK("http://141.218.60.56/~jnz1568/getInfo.php?workbook=20_10.xlsx&amp;sheet=U0&amp;row=1710&amp;col=6&amp;number=3.6&amp;sourceID=14","3.6")</f>
        <v>3.6</v>
      </c>
      <c r="G1710" s="4" t="str">
        <f>HYPERLINK("http://141.218.60.56/~jnz1568/getInfo.php?workbook=20_10.xlsx&amp;sheet=U0&amp;row=1710&amp;col=7&amp;number=0.000584&amp;sourceID=14","0.000584")</f>
        <v>0.000584</v>
      </c>
    </row>
    <row r="1711" spans="1:7">
      <c r="A1711" s="3"/>
      <c r="B1711" s="3"/>
      <c r="C1711" s="3"/>
      <c r="D1711" s="3"/>
      <c r="E1711" s="3">
        <v>8</v>
      </c>
      <c r="F1711" s="4" t="str">
        <f>HYPERLINK("http://141.218.60.56/~jnz1568/getInfo.php?workbook=20_10.xlsx&amp;sheet=U0&amp;row=1711&amp;col=6&amp;number=3.7&amp;sourceID=14","3.7")</f>
        <v>3.7</v>
      </c>
      <c r="G1711" s="4" t="str">
        <f>HYPERLINK("http://141.218.60.56/~jnz1568/getInfo.php?workbook=20_10.xlsx&amp;sheet=U0&amp;row=1711&amp;col=7&amp;number=0.000584&amp;sourceID=14","0.000584")</f>
        <v>0.000584</v>
      </c>
    </row>
    <row r="1712" spans="1:7">
      <c r="A1712" s="3"/>
      <c r="B1712" s="3"/>
      <c r="C1712" s="3"/>
      <c r="D1712" s="3"/>
      <c r="E1712" s="3">
        <v>9</v>
      </c>
      <c r="F1712" s="4" t="str">
        <f>HYPERLINK("http://141.218.60.56/~jnz1568/getInfo.php?workbook=20_10.xlsx&amp;sheet=U0&amp;row=1712&amp;col=6&amp;number=3.8&amp;sourceID=14","3.8")</f>
        <v>3.8</v>
      </c>
      <c r="G1712" s="4" t="str">
        <f>HYPERLINK("http://141.218.60.56/~jnz1568/getInfo.php?workbook=20_10.xlsx&amp;sheet=U0&amp;row=1712&amp;col=7&amp;number=0.000584&amp;sourceID=14","0.000584")</f>
        <v>0.000584</v>
      </c>
    </row>
    <row r="1713" spans="1:7">
      <c r="A1713" s="3"/>
      <c r="B1713" s="3"/>
      <c r="C1713" s="3"/>
      <c r="D1713" s="3"/>
      <c r="E1713" s="3">
        <v>10</v>
      </c>
      <c r="F1713" s="4" t="str">
        <f>HYPERLINK("http://141.218.60.56/~jnz1568/getInfo.php?workbook=20_10.xlsx&amp;sheet=U0&amp;row=1713&amp;col=6&amp;number=3.9&amp;sourceID=14","3.9")</f>
        <v>3.9</v>
      </c>
      <c r="G1713" s="4" t="str">
        <f>HYPERLINK("http://141.218.60.56/~jnz1568/getInfo.php?workbook=20_10.xlsx&amp;sheet=U0&amp;row=1713&amp;col=7&amp;number=0.000583&amp;sourceID=14","0.000583")</f>
        <v>0.000583</v>
      </c>
    </row>
    <row r="1714" spans="1:7">
      <c r="A1714" s="3"/>
      <c r="B1714" s="3"/>
      <c r="C1714" s="3"/>
      <c r="D1714" s="3"/>
      <c r="E1714" s="3">
        <v>11</v>
      </c>
      <c r="F1714" s="4" t="str">
        <f>HYPERLINK("http://141.218.60.56/~jnz1568/getInfo.php?workbook=20_10.xlsx&amp;sheet=U0&amp;row=1714&amp;col=6&amp;number=4&amp;sourceID=14","4")</f>
        <v>4</v>
      </c>
      <c r="G1714" s="4" t="str">
        <f>HYPERLINK("http://141.218.60.56/~jnz1568/getInfo.php?workbook=20_10.xlsx&amp;sheet=U0&amp;row=1714&amp;col=7&amp;number=0.000583&amp;sourceID=14","0.000583")</f>
        <v>0.000583</v>
      </c>
    </row>
    <row r="1715" spans="1:7">
      <c r="A1715" s="3"/>
      <c r="B1715" s="3"/>
      <c r="C1715" s="3"/>
      <c r="D1715" s="3"/>
      <c r="E1715" s="3">
        <v>12</v>
      </c>
      <c r="F1715" s="4" t="str">
        <f>HYPERLINK("http://141.218.60.56/~jnz1568/getInfo.php?workbook=20_10.xlsx&amp;sheet=U0&amp;row=1715&amp;col=6&amp;number=4.1&amp;sourceID=14","4.1")</f>
        <v>4.1</v>
      </c>
      <c r="G1715" s="4" t="str">
        <f>HYPERLINK("http://141.218.60.56/~jnz1568/getInfo.php?workbook=20_10.xlsx&amp;sheet=U0&amp;row=1715&amp;col=7&amp;number=0.000583&amp;sourceID=14","0.000583")</f>
        <v>0.000583</v>
      </c>
    </row>
    <row r="1716" spans="1:7">
      <c r="A1716" s="3"/>
      <c r="B1716" s="3"/>
      <c r="C1716" s="3"/>
      <c r="D1716" s="3"/>
      <c r="E1716" s="3">
        <v>13</v>
      </c>
      <c r="F1716" s="4" t="str">
        <f>HYPERLINK("http://141.218.60.56/~jnz1568/getInfo.php?workbook=20_10.xlsx&amp;sheet=U0&amp;row=1716&amp;col=6&amp;number=4.2&amp;sourceID=14","4.2")</f>
        <v>4.2</v>
      </c>
      <c r="G1716" s="4" t="str">
        <f>HYPERLINK("http://141.218.60.56/~jnz1568/getInfo.php?workbook=20_10.xlsx&amp;sheet=U0&amp;row=1716&amp;col=7&amp;number=0.000582&amp;sourceID=14","0.000582")</f>
        <v>0.000582</v>
      </c>
    </row>
    <row r="1717" spans="1:7">
      <c r="A1717" s="3"/>
      <c r="B1717" s="3"/>
      <c r="C1717" s="3"/>
      <c r="D1717" s="3"/>
      <c r="E1717" s="3">
        <v>14</v>
      </c>
      <c r="F1717" s="4" t="str">
        <f>HYPERLINK("http://141.218.60.56/~jnz1568/getInfo.php?workbook=20_10.xlsx&amp;sheet=U0&amp;row=1717&amp;col=6&amp;number=4.3&amp;sourceID=14","4.3")</f>
        <v>4.3</v>
      </c>
      <c r="G1717" s="4" t="str">
        <f>HYPERLINK("http://141.218.60.56/~jnz1568/getInfo.php?workbook=20_10.xlsx&amp;sheet=U0&amp;row=1717&amp;col=7&amp;number=0.000582&amp;sourceID=14","0.000582")</f>
        <v>0.000582</v>
      </c>
    </row>
    <row r="1718" spans="1:7">
      <c r="A1718" s="3"/>
      <c r="B1718" s="3"/>
      <c r="C1718" s="3"/>
      <c r="D1718" s="3"/>
      <c r="E1718" s="3">
        <v>15</v>
      </c>
      <c r="F1718" s="4" t="str">
        <f>HYPERLINK("http://141.218.60.56/~jnz1568/getInfo.php?workbook=20_10.xlsx&amp;sheet=U0&amp;row=1718&amp;col=6&amp;number=4.4&amp;sourceID=14","4.4")</f>
        <v>4.4</v>
      </c>
      <c r="G1718" s="4" t="str">
        <f>HYPERLINK("http://141.218.60.56/~jnz1568/getInfo.php?workbook=20_10.xlsx&amp;sheet=U0&amp;row=1718&amp;col=7&amp;number=0.000581&amp;sourceID=14","0.000581")</f>
        <v>0.000581</v>
      </c>
    </row>
    <row r="1719" spans="1:7">
      <c r="A1719" s="3"/>
      <c r="B1719" s="3"/>
      <c r="C1719" s="3"/>
      <c r="D1719" s="3"/>
      <c r="E1719" s="3">
        <v>16</v>
      </c>
      <c r="F1719" s="4" t="str">
        <f>HYPERLINK("http://141.218.60.56/~jnz1568/getInfo.php?workbook=20_10.xlsx&amp;sheet=U0&amp;row=1719&amp;col=6&amp;number=4.5&amp;sourceID=14","4.5")</f>
        <v>4.5</v>
      </c>
      <c r="G1719" s="4" t="str">
        <f>HYPERLINK("http://141.218.60.56/~jnz1568/getInfo.php?workbook=20_10.xlsx&amp;sheet=U0&amp;row=1719&amp;col=7&amp;number=0.00058&amp;sourceID=14","0.00058")</f>
        <v>0.00058</v>
      </c>
    </row>
    <row r="1720" spans="1:7">
      <c r="A1720" s="3"/>
      <c r="B1720" s="3"/>
      <c r="C1720" s="3"/>
      <c r="D1720" s="3"/>
      <c r="E1720" s="3">
        <v>17</v>
      </c>
      <c r="F1720" s="4" t="str">
        <f>HYPERLINK("http://141.218.60.56/~jnz1568/getInfo.php?workbook=20_10.xlsx&amp;sheet=U0&amp;row=1720&amp;col=6&amp;number=4.6&amp;sourceID=14","4.6")</f>
        <v>4.6</v>
      </c>
      <c r="G1720" s="4" t="str">
        <f>HYPERLINK("http://141.218.60.56/~jnz1568/getInfo.php?workbook=20_10.xlsx&amp;sheet=U0&amp;row=1720&amp;col=7&amp;number=0.000579&amp;sourceID=14","0.000579")</f>
        <v>0.000579</v>
      </c>
    </row>
    <row r="1721" spans="1:7">
      <c r="A1721" s="3"/>
      <c r="B1721" s="3"/>
      <c r="C1721" s="3"/>
      <c r="D1721" s="3"/>
      <c r="E1721" s="3">
        <v>18</v>
      </c>
      <c r="F1721" s="4" t="str">
        <f>HYPERLINK("http://141.218.60.56/~jnz1568/getInfo.php?workbook=20_10.xlsx&amp;sheet=U0&amp;row=1721&amp;col=6&amp;number=4.7&amp;sourceID=14","4.7")</f>
        <v>4.7</v>
      </c>
      <c r="G1721" s="4" t="str">
        <f>HYPERLINK("http://141.218.60.56/~jnz1568/getInfo.php?workbook=20_10.xlsx&amp;sheet=U0&amp;row=1721&amp;col=7&amp;number=0.000578&amp;sourceID=14","0.000578")</f>
        <v>0.000578</v>
      </c>
    </row>
    <row r="1722" spans="1:7">
      <c r="A1722" s="3"/>
      <c r="B1722" s="3"/>
      <c r="C1722" s="3"/>
      <c r="D1722" s="3"/>
      <c r="E1722" s="3">
        <v>19</v>
      </c>
      <c r="F1722" s="4" t="str">
        <f>HYPERLINK("http://141.218.60.56/~jnz1568/getInfo.php?workbook=20_10.xlsx&amp;sheet=U0&amp;row=1722&amp;col=6&amp;number=4.8&amp;sourceID=14","4.8")</f>
        <v>4.8</v>
      </c>
      <c r="G1722" s="4" t="str">
        <f>HYPERLINK("http://141.218.60.56/~jnz1568/getInfo.php?workbook=20_10.xlsx&amp;sheet=U0&amp;row=1722&amp;col=7&amp;number=0.000576&amp;sourceID=14","0.000576")</f>
        <v>0.000576</v>
      </c>
    </row>
    <row r="1723" spans="1:7">
      <c r="A1723" s="3"/>
      <c r="B1723" s="3"/>
      <c r="C1723" s="3"/>
      <c r="D1723" s="3"/>
      <c r="E1723" s="3">
        <v>20</v>
      </c>
      <c r="F1723" s="4" t="str">
        <f>HYPERLINK("http://141.218.60.56/~jnz1568/getInfo.php?workbook=20_10.xlsx&amp;sheet=U0&amp;row=1723&amp;col=6&amp;number=4.9&amp;sourceID=14","4.9")</f>
        <v>4.9</v>
      </c>
      <c r="G1723" s="4" t="str">
        <f>HYPERLINK("http://141.218.60.56/~jnz1568/getInfo.php?workbook=20_10.xlsx&amp;sheet=U0&amp;row=1723&amp;col=7&amp;number=0.000574&amp;sourceID=14","0.000574")</f>
        <v>0.000574</v>
      </c>
    </row>
    <row r="1724" spans="1:7">
      <c r="A1724" s="3">
        <v>20</v>
      </c>
      <c r="B1724" s="3">
        <v>10</v>
      </c>
      <c r="C1724" s="3">
        <v>1</v>
      </c>
      <c r="D1724" s="3">
        <v>88</v>
      </c>
      <c r="E1724" s="3">
        <v>1</v>
      </c>
      <c r="F1724" s="4" t="str">
        <f>HYPERLINK("http://141.218.60.56/~jnz1568/getInfo.php?workbook=20_10.xlsx&amp;sheet=U0&amp;row=1724&amp;col=6&amp;number=3&amp;sourceID=14","3")</f>
        <v>3</v>
      </c>
      <c r="G1724" s="4" t="str">
        <f>HYPERLINK("http://141.218.60.56/~jnz1568/getInfo.php?workbook=20_10.xlsx&amp;sheet=U0&amp;row=1724&amp;col=7&amp;number=0.000749&amp;sourceID=14","0.000749")</f>
        <v>0.000749</v>
      </c>
    </row>
    <row r="1725" spans="1:7">
      <c r="A1725" s="3"/>
      <c r="B1725" s="3"/>
      <c r="C1725" s="3"/>
      <c r="D1725" s="3"/>
      <c r="E1725" s="3">
        <v>2</v>
      </c>
      <c r="F1725" s="4" t="str">
        <f>HYPERLINK("http://141.218.60.56/~jnz1568/getInfo.php?workbook=20_10.xlsx&amp;sheet=U0&amp;row=1725&amp;col=6&amp;number=3.1&amp;sourceID=14","3.1")</f>
        <v>3.1</v>
      </c>
      <c r="G1725" s="4" t="str">
        <f>HYPERLINK("http://141.218.60.56/~jnz1568/getInfo.php?workbook=20_10.xlsx&amp;sheet=U0&amp;row=1725&amp;col=7&amp;number=0.000749&amp;sourceID=14","0.000749")</f>
        <v>0.000749</v>
      </c>
    </row>
    <row r="1726" spans="1:7">
      <c r="A1726" s="3"/>
      <c r="B1726" s="3"/>
      <c r="C1726" s="3"/>
      <c r="D1726" s="3"/>
      <c r="E1726" s="3">
        <v>3</v>
      </c>
      <c r="F1726" s="4" t="str">
        <f>HYPERLINK("http://141.218.60.56/~jnz1568/getInfo.php?workbook=20_10.xlsx&amp;sheet=U0&amp;row=1726&amp;col=6&amp;number=3.2&amp;sourceID=14","3.2")</f>
        <v>3.2</v>
      </c>
      <c r="G1726" s="4" t="str">
        <f>HYPERLINK("http://141.218.60.56/~jnz1568/getInfo.php?workbook=20_10.xlsx&amp;sheet=U0&amp;row=1726&amp;col=7&amp;number=0.000749&amp;sourceID=14","0.000749")</f>
        <v>0.000749</v>
      </c>
    </row>
    <row r="1727" spans="1:7">
      <c r="A1727" s="3"/>
      <c r="B1727" s="3"/>
      <c r="C1727" s="3"/>
      <c r="D1727" s="3"/>
      <c r="E1727" s="3">
        <v>4</v>
      </c>
      <c r="F1727" s="4" t="str">
        <f>HYPERLINK("http://141.218.60.56/~jnz1568/getInfo.php?workbook=20_10.xlsx&amp;sheet=U0&amp;row=1727&amp;col=6&amp;number=3.3&amp;sourceID=14","3.3")</f>
        <v>3.3</v>
      </c>
      <c r="G1727" s="4" t="str">
        <f>HYPERLINK("http://141.218.60.56/~jnz1568/getInfo.php?workbook=20_10.xlsx&amp;sheet=U0&amp;row=1727&amp;col=7&amp;number=0.000749&amp;sourceID=14","0.000749")</f>
        <v>0.000749</v>
      </c>
    </row>
    <row r="1728" spans="1:7">
      <c r="A1728" s="3"/>
      <c r="B1728" s="3"/>
      <c r="C1728" s="3"/>
      <c r="D1728" s="3"/>
      <c r="E1728" s="3">
        <v>5</v>
      </c>
      <c r="F1728" s="4" t="str">
        <f>HYPERLINK("http://141.218.60.56/~jnz1568/getInfo.php?workbook=20_10.xlsx&amp;sheet=U0&amp;row=1728&amp;col=6&amp;number=3.4&amp;sourceID=14","3.4")</f>
        <v>3.4</v>
      </c>
      <c r="G1728" s="4" t="str">
        <f>HYPERLINK("http://141.218.60.56/~jnz1568/getInfo.php?workbook=20_10.xlsx&amp;sheet=U0&amp;row=1728&amp;col=7&amp;number=0.000749&amp;sourceID=14","0.000749")</f>
        <v>0.000749</v>
      </c>
    </row>
    <row r="1729" spans="1:7">
      <c r="A1729" s="3"/>
      <c r="B1729" s="3"/>
      <c r="C1729" s="3"/>
      <c r="D1729" s="3"/>
      <c r="E1729" s="3">
        <v>6</v>
      </c>
      <c r="F1729" s="4" t="str">
        <f>HYPERLINK("http://141.218.60.56/~jnz1568/getInfo.php?workbook=20_10.xlsx&amp;sheet=U0&amp;row=1729&amp;col=6&amp;number=3.5&amp;sourceID=14","3.5")</f>
        <v>3.5</v>
      </c>
      <c r="G1729" s="4" t="str">
        <f>HYPERLINK("http://141.218.60.56/~jnz1568/getInfo.php?workbook=20_10.xlsx&amp;sheet=U0&amp;row=1729&amp;col=7&amp;number=0.000749&amp;sourceID=14","0.000749")</f>
        <v>0.000749</v>
      </c>
    </row>
    <row r="1730" spans="1:7">
      <c r="A1730" s="3"/>
      <c r="B1730" s="3"/>
      <c r="C1730" s="3"/>
      <c r="D1730" s="3"/>
      <c r="E1730" s="3">
        <v>7</v>
      </c>
      <c r="F1730" s="4" t="str">
        <f>HYPERLINK("http://141.218.60.56/~jnz1568/getInfo.php?workbook=20_10.xlsx&amp;sheet=U0&amp;row=1730&amp;col=6&amp;number=3.6&amp;sourceID=14","3.6")</f>
        <v>3.6</v>
      </c>
      <c r="G1730" s="4" t="str">
        <f>HYPERLINK("http://141.218.60.56/~jnz1568/getInfo.php?workbook=20_10.xlsx&amp;sheet=U0&amp;row=1730&amp;col=7&amp;number=0.000749&amp;sourceID=14","0.000749")</f>
        <v>0.000749</v>
      </c>
    </row>
    <row r="1731" spans="1:7">
      <c r="A1731" s="3"/>
      <c r="B1731" s="3"/>
      <c r="C1731" s="3"/>
      <c r="D1731" s="3"/>
      <c r="E1731" s="3">
        <v>8</v>
      </c>
      <c r="F1731" s="4" t="str">
        <f>HYPERLINK("http://141.218.60.56/~jnz1568/getInfo.php?workbook=20_10.xlsx&amp;sheet=U0&amp;row=1731&amp;col=6&amp;number=3.7&amp;sourceID=14","3.7")</f>
        <v>3.7</v>
      </c>
      <c r="G1731" s="4" t="str">
        <f>HYPERLINK("http://141.218.60.56/~jnz1568/getInfo.php?workbook=20_10.xlsx&amp;sheet=U0&amp;row=1731&amp;col=7&amp;number=0.000749&amp;sourceID=14","0.000749")</f>
        <v>0.000749</v>
      </c>
    </row>
    <row r="1732" spans="1:7">
      <c r="A1732" s="3"/>
      <c r="B1732" s="3"/>
      <c r="C1732" s="3"/>
      <c r="D1732" s="3"/>
      <c r="E1732" s="3">
        <v>9</v>
      </c>
      <c r="F1732" s="4" t="str">
        <f>HYPERLINK("http://141.218.60.56/~jnz1568/getInfo.php?workbook=20_10.xlsx&amp;sheet=U0&amp;row=1732&amp;col=6&amp;number=3.8&amp;sourceID=14","3.8")</f>
        <v>3.8</v>
      </c>
      <c r="G1732" s="4" t="str">
        <f>HYPERLINK("http://141.218.60.56/~jnz1568/getInfo.php?workbook=20_10.xlsx&amp;sheet=U0&amp;row=1732&amp;col=7&amp;number=0.000748&amp;sourceID=14","0.000748")</f>
        <v>0.000748</v>
      </c>
    </row>
    <row r="1733" spans="1:7">
      <c r="A1733" s="3"/>
      <c r="B1733" s="3"/>
      <c r="C1733" s="3"/>
      <c r="D1733" s="3"/>
      <c r="E1733" s="3">
        <v>10</v>
      </c>
      <c r="F1733" s="4" t="str">
        <f>HYPERLINK("http://141.218.60.56/~jnz1568/getInfo.php?workbook=20_10.xlsx&amp;sheet=U0&amp;row=1733&amp;col=6&amp;number=3.9&amp;sourceID=14","3.9")</f>
        <v>3.9</v>
      </c>
      <c r="G1733" s="4" t="str">
        <f>HYPERLINK("http://141.218.60.56/~jnz1568/getInfo.php?workbook=20_10.xlsx&amp;sheet=U0&amp;row=1733&amp;col=7&amp;number=0.000748&amp;sourceID=14","0.000748")</f>
        <v>0.000748</v>
      </c>
    </row>
    <row r="1734" spans="1:7">
      <c r="A1734" s="3"/>
      <c r="B1734" s="3"/>
      <c r="C1734" s="3"/>
      <c r="D1734" s="3"/>
      <c r="E1734" s="3">
        <v>11</v>
      </c>
      <c r="F1734" s="4" t="str">
        <f>HYPERLINK("http://141.218.60.56/~jnz1568/getInfo.php?workbook=20_10.xlsx&amp;sheet=U0&amp;row=1734&amp;col=6&amp;number=4&amp;sourceID=14","4")</f>
        <v>4</v>
      </c>
      <c r="G1734" s="4" t="str">
        <f>HYPERLINK("http://141.218.60.56/~jnz1568/getInfo.php?workbook=20_10.xlsx&amp;sheet=U0&amp;row=1734&amp;col=7&amp;number=0.000748&amp;sourceID=14","0.000748")</f>
        <v>0.000748</v>
      </c>
    </row>
    <row r="1735" spans="1:7">
      <c r="A1735" s="3"/>
      <c r="B1735" s="3"/>
      <c r="C1735" s="3"/>
      <c r="D1735" s="3"/>
      <c r="E1735" s="3">
        <v>12</v>
      </c>
      <c r="F1735" s="4" t="str">
        <f>HYPERLINK("http://141.218.60.56/~jnz1568/getInfo.php?workbook=20_10.xlsx&amp;sheet=U0&amp;row=1735&amp;col=6&amp;number=4.1&amp;sourceID=14","4.1")</f>
        <v>4.1</v>
      </c>
      <c r="G1735" s="4" t="str">
        <f>HYPERLINK("http://141.218.60.56/~jnz1568/getInfo.php?workbook=20_10.xlsx&amp;sheet=U0&amp;row=1735&amp;col=7&amp;number=0.000747&amp;sourceID=14","0.000747")</f>
        <v>0.000747</v>
      </c>
    </row>
    <row r="1736" spans="1:7">
      <c r="A1736" s="3"/>
      <c r="B1736" s="3"/>
      <c r="C1736" s="3"/>
      <c r="D1736" s="3"/>
      <c r="E1736" s="3">
        <v>13</v>
      </c>
      <c r="F1736" s="4" t="str">
        <f>HYPERLINK("http://141.218.60.56/~jnz1568/getInfo.php?workbook=20_10.xlsx&amp;sheet=U0&amp;row=1736&amp;col=6&amp;number=4.2&amp;sourceID=14","4.2")</f>
        <v>4.2</v>
      </c>
      <c r="G1736" s="4" t="str">
        <f>HYPERLINK("http://141.218.60.56/~jnz1568/getInfo.php?workbook=20_10.xlsx&amp;sheet=U0&amp;row=1736&amp;col=7&amp;number=0.000747&amp;sourceID=14","0.000747")</f>
        <v>0.000747</v>
      </c>
    </row>
    <row r="1737" spans="1:7">
      <c r="A1737" s="3"/>
      <c r="B1737" s="3"/>
      <c r="C1737" s="3"/>
      <c r="D1737" s="3"/>
      <c r="E1737" s="3">
        <v>14</v>
      </c>
      <c r="F1737" s="4" t="str">
        <f>HYPERLINK("http://141.218.60.56/~jnz1568/getInfo.php?workbook=20_10.xlsx&amp;sheet=U0&amp;row=1737&amp;col=6&amp;number=4.3&amp;sourceID=14","4.3")</f>
        <v>4.3</v>
      </c>
      <c r="G1737" s="4" t="str">
        <f>HYPERLINK("http://141.218.60.56/~jnz1568/getInfo.php?workbook=20_10.xlsx&amp;sheet=U0&amp;row=1737&amp;col=7&amp;number=0.000746&amp;sourceID=14","0.000746")</f>
        <v>0.000746</v>
      </c>
    </row>
    <row r="1738" spans="1:7">
      <c r="A1738" s="3"/>
      <c r="B1738" s="3"/>
      <c r="C1738" s="3"/>
      <c r="D1738" s="3"/>
      <c r="E1738" s="3">
        <v>15</v>
      </c>
      <c r="F1738" s="4" t="str">
        <f>HYPERLINK("http://141.218.60.56/~jnz1568/getInfo.php?workbook=20_10.xlsx&amp;sheet=U0&amp;row=1738&amp;col=6&amp;number=4.4&amp;sourceID=14","4.4")</f>
        <v>4.4</v>
      </c>
      <c r="G1738" s="4" t="str">
        <f>HYPERLINK("http://141.218.60.56/~jnz1568/getInfo.php?workbook=20_10.xlsx&amp;sheet=U0&amp;row=1738&amp;col=7&amp;number=0.000745&amp;sourceID=14","0.000745")</f>
        <v>0.000745</v>
      </c>
    </row>
    <row r="1739" spans="1:7">
      <c r="A1739" s="3"/>
      <c r="B1739" s="3"/>
      <c r="C1739" s="3"/>
      <c r="D1739" s="3"/>
      <c r="E1739" s="3">
        <v>16</v>
      </c>
      <c r="F1739" s="4" t="str">
        <f>HYPERLINK("http://141.218.60.56/~jnz1568/getInfo.php?workbook=20_10.xlsx&amp;sheet=U0&amp;row=1739&amp;col=6&amp;number=4.5&amp;sourceID=14","4.5")</f>
        <v>4.5</v>
      </c>
      <c r="G1739" s="4" t="str">
        <f>HYPERLINK("http://141.218.60.56/~jnz1568/getInfo.php?workbook=20_10.xlsx&amp;sheet=U0&amp;row=1739&amp;col=7&amp;number=0.000744&amp;sourceID=14","0.000744")</f>
        <v>0.000744</v>
      </c>
    </row>
    <row r="1740" spans="1:7">
      <c r="A1740" s="3"/>
      <c r="B1740" s="3"/>
      <c r="C1740" s="3"/>
      <c r="D1740" s="3"/>
      <c r="E1740" s="3">
        <v>17</v>
      </c>
      <c r="F1740" s="4" t="str">
        <f>HYPERLINK("http://141.218.60.56/~jnz1568/getInfo.php?workbook=20_10.xlsx&amp;sheet=U0&amp;row=1740&amp;col=6&amp;number=4.6&amp;sourceID=14","4.6")</f>
        <v>4.6</v>
      </c>
      <c r="G1740" s="4" t="str">
        <f>HYPERLINK("http://141.218.60.56/~jnz1568/getInfo.php?workbook=20_10.xlsx&amp;sheet=U0&amp;row=1740&amp;col=7&amp;number=0.000742&amp;sourceID=14","0.000742")</f>
        <v>0.000742</v>
      </c>
    </row>
    <row r="1741" spans="1:7">
      <c r="A1741" s="3"/>
      <c r="B1741" s="3"/>
      <c r="C1741" s="3"/>
      <c r="D1741" s="3"/>
      <c r="E1741" s="3">
        <v>18</v>
      </c>
      <c r="F1741" s="4" t="str">
        <f>HYPERLINK("http://141.218.60.56/~jnz1568/getInfo.php?workbook=20_10.xlsx&amp;sheet=U0&amp;row=1741&amp;col=6&amp;number=4.7&amp;sourceID=14","4.7")</f>
        <v>4.7</v>
      </c>
      <c r="G1741" s="4" t="str">
        <f>HYPERLINK("http://141.218.60.56/~jnz1568/getInfo.php?workbook=20_10.xlsx&amp;sheet=U0&amp;row=1741&amp;col=7&amp;number=0.000741&amp;sourceID=14","0.000741")</f>
        <v>0.000741</v>
      </c>
    </row>
    <row r="1742" spans="1:7">
      <c r="A1742" s="3"/>
      <c r="B1742" s="3"/>
      <c r="C1742" s="3"/>
      <c r="D1742" s="3"/>
      <c r="E1742" s="3">
        <v>19</v>
      </c>
      <c r="F1742" s="4" t="str">
        <f>HYPERLINK("http://141.218.60.56/~jnz1568/getInfo.php?workbook=20_10.xlsx&amp;sheet=U0&amp;row=1742&amp;col=6&amp;number=4.8&amp;sourceID=14","4.8")</f>
        <v>4.8</v>
      </c>
      <c r="G1742" s="4" t="str">
        <f>HYPERLINK("http://141.218.60.56/~jnz1568/getInfo.php?workbook=20_10.xlsx&amp;sheet=U0&amp;row=1742&amp;col=7&amp;number=0.000738&amp;sourceID=14","0.000738")</f>
        <v>0.000738</v>
      </c>
    </row>
    <row r="1743" spans="1:7">
      <c r="A1743" s="3"/>
      <c r="B1743" s="3"/>
      <c r="C1743" s="3"/>
      <c r="D1743" s="3"/>
      <c r="E1743" s="3">
        <v>20</v>
      </c>
      <c r="F1743" s="4" t="str">
        <f>HYPERLINK("http://141.218.60.56/~jnz1568/getInfo.php?workbook=20_10.xlsx&amp;sheet=U0&amp;row=1743&amp;col=6&amp;number=4.9&amp;sourceID=14","4.9")</f>
        <v>4.9</v>
      </c>
      <c r="G1743" s="4" t="str">
        <f>HYPERLINK("http://141.218.60.56/~jnz1568/getInfo.php?workbook=20_10.xlsx&amp;sheet=U0&amp;row=1743&amp;col=7&amp;number=0.000736&amp;sourceID=14","0.000736")</f>
        <v>0.000736</v>
      </c>
    </row>
    <row r="1744" spans="1:7">
      <c r="A1744" s="3">
        <v>20</v>
      </c>
      <c r="B1744" s="3">
        <v>10</v>
      </c>
      <c r="C1744" s="3">
        <v>1</v>
      </c>
      <c r="D1744" s="3">
        <v>89</v>
      </c>
      <c r="E1744" s="3">
        <v>1</v>
      </c>
      <c r="F1744" s="4" t="str">
        <f>HYPERLINK("http://141.218.60.56/~jnz1568/getInfo.php?workbook=20_10.xlsx&amp;sheet=U0&amp;row=1744&amp;col=6&amp;number=3&amp;sourceID=14","3")</f>
        <v>3</v>
      </c>
      <c r="G1744" s="4" t="str">
        <f>HYPERLINK("http://141.218.60.56/~jnz1568/getInfo.php?workbook=20_10.xlsx&amp;sheet=U0&amp;row=1744&amp;col=7&amp;number=0.00071&amp;sourceID=14","0.00071")</f>
        <v>0.00071</v>
      </c>
    </row>
    <row r="1745" spans="1:7">
      <c r="A1745" s="3"/>
      <c r="B1745" s="3"/>
      <c r="C1745" s="3"/>
      <c r="D1745" s="3"/>
      <c r="E1745" s="3">
        <v>2</v>
      </c>
      <c r="F1745" s="4" t="str">
        <f>HYPERLINK("http://141.218.60.56/~jnz1568/getInfo.php?workbook=20_10.xlsx&amp;sheet=U0&amp;row=1745&amp;col=6&amp;number=3.1&amp;sourceID=14","3.1")</f>
        <v>3.1</v>
      </c>
      <c r="G1745" s="4" t="str">
        <f>HYPERLINK("http://141.218.60.56/~jnz1568/getInfo.php?workbook=20_10.xlsx&amp;sheet=U0&amp;row=1745&amp;col=7&amp;number=0.00071&amp;sourceID=14","0.00071")</f>
        <v>0.00071</v>
      </c>
    </row>
    <row r="1746" spans="1:7">
      <c r="A1746" s="3"/>
      <c r="B1746" s="3"/>
      <c r="C1746" s="3"/>
      <c r="D1746" s="3"/>
      <c r="E1746" s="3">
        <v>3</v>
      </c>
      <c r="F1746" s="4" t="str">
        <f>HYPERLINK("http://141.218.60.56/~jnz1568/getInfo.php?workbook=20_10.xlsx&amp;sheet=U0&amp;row=1746&amp;col=6&amp;number=3.2&amp;sourceID=14","3.2")</f>
        <v>3.2</v>
      </c>
      <c r="G1746" s="4" t="str">
        <f>HYPERLINK("http://141.218.60.56/~jnz1568/getInfo.php?workbook=20_10.xlsx&amp;sheet=U0&amp;row=1746&amp;col=7&amp;number=0.00071&amp;sourceID=14","0.00071")</f>
        <v>0.00071</v>
      </c>
    </row>
    <row r="1747" spans="1:7">
      <c r="A1747" s="3"/>
      <c r="B1747" s="3"/>
      <c r="C1747" s="3"/>
      <c r="D1747" s="3"/>
      <c r="E1747" s="3">
        <v>4</v>
      </c>
      <c r="F1747" s="4" t="str">
        <f>HYPERLINK("http://141.218.60.56/~jnz1568/getInfo.php?workbook=20_10.xlsx&amp;sheet=U0&amp;row=1747&amp;col=6&amp;number=3.3&amp;sourceID=14","3.3")</f>
        <v>3.3</v>
      </c>
      <c r="G1747" s="4" t="str">
        <f>HYPERLINK("http://141.218.60.56/~jnz1568/getInfo.php?workbook=20_10.xlsx&amp;sheet=U0&amp;row=1747&amp;col=7&amp;number=0.00071&amp;sourceID=14","0.00071")</f>
        <v>0.00071</v>
      </c>
    </row>
    <row r="1748" spans="1:7">
      <c r="A1748" s="3"/>
      <c r="B1748" s="3"/>
      <c r="C1748" s="3"/>
      <c r="D1748" s="3"/>
      <c r="E1748" s="3">
        <v>5</v>
      </c>
      <c r="F1748" s="4" t="str">
        <f>HYPERLINK("http://141.218.60.56/~jnz1568/getInfo.php?workbook=20_10.xlsx&amp;sheet=U0&amp;row=1748&amp;col=6&amp;number=3.4&amp;sourceID=14","3.4")</f>
        <v>3.4</v>
      </c>
      <c r="G1748" s="4" t="str">
        <f>HYPERLINK("http://141.218.60.56/~jnz1568/getInfo.php?workbook=20_10.xlsx&amp;sheet=U0&amp;row=1748&amp;col=7&amp;number=0.00071&amp;sourceID=14","0.00071")</f>
        <v>0.00071</v>
      </c>
    </row>
    <row r="1749" spans="1:7">
      <c r="A1749" s="3"/>
      <c r="B1749" s="3"/>
      <c r="C1749" s="3"/>
      <c r="D1749" s="3"/>
      <c r="E1749" s="3">
        <v>6</v>
      </c>
      <c r="F1749" s="4" t="str">
        <f>HYPERLINK("http://141.218.60.56/~jnz1568/getInfo.php?workbook=20_10.xlsx&amp;sheet=U0&amp;row=1749&amp;col=6&amp;number=3.5&amp;sourceID=14","3.5")</f>
        <v>3.5</v>
      </c>
      <c r="G1749" s="4" t="str">
        <f>HYPERLINK("http://141.218.60.56/~jnz1568/getInfo.php?workbook=20_10.xlsx&amp;sheet=U0&amp;row=1749&amp;col=7&amp;number=0.00071&amp;sourceID=14","0.00071")</f>
        <v>0.00071</v>
      </c>
    </row>
    <row r="1750" spans="1:7">
      <c r="A1750" s="3"/>
      <c r="B1750" s="3"/>
      <c r="C1750" s="3"/>
      <c r="D1750" s="3"/>
      <c r="E1750" s="3">
        <v>7</v>
      </c>
      <c r="F1750" s="4" t="str">
        <f>HYPERLINK("http://141.218.60.56/~jnz1568/getInfo.php?workbook=20_10.xlsx&amp;sheet=U0&amp;row=1750&amp;col=6&amp;number=3.6&amp;sourceID=14","3.6")</f>
        <v>3.6</v>
      </c>
      <c r="G1750" s="4" t="str">
        <f>HYPERLINK("http://141.218.60.56/~jnz1568/getInfo.php?workbook=20_10.xlsx&amp;sheet=U0&amp;row=1750&amp;col=7&amp;number=0.00071&amp;sourceID=14","0.00071")</f>
        <v>0.00071</v>
      </c>
    </row>
    <row r="1751" spans="1:7">
      <c r="A1751" s="3"/>
      <c r="B1751" s="3"/>
      <c r="C1751" s="3"/>
      <c r="D1751" s="3"/>
      <c r="E1751" s="3">
        <v>8</v>
      </c>
      <c r="F1751" s="4" t="str">
        <f>HYPERLINK("http://141.218.60.56/~jnz1568/getInfo.php?workbook=20_10.xlsx&amp;sheet=U0&amp;row=1751&amp;col=6&amp;number=3.7&amp;sourceID=14","3.7")</f>
        <v>3.7</v>
      </c>
      <c r="G1751" s="4" t="str">
        <f>HYPERLINK("http://141.218.60.56/~jnz1568/getInfo.php?workbook=20_10.xlsx&amp;sheet=U0&amp;row=1751&amp;col=7&amp;number=0.00071&amp;sourceID=14","0.00071")</f>
        <v>0.00071</v>
      </c>
    </row>
    <row r="1752" spans="1:7">
      <c r="A1752" s="3"/>
      <c r="B1752" s="3"/>
      <c r="C1752" s="3"/>
      <c r="D1752" s="3"/>
      <c r="E1752" s="3">
        <v>9</v>
      </c>
      <c r="F1752" s="4" t="str">
        <f>HYPERLINK("http://141.218.60.56/~jnz1568/getInfo.php?workbook=20_10.xlsx&amp;sheet=U0&amp;row=1752&amp;col=6&amp;number=3.8&amp;sourceID=14","3.8")</f>
        <v>3.8</v>
      </c>
      <c r="G1752" s="4" t="str">
        <f>HYPERLINK("http://141.218.60.56/~jnz1568/getInfo.php?workbook=20_10.xlsx&amp;sheet=U0&amp;row=1752&amp;col=7&amp;number=0.000711&amp;sourceID=14","0.000711")</f>
        <v>0.000711</v>
      </c>
    </row>
    <row r="1753" spans="1:7">
      <c r="A1753" s="3"/>
      <c r="B1753" s="3"/>
      <c r="C1753" s="3"/>
      <c r="D1753" s="3"/>
      <c r="E1753" s="3">
        <v>10</v>
      </c>
      <c r="F1753" s="4" t="str">
        <f>HYPERLINK("http://141.218.60.56/~jnz1568/getInfo.php?workbook=20_10.xlsx&amp;sheet=U0&amp;row=1753&amp;col=6&amp;number=3.9&amp;sourceID=14","3.9")</f>
        <v>3.9</v>
      </c>
      <c r="G1753" s="4" t="str">
        <f>HYPERLINK("http://141.218.60.56/~jnz1568/getInfo.php?workbook=20_10.xlsx&amp;sheet=U0&amp;row=1753&amp;col=7&amp;number=0.000711&amp;sourceID=14","0.000711")</f>
        <v>0.000711</v>
      </c>
    </row>
    <row r="1754" spans="1:7">
      <c r="A1754" s="3"/>
      <c r="B1754" s="3"/>
      <c r="C1754" s="3"/>
      <c r="D1754" s="3"/>
      <c r="E1754" s="3">
        <v>11</v>
      </c>
      <c r="F1754" s="4" t="str">
        <f>HYPERLINK("http://141.218.60.56/~jnz1568/getInfo.php?workbook=20_10.xlsx&amp;sheet=U0&amp;row=1754&amp;col=6&amp;number=4&amp;sourceID=14","4")</f>
        <v>4</v>
      </c>
      <c r="G1754" s="4" t="str">
        <f>HYPERLINK("http://141.218.60.56/~jnz1568/getInfo.php?workbook=20_10.xlsx&amp;sheet=U0&amp;row=1754&amp;col=7&amp;number=0.000711&amp;sourceID=14","0.000711")</f>
        <v>0.000711</v>
      </c>
    </row>
    <row r="1755" spans="1:7">
      <c r="A1755" s="3"/>
      <c r="B1755" s="3"/>
      <c r="C1755" s="3"/>
      <c r="D1755" s="3"/>
      <c r="E1755" s="3">
        <v>12</v>
      </c>
      <c r="F1755" s="4" t="str">
        <f>HYPERLINK("http://141.218.60.56/~jnz1568/getInfo.php?workbook=20_10.xlsx&amp;sheet=U0&amp;row=1755&amp;col=6&amp;number=4.1&amp;sourceID=14","4.1")</f>
        <v>4.1</v>
      </c>
      <c r="G1755" s="4" t="str">
        <f>HYPERLINK("http://141.218.60.56/~jnz1568/getInfo.php?workbook=20_10.xlsx&amp;sheet=U0&amp;row=1755&amp;col=7&amp;number=0.000711&amp;sourceID=14","0.000711")</f>
        <v>0.000711</v>
      </c>
    </row>
    <row r="1756" spans="1:7">
      <c r="A1756" s="3"/>
      <c r="B1756" s="3"/>
      <c r="C1756" s="3"/>
      <c r="D1756" s="3"/>
      <c r="E1756" s="3">
        <v>13</v>
      </c>
      <c r="F1756" s="4" t="str">
        <f>HYPERLINK("http://141.218.60.56/~jnz1568/getInfo.php?workbook=20_10.xlsx&amp;sheet=U0&amp;row=1756&amp;col=6&amp;number=4.2&amp;sourceID=14","4.2")</f>
        <v>4.2</v>
      </c>
      <c r="G1756" s="4" t="str">
        <f>HYPERLINK("http://141.218.60.56/~jnz1568/getInfo.php?workbook=20_10.xlsx&amp;sheet=U0&amp;row=1756&amp;col=7&amp;number=0.000712&amp;sourceID=14","0.000712")</f>
        <v>0.000712</v>
      </c>
    </row>
    <row r="1757" spans="1:7">
      <c r="A1757" s="3"/>
      <c r="B1757" s="3"/>
      <c r="C1757" s="3"/>
      <c r="D1757" s="3"/>
      <c r="E1757" s="3">
        <v>14</v>
      </c>
      <c r="F1757" s="4" t="str">
        <f>HYPERLINK("http://141.218.60.56/~jnz1568/getInfo.php?workbook=20_10.xlsx&amp;sheet=U0&amp;row=1757&amp;col=6&amp;number=4.3&amp;sourceID=14","4.3")</f>
        <v>4.3</v>
      </c>
      <c r="G1757" s="4" t="str">
        <f>HYPERLINK("http://141.218.60.56/~jnz1568/getInfo.php?workbook=20_10.xlsx&amp;sheet=U0&amp;row=1757&amp;col=7&amp;number=0.000712&amp;sourceID=14","0.000712")</f>
        <v>0.000712</v>
      </c>
    </row>
    <row r="1758" spans="1:7">
      <c r="A1758" s="3"/>
      <c r="B1758" s="3"/>
      <c r="C1758" s="3"/>
      <c r="D1758" s="3"/>
      <c r="E1758" s="3">
        <v>15</v>
      </c>
      <c r="F1758" s="4" t="str">
        <f>HYPERLINK("http://141.218.60.56/~jnz1568/getInfo.php?workbook=20_10.xlsx&amp;sheet=U0&amp;row=1758&amp;col=6&amp;number=4.4&amp;sourceID=14","4.4")</f>
        <v>4.4</v>
      </c>
      <c r="G1758" s="4" t="str">
        <f>HYPERLINK("http://141.218.60.56/~jnz1568/getInfo.php?workbook=20_10.xlsx&amp;sheet=U0&amp;row=1758&amp;col=7&amp;number=0.000713&amp;sourceID=14","0.000713")</f>
        <v>0.000713</v>
      </c>
    </row>
    <row r="1759" spans="1:7">
      <c r="A1759" s="3"/>
      <c r="B1759" s="3"/>
      <c r="C1759" s="3"/>
      <c r="D1759" s="3"/>
      <c r="E1759" s="3">
        <v>16</v>
      </c>
      <c r="F1759" s="4" t="str">
        <f>HYPERLINK("http://141.218.60.56/~jnz1568/getInfo.php?workbook=20_10.xlsx&amp;sheet=U0&amp;row=1759&amp;col=6&amp;number=4.5&amp;sourceID=14","4.5")</f>
        <v>4.5</v>
      </c>
      <c r="G1759" s="4" t="str">
        <f>HYPERLINK("http://141.218.60.56/~jnz1568/getInfo.php?workbook=20_10.xlsx&amp;sheet=U0&amp;row=1759&amp;col=7&amp;number=0.000714&amp;sourceID=14","0.000714")</f>
        <v>0.000714</v>
      </c>
    </row>
    <row r="1760" spans="1:7">
      <c r="A1760" s="3"/>
      <c r="B1760" s="3"/>
      <c r="C1760" s="3"/>
      <c r="D1760" s="3"/>
      <c r="E1760" s="3">
        <v>17</v>
      </c>
      <c r="F1760" s="4" t="str">
        <f>HYPERLINK("http://141.218.60.56/~jnz1568/getInfo.php?workbook=20_10.xlsx&amp;sheet=U0&amp;row=1760&amp;col=6&amp;number=4.6&amp;sourceID=14","4.6")</f>
        <v>4.6</v>
      </c>
      <c r="G1760" s="4" t="str">
        <f>HYPERLINK("http://141.218.60.56/~jnz1568/getInfo.php?workbook=20_10.xlsx&amp;sheet=U0&amp;row=1760&amp;col=7&amp;number=0.000715&amp;sourceID=14","0.000715")</f>
        <v>0.000715</v>
      </c>
    </row>
    <row r="1761" spans="1:7">
      <c r="A1761" s="3"/>
      <c r="B1761" s="3"/>
      <c r="C1761" s="3"/>
      <c r="D1761" s="3"/>
      <c r="E1761" s="3">
        <v>18</v>
      </c>
      <c r="F1761" s="4" t="str">
        <f>HYPERLINK("http://141.218.60.56/~jnz1568/getInfo.php?workbook=20_10.xlsx&amp;sheet=U0&amp;row=1761&amp;col=6&amp;number=4.7&amp;sourceID=14","4.7")</f>
        <v>4.7</v>
      </c>
      <c r="G1761" s="4" t="str">
        <f>HYPERLINK("http://141.218.60.56/~jnz1568/getInfo.php?workbook=20_10.xlsx&amp;sheet=U0&amp;row=1761&amp;col=7&amp;number=0.000716&amp;sourceID=14","0.000716")</f>
        <v>0.000716</v>
      </c>
    </row>
    <row r="1762" spans="1:7">
      <c r="A1762" s="3"/>
      <c r="B1762" s="3"/>
      <c r="C1762" s="3"/>
      <c r="D1762" s="3"/>
      <c r="E1762" s="3">
        <v>19</v>
      </c>
      <c r="F1762" s="4" t="str">
        <f>HYPERLINK("http://141.218.60.56/~jnz1568/getInfo.php?workbook=20_10.xlsx&amp;sheet=U0&amp;row=1762&amp;col=6&amp;number=4.8&amp;sourceID=14","4.8")</f>
        <v>4.8</v>
      </c>
      <c r="G1762" s="4" t="str">
        <f>HYPERLINK("http://141.218.60.56/~jnz1568/getInfo.php?workbook=20_10.xlsx&amp;sheet=U0&amp;row=1762&amp;col=7&amp;number=0.000718&amp;sourceID=14","0.000718")</f>
        <v>0.000718</v>
      </c>
    </row>
    <row r="1763" spans="1:7">
      <c r="A1763" s="3"/>
      <c r="B1763" s="3"/>
      <c r="C1763" s="3"/>
      <c r="D1763" s="3"/>
      <c r="E1763" s="3">
        <v>20</v>
      </c>
      <c r="F1763" s="4" t="str">
        <f>HYPERLINK("http://141.218.60.56/~jnz1568/getInfo.php?workbook=20_10.xlsx&amp;sheet=U0&amp;row=1763&amp;col=6&amp;number=4.9&amp;sourceID=14","4.9")</f>
        <v>4.9</v>
      </c>
      <c r="G1763" s="4" t="str">
        <f>HYPERLINK("http://141.218.60.56/~jnz1568/getInfo.php?workbook=20_10.xlsx&amp;sheet=U0&amp;row=1763&amp;col=7&amp;number=0.00072&amp;sourceID=14","0.00072")</f>
        <v>0.00072</v>
      </c>
    </row>
  </sheetData>
  <mergeCells count="1">
    <mergeCell ref="A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E0</vt:lpstr>
      <vt:lpstr>A0</vt:lpstr>
      <vt:lpstr>U0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2015-04-20T19:06:14Z</dcterms:created>
  <dcterms:modified xsi:type="dcterms:W3CDTF">2015-04-20T19:06:14Z</dcterms:modified>
</cp:coreProperties>
</file>