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<sst xmlns="http://schemas.openxmlformats.org/spreadsheetml/2006/main" count="112" uniqueCount="35">
  <si>
    <t>Fine Structure Energy Levels for Ca VIII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</si>
  <si>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</si>
  <si>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</si>
  <si>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</si>
  <si>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</si>
  <si>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</si>
  <si>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</si>
  <si>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</si>
  <si>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</si>
  <si>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</si>
  <si>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</si>
  <si>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</si>
  <si>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3s2.3p</t>
  </si>
  <si>
    <t>2P</t>
  </si>
  <si>
    <t>3s.3p2</t>
  </si>
  <si>
    <t>4P</t>
  </si>
  <si>
    <t>2D</t>
  </si>
  <si>
    <t>2S</t>
  </si>
  <si>
    <t>3s2.3d</t>
  </si>
  <si>
    <t>3p3</t>
  </si>
  <si>
    <t>4S</t>
  </si>
  <si>
    <t>3s.3p(3P).3d</t>
  </si>
  <si>
    <t>4F</t>
  </si>
  <si>
    <t>4D</t>
  </si>
  <si>
    <t>2F</t>
  </si>
  <si>
    <t>3s.3p(1P).3d</t>
  </si>
  <si>
    <t>A-values for fine-structure transitions in Ca VIII</t>
  </si>
  <si>
    <t>k</t>
  </si>
  <si>
    <t>WL Vac (A)</t>
  </si>
  <si>
    <t>A (s-1)</t>
  </si>
  <si>
    <t>A2E1(s-1)</t>
  </si>
  <si>
    <t>Effective Collision Strengths for Ca VIII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</si>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</sst>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3"/>
  <sheetViews>
    <sheetView tabSelected="1"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13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20</v>
      </c>
      <c r="B4" s="3">
        <v>13</v>
      </c>
      <c r="C4" s="3">
        <v>1</v>
      </c>
      <c r="D4" s="3" t="s">
        <v>12</v>
      </c>
      <c r="E4" s="3" t="s">
        <v>13</v>
      </c>
      <c r="F4" s="3">
        <v>2</v>
      </c>
      <c r="G4" s="3">
        <v>1</v>
      </c>
      <c r="H4" s="3">
        <v>1</v>
      </c>
      <c r="I4" s="3">
        <v>0.5</v>
      </c>
      <c r="J4" s="4" t="str">
        <f>HYPERLINK("http://141.218.60.56/~jnz1568/getInfo.php?workbook=20_13.xlsx&amp;sheet=E0&amp;row=4&amp;col=10&amp;number=0&amp;sourceID=14","0")</f>
        <v>0</v>
      </c>
    </row>
    <row r="5" spans="1:10">
      <c r="A5" s="3">
        <v>20</v>
      </c>
      <c r="B5" s="3">
        <v>13</v>
      </c>
      <c r="C5" s="3">
        <v>2</v>
      </c>
      <c r="D5" s="3" t="s">
        <v>12</v>
      </c>
      <c r="E5" s="3" t="s">
        <v>13</v>
      </c>
      <c r="F5" s="3">
        <v>2</v>
      </c>
      <c r="G5" s="3">
        <v>1</v>
      </c>
      <c r="H5" s="3">
        <v>1</v>
      </c>
      <c r="I5" s="3">
        <v>1.5</v>
      </c>
      <c r="J5" s="4" t="str">
        <f>HYPERLINK("http://141.218.60.56/~jnz1568/getInfo.php?workbook=20_13.xlsx&amp;sheet=E0&amp;row=5&amp;col=10&amp;number=4307&amp;sourceID=14","4307")</f>
        <v>4307</v>
      </c>
    </row>
    <row r="6" spans="1:10">
      <c r="A6" s="3">
        <v>20</v>
      </c>
      <c r="B6" s="3">
        <v>13</v>
      </c>
      <c r="C6" s="3">
        <v>3</v>
      </c>
      <c r="D6" s="3" t="s">
        <v>14</v>
      </c>
      <c r="E6" s="3" t="s">
        <v>15</v>
      </c>
      <c r="F6" s="3">
        <v>4</v>
      </c>
      <c r="G6" s="3">
        <v>1</v>
      </c>
      <c r="H6" s="3">
        <v>1</v>
      </c>
      <c r="I6" s="3">
        <v>0.5</v>
      </c>
      <c r="J6" s="4" t="str">
        <f>HYPERLINK("http://141.218.60.56/~jnz1568/getInfo.php?workbook=20_13.xlsx&amp;sheet=E0&amp;row=6&amp;col=10&amp;number=129823&amp;sourceID=14","129823")</f>
        <v>129823</v>
      </c>
    </row>
    <row r="7" spans="1:10">
      <c r="A7" s="3">
        <v>20</v>
      </c>
      <c r="B7" s="3">
        <v>13</v>
      </c>
      <c r="C7" s="3">
        <v>4</v>
      </c>
      <c r="D7" s="3" t="s">
        <v>14</v>
      </c>
      <c r="E7" s="3" t="s">
        <v>15</v>
      </c>
      <c r="F7" s="3">
        <v>4</v>
      </c>
      <c r="G7" s="3">
        <v>1</v>
      </c>
      <c r="H7" s="3">
        <v>1</v>
      </c>
      <c r="I7" s="3">
        <v>1.5</v>
      </c>
      <c r="J7" s="4" t="str">
        <f>HYPERLINK("http://141.218.60.56/~jnz1568/getInfo.php?workbook=20_13.xlsx&amp;sheet=E0&amp;row=7&amp;col=10&amp;number=131403&amp;sourceID=14","131403")</f>
        <v>131403</v>
      </c>
    </row>
    <row r="8" spans="1:10">
      <c r="A8" s="3">
        <v>20</v>
      </c>
      <c r="B8" s="3">
        <v>13</v>
      </c>
      <c r="C8" s="3">
        <v>5</v>
      </c>
      <c r="D8" s="3" t="s">
        <v>14</v>
      </c>
      <c r="E8" s="3" t="s">
        <v>15</v>
      </c>
      <c r="F8" s="3">
        <v>4</v>
      </c>
      <c r="G8" s="3">
        <v>1</v>
      </c>
      <c r="H8" s="3">
        <v>1</v>
      </c>
      <c r="I8" s="3">
        <v>2.5</v>
      </c>
      <c r="J8" s="4" t="str">
        <f>HYPERLINK("http://141.218.60.56/~jnz1568/getInfo.php?workbook=20_13.xlsx&amp;sheet=E0&amp;row=8&amp;col=10&amp;number=133764&amp;sourceID=14","133764")</f>
        <v>133764</v>
      </c>
    </row>
    <row r="9" spans="1:10">
      <c r="A9" s="3">
        <v>20</v>
      </c>
      <c r="B9" s="3">
        <v>13</v>
      </c>
      <c r="C9" s="3">
        <v>6</v>
      </c>
      <c r="D9" s="3" t="s">
        <v>14</v>
      </c>
      <c r="E9" s="3" t="s">
        <v>16</v>
      </c>
      <c r="F9" s="3">
        <v>2</v>
      </c>
      <c r="G9" s="3">
        <v>2</v>
      </c>
      <c r="H9" s="3">
        <v>0</v>
      </c>
      <c r="I9" s="3">
        <v>1.5</v>
      </c>
      <c r="J9" s="4" t="str">
        <f>HYPERLINK("http://141.218.60.56/~jnz1568/getInfo.php?workbook=20_13.xlsx&amp;sheet=E0&amp;row=9&amp;col=10&amp;number=171576&amp;sourceID=14","171576")</f>
        <v>171576</v>
      </c>
    </row>
    <row r="10" spans="1:10">
      <c r="A10" s="3">
        <v>20</v>
      </c>
      <c r="B10" s="3">
        <v>13</v>
      </c>
      <c r="C10" s="3">
        <v>7</v>
      </c>
      <c r="D10" s="3" t="s">
        <v>14</v>
      </c>
      <c r="E10" s="3" t="s">
        <v>16</v>
      </c>
      <c r="F10" s="3">
        <v>2</v>
      </c>
      <c r="G10" s="3">
        <v>2</v>
      </c>
      <c r="H10" s="3">
        <v>0</v>
      </c>
      <c r="I10" s="3">
        <v>2.5</v>
      </c>
      <c r="J10" s="4" t="str">
        <f>HYPERLINK("http://141.218.60.56/~jnz1568/getInfo.php?workbook=20_13.xlsx&amp;sheet=E0&amp;row=10&amp;col=10&amp;number=171832&amp;sourceID=14","171832")</f>
        <v>171832</v>
      </c>
    </row>
    <row r="11" spans="1:10">
      <c r="A11" s="3">
        <v>20</v>
      </c>
      <c r="B11" s="3">
        <v>13</v>
      </c>
      <c r="C11" s="3">
        <v>8</v>
      </c>
      <c r="D11" s="3" t="s">
        <v>14</v>
      </c>
      <c r="E11" s="3" t="s">
        <v>17</v>
      </c>
      <c r="F11" s="3">
        <v>2</v>
      </c>
      <c r="G11" s="3">
        <v>0</v>
      </c>
      <c r="H11" s="3">
        <v>0</v>
      </c>
      <c r="I11" s="3">
        <v>0.5</v>
      </c>
      <c r="J11" s="4" t="str">
        <f>HYPERLINK("http://141.218.60.56/~jnz1568/getInfo.php?workbook=20_13.xlsx&amp;sheet=E0&amp;row=11&amp;col=10&amp;number=216587&amp;sourceID=14","216587")</f>
        <v>216587</v>
      </c>
    </row>
    <row r="12" spans="1:10">
      <c r="A12" s="3">
        <v>20</v>
      </c>
      <c r="B12" s="3">
        <v>13</v>
      </c>
      <c r="C12" s="3">
        <v>9</v>
      </c>
      <c r="D12" s="3" t="s">
        <v>14</v>
      </c>
      <c r="E12" s="3" t="s">
        <v>13</v>
      </c>
      <c r="F12" s="3">
        <v>2</v>
      </c>
      <c r="G12" s="3">
        <v>1</v>
      </c>
      <c r="H12" s="3">
        <v>1</v>
      </c>
      <c r="I12" s="3">
        <v>0.5</v>
      </c>
      <c r="J12" s="4" t="str">
        <f>HYPERLINK("http://141.218.60.56/~jnz1568/getInfo.php?workbook=20_13.xlsx&amp;sheet=E0&amp;row=12&amp;col=10&amp;number=231016&amp;sourceID=14","231016")</f>
        <v>231016</v>
      </c>
    </row>
    <row r="13" spans="1:10">
      <c r="A13" s="3">
        <v>20</v>
      </c>
      <c r="B13" s="3">
        <v>13</v>
      </c>
      <c r="C13" s="3">
        <v>10</v>
      </c>
      <c r="D13" s="3" t="s">
        <v>14</v>
      </c>
      <c r="E13" s="3" t="s">
        <v>13</v>
      </c>
      <c r="F13" s="3">
        <v>2</v>
      </c>
      <c r="G13" s="3">
        <v>1</v>
      </c>
      <c r="H13" s="3">
        <v>1</v>
      </c>
      <c r="I13" s="3">
        <v>1.5</v>
      </c>
      <c r="J13" s="4" t="str">
        <f>HYPERLINK("http://141.218.60.56/~jnz1568/getInfo.php?workbook=20_13.xlsx&amp;sheet=E0&amp;row=13&amp;col=10&amp;number=233592&amp;sourceID=14","233592")</f>
        <v>233592</v>
      </c>
    </row>
    <row r="14" spans="1:10">
      <c r="A14" s="3">
        <v>20</v>
      </c>
      <c r="B14" s="3">
        <v>13</v>
      </c>
      <c r="C14" s="3">
        <v>11</v>
      </c>
      <c r="D14" s="3" t="s">
        <v>18</v>
      </c>
      <c r="E14" s="3" t="s">
        <v>16</v>
      </c>
      <c r="F14" s="3">
        <v>2</v>
      </c>
      <c r="G14" s="3">
        <v>2</v>
      </c>
      <c r="H14" s="3">
        <v>0</v>
      </c>
      <c r="I14" s="3">
        <v>1.5</v>
      </c>
      <c r="J14" s="4" t="str">
        <f>HYPERLINK("http://141.218.60.56/~jnz1568/getInfo.php?workbook=20_13.xlsx&amp;sheet=E0&amp;row=14&amp;col=10&amp;number=282353&amp;sourceID=14","282353")</f>
        <v>282353</v>
      </c>
    </row>
    <row r="15" spans="1:10">
      <c r="A15" s="3">
        <v>20</v>
      </c>
      <c r="B15" s="3">
        <v>13</v>
      </c>
      <c r="C15" s="3">
        <v>12</v>
      </c>
      <c r="D15" s="3" t="s">
        <v>18</v>
      </c>
      <c r="E15" s="3" t="s">
        <v>16</v>
      </c>
      <c r="F15" s="3">
        <v>2</v>
      </c>
      <c r="G15" s="3">
        <v>2</v>
      </c>
      <c r="H15" s="3">
        <v>0</v>
      </c>
      <c r="I15" s="3">
        <v>2.5</v>
      </c>
      <c r="J15" s="4" t="str">
        <f>HYPERLINK("http://141.218.60.56/~jnz1568/getInfo.php?workbook=20_13.xlsx&amp;sheet=E0&amp;row=15&amp;col=10&amp;number=282574&amp;sourceID=14","282574")</f>
        <v>282574</v>
      </c>
    </row>
    <row r="16" spans="1:10">
      <c r="A16" s="3">
        <v>20</v>
      </c>
      <c r="B16" s="3">
        <v>13</v>
      </c>
      <c r="C16" s="3">
        <v>13</v>
      </c>
      <c r="D16" s="3" t="s">
        <v>19</v>
      </c>
      <c r="E16" s="3" t="s">
        <v>16</v>
      </c>
      <c r="F16" s="3">
        <v>2</v>
      </c>
      <c r="G16" s="3">
        <v>2</v>
      </c>
      <c r="H16" s="3">
        <v>0</v>
      </c>
      <c r="I16" s="3">
        <v>1.5</v>
      </c>
      <c r="J16" s="4" t="str">
        <f>HYPERLINK("http://141.218.60.56/~jnz1568/getInfo.php?workbook=20_13.xlsx&amp;sheet=E0&amp;row=16&amp;col=10&amp;number=335852&amp;sourceID=14","335852")</f>
        <v>335852</v>
      </c>
    </row>
    <row r="17" spans="1:10">
      <c r="A17" s="3">
        <v>20</v>
      </c>
      <c r="B17" s="3">
        <v>13</v>
      </c>
      <c r="C17" s="3">
        <v>14</v>
      </c>
      <c r="D17" s="3" t="s">
        <v>19</v>
      </c>
      <c r="E17" s="3" t="s">
        <v>16</v>
      </c>
      <c r="F17" s="3">
        <v>2</v>
      </c>
      <c r="G17" s="3">
        <v>2</v>
      </c>
      <c r="H17" s="3">
        <v>0</v>
      </c>
      <c r="I17" s="3">
        <v>2.5</v>
      </c>
      <c r="J17" s="4" t="str">
        <f>HYPERLINK("http://141.218.60.56/~jnz1568/getInfo.php?workbook=20_13.xlsx&amp;sheet=E0&amp;row=17&amp;col=10&amp;number=336305&amp;sourceID=14","336305")</f>
        <v>336305</v>
      </c>
    </row>
    <row r="18" spans="1:10">
      <c r="A18" s="3">
        <v>20</v>
      </c>
      <c r="B18" s="3">
        <v>13</v>
      </c>
      <c r="C18" s="3">
        <v>15</v>
      </c>
      <c r="D18" s="3" t="s">
        <v>19</v>
      </c>
      <c r="E18" s="3" t="s">
        <v>20</v>
      </c>
      <c r="F18" s="3">
        <v>4</v>
      </c>
      <c r="G18" s="3">
        <v>0</v>
      </c>
      <c r="H18" s="3">
        <v>0</v>
      </c>
      <c r="I18" s="3">
        <v>1.5</v>
      </c>
      <c r="J18" s="4" t="str">
        <f>HYPERLINK("http://141.218.60.56/~jnz1568/getInfo.php?workbook=20_13.xlsx&amp;sheet=E0&amp;row=18&amp;col=10&amp;number=345995&amp;sourceID=14","345995")</f>
        <v>345995</v>
      </c>
    </row>
    <row r="19" spans="1:10">
      <c r="A19" s="3">
        <v>20</v>
      </c>
      <c r="B19" s="3">
        <v>13</v>
      </c>
      <c r="C19" s="3">
        <v>16</v>
      </c>
      <c r="D19" s="3" t="s">
        <v>19</v>
      </c>
      <c r="E19" s="3" t="s">
        <v>13</v>
      </c>
      <c r="F19" s="3">
        <v>2</v>
      </c>
      <c r="G19" s="3">
        <v>1</v>
      </c>
      <c r="H19" s="3">
        <v>1</v>
      </c>
      <c r="I19" s="3">
        <v>0.5</v>
      </c>
      <c r="J19" s="4" t="str">
        <f>HYPERLINK("http://141.218.60.56/~jnz1568/getInfo.php?workbook=20_13.xlsx&amp;sheet=E0&amp;row=19&amp;col=10&amp;number=377110&amp;sourceID=14","377110")</f>
        <v>377110</v>
      </c>
    </row>
    <row r="20" spans="1:10">
      <c r="A20" s="3">
        <v>20</v>
      </c>
      <c r="B20" s="3">
        <v>13</v>
      </c>
      <c r="C20" s="3">
        <v>17</v>
      </c>
      <c r="D20" s="3" t="s">
        <v>19</v>
      </c>
      <c r="E20" s="3" t="s">
        <v>13</v>
      </c>
      <c r="F20" s="3">
        <v>2</v>
      </c>
      <c r="G20" s="3">
        <v>1</v>
      </c>
      <c r="H20" s="3">
        <v>1</v>
      </c>
      <c r="I20" s="3">
        <v>1.5</v>
      </c>
      <c r="J20" s="4" t="str">
        <f>HYPERLINK("http://141.218.60.56/~jnz1568/getInfo.php?workbook=20_13.xlsx&amp;sheet=E0&amp;row=20&amp;col=10&amp;number=377238&amp;sourceID=14","377238")</f>
        <v>377238</v>
      </c>
    </row>
    <row r="21" spans="1:10">
      <c r="A21" s="3">
        <v>20</v>
      </c>
      <c r="B21" s="3">
        <v>13</v>
      </c>
      <c r="C21" s="3">
        <v>18</v>
      </c>
      <c r="D21" s="3" t="s">
        <v>21</v>
      </c>
      <c r="E21" s="3" t="s">
        <v>22</v>
      </c>
      <c r="F21" s="3">
        <v>4</v>
      </c>
      <c r="G21" s="3">
        <v>3</v>
      </c>
      <c r="H21" s="3">
        <v>1</v>
      </c>
      <c r="I21" s="3">
        <v>1.5</v>
      </c>
      <c r="J21" s="4" t="str">
        <f>HYPERLINK("http://141.218.60.56/~jnz1568/getInfo.php?workbook=20_13.xlsx&amp;sheet=E0&amp;row=21&amp;col=10&amp;number=377458&amp;sourceID=14","377458")</f>
        <v>377458</v>
      </c>
    </row>
    <row r="22" spans="1:10">
      <c r="A22" s="3">
        <v>20</v>
      </c>
      <c r="B22" s="3">
        <v>13</v>
      </c>
      <c r="C22" s="3">
        <v>19</v>
      </c>
      <c r="D22" s="3" t="s">
        <v>21</v>
      </c>
      <c r="E22" s="3" t="s">
        <v>22</v>
      </c>
      <c r="F22" s="3">
        <v>4</v>
      </c>
      <c r="G22" s="3">
        <v>3</v>
      </c>
      <c r="H22" s="3">
        <v>1</v>
      </c>
      <c r="I22" s="3">
        <v>2.5</v>
      </c>
      <c r="J22" s="4" t="str">
        <f>HYPERLINK("http://141.218.60.56/~jnz1568/getInfo.php?workbook=20_13.xlsx&amp;sheet=E0&amp;row=22&amp;col=10&amp;number=378352&amp;sourceID=14","378352")</f>
        <v>378352</v>
      </c>
    </row>
    <row r="23" spans="1:10">
      <c r="A23" s="3">
        <v>20</v>
      </c>
      <c r="B23" s="3">
        <v>13</v>
      </c>
      <c r="C23" s="3">
        <v>20</v>
      </c>
      <c r="D23" s="3" t="s">
        <v>21</v>
      </c>
      <c r="E23" s="3" t="s">
        <v>22</v>
      </c>
      <c r="F23" s="3">
        <v>4</v>
      </c>
      <c r="G23" s="3">
        <v>3</v>
      </c>
      <c r="H23" s="3">
        <v>1</v>
      </c>
      <c r="I23" s="3">
        <v>3.5</v>
      </c>
      <c r="J23" s="4" t="str">
        <f>HYPERLINK("http://141.218.60.56/~jnz1568/getInfo.php?workbook=20_13.xlsx&amp;sheet=E0&amp;row=23&amp;col=10&amp;number=379626&amp;sourceID=14","379626")</f>
        <v>379626</v>
      </c>
    </row>
    <row r="24" spans="1:10">
      <c r="A24" s="3">
        <v>20</v>
      </c>
      <c r="B24" s="3">
        <v>13</v>
      </c>
      <c r="C24" s="3">
        <v>21</v>
      </c>
      <c r="D24" s="3" t="s">
        <v>21</v>
      </c>
      <c r="E24" s="3" t="s">
        <v>22</v>
      </c>
      <c r="F24" s="3">
        <v>4</v>
      </c>
      <c r="G24" s="3">
        <v>3</v>
      </c>
      <c r="H24" s="3">
        <v>1</v>
      </c>
      <c r="I24" s="3">
        <v>4.5</v>
      </c>
      <c r="J24" s="4" t="str">
        <f>HYPERLINK("http://141.218.60.56/~jnz1568/getInfo.php?workbook=20_13.xlsx&amp;sheet=E0&amp;row=24&amp;col=10&amp;number=381330&amp;sourceID=14","381330")</f>
        <v>381330</v>
      </c>
    </row>
    <row r="25" spans="1:10">
      <c r="A25" s="3">
        <v>20</v>
      </c>
      <c r="B25" s="3">
        <v>13</v>
      </c>
      <c r="C25" s="3">
        <v>22</v>
      </c>
      <c r="D25" s="3" t="s">
        <v>21</v>
      </c>
      <c r="E25" s="3" t="s">
        <v>15</v>
      </c>
      <c r="F25" s="3">
        <v>4</v>
      </c>
      <c r="G25" s="3">
        <v>1</v>
      </c>
      <c r="H25" s="3">
        <v>1</v>
      </c>
      <c r="I25" s="3">
        <v>2.5</v>
      </c>
      <c r="J25" s="4" t="str">
        <f>HYPERLINK("http://141.218.60.56/~jnz1568/getInfo.php?workbook=20_13.xlsx&amp;sheet=E0&amp;row=25&amp;col=10&amp;number=408960&amp;sourceID=14","408960")</f>
        <v>408960</v>
      </c>
    </row>
    <row r="26" spans="1:10">
      <c r="A26" s="3">
        <v>20</v>
      </c>
      <c r="B26" s="3">
        <v>13</v>
      </c>
      <c r="C26" s="3">
        <v>23</v>
      </c>
      <c r="D26" s="3" t="s">
        <v>21</v>
      </c>
      <c r="E26" s="3" t="s">
        <v>15</v>
      </c>
      <c r="F26" s="3">
        <v>4</v>
      </c>
      <c r="G26" s="3">
        <v>1</v>
      </c>
      <c r="H26" s="3">
        <v>1</v>
      </c>
      <c r="I26" s="3">
        <v>1.5</v>
      </c>
      <c r="J26" s="4" t="str">
        <f>HYPERLINK("http://141.218.60.56/~jnz1568/getInfo.php?workbook=20_13.xlsx&amp;sheet=E0&amp;row=26&amp;col=10&amp;number=409998&amp;sourceID=14","409998")</f>
        <v>409998</v>
      </c>
    </row>
    <row r="27" spans="1:10">
      <c r="A27" s="3">
        <v>20</v>
      </c>
      <c r="B27" s="3">
        <v>13</v>
      </c>
      <c r="C27" s="3">
        <v>24</v>
      </c>
      <c r="D27" s="3" t="s">
        <v>21</v>
      </c>
      <c r="E27" s="3" t="s">
        <v>23</v>
      </c>
      <c r="F27" s="3">
        <v>4</v>
      </c>
      <c r="G27" s="3">
        <v>2</v>
      </c>
      <c r="H27" s="3">
        <v>0</v>
      </c>
      <c r="I27" s="3">
        <v>0.5</v>
      </c>
      <c r="J27" s="4" t="str">
        <f>HYPERLINK("http://141.218.60.56/~jnz1568/getInfo.php?workbook=20_13.xlsx&amp;sheet=E0&amp;row=27&amp;col=10&amp;number=410954&amp;sourceID=14","410954")</f>
        <v>410954</v>
      </c>
    </row>
    <row r="28" spans="1:10">
      <c r="A28" s="3">
        <v>20</v>
      </c>
      <c r="B28" s="3">
        <v>13</v>
      </c>
      <c r="C28" s="3">
        <v>25</v>
      </c>
      <c r="D28" s="3" t="s">
        <v>21</v>
      </c>
      <c r="E28" s="3" t="s">
        <v>15</v>
      </c>
      <c r="F28" s="3">
        <v>4</v>
      </c>
      <c r="G28" s="3">
        <v>1</v>
      </c>
      <c r="H28" s="3">
        <v>1</v>
      </c>
      <c r="I28" s="3">
        <v>0.5</v>
      </c>
      <c r="J28" s="4" t="str">
        <f>HYPERLINK("http://141.218.60.56/~jnz1568/getInfo.php?workbook=20_13.xlsx&amp;sheet=E0&amp;row=28&amp;col=10&amp;number=412562&amp;sourceID=14","412562")</f>
        <v>412562</v>
      </c>
    </row>
    <row r="29" spans="1:10">
      <c r="A29" s="3">
        <v>20</v>
      </c>
      <c r="B29" s="3">
        <v>13</v>
      </c>
      <c r="C29" s="3">
        <v>26</v>
      </c>
      <c r="D29" s="3" t="s">
        <v>21</v>
      </c>
      <c r="E29" s="3" t="s">
        <v>23</v>
      </c>
      <c r="F29" s="3">
        <v>4</v>
      </c>
      <c r="G29" s="3">
        <v>2</v>
      </c>
      <c r="H29" s="3">
        <v>0</v>
      </c>
      <c r="I29" s="3">
        <v>1.5</v>
      </c>
      <c r="J29" s="4" t="str">
        <f>HYPERLINK("http://141.218.60.56/~jnz1568/getInfo.php?workbook=20_13.xlsx&amp;sheet=E0&amp;row=29&amp;col=10&amp;number=413120&amp;sourceID=14","413120")</f>
        <v>413120</v>
      </c>
    </row>
    <row r="30" spans="1:10">
      <c r="A30" s="3">
        <v>20</v>
      </c>
      <c r="B30" s="3">
        <v>13</v>
      </c>
      <c r="C30" s="3">
        <v>27</v>
      </c>
      <c r="D30" s="3" t="s">
        <v>21</v>
      </c>
      <c r="E30" s="3" t="s">
        <v>23</v>
      </c>
      <c r="F30" s="3">
        <v>4</v>
      </c>
      <c r="G30" s="3">
        <v>2</v>
      </c>
      <c r="H30" s="3">
        <v>0</v>
      </c>
      <c r="I30" s="3">
        <v>2.5</v>
      </c>
      <c r="J30" s="4" t="str">
        <f>HYPERLINK("http://141.218.60.56/~jnz1568/getInfo.php?workbook=20_13.xlsx&amp;sheet=E0&amp;row=30&amp;col=10&amp;number=413497&amp;sourceID=14","413497")</f>
        <v>413497</v>
      </c>
    </row>
    <row r="31" spans="1:10">
      <c r="A31" s="3">
        <v>20</v>
      </c>
      <c r="B31" s="3">
        <v>13</v>
      </c>
      <c r="C31" s="3">
        <v>28</v>
      </c>
      <c r="D31" s="3" t="s">
        <v>21</v>
      </c>
      <c r="E31" s="3" t="s">
        <v>23</v>
      </c>
      <c r="F31" s="3">
        <v>4</v>
      </c>
      <c r="G31" s="3">
        <v>2</v>
      </c>
      <c r="H31" s="3">
        <v>0</v>
      </c>
      <c r="I31" s="3">
        <v>3.5</v>
      </c>
      <c r="J31" s="4" t="str">
        <f>HYPERLINK("http://141.218.60.56/~jnz1568/getInfo.php?workbook=20_13.xlsx&amp;sheet=E0&amp;row=31&amp;col=10&amp;number=413609&amp;sourceID=14","413609")</f>
        <v>413609</v>
      </c>
    </row>
    <row r="32" spans="1:10">
      <c r="A32" s="3">
        <v>20</v>
      </c>
      <c r="B32" s="3">
        <v>13</v>
      </c>
      <c r="C32" s="3">
        <v>29</v>
      </c>
      <c r="D32" s="3" t="s">
        <v>21</v>
      </c>
      <c r="E32" s="3" t="s">
        <v>16</v>
      </c>
      <c r="F32" s="3">
        <v>2</v>
      </c>
      <c r="G32" s="3">
        <v>2</v>
      </c>
      <c r="H32" s="3">
        <v>0</v>
      </c>
      <c r="I32" s="3">
        <v>2.5</v>
      </c>
      <c r="J32" s="4" t="str">
        <f>HYPERLINK("http://141.218.60.56/~jnz1568/getInfo.php?workbook=20_13.xlsx&amp;sheet=E0&amp;row=32&amp;col=10&amp;number=423613&amp;sourceID=14","423613")</f>
        <v>423613</v>
      </c>
    </row>
    <row r="33" spans="1:10">
      <c r="A33" s="3">
        <v>20</v>
      </c>
      <c r="B33" s="3">
        <v>13</v>
      </c>
      <c r="C33" s="3">
        <v>30</v>
      </c>
      <c r="D33" s="3" t="s">
        <v>21</v>
      </c>
      <c r="E33" s="3" t="s">
        <v>16</v>
      </c>
      <c r="F33" s="3">
        <v>2</v>
      </c>
      <c r="G33" s="3">
        <v>2</v>
      </c>
      <c r="H33" s="3">
        <v>0</v>
      </c>
      <c r="I33" s="3">
        <v>1.5</v>
      </c>
      <c r="J33" s="4" t="str">
        <f>HYPERLINK("http://141.218.60.56/~jnz1568/getInfo.php?workbook=20_13.xlsx&amp;sheet=E0&amp;row=33&amp;col=10&amp;number=423606&amp;sourceID=14","423606")</f>
        <v>423606</v>
      </c>
    </row>
    <row r="34" spans="1:10">
      <c r="A34" s="3">
        <v>20</v>
      </c>
      <c r="B34" s="3">
        <v>13</v>
      </c>
      <c r="C34" s="3">
        <v>31</v>
      </c>
      <c r="D34" s="3" t="s">
        <v>21</v>
      </c>
      <c r="E34" s="3" t="s">
        <v>24</v>
      </c>
      <c r="F34" s="3">
        <v>2</v>
      </c>
      <c r="G34" s="3">
        <v>3</v>
      </c>
      <c r="H34" s="3">
        <v>1</v>
      </c>
      <c r="I34" s="3">
        <v>2.5</v>
      </c>
      <c r="J34" s="4" t="str">
        <f>HYPERLINK("http://141.218.60.56/~jnz1568/getInfo.php?workbook=20_13.xlsx&amp;sheet=E0&amp;row=34&amp;col=10&amp;number=444046&amp;sourceID=14","444046")</f>
        <v>444046</v>
      </c>
    </row>
    <row r="35" spans="1:10">
      <c r="A35" s="3">
        <v>20</v>
      </c>
      <c r="B35" s="3">
        <v>13</v>
      </c>
      <c r="C35" s="3">
        <v>32</v>
      </c>
      <c r="D35" s="3" t="s">
        <v>21</v>
      </c>
      <c r="E35" s="3" t="s">
        <v>24</v>
      </c>
      <c r="F35" s="3">
        <v>2</v>
      </c>
      <c r="G35" s="3">
        <v>3</v>
      </c>
      <c r="H35" s="3">
        <v>1</v>
      </c>
      <c r="I35" s="3">
        <v>3.5</v>
      </c>
      <c r="J35" s="4" t="str">
        <f>HYPERLINK("http://141.218.60.56/~jnz1568/getInfo.php?workbook=20_13.xlsx&amp;sheet=E0&amp;row=35&amp;col=10&amp;number=447460&amp;sourceID=14","447460")</f>
        <v>447460</v>
      </c>
    </row>
    <row r="36" spans="1:10">
      <c r="A36" s="3">
        <v>20</v>
      </c>
      <c r="B36" s="3">
        <v>13</v>
      </c>
      <c r="C36" s="3">
        <v>33</v>
      </c>
      <c r="D36" s="3" t="s">
        <v>21</v>
      </c>
      <c r="E36" s="3" t="s">
        <v>13</v>
      </c>
      <c r="F36" s="3">
        <v>2</v>
      </c>
      <c r="G36" s="3">
        <v>1</v>
      </c>
      <c r="H36" s="3">
        <v>1</v>
      </c>
      <c r="I36" s="3">
        <v>1.5</v>
      </c>
      <c r="J36" s="4" t="str">
        <f>HYPERLINK("http://141.218.60.56/~jnz1568/getInfo.php?workbook=20_13.xlsx&amp;sheet=E0&amp;row=36&amp;col=10&amp;number=483902&amp;sourceID=14","483902")</f>
        <v>483902</v>
      </c>
    </row>
    <row r="37" spans="1:10">
      <c r="A37" s="3">
        <v>20</v>
      </c>
      <c r="B37" s="3">
        <v>13</v>
      </c>
      <c r="C37" s="3">
        <v>34</v>
      </c>
      <c r="D37" s="3" t="s">
        <v>21</v>
      </c>
      <c r="E37" s="3" t="s">
        <v>13</v>
      </c>
      <c r="F37" s="3">
        <v>2</v>
      </c>
      <c r="G37" s="3">
        <v>1</v>
      </c>
      <c r="H37" s="3">
        <v>1</v>
      </c>
      <c r="I37" s="3">
        <v>0.5</v>
      </c>
      <c r="J37" s="4" t="str">
        <f>HYPERLINK("http://141.218.60.56/~jnz1568/getInfo.php?workbook=20_13.xlsx&amp;sheet=E0&amp;row=37&amp;col=10&amp;number=485292&amp;sourceID=14","485292")</f>
        <v>485292</v>
      </c>
    </row>
    <row r="38" spans="1:10">
      <c r="A38" s="3">
        <v>20</v>
      </c>
      <c r="B38" s="3">
        <v>13</v>
      </c>
      <c r="C38" s="3">
        <v>35</v>
      </c>
      <c r="D38" s="3" t="s">
        <v>25</v>
      </c>
      <c r="E38" s="3" t="s">
        <v>24</v>
      </c>
      <c r="F38" s="3">
        <v>2</v>
      </c>
      <c r="G38" s="3">
        <v>3</v>
      </c>
      <c r="H38" s="3">
        <v>1</v>
      </c>
      <c r="I38" s="3">
        <v>3.5</v>
      </c>
      <c r="J38" s="4" t="str">
        <f>HYPERLINK("http://141.218.60.56/~jnz1568/getInfo.php?workbook=20_13.xlsx&amp;sheet=E0&amp;row=38&amp;col=10&amp;number=486202&amp;sourceID=14","486202")</f>
        <v>486202</v>
      </c>
    </row>
    <row r="39" spans="1:10">
      <c r="A39" s="3">
        <v>20</v>
      </c>
      <c r="B39" s="3">
        <v>13</v>
      </c>
      <c r="C39" s="3">
        <v>36</v>
      </c>
      <c r="D39" s="3" t="s">
        <v>25</v>
      </c>
      <c r="E39" s="3" t="s">
        <v>24</v>
      </c>
      <c r="F39" s="3">
        <v>2</v>
      </c>
      <c r="G39" s="3">
        <v>3</v>
      </c>
      <c r="H39" s="3">
        <v>1</v>
      </c>
      <c r="I39" s="3">
        <v>2.5</v>
      </c>
      <c r="J39" s="4" t="str">
        <f>HYPERLINK("http://141.218.60.56/~jnz1568/getInfo.php?workbook=20_13.xlsx&amp;sheet=E0&amp;row=39&amp;col=10&amp;number=487081&amp;sourceID=14","487081")</f>
        <v>487081</v>
      </c>
    </row>
    <row r="40" spans="1:10">
      <c r="A40" s="3">
        <v>20</v>
      </c>
      <c r="B40" s="3">
        <v>13</v>
      </c>
      <c r="C40" s="3">
        <v>37</v>
      </c>
      <c r="D40" s="3" t="s">
        <v>25</v>
      </c>
      <c r="E40" s="3" t="s">
        <v>13</v>
      </c>
      <c r="F40" s="3">
        <v>2</v>
      </c>
      <c r="G40" s="3">
        <v>1</v>
      </c>
      <c r="H40" s="3">
        <v>1</v>
      </c>
      <c r="I40" s="3">
        <v>0.5</v>
      </c>
      <c r="J40" s="4" t="str">
        <f>HYPERLINK("http://141.218.60.56/~jnz1568/getInfo.php?workbook=20_13.xlsx&amp;sheet=E0&amp;row=40&amp;col=10&amp;number=501967&amp;sourceID=14","501967")</f>
        <v>501967</v>
      </c>
    </row>
    <row r="41" spans="1:10">
      <c r="A41" s="3">
        <v>20</v>
      </c>
      <c r="B41" s="3">
        <v>13</v>
      </c>
      <c r="C41" s="3">
        <v>38</v>
      </c>
      <c r="D41" s="3" t="s">
        <v>25</v>
      </c>
      <c r="E41" s="3" t="s">
        <v>13</v>
      </c>
      <c r="F41" s="3">
        <v>2</v>
      </c>
      <c r="G41" s="3">
        <v>1</v>
      </c>
      <c r="H41" s="3">
        <v>1</v>
      </c>
      <c r="I41" s="3">
        <v>1.5</v>
      </c>
      <c r="J41" s="4" t="str">
        <f>HYPERLINK("http://141.218.60.56/~jnz1568/getInfo.php?workbook=20_13.xlsx&amp;sheet=E0&amp;row=41&amp;col=10&amp;number=502198&amp;sourceID=14","502198")</f>
        <v>502198</v>
      </c>
    </row>
    <row r="42" spans="1:10">
      <c r="A42" s="3">
        <v>20</v>
      </c>
      <c r="B42" s="3">
        <v>13</v>
      </c>
      <c r="C42" s="3">
        <v>39</v>
      </c>
      <c r="D42" s="3" t="s">
        <v>25</v>
      </c>
      <c r="E42" s="3" t="s">
        <v>16</v>
      </c>
      <c r="F42" s="3">
        <v>2</v>
      </c>
      <c r="G42" s="3">
        <v>2</v>
      </c>
      <c r="H42" s="3">
        <v>0</v>
      </c>
      <c r="I42" s="3">
        <v>1.5</v>
      </c>
      <c r="J42" s="4" t="str">
        <f>HYPERLINK("http://141.218.60.56/~jnz1568/getInfo.php?workbook=20_13.xlsx&amp;sheet=E0&amp;row=42&amp;col=10&amp;number=506070&amp;sourceID=14","506070")</f>
        <v>506070</v>
      </c>
    </row>
    <row r="43" spans="1:10">
      <c r="A43" s="3">
        <v>20</v>
      </c>
      <c r="B43" s="3">
        <v>13</v>
      </c>
      <c r="C43" s="3">
        <v>40</v>
      </c>
      <c r="D43" s="3" t="s">
        <v>25</v>
      </c>
      <c r="E43" s="3" t="s">
        <v>16</v>
      </c>
      <c r="F43" s="3">
        <v>2</v>
      </c>
      <c r="G43" s="3">
        <v>2</v>
      </c>
      <c r="H43" s="3">
        <v>0</v>
      </c>
      <c r="I43" s="3">
        <v>2.5</v>
      </c>
      <c r="J43" s="4" t="str">
        <f>HYPERLINK("http://141.218.60.56/~jnz1568/getInfo.php?workbook=20_13.xlsx&amp;sheet=E0&amp;row=43&amp;col=10&amp;number=506657&amp;sourceID=14","506657")</f>
        <v>506657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27"/>
  <sheetViews>
    <sheetView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3.7109375" customWidth="1"/>
    <col min="5" max="5" width="11.7109375" customWidth="1"/>
    <col min="6" max="6" width="12.7109375" customWidth="1"/>
    <col min="7" max="7" width="10.7109375" customWidth="1"/>
  </cols>
  <sheetData>
    <row r="1" spans="1:7">
      <c r="A1" s="1" t="s">
        <v>26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27</v>
      </c>
      <c r="D3" s="2" t="s">
        <v>4</v>
      </c>
      <c r="E3" s="2" t="s">
        <v>28</v>
      </c>
      <c r="F3" s="2" t="s">
        <v>29</v>
      </c>
      <c r="G3" s="2" t="s">
        <v>30</v>
      </c>
    </row>
    <row r="4" spans="1:7">
      <c r="A4" s="3">
        <v>20</v>
      </c>
      <c r="B4" s="3">
        <v>13</v>
      </c>
      <c r="C4" s="3">
        <v>2</v>
      </c>
      <c r="D4" s="3">
        <v>1</v>
      </c>
      <c r="E4" s="3">
        <v>23218.018</v>
      </c>
      <c r="F4" s="4" t="str">
        <f>HYPERLINK("http://141.218.60.56/~jnz1568/getInfo.php?workbook=20_13.xlsx&amp;sheet=A0&amp;row=4&amp;col=6&amp;number=0.7183&amp;sourceID=14","0.7183")</f>
        <v>0.7183</v>
      </c>
      <c r="G4" s="4" t="str">
        <f>HYPERLINK("http://141.218.60.56/~jnz1568/getInfo.php?workbook=20_13.xlsx&amp;sheet=A0&amp;row=4&amp;col=7&amp;number=0&amp;sourceID=14","0")</f>
        <v>0</v>
      </c>
    </row>
    <row r="5" spans="1:7">
      <c r="A5" s="3">
        <v>20</v>
      </c>
      <c r="B5" s="3">
        <v>13</v>
      </c>
      <c r="C5" s="3">
        <v>3</v>
      </c>
      <c r="D5" s="3">
        <v>1</v>
      </c>
      <c r="E5" s="3">
        <v>770.28</v>
      </c>
      <c r="F5" s="4" t="str">
        <f>HYPERLINK("http://141.218.60.56/~jnz1568/getInfo.php?workbook=20_13.xlsx&amp;sheet=A0&amp;row=5&amp;col=6&amp;number=1342000&amp;sourceID=14","1342000")</f>
        <v>1342000</v>
      </c>
      <c r="G5" s="4" t="str">
        <f>HYPERLINK("http://141.218.60.56/~jnz1568/getInfo.php?workbook=20_13.xlsx&amp;sheet=A0&amp;row=5&amp;col=7&amp;number=0&amp;sourceID=14","0")</f>
        <v>0</v>
      </c>
    </row>
    <row r="6" spans="1:7">
      <c r="A6" s="3">
        <v>20</v>
      </c>
      <c r="B6" s="3">
        <v>13</v>
      </c>
      <c r="C6" s="3">
        <v>3</v>
      </c>
      <c r="D6" s="3">
        <v>2</v>
      </c>
      <c r="E6" s="3">
        <v>796.711</v>
      </c>
      <c r="F6" s="4" t="str">
        <f>HYPERLINK("http://141.218.60.56/~jnz1568/getInfo.php?workbook=20_13.xlsx&amp;sheet=A0&amp;row=6&amp;col=6&amp;number=757000&amp;sourceID=14","757000")</f>
        <v>757000</v>
      </c>
      <c r="G6" s="4" t="str">
        <f>HYPERLINK("http://141.218.60.56/~jnz1568/getInfo.php?workbook=20_13.xlsx&amp;sheet=A0&amp;row=6&amp;col=7&amp;number=0&amp;sourceID=14","0")</f>
        <v>0</v>
      </c>
    </row>
    <row r="7" spans="1:7">
      <c r="A7" s="3">
        <v>20</v>
      </c>
      <c r="B7" s="3">
        <v>13</v>
      </c>
      <c r="C7" s="3">
        <v>4</v>
      </c>
      <c r="D7" s="3">
        <v>1</v>
      </c>
      <c r="E7" s="3">
        <v>761.018</v>
      </c>
      <c r="F7" s="4" t="str">
        <f>HYPERLINK("http://141.218.60.56/~jnz1568/getInfo.php?workbook=20_13.xlsx&amp;sheet=A0&amp;row=7&amp;col=6&amp;number=24630&amp;sourceID=14","24630")</f>
        <v>24630</v>
      </c>
      <c r="G7" s="4" t="str">
        <f>HYPERLINK("http://141.218.60.56/~jnz1568/getInfo.php?workbook=20_13.xlsx&amp;sheet=A0&amp;row=7&amp;col=7&amp;number=0&amp;sourceID=14","0")</f>
        <v>0</v>
      </c>
    </row>
    <row r="8" spans="1:7">
      <c r="A8" s="3">
        <v>20</v>
      </c>
      <c r="B8" s="3">
        <v>13</v>
      </c>
      <c r="C8" s="3">
        <v>4</v>
      </c>
      <c r="D8" s="3">
        <v>2</v>
      </c>
      <c r="E8" s="3">
        <v>786.807</v>
      </c>
      <c r="F8" s="4" t="str">
        <f>HYPERLINK("http://141.218.60.56/~jnz1568/getInfo.php?workbook=20_13.xlsx&amp;sheet=A0&amp;row=8&amp;col=6&amp;number=424800&amp;sourceID=14","424800")</f>
        <v>424800</v>
      </c>
      <c r="G8" s="4" t="str">
        <f>HYPERLINK("http://141.218.60.56/~jnz1568/getInfo.php?workbook=20_13.xlsx&amp;sheet=A0&amp;row=8&amp;col=7&amp;number=0&amp;sourceID=14","0")</f>
        <v>0</v>
      </c>
    </row>
    <row r="9" spans="1:7">
      <c r="A9" s="3">
        <v>20</v>
      </c>
      <c r="B9" s="3">
        <v>13</v>
      </c>
      <c r="C9" s="3">
        <v>5</v>
      </c>
      <c r="D9" s="3">
        <v>2</v>
      </c>
      <c r="E9" s="3">
        <v>772.457</v>
      </c>
      <c r="F9" s="4" t="str">
        <f>HYPERLINK("http://141.218.60.56/~jnz1568/getInfo.php?workbook=20_13.xlsx&amp;sheet=A0&amp;row=9&amp;col=6&amp;number=1195000&amp;sourceID=14","1195000")</f>
        <v>1195000</v>
      </c>
      <c r="G9" s="4" t="str">
        <f>HYPERLINK("http://141.218.60.56/~jnz1568/getInfo.php?workbook=20_13.xlsx&amp;sheet=A0&amp;row=9&amp;col=7&amp;number=0&amp;sourceID=14","0")</f>
        <v>0</v>
      </c>
    </row>
    <row r="10" spans="1:7">
      <c r="A10" s="3">
        <v>20</v>
      </c>
      <c r="B10" s="3">
        <v>13</v>
      </c>
      <c r="C10" s="3">
        <v>6</v>
      </c>
      <c r="D10" s="3">
        <v>1</v>
      </c>
      <c r="E10" s="3">
        <v>582.832</v>
      </c>
      <c r="F10" s="4" t="str">
        <f>HYPERLINK("http://141.218.60.56/~jnz1568/getInfo.php?workbook=20_13.xlsx&amp;sheet=A0&amp;row=10&amp;col=6&amp;number=722400000&amp;sourceID=14","722400000")</f>
        <v>722400000</v>
      </c>
      <c r="G10" s="4" t="str">
        <f>HYPERLINK("http://141.218.60.56/~jnz1568/getInfo.php?workbook=20_13.xlsx&amp;sheet=A0&amp;row=10&amp;col=7&amp;number=0&amp;sourceID=14","0")</f>
        <v>0</v>
      </c>
    </row>
    <row r="11" spans="1:7">
      <c r="A11" s="3">
        <v>20</v>
      </c>
      <c r="B11" s="3">
        <v>13</v>
      </c>
      <c r="C11" s="3">
        <v>6</v>
      </c>
      <c r="D11" s="3">
        <v>2</v>
      </c>
      <c r="E11" s="3">
        <v>597.839</v>
      </c>
      <c r="F11" s="4" t="str">
        <f>HYPERLINK("http://141.218.60.56/~jnz1568/getInfo.php?workbook=20_13.xlsx&amp;sheet=A0&amp;row=11&amp;col=6&amp;number=79760000&amp;sourceID=14","79760000")</f>
        <v>79760000</v>
      </c>
      <c r="G11" s="4" t="str">
        <f>HYPERLINK("http://141.218.60.56/~jnz1568/getInfo.php?workbook=20_13.xlsx&amp;sheet=A0&amp;row=11&amp;col=7&amp;number=0&amp;sourceID=14","0")</f>
        <v>0</v>
      </c>
    </row>
    <row r="12" spans="1:7">
      <c r="A12" s="3">
        <v>20</v>
      </c>
      <c r="B12" s="3">
        <v>13</v>
      </c>
      <c r="C12" s="3">
        <v>7</v>
      </c>
      <c r="D12" s="3">
        <v>2</v>
      </c>
      <c r="E12" s="3">
        <v>596.926</v>
      </c>
      <c r="F12" s="4" t="str">
        <f>HYPERLINK("http://141.218.60.56/~jnz1568/getInfo.php?workbook=20_13.xlsx&amp;sheet=A0&amp;row=12&amp;col=6&amp;number=745100000&amp;sourceID=14","745100000")</f>
        <v>745100000</v>
      </c>
      <c r="G12" s="4" t="str">
        <f>HYPERLINK("http://141.218.60.56/~jnz1568/getInfo.php?workbook=20_13.xlsx&amp;sheet=A0&amp;row=12&amp;col=7&amp;number=0&amp;sourceID=14","0")</f>
        <v>0</v>
      </c>
    </row>
    <row r="13" spans="1:7">
      <c r="A13" s="3">
        <v>20</v>
      </c>
      <c r="B13" s="3">
        <v>13</v>
      </c>
      <c r="C13" s="3">
        <v>8</v>
      </c>
      <c r="D13" s="3">
        <v>1</v>
      </c>
      <c r="E13" s="3">
        <v>461.708</v>
      </c>
      <c r="F13" s="4" t="str">
        <f>HYPERLINK("http://141.218.60.56/~jnz1568/getInfo.php?workbook=20_13.xlsx&amp;sheet=A0&amp;row=13&amp;col=6&amp;number=4033000000&amp;sourceID=14","4033000000")</f>
        <v>4033000000</v>
      </c>
      <c r="G13" s="4" t="str">
        <f>HYPERLINK("http://141.218.60.56/~jnz1568/getInfo.php?workbook=20_13.xlsx&amp;sheet=A0&amp;row=13&amp;col=7&amp;number=0&amp;sourceID=14","0")</f>
        <v>0</v>
      </c>
    </row>
    <row r="14" spans="1:7">
      <c r="A14" s="3">
        <v>20</v>
      </c>
      <c r="B14" s="3">
        <v>13</v>
      </c>
      <c r="C14" s="3">
        <v>8</v>
      </c>
      <c r="D14" s="3">
        <v>2</v>
      </c>
      <c r="E14" s="3">
        <v>471.076</v>
      </c>
      <c r="F14" s="4" t="str">
        <f>HYPERLINK("http://141.218.60.56/~jnz1568/getInfo.php?workbook=20_13.xlsx&amp;sheet=A0&amp;row=14&amp;col=6&amp;number=2839000000&amp;sourceID=14","2839000000")</f>
        <v>2839000000</v>
      </c>
      <c r="G14" s="4" t="str">
        <f>HYPERLINK("http://141.218.60.56/~jnz1568/getInfo.php?workbook=20_13.xlsx&amp;sheet=A0&amp;row=14&amp;col=7&amp;number=0&amp;sourceID=14","0")</f>
        <v>0</v>
      </c>
    </row>
    <row r="15" spans="1:7">
      <c r="A15" s="3">
        <v>20</v>
      </c>
      <c r="B15" s="3">
        <v>13</v>
      </c>
      <c r="C15" s="3">
        <v>9</v>
      </c>
      <c r="D15" s="3">
        <v>1</v>
      </c>
      <c r="E15" s="3">
        <v>432.87</v>
      </c>
      <c r="F15" s="4" t="str">
        <f>HYPERLINK("http://141.218.60.56/~jnz1568/getInfo.php?workbook=20_13.xlsx&amp;sheet=A0&amp;row=15&amp;col=6&amp;number=11760000000&amp;sourceID=14","11760000000")</f>
        <v>11760000000</v>
      </c>
      <c r="G15" s="4" t="str">
        <f>HYPERLINK("http://141.218.60.56/~jnz1568/getInfo.php?workbook=20_13.xlsx&amp;sheet=A0&amp;row=15&amp;col=7&amp;number=0&amp;sourceID=14","0")</f>
        <v>0</v>
      </c>
    </row>
    <row r="16" spans="1:7">
      <c r="A16" s="3">
        <v>20</v>
      </c>
      <c r="B16" s="3">
        <v>13</v>
      </c>
      <c r="C16" s="3">
        <v>9</v>
      </c>
      <c r="D16" s="3">
        <v>2</v>
      </c>
      <c r="E16" s="3">
        <v>441.094</v>
      </c>
      <c r="F16" s="4" t="str">
        <f>HYPERLINK("http://141.218.60.56/~jnz1568/getInfo.php?workbook=20_13.xlsx&amp;sheet=A0&amp;row=16&amp;col=6&amp;number=8280000000&amp;sourceID=14","8280000000")</f>
        <v>8280000000</v>
      </c>
      <c r="G16" s="4" t="str">
        <f>HYPERLINK("http://141.218.60.56/~jnz1568/getInfo.php?workbook=20_13.xlsx&amp;sheet=A0&amp;row=16&amp;col=7&amp;number=0&amp;sourceID=14","0")</f>
        <v>0</v>
      </c>
    </row>
    <row r="17" spans="1:7">
      <c r="A17" s="3">
        <v>20</v>
      </c>
      <c r="B17" s="3">
        <v>13</v>
      </c>
      <c r="C17" s="3">
        <v>10</v>
      </c>
      <c r="D17" s="3">
        <v>1</v>
      </c>
      <c r="E17" s="3">
        <v>428.097</v>
      </c>
      <c r="F17" s="4" t="str">
        <f>HYPERLINK("http://141.218.60.56/~jnz1568/getInfo.php?workbook=20_13.xlsx&amp;sheet=A0&amp;row=17&amp;col=6&amp;number=3619000000&amp;sourceID=14","3619000000")</f>
        <v>3619000000</v>
      </c>
      <c r="G17" s="4" t="str">
        <f>HYPERLINK("http://141.218.60.56/~jnz1568/getInfo.php?workbook=20_13.xlsx&amp;sheet=A0&amp;row=17&amp;col=7&amp;number=0&amp;sourceID=14","0")</f>
        <v>0</v>
      </c>
    </row>
    <row r="18" spans="1:7">
      <c r="A18" s="3">
        <v>20</v>
      </c>
      <c r="B18" s="3">
        <v>13</v>
      </c>
      <c r="C18" s="3">
        <v>10</v>
      </c>
      <c r="D18" s="3">
        <v>2</v>
      </c>
      <c r="E18" s="3">
        <v>436.138</v>
      </c>
      <c r="F18" s="4" t="str">
        <f>HYPERLINK("http://141.218.60.56/~jnz1568/getInfo.php?workbook=20_13.xlsx&amp;sheet=A0&amp;row=18&amp;col=6&amp;number=16920000000&amp;sourceID=14","16920000000")</f>
        <v>16920000000</v>
      </c>
      <c r="G18" s="4" t="str">
        <f>HYPERLINK("http://141.218.60.56/~jnz1568/getInfo.php?workbook=20_13.xlsx&amp;sheet=A0&amp;row=18&amp;col=7&amp;number=0&amp;sourceID=14","0")</f>
        <v>0</v>
      </c>
    </row>
    <row r="19" spans="1:7">
      <c r="A19" s="3">
        <v>20</v>
      </c>
      <c r="B19" s="3">
        <v>13</v>
      </c>
      <c r="C19" s="3">
        <v>11</v>
      </c>
      <c r="D19" s="3">
        <v>1</v>
      </c>
      <c r="E19" s="3">
        <v>354.167</v>
      </c>
      <c r="F19" s="4" t="str">
        <f>HYPERLINK("http://141.218.60.56/~jnz1568/getInfo.php?workbook=20_13.xlsx&amp;sheet=A0&amp;row=19&amp;col=6&amp;number=20310000000&amp;sourceID=14","20310000000")</f>
        <v>20310000000</v>
      </c>
      <c r="G19" s="4" t="str">
        <f>HYPERLINK("http://141.218.60.56/~jnz1568/getInfo.php?workbook=20_13.xlsx&amp;sheet=A0&amp;row=19&amp;col=7&amp;number=0&amp;sourceID=14","0")</f>
        <v>0</v>
      </c>
    </row>
    <row r="20" spans="1:7">
      <c r="A20" s="3">
        <v>20</v>
      </c>
      <c r="B20" s="3">
        <v>13</v>
      </c>
      <c r="C20" s="3">
        <v>11</v>
      </c>
      <c r="D20" s="3">
        <v>2</v>
      </c>
      <c r="E20" s="3">
        <v>359.653</v>
      </c>
      <c r="F20" s="4" t="str">
        <f>HYPERLINK("http://141.218.60.56/~jnz1568/getInfo.php?workbook=20_13.xlsx&amp;sheet=A0&amp;row=20&amp;col=6&amp;number=4208000000&amp;sourceID=14","4208000000")</f>
        <v>4208000000</v>
      </c>
      <c r="G20" s="4" t="str">
        <f>HYPERLINK("http://141.218.60.56/~jnz1568/getInfo.php?workbook=20_13.xlsx&amp;sheet=A0&amp;row=20&amp;col=7&amp;number=0&amp;sourceID=14","0")</f>
        <v>0</v>
      </c>
    </row>
    <row r="21" spans="1:7">
      <c r="A21" s="3">
        <v>20</v>
      </c>
      <c r="B21" s="3">
        <v>13</v>
      </c>
      <c r="C21" s="3">
        <v>12</v>
      </c>
      <c r="D21" s="3">
        <v>2</v>
      </c>
      <c r="E21" s="3">
        <v>359.367</v>
      </c>
      <c r="F21" s="4" t="str">
        <f>HYPERLINK("http://141.218.60.56/~jnz1568/getInfo.php?workbook=20_13.xlsx&amp;sheet=A0&amp;row=21&amp;col=6&amp;number=23580000000&amp;sourceID=14","23580000000")</f>
        <v>23580000000</v>
      </c>
      <c r="G21" s="4" t="str">
        <f>HYPERLINK("http://141.218.60.56/~jnz1568/getInfo.php?workbook=20_13.xlsx&amp;sheet=A0&amp;row=21&amp;col=7&amp;number=0&amp;sourceID=14","0")</f>
        <v>0</v>
      </c>
    </row>
    <row r="22" spans="1:7">
      <c r="A22" s="3">
        <v>20</v>
      </c>
      <c r="B22" s="3">
        <v>13</v>
      </c>
      <c r="C22" s="3">
        <v>13</v>
      </c>
      <c r="D22" s="3">
        <v>3</v>
      </c>
      <c r="E22" s="3">
        <v>485.369</v>
      </c>
      <c r="F22" s="4" t="str">
        <f>HYPERLINK("http://141.218.60.56/~jnz1568/getInfo.php?workbook=20_13.xlsx&amp;sheet=A0&amp;row=22&amp;col=6&amp;number=1907000&amp;sourceID=14","1907000")</f>
        <v>1907000</v>
      </c>
      <c r="G22" s="4" t="str">
        <f>HYPERLINK("http://141.218.60.56/~jnz1568/getInfo.php?workbook=20_13.xlsx&amp;sheet=A0&amp;row=22&amp;col=7&amp;number=0&amp;sourceID=14","0")</f>
        <v>0</v>
      </c>
    </row>
    <row r="23" spans="1:7">
      <c r="A23" s="3">
        <v>20</v>
      </c>
      <c r="B23" s="3">
        <v>13</v>
      </c>
      <c r="C23" s="3">
        <v>13</v>
      </c>
      <c r="D23" s="3">
        <v>4</v>
      </c>
      <c r="E23" s="3">
        <v>489.12</v>
      </c>
      <c r="F23" s="4" t="str">
        <f>HYPERLINK("http://141.218.60.56/~jnz1568/getInfo.php?workbook=20_13.xlsx&amp;sheet=A0&amp;row=23&amp;col=6&amp;number=77280&amp;sourceID=14","77280")</f>
        <v>77280</v>
      </c>
      <c r="G23" s="4" t="str">
        <f>HYPERLINK("http://141.218.60.56/~jnz1568/getInfo.php?workbook=20_13.xlsx&amp;sheet=A0&amp;row=23&amp;col=7&amp;number=0&amp;sourceID=14","0")</f>
        <v>0</v>
      </c>
    </row>
    <row r="24" spans="1:7">
      <c r="A24" s="3">
        <v>20</v>
      </c>
      <c r="B24" s="3">
        <v>13</v>
      </c>
      <c r="C24" s="3">
        <v>13</v>
      </c>
      <c r="D24" s="3">
        <v>5</v>
      </c>
      <c r="E24" s="3">
        <v>494.834</v>
      </c>
      <c r="F24" s="4" t="str">
        <f>HYPERLINK("http://141.218.60.56/~jnz1568/getInfo.php?workbook=20_13.xlsx&amp;sheet=A0&amp;row=24&amp;col=6&amp;number=5741000&amp;sourceID=14","5741000")</f>
        <v>5741000</v>
      </c>
      <c r="G24" s="4" t="str">
        <f>HYPERLINK("http://141.218.60.56/~jnz1568/getInfo.php?workbook=20_13.xlsx&amp;sheet=A0&amp;row=24&amp;col=7&amp;number=0&amp;sourceID=14","0")</f>
        <v>0</v>
      </c>
    </row>
    <row r="25" spans="1:7">
      <c r="A25" s="3">
        <v>20</v>
      </c>
      <c r="B25" s="3">
        <v>13</v>
      </c>
      <c r="C25" s="3">
        <v>13</v>
      </c>
      <c r="D25" s="3">
        <v>6</v>
      </c>
      <c r="E25" s="3">
        <v>608.732</v>
      </c>
      <c r="F25" s="4" t="str">
        <f>HYPERLINK("http://141.218.60.56/~jnz1568/getInfo.php?workbook=20_13.xlsx&amp;sheet=A0&amp;row=25&amp;col=6&amp;number=1096000000&amp;sourceID=14","1096000000")</f>
        <v>1096000000</v>
      </c>
      <c r="G25" s="4" t="str">
        <f>HYPERLINK("http://141.218.60.56/~jnz1568/getInfo.php?workbook=20_13.xlsx&amp;sheet=A0&amp;row=25&amp;col=7&amp;number=0&amp;sourceID=14","0")</f>
        <v>0</v>
      </c>
    </row>
    <row r="26" spans="1:7">
      <c r="A26" s="3">
        <v>20</v>
      </c>
      <c r="B26" s="3">
        <v>13</v>
      </c>
      <c r="C26" s="3">
        <v>13</v>
      </c>
      <c r="D26" s="3">
        <v>7</v>
      </c>
      <c r="E26" s="3">
        <v>609.682</v>
      </c>
      <c r="F26" s="4" t="str">
        <f>HYPERLINK("http://141.218.60.56/~jnz1568/getInfo.php?workbook=20_13.xlsx&amp;sheet=A0&amp;row=26&amp;col=6&amp;number=224400000&amp;sourceID=14","224400000")</f>
        <v>224400000</v>
      </c>
      <c r="G26" s="4" t="str">
        <f>HYPERLINK("http://141.218.60.56/~jnz1568/getInfo.php?workbook=20_13.xlsx&amp;sheet=A0&amp;row=26&amp;col=7&amp;number=0&amp;sourceID=14","0")</f>
        <v>0</v>
      </c>
    </row>
    <row r="27" spans="1:7">
      <c r="A27" s="3">
        <v>20</v>
      </c>
      <c r="B27" s="3">
        <v>13</v>
      </c>
      <c r="C27" s="3">
        <v>13</v>
      </c>
      <c r="D27" s="3">
        <v>8</v>
      </c>
      <c r="E27" s="3">
        <v>838.469</v>
      </c>
      <c r="F27" s="4" t="str">
        <f>HYPERLINK("http://141.218.60.56/~jnz1568/getInfo.php?workbook=20_13.xlsx&amp;sheet=A0&amp;row=27&amp;col=6&amp;number=15030000&amp;sourceID=14","15030000")</f>
        <v>15030000</v>
      </c>
      <c r="G27" s="4" t="str">
        <f>HYPERLINK("http://141.218.60.56/~jnz1568/getInfo.php?workbook=20_13.xlsx&amp;sheet=A0&amp;row=27&amp;col=7&amp;number=0&amp;sourceID=14","0")</f>
        <v>0</v>
      </c>
    </row>
    <row r="28" spans="1:7">
      <c r="A28" s="3">
        <v>20</v>
      </c>
      <c r="B28" s="3">
        <v>13</v>
      </c>
      <c r="C28" s="3">
        <v>13</v>
      </c>
      <c r="D28" s="3">
        <v>9</v>
      </c>
      <c r="E28" s="3">
        <v>953.871</v>
      </c>
      <c r="F28" s="4" t="str">
        <f>HYPERLINK("http://141.218.60.56/~jnz1568/getInfo.php?workbook=20_13.xlsx&amp;sheet=A0&amp;row=28&amp;col=6&amp;number=214000000&amp;sourceID=14","214000000")</f>
        <v>214000000</v>
      </c>
      <c r="G28" s="4" t="str">
        <f>HYPERLINK("http://141.218.60.56/~jnz1568/getInfo.php?workbook=20_13.xlsx&amp;sheet=A0&amp;row=28&amp;col=7&amp;number=0&amp;sourceID=14","0")</f>
        <v>0</v>
      </c>
    </row>
    <row r="29" spans="1:7">
      <c r="A29" s="3">
        <v>20</v>
      </c>
      <c r="B29" s="3">
        <v>13</v>
      </c>
      <c r="C29" s="3">
        <v>13</v>
      </c>
      <c r="D29" s="3">
        <v>10</v>
      </c>
      <c r="E29" s="3">
        <v>977.899</v>
      </c>
      <c r="F29" s="4" t="str">
        <f>HYPERLINK("http://141.218.60.56/~jnz1568/getInfo.php?workbook=20_13.xlsx&amp;sheet=A0&amp;row=29&amp;col=6&amp;number=27660000&amp;sourceID=14","27660000")</f>
        <v>27660000</v>
      </c>
      <c r="G29" s="4" t="str">
        <f>HYPERLINK("http://141.218.60.56/~jnz1568/getInfo.php?workbook=20_13.xlsx&amp;sheet=A0&amp;row=29&amp;col=7&amp;number=0&amp;sourceID=14","0")</f>
        <v>0</v>
      </c>
    </row>
    <row r="30" spans="1:7">
      <c r="A30" s="3">
        <v>20</v>
      </c>
      <c r="B30" s="3">
        <v>13</v>
      </c>
      <c r="C30" s="3">
        <v>13</v>
      </c>
      <c r="D30" s="3">
        <v>11</v>
      </c>
      <c r="E30" s="3">
        <v>1869.194</v>
      </c>
      <c r="F30" s="4" t="str">
        <f>HYPERLINK("http://141.218.60.56/~jnz1568/getInfo.php?workbook=20_13.xlsx&amp;sheet=A0&amp;row=30&amp;col=6&amp;number=2811000&amp;sourceID=14","2811000")</f>
        <v>2811000</v>
      </c>
      <c r="G30" s="4" t="str">
        <f>HYPERLINK("http://141.218.60.56/~jnz1568/getInfo.php?workbook=20_13.xlsx&amp;sheet=A0&amp;row=30&amp;col=7&amp;number=0&amp;sourceID=14","0")</f>
        <v>0</v>
      </c>
    </row>
    <row r="31" spans="1:7">
      <c r="A31" s="3">
        <v>20</v>
      </c>
      <c r="B31" s="3">
        <v>13</v>
      </c>
      <c r="C31" s="3">
        <v>13</v>
      </c>
      <c r="D31" s="3">
        <v>12</v>
      </c>
      <c r="E31" s="3">
        <v>1876.947</v>
      </c>
      <c r="F31" s="4" t="str">
        <f>HYPERLINK("http://141.218.60.56/~jnz1568/getInfo.php?workbook=20_13.xlsx&amp;sheet=A0&amp;row=31&amp;col=6&amp;number=315200&amp;sourceID=14","315200")</f>
        <v>315200</v>
      </c>
      <c r="G31" s="4" t="str">
        <f>HYPERLINK("http://141.218.60.56/~jnz1568/getInfo.php?workbook=20_13.xlsx&amp;sheet=A0&amp;row=31&amp;col=7&amp;number=0&amp;sourceID=14","0")</f>
        <v>0</v>
      </c>
    </row>
    <row r="32" spans="1:7">
      <c r="A32" s="3">
        <v>20</v>
      </c>
      <c r="B32" s="3">
        <v>13</v>
      </c>
      <c r="C32" s="3">
        <v>14</v>
      </c>
      <c r="D32" s="3">
        <v>4</v>
      </c>
      <c r="E32" s="3">
        <v>488.038</v>
      </c>
      <c r="F32" s="4" t="str">
        <f>HYPERLINK("http://141.218.60.56/~jnz1568/getInfo.php?workbook=20_13.xlsx&amp;sheet=A0&amp;row=32&amp;col=6&amp;number=180200&amp;sourceID=14","180200")</f>
        <v>180200</v>
      </c>
      <c r="G32" s="4" t="str">
        <f>HYPERLINK("http://141.218.60.56/~jnz1568/getInfo.php?workbook=20_13.xlsx&amp;sheet=A0&amp;row=32&amp;col=7&amp;number=0&amp;sourceID=14","0")</f>
        <v>0</v>
      </c>
    </row>
    <row r="33" spans="1:7">
      <c r="A33" s="3">
        <v>20</v>
      </c>
      <c r="B33" s="3">
        <v>13</v>
      </c>
      <c r="C33" s="3">
        <v>14</v>
      </c>
      <c r="D33" s="3">
        <v>5</v>
      </c>
      <c r="E33" s="3">
        <v>493.727</v>
      </c>
      <c r="F33" s="4" t="str">
        <f>HYPERLINK("http://141.218.60.56/~jnz1568/getInfo.php?workbook=20_13.xlsx&amp;sheet=A0&amp;row=33&amp;col=6&amp;number=4421000&amp;sourceID=14","4421000")</f>
        <v>4421000</v>
      </c>
      <c r="G33" s="4" t="str">
        <f>HYPERLINK("http://141.218.60.56/~jnz1568/getInfo.php?workbook=20_13.xlsx&amp;sheet=A0&amp;row=33&amp;col=7&amp;number=0&amp;sourceID=14","0")</f>
        <v>0</v>
      </c>
    </row>
    <row r="34" spans="1:7">
      <c r="A34" s="3">
        <v>20</v>
      </c>
      <c r="B34" s="3">
        <v>13</v>
      </c>
      <c r="C34" s="3">
        <v>14</v>
      </c>
      <c r="D34" s="3">
        <v>6</v>
      </c>
      <c r="E34" s="3">
        <v>607.058</v>
      </c>
      <c r="F34" s="4" t="str">
        <f>HYPERLINK("http://141.218.60.56/~jnz1568/getInfo.php?workbook=20_13.xlsx&amp;sheet=A0&amp;row=34&amp;col=6&amp;number=99540000&amp;sourceID=14","99540000")</f>
        <v>99540000</v>
      </c>
      <c r="G34" s="4" t="str">
        <f>HYPERLINK("http://141.218.60.56/~jnz1568/getInfo.php?workbook=20_13.xlsx&amp;sheet=A0&amp;row=34&amp;col=7&amp;number=0&amp;sourceID=14","0")</f>
        <v>0</v>
      </c>
    </row>
    <row r="35" spans="1:7">
      <c r="A35" s="3">
        <v>20</v>
      </c>
      <c r="B35" s="3">
        <v>13</v>
      </c>
      <c r="C35" s="3">
        <v>14</v>
      </c>
      <c r="D35" s="3">
        <v>7</v>
      </c>
      <c r="E35" s="3">
        <v>608.003</v>
      </c>
      <c r="F35" s="4" t="str">
        <f>HYPERLINK("http://141.218.60.56/~jnz1568/getInfo.php?workbook=20_13.xlsx&amp;sheet=A0&amp;row=35&amp;col=6&amp;number=1257000000&amp;sourceID=14","1257000000")</f>
        <v>1257000000</v>
      </c>
      <c r="G35" s="4" t="str">
        <f>HYPERLINK("http://141.218.60.56/~jnz1568/getInfo.php?workbook=20_13.xlsx&amp;sheet=A0&amp;row=35&amp;col=7&amp;number=0&amp;sourceID=14","0")</f>
        <v>0</v>
      </c>
    </row>
    <row r="36" spans="1:7">
      <c r="A36" s="3">
        <v>20</v>
      </c>
      <c r="B36" s="3">
        <v>13</v>
      </c>
      <c r="C36" s="3">
        <v>14</v>
      </c>
      <c r="D36" s="3">
        <v>10</v>
      </c>
      <c r="E36" s="3">
        <v>973.587</v>
      </c>
      <c r="F36" s="4" t="str">
        <f>HYPERLINK("http://141.218.60.56/~jnz1568/getInfo.php?workbook=20_13.xlsx&amp;sheet=A0&amp;row=36&amp;col=6&amp;number=233200000&amp;sourceID=14","233200000")</f>
        <v>233200000</v>
      </c>
      <c r="G36" s="4" t="str">
        <f>HYPERLINK("http://141.218.60.56/~jnz1568/getInfo.php?workbook=20_13.xlsx&amp;sheet=A0&amp;row=36&amp;col=7&amp;number=0&amp;sourceID=14","0")</f>
        <v>0</v>
      </c>
    </row>
    <row r="37" spans="1:7">
      <c r="A37" s="3">
        <v>20</v>
      </c>
      <c r="B37" s="3">
        <v>13</v>
      </c>
      <c r="C37" s="3">
        <v>14</v>
      </c>
      <c r="D37" s="3">
        <v>11</v>
      </c>
      <c r="E37" s="3">
        <v>1853.499</v>
      </c>
      <c r="F37" s="4" t="str">
        <f>HYPERLINK("http://141.218.60.56/~jnz1568/getInfo.php?workbook=20_13.xlsx&amp;sheet=A0&amp;row=37&amp;col=6&amp;number=190900&amp;sourceID=14","190900")</f>
        <v>190900</v>
      </c>
      <c r="G37" s="4" t="str">
        <f>HYPERLINK("http://141.218.60.56/~jnz1568/getInfo.php?workbook=20_13.xlsx&amp;sheet=A0&amp;row=37&amp;col=7&amp;number=0&amp;sourceID=14","0")</f>
        <v>0</v>
      </c>
    </row>
    <row r="38" spans="1:7">
      <c r="A38" s="3">
        <v>20</v>
      </c>
      <c r="B38" s="3">
        <v>13</v>
      </c>
      <c r="C38" s="3">
        <v>14</v>
      </c>
      <c r="D38" s="3">
        <v>12</v>
      </c>
      <c r="E38" s="3">
        <v>1861.123</v>
      </c>
      <c r="F38" s="4" t="str">
        <f>HYPERLINK("http://141.218.60.56/~jnz1568/getInfo.php?workbook=20_13.xlsx&amp;sheet=A0&amp;row=38&amp;col=6&amp;number=2925000&amp;sourceID=14","2925000")</f>
        <v>2925000</v>
      </c>
      <c r="G38" s="4" t="str">
        <f>HYPERLINK("http://141.218.60.56/~jnz1568/getInfo.php?workbook=20_13.xlsx&amp;sheet=A0&amp;row=38&amp;col=7&amp;number=0&amp;sourceID=14","0")</f>
        <v>0</v>
      </c>
    </row>
    <row r="39" spans="1:7">
      <c r="A39" s="3">
        <v>20</v>
      </c>
      <c r="B39" s="3">
        <v>13</v>
      </c>
      <c r="C39" s="3">
        <v>15</v>
      </c>
      <c r="D39" s="3">
        <v>3</v>
      </c>
      <c r="E39" s="3">
        <v>462.595</v>
      </c>
      <c r="F39" s="4" t="str">
        <f>HYPERLINK("http://141.218.60.56/~jnz1568/getInfo.php?workbook=20_13.xlsx&amp;sheet=A0&amp;row=39&amp;col=6&amp;number=3167000000&amp;sourceID=14","3167000000")</f>
        <v>3167000000</v>
      </c>
      <c r="G39" s="4" t="str">
        <f>HYPERLINK("http://141.218.60.56/~jnz1568/getInfo.php?workbook=20_13.xlsx&amp;sheet=A0&amp;row=39&amp;col=7&amp;number=0&amp;sourceID=14","0")</f>
        <v>0</v>
      </c>
    </row>
    <row r="40" spans="1:7">
      <c r="A40" s="3">
        <v>20</v>
      </c>
      <c r="B40" s="3">
        <v>13</v>
      </c>
      <c r="C40" s="3">
        <v>15</v>
      </c>
      <c r="D40" s="3">
        <v>4</v>
      </c>
      <c r="E40" s="3">
        <v>466.001</v>
      </c>
      <c r="F40" s="4" t="str">
        <f>HYPERLINK("http://141.218.60.56/~jnz1568/getInfo.php?workbook=20_13.xlsx&amp;sheet=A0&amp;row=40&amp;col=6&amp;number=6185000000&amp;sourceID=14","6185000000")</f>
        <v>6185000000</v>
      </c>
      <c r="G40" s="4" t="str">
        <f>HYPERLINK("http://141.218.60.56/~jnz1568/getInfo.php?workbook=20_13.xlsx&amp;sheet=A0&amp;row=40&amp;col=7&amp;number=0&amp;sourceID=14","0")</f>
        <v>0</v>
      </c>
    </row>
    <row r="41" spans="1:7">
      <c r="A41" s="3">
        <v>20</v>
      </c>
      <c r="B41" s="3">
        <v>13</v>
      </c>
      <c r="C41" s="3">
        <v>15</v>
      </c>
      <c r="D41" s="3">
        <v>5</v>
      </c>
      <c r="E41" s="3">
        <v>471.185</v>
      </c>
      <c r="F41" s="4" t="str">
        <f>HYPERLINK("http://141.218.60.56/~jnz1568/getInfo.php?workbook=20_13.xlsx&amp;sheet=A0&amp;row=41&amp;col=6&amp;number=8979000000&amp;sourceID=14","8979000000")</f>
        <v>8979000000</v>
      </c>
      <c r="G41" s="4" t="str">
        <f>HYPERLINK("http://141.218.60.56/~jnz1568/getInfo.php?workbook=20_13.xlsx&amp;sheet=A0&amp;row=41&amp;col=7&amp;number=0&amp;sourceID=14","0")</f>
        <v>0</v>
      </c>
    </row>
    <row r="42" spans="1:7">
      <c r="A42" s="3">
        <v>20</v>
      </c>
      <c r="B42" s="3">
        <v>13</v>
      </c>
      <c r="C42" s="3">
        <v>15</v>
      </c>
      <c r="D42" s="3">
        <v>6</v>
      </c>
      <c r="E42" s="3">
        <v>573.332</v>
      </c>
      <c r="F42" s="4" t="str">
        <f>HYPERLINK("http://141.218.60.56/~jnz1568/getInfo.php?workbook=20_13.xlsx&amp;sheet=A0&amp;row=42&amp;col=6&amp;number=1188000&amp;sourceID=14","1188000")</f>
        <v>1188000</v>
      </c>
      <c r="G42" s="4" t="str">
        <f>HYPERLINK("http://141.218.60.56/~jnz1568/getInfo.php?workbook=20_13.xlsx&amp;sheet=A0&amp;row=42&amp;col=7&amp;number=0&amp;sourceID=14","0")</f>
        <v>0</v>
      </c>
    </row>
    <row r="43" spans="1:7">
      <c r="A43" s="3">
        <v>20</v>
      </c>
      <c r="B43" s="3">
        <v>13</v>
      </c>
      <c r="C43" s="3">
        <v>15</v>
      </c>
      <c r="D43" s="3">
        <v>7</v>
      </c>
      <c r="E43" s="3">
        <v>574.175</v>
      </c>
      <c r="F43" s="4" t="str">
        <f>HYPERLINK("http://141.218.60.56/~jnz1568/getInfo.php?workbook=20_13.xlsx&amp;sheet=A0&amp;row=43&amp;col=6&amp;number=569100&amp;sourceID=14","569100")</f>
        <v>569100</v>
      </c>
      <c r="G43" s="4" t="str">
        <f>HYPERLINK("http://141.218.60.56/~jnz1568/getInfo.php?workbook=20_13.xlsx&amp;sheet=A0&amp;row=43&amp;col=7&amp;number=0&amp;sourceID=14","0")</f>
        <v>0</v>
      </c>
    </row>
    <row r="44" spans="1:7">
      <c r="A44" s="3">
        <v>20</v>
      </c>
      <c r="B44" s="3">
        <v>13</v>
      </c>
      <c r="C44" s="3">
        <v>15</v>
      </c>
      <c r="D44" s="3">
        <v>8</v>
      </c>
      <c r="E44" s="3">
        <v>772.75</v>
      </c>
      <c r="F44" s="4" t="str">
        <f>HYPERLINK("http://141.218.60.56/~jnz1568/getInfo.php?workbook=20_13.xlsx&amp;sheet=A0&amp;row=44&amp;col=6&amp;number=595800&amp;sourceID=14","595800")</f>
        <v>595800</v>
      </c>
      <c r="G44" s="4" t="str">
        <f>HYPERLINK("http://141.218.60.56/~jnz1568/getInfo.php?workbook=20_13.xlsx&amp;sheet=A0&amp;row=44&amp;col=7&amp;number=0&amp;sourceID=14","0")</f>
        <v>0</v>
      </c>
    </row>
    <row r="45" spans="1:7">
      <c r="A45" s="3">
        <v>20</v>
      </c>
      <c r="B45" s="3">
        <v>13</v>
      </c>
      <c r="C45" s="3">
        <v>15</v>
      </c>
      <c r="D45" s="3">
        <v>9</v>
      </c>
      <c r="E45" s="3">
        <v>869.724</v>
      </c>
      <c r="F45" s="4" t="str">
        <f>HYPERLINK("http://141.218.60.56/~jnz1568/getInfo.php?workbook=20_13.xlsx&amp;sheet=A0&amp;row=45&amp;col=6&amp;number=102600&amp;sourceID=14","102600")</f>
        <v>102600</v>
      </c>
      <c r="G45" s="4" t="str">
        <f>HYPERLINK("http://141.218.60.56/~jnz1568/getInfo.php?workbook=20_13.xlsx&amp;sheet=A0&amp;row=45&amp;col=7&amp;number=0&amp;sourceID=14","0")</f>
        <v>0</v>
      </c>
    </row>
    <row r="46" spans="1:7">
      <c r="A46" s="3">
        <v>20</v>
      </c>
      <c r="B46" s="3">
        <v>13</v>
      </c>
      <c r="C46" s="3">
        <v>15</v>
      </c>
      <c r="D46" s="3">
        <v>10</v>
      </c>
      <c r="E46" s="3">
        <v>889.656</v>
      </c>
      <c r="F46" s="4" t="str">
        <f>HYPERLINK("http://141.218.60.56/~jnz1568/getInfo.php?workbook=20_13.xlsx&amp;sheet=A0&amp;row=46&amp;col=6&amp;number=3438000&amp;sourceID=14","3438000")</f>
        <v>3438000</v>
      </c>
      <c r="G46" s="4" t="str">
        <f>HYPERLINK("http://141.218.60.56/~jnz1568/getInfo.php?workbook=20_13.xlsx&amp;sheet=A0&amp;row=46&amp;col=7&amp;number=0&amp;sourceID=14","0")</f>
        <v>0</v>
      </c>
    </row>
    <row r="47" spans="1:7">
      <c r="A47" s="3">
        <v>20</v>
      </c>
      <c r="B47" s="3">
        <v>13</v>
      </c>
      <c r="C47" s="3">
        <v>15</v>
      </c>
      <c r="D47" s="3">
        <v>11</v>
      </c>
      <c r="E47" s="3">
        <v>1571.289</v>
      </c>
      <c r="F47" s="4" t="str">
        <f>HYPERLINK("http://141.218.60.56/~jnz1568/getInfo.php?workbook=20_13.xlsx&amp;sheet=A0&amp;row=47&amp;col=6&amp;number=3961&amp;sourceID=14","3961")</f>
        <v>3961</v>
      </c>
      <c r="G47" s="4" t="str">
        <f>HYPERLINK("http://141.218.60.56/~jnz1568/getInfo.php?workbook=20_13.xlsx&amp;sheet=A0&amp;row=47&amp;col=7&amp;number=0&amp;sourceID=14","0")</f>
        <v>0</v>
      </c>
    </row>
    <row r="48" spans="1:7">
      <c r="A48" s="3">
        <v>20</v>
      </c>
      <c r="B48" s="3">
        <v>13</v>
      </c>
      <c r="C48" s="3">
        <v>15</v>
      </c>
      <c r="D48" s="3">
        <v>12</v>
      </c>
      <c r="E48" s="3">
        <v>1576.765</v>
      </c>
      <c r="F48" s="4" t="str">
        <f>HYPERLINK("http://141.218.60.56/~jnz1568/getInfo.php?workbook=20_13.xlsx&amp;sheet=A0&amp;row=48&amp;col=6&amp;number=6.942&amp;sourceID=14","6.942")</f>
        <v>6.942</v>
      </c>
      <c r="G48" s="4" t="str">
        <f>HYPERLINK("http://141.218.60.56/~jnz1568/getInfo.php?workbook=20_13.xlsx&amp;sheet=A0&amp;row=48&amp;col=7&amp;number=0&amp;sourceID=14","0")</f>
        <v>0</v>
      </c>
    </row>
    <row r="49" spans="1:7">
      <c r="A49" s="3">
        <v>20</v>
      </c>
      <c r="B49" s="3">
        <v>13</v>
      </c>
      <c r="C49" s="3">
        <v>16</v>
      </c>
      <c r="D49" s="3">
        <v>3</v>
      </c>
      <c r="E49" s="3">
        <v>404.388</v>
      </c>
      <c r="F49" s="4" t="str">
        <f>HYPERLINK("http://141.218.60.56/~jnz1568/getInfo.php?workbook=20_13.xlsx&amp;sheet=A0&amp;row=49&amp;col=6&amp;number=1468000&amp;sourceID=14","1468000")</f>
        <v>1468000</v>
      </c>
      <c r="G49" s="4" t="str">
        <f>HYPERLINK("http://141.218.60.56/~jnz1568/getInfo.php?workbook=20_13.xlsx&amp;sheet=A0&amp;row=49&amp;col=7&amp;number=0&amp;sourceID=14","0")</f>
        <v>0</v>
      </c>
    </row>
    <row r="50" spans="1:7">
      <c r="A50" s="3">
        <v>20</v>
      </c>
      <c r="B50" s="3">
        <v>13</v>
      </c>
      <c r="C50" s="3">
        <v>16</v>
      </c>
      <c r="D50" s="3">
        <v>4</v>
      </c>
      <c r="E50" s="3">
        <v>406.989</v>
      </c>
      <c r="F50" s="4" t="str">
        <f>HYPERLINK("http://141.218.60.56/~jnz1568/getInfo.php?workbook=20_13.xlsx&amp;sheet=A0&amp;row=50&amp;col=6&amp;number=2014000&amp;sourceID=14","2014000")</f>
        <v>2014000</v>
      </c>
      <c r="G50" s="4" t="str">
        <f>HYPERLINK("http://141.218.60.56/~jnz1568/getInfo.php?workbook=20_13.xlsx&amp;sheet=A0&amp;row=50&amp;col=7&amp;number=0&amp;sourceID=14","0")</f>
        <v>0</v>
      </c>
    </row>
    <row r="51" spans="1:7">
      <c r="A51" s="3">
        <v>20</v>
      </c>
      <c r="B51" s="3">
        <v>13</v>
      </c>
      <c r="C51" s="3">
        <v>16</v>
      </c>
      <c r="D51" s="3">
        <v>6</v>
      </c>
      <c r="E51" s="3">
        <v>486.538</v>
      </c>
      <c r="F51" s="4" t="str">
        <f>HYPERLINK("http://141.218.60.56/~jnz1568/getInfo.php?workbook=20_13.xlsx&amp;sheet=A0&amp;row=51&amp;col=6&amp;number=5901000000&amp;sourceID=14","5901000000")</f>
        <v>5901000000</v>
      </c>
      <c r="G51" s="4" t="str">
        <f>HYPERLINK("http://141.218.60.56/~jnz1568/getInfo.php?workbook=20_13.xlsx&amp;sheet=A0&amp;row=51&amp;col=7&amp;number=0&amp;sourceID=14","0")</f>
        <v>0</v>
      </c>
    </row>
    <row r="52" spans="1:7">
      <c r="A52" s="3">
        <v>20</v>
      </c>
      <c r="B52" s="3">
        <v>13</v>
      </c>
      <c r="C52" s="3">
        <v>16</v>
      </c>
      <c r="D52" s="3">
        <v>8</v>
      </c>
      <c r="E52" s="3">
        <v>622.964</v>
      </c>
      <c r="F52" s="4" t="str">
        <f>HYPERLINK("http://141.218.60.56/~jnz1568/getInfo.php?workbook=20_13.xlsx&amp;sheet=A0&amp;row=52&amp;col=6&amp;number=392700000&amp;sourceID=14","392700000")</f>
        <v>392700000</v>
      </c>
      <c r="G52" s="4" t="str">
        <f>HYPERLINK("http://141.218.60.56/~jnz1568/getInfo.php?workbook=20_13.xlsx&amp;sheet=A0&amp;row=52&amp;col=7&amp;number=0&amp;sourceID=14","0")</f>
        <v>0</v>
      </c>
    </row>
    <row r="53" spans="1:7">
      <c r="A53" s="3">
        <v>20</v>
      </c>
      <c r="B53" s="3">
        <v>13</v>
      </c>
      <c r="C53" s="3">
        <v>16</v>
      </c>
      <c r="D53" s="3">
        <v>9</v>
      </c>
      <c r="E53" s="3">
        <v>684.491</v>
      </c>
      <c r="F53" s="4" t="str">
        <f>HYPERLINK("http://141.218.60.56/~jnz1568/getInfo.php?workbook=20_13.xlsx&amp;sheet=A0&amp;row=53&amp;col=6&amp;number=1002000000&amp;sourceID=14","1002000000")</f>
        <v>1002000000</v>
      </c>
      <c r="G53" s="4" t="str">
        <f>HYPERLINK("http://141.218.60.56/~jnz1568/getInfo.php?workbook=20_13.xlsx&amp;sheet=A0&amp;row=53&amp;col=7&amp;number=0&amp;sourceID=14","0")</f>
        <v>0</v>
      </c>
    </row>
    <row r="54" spans="1:7">
      <c r="A54" s="3">
        <v>20</v>
      </c>
      <c r="B54" s="3">
        <v>13</v>
      </c>
      <c r="C54" s="3">
        <v>16</v>
      </c>
      <c r="D54" s="3">
        <v>10</v>
      </c>
      <c r="E54" s="3">
        <v>696.777</v>
      </c>
      <c r="F54" s="4" t="str">
        <f>HYPERLINK("http://141.218.60.56/~jnz1568/getInfo.php?workbook=20_13.xlsx&amp;sheet=A0&amp;row=54&amp;col=6&amp;number=342500000&amp;sourceID=14","342500000")</f>
        <v>342500000</v>
      </c>
      <c r="G54" s="4" t="str">
        <f>HYPERLINK("http://141.218.60.56/~jnz1568/getInfo.php?workbook=20_13.xlsx&amp;sheet=A0&amp;row=54&amp;col=7&amp;number=0&amp;sourceID=14","0")</f>
        <v>0</v>
      </c>
    </row>
    <row r="55" spans="1:7">
      <c r="A55" s="3">
        <v>20</v>
      </c>
      <c r="B55" s="3">
        <v>13</v>
      </c>
      <c r="C55" s="3">
        <v>16</v>
      </c>
      <c r="D55" s="3">
        <v>11</v>
      </c>
      <c r="E55" s="3">
        <v>1055.331</v>
      </c>
      <c r="F55" s="4" t="str">
        <f>HYPERLINK("http://141.218.60.56/~jnz1568/getInfo.php?workbook=20_13.xlsx&amp;sheet=A0&amp;row=55&amp;col=6&amp;number=235200&amp;sourceID=14","235200")</f>
        <v>235200</v>
      </c>
      <c r="G55" s="4" t="str">
        <f>HYPERLINK("http://141.218.60.56/~jnz1568/getInfo.php?workbook=20_13.xlsx&amp;sheet=A0&amp;row=55&amp;col=7&amp;number=0&amp;sourceID=14","0")</f>
        <v>0</v>
      </c>
    </row>
    <row r="56" spans="1:7">
      <c r="A56" s="3">
        <v>20</v>
      </c>
      <c r="B56" s="3">
        <v>13</v>
      </c>
      <c r="C56" s="3">
        <v>17</v>
      </c>
      <c r="D56" s="3">
        <v>3</v>
      </c>
      <c r="E56" s="3">
        <v>404.179</v>
      </c>
      <c r="F56" s="4" t="str">
        <f>HYPERLINK("http://141.218.60.56/~jnz1568/getInfo.php?workbook=20_13.xlsx&amp;sheet=A0&amp;row=56&amp;col=6&amp;number=11360000&amp;sourceID=14","11360000")</f>
        <v>11360000</v>
      </c>
      <c r="G56" s="4" t="str">
        <f>HYPERLINK("http://141.218.60.56/~jnz1568/getInfo.php?workbook=20_13.xlsx&amp;sheet=A0&amp;row=56&amp;col=7&amp;number=0&amp;sourceID=14","0")</f>
        <v>0</v>
      </c>
    </row>
    <row r="57" spans="1:7">
      <c r="A57" s="3">
        <v>20</v>
      </c>
      <c r="B57" s="3">
        <v>13</v>
      </c>
      <c r="C57" s="3">
        <v>17</v>
      </c>
      <c r="D57" s="3">
        <v>4</v>
      </c>
      <c r="E57" s="3">
        <v>406.777</v>
      </c>
      <c r="F57" s="4" t="str">
        <f>HYPERLINK("http://141.218.60.56/~jnz1568/getInfo.php?workbook=20_13.xlsx&amp;sheet=A0&amp;row=57&amp;col=6&amp;number=43490000&amp;sourceID=14","43490000")</f>
        <v>43490000</v>
      </c>
      <c r="G57" s="4" t="str">
        <f>HYPERLINK("http://141.218.60.56/~jnz1568/getInfo.php?workbook=20_13.xlsx&amp;sheet=A0&amp;row=57&amp;col=7&amp;number=0&amp;sourceID=14","0")</f>
        <v>0</v>
      </c>
    </row>
    <row r="58" spans="1:7">
      <c r="A58" s="3">
        <v>20</v>
      </c>
      <c r="B58" s="3">
        <v>13</v>
      </c>
      <c r="C58" s="3">
        <v>17</v>
      </c>
      <c r="D58" s="3">
        <v>5</v>
      </c>
      <c r="E58" s="3">
        <v>410.721</v>
      </c>
      <c r="F58" s="4" t="str">
        <f>HYPERLINK("http://141.218.60.56/~jnz1568/getInfo.php?workbook=20_13.xlsx&amp;sheet=A0&amp;row=58&amp;col=6&amp;number=19680000&amp;sourceID=14","19680000")</f>
        <v>19680000</v>
      </c>
      <c r="G58" s="4" t="str">
        <f>HYPERLINK("http://141.218.60.56/~jnz1568/getInfo.php?workbook=20_13.xlsx&amp;sheet=A0&amp;row=58&amp;col=7&amp;number=0&amp;sourceID=14","0")</f>
        <v>0</v>
      </c>
    </row>
    <row r="59" spans="1:7">
      <c r="A59" s="3">
        <v>20</v>
      </c>
      <c r="B59" s="3">
        <v>13</v>
      </c>
      <c r="C59" s="3">
        <v>17</v>
      </c>
      <c r="D59" s="3">
        <v>6</v>
      </c>
      <c r="E59" s="3">
        <v>486.235</v>
      </c>
      <c r="F59" s="4" t="str">
        <f>HYPERLINK("http://141.218.60.56/~jnz1568/getInfo.php?workbook=20_13.xlsx&amp;sheet=A0&amp;row=59&amp;col=6&amp;number=538300000&amp;sourceID=14","538300000")</f>
        <v>538300000</v>
      </c>
      <c r="G59" s="4" t="str">
        <f>HYPERLINK("http://141.218.60.56/~jnz1568/getInfo.php?workbook=20_13.xlsx&amp;sheet=A0&amp;row=59&amp;col=7&amp;number=0&amp;sourceID=14","0")</f>
        <v>0</v>
      </c>
    </row>
    <row r="60" spans="1:7">
      <c r="A60" s="3">
        <v>20</v>
      </c>
      <c r="B60" s="3">
        <v>13</v>
      </c>
      <c r="C60" s="3">
        <v>17</v>
      </c>
      <c r="D60" s="3">
        <v>7</v>
      </c>
      <c r="E60" s="3">
        <v>486.841</v>
      </c>
      <c r="F60" s="4" t="str">
        <f>HYPERLINK("http://141.218.60.56/~jnz1568/getInfo.php?workbook=20_13.xlsx&amp;sheet=A0&amp;row=60&amp;col=6&amp;number=4990000000&amp;sourceID=14","4990000000")</f>
        <v>4990000000</v>
      </c>
      <c r="G60" s="4" t="str">
        <f>HYPERLINK("http://141.218.60.56/~jnz1568/getInfo.php?workbook=20_13.xlsx&amp;sheet=A0&amp;row=60&amp;col=7&amp;number=0&amp;sourceID=14","0")</f>
        <v>0</v>
      </c>
    </row>
    <row r="61" spans="1:7">
      <c r="A61" s="3">
        <v>20</v>
      </c>
      <c r="B61" s="3">
        <v>13</v>
      </c>
      <c r="C61" s="3">
        <v>17</v>
      </c>
      <c r="D61" s="3">
        <v>8</v>
      </c>
      <c r="E61" s="3">
        <v>622.467</v>
      </c>
      <c r="F61" s="4" t="str">
        <f>HYPERLINK("http://141.218.60.56/~jnz1568/getInfo.php?workbook=20_13.xlsx&amp;sheet=A0&amp;row=61&amp;col=6&amp;number=697300000&amp;sourceID=14","697300000")</f>
        <v>697300000</v>
      </c>
      <c r="G61" s="4" t="str">
        <f>HYPERLINK("http://141.218.60.56/~jnz1568/getInfo.php?workbook=20_13.xlsx&amp;sheet=A0&amp;row=61&amp;col=7&amp;number=0&amp;sourceID=14","0")</f>
        <v>0</v>
      </c>
    </row>
    <row r="62" spans="1:7">
      <c r="A62" s="3">
        <v>20</v>
      </c>
      <c r="B62" s="3">
        <v>13</v>
      </c>
      <c r="C62" s="3">
        <v>17</v>
      </c>
      <c r="D62" s="3">
        <v>9</v>
      </c>
      <c r="E62" s="3">
        <v>683.892</v>
      </c>
      <c r="F62" s="4" t="str">
        <f>HYPERLINK("http://141.218.60.56/~jnz1568/getInfo.php?workbook=20_13.xlsx&amp;sheet=A0&amp;row=62&amp;col=6&amp;number=87800000&amp;sourceID=14","87800000")</f>
        <v>87800000</v>
      </c>
      <c r="G62" s="4" t="str">
        <f>HYPERLINK("http://141.218.60.56/~jnz1568/getInfo.php?workbook=20_13.xlsx&amp;sheet=A0&amp;row=62&amp;col=7&amp;number=0&amp;sourceID=14","0")</f>
        <v>0</v>
      </c>
    </row>
    <row r="63" spans="1:7">
      <c r="A63" s="3">
        <v>20</v>
      </c>
      <c r="B63" s="3">
        <v>13</v>
      </c>
      <c r="C63" s="3">
        <v>17</v>
      </c>
      <c r="D63" s="3">
        <v>10</v>
      </c>
      <c r="E63" s="3">
        <v>696.156</v>
      </c>
      <c r="F63" s="4" t="str">
        <f>HYPERLINK("http://141.218.60.56/~jnz1568/getInfo.php?workbook=20_13.xlsx&amp;sheet=A0&amp;row=63&amp;col=6&amp;number=970900000&amp;sourceID=14","970900000")</f>
        <v>970900000</v>
      </c>
      <c r="G63" s="4" t="str">
        <f>HYPERLINK("http://141.218.60.56/~jnz1568/getInfo.php?workbook=20_13.xlsx&amp;sheet=A0&amp;row=63&amp;col=7&amp;number=0&amp;sourceID=14","0")</f>
        <v>0</v>
      </c>
    </row>
    <row r="64" spans="1:7">
      <c r="A64" s="3">
        <v>20</v>
      </c>
      <c r="B64" s="3">
        <v>13</v>
      </c>
      <c r="C64" s="3">
        <v>17</v>
      </c>
      <c r="D64" s="3">
        <v>11</v>
      </c>
      <c r="E64" s="3">
        <v>1053.907</v>
      </c>
      <c r="F64" s="4" t="str">
        <f>HYPERLINK("http://141.218.60.56/~jnz1568/getInfo.php?workbook=20_13.xlsx&amp;sheet=A0&amp;row=64&amp;col=6&amp;number=562200&amp;sourceID=14","562200")</f>
        <v>562200</v>
      </c>
      <c r="G64" s="4" t="str">
        <f>HYPERLINK("http://141.218.60.56/~jnz1568/getInfo.php?workbook=20_13.xlsx&amp;sheet=A0&amp;row=64&amp;col=7&amp;number=0&amp;sourceID=14","0")</f>
        <v>0</v>
      </c>
    </row>
    <row r="65" spans="1:7">
      <c r="A65" s="3">
        <v>20</v>
      </c>
      <c r="B65" s="3">
        <v>13</v>
      </c>
      <c r="C65" s="3">
        <v>17</v>
      </c>
      <c r="D65" s="3">
        <v>12</v>
      </c>
      <c r="E65" s="3">
        <v>1056.368</v>
      </c>
      <c r="F65" s="4" t="str">
        <f>HYPERLINK("http://141.218.60.56/~jnz1568/getInfo.php?workbook=20_13.xlsx&amp;sheet=A0&amp;row=65&amp;col=6&amp;number=128300&amp;sourceID=14","128300")</f>
        <v>128300</v>
      </c>
      <c r="G65" s="4" t="str">
        <f>HYPERLINK("http://141.218.60.56/~jnz1568/getInfo.php?workbook=20_13.xlsx&amp;sheet=A0&amp;row=65&amp;col=7&amp;number=0&amp;sourceID=14","0")</f>
        <v>0</v>
      </c>
    </row>
    <row r="66" spans="1:7">
      <c r="A66" s="3">
        <v>20</v>
      </c>
      <c r="B66" s="3">
        <v>13</v>
      </c>
      <c r="C66" s="3">
        <v>18</v>
      </c>
      <c r="D66" s="3">
        <v>3</v>
      </c>
      <c r="E66" s="3">
        <v>403.82</v>
      </c>
      <c r="F66" s="4" t="str">
        <f>HYPERLINK("http://141.218.60.56/~jnz1568/getInfo.php?workbook=20_13.xlsx&amp;sheet=A0&amp;row=66&amp;col=6&amp;number=5412000&amp;sourceID=14","5412000")</f>
        <v>5412000</v>
      </c>
      <c r="G66" s="4" t="str">
        <f>HYPERLINK("http://141.218.60.56/~jnz1568/getInfo.php?workbook=20_13.xlsx&amp;sheet=A0&amp;row=66&amp;col=7&amp;number=0&amp;sourceID=14","0")</f>
        <v>0</v>
      </c>
    </row>
    <row r="67" spans="1:7">
      <c r="A67" s="3">
        <v>20</v>
      </c>
      <c r="B67" s="3">
        <v>13</v>
      </c>
      <c r="C67" s="3">
        <v>18</v>
      </c>
      <c r="D67" s="3">
        <v>4</v>
      </c>
      <c r="E67" s="3">
        <v>406.413</v>
      </c>
      <c r="F67" s="4" t="str">
        <f>HYPERLINK("http://141.218.60.56/~jnz1568/getInfo.php?workbook=20_13.xlsx&amp;sheet=A0&amp;row=67&amp;col=6&amp;number=968200&amp;sourceID=14","968200")</f>
        <v>968200</v>
      </c>
      <c r="G67" s="4" t="str">
        <f>HYPERLINK("http://141.218.60.56/~jnz1568/getInfo.php?workbook=20_13.xlsx&amp;sheet=A0&amp;row=67&amp;col=7&amp;number=0&amp;sourceID=14","0")</f>
        <v>0</v>
      </c>
    </row>
    <row r="68" spans="1:7">
      <c r="A68" s="3">
        <v>20</v>
      </c>
      <c r="B68" s="3">
        <v>13</v>
      </c>
      <c r="C68" s="3">
        <v>18</v>
      </c>
      <c r="D68" s="3">
        <v>5</v>
      </c>
      <c r="E68" s="3">
        <v>410.351</v>
      </c>
      <c r="F68" s="4" t="str">
        <f>HYPERLINK("http://141.218.60.56/~jnz1568/getInfo.php?workbook=20_13.xlsx&amp;sheet=A0&amp;row=68&amp;col=6&amp;number=1863000&amp;sourceID=14","1863000")</f>
        <v>1863000</v>
      </c>
      <c r="G68" s="4" t="str">
        <f>HYPERLINK("http://141.218.60.56/~jnz1568/getInfo.php?workbook=20_13.xlsx&amp;sheet=A0&amp;row=68&amp;col=7&amp;number=0&amp;sourceID=14","0")</f>
        <v>0</v>
      </c>
    </row>
    <row r="69" spans="1:7">
      <c r="A69" s="3">
        <v>20</v>
      </c>
      <c r="B69" s="3">
        <v>13</v>
      </c>
      <c r="C69" s="3">
        <v>18</v>
      </c>
      <c r="D69" s="3">
        <v>6</v>
      </c>
      <c r="E69" s="3">
        <v>485.715</v>
      </c>
      <c r="F69" s="4" t="str">
        <f>HYPERLINK("http://141.218.60.56/~jnz1568/getInfo.php?workbook=20_13.xlsx&amp;sheet=A0&amp;row=69&amp;col=6&amp;number=51170000&amp;sourceID=14","51170000")</f>
        <v>51170000</v>
      </c>
      <c r="G69" s="4" t="str">
        <f>HYPERLINK("http://141.218.60.56/~jnz1568/getInfo.php?workbook=20_13.xlsx&amp;sheet=A0&amp;row=69&amp;col=7&amp;number=0&amp;sourceID=14","0")</f>
        <v>0</v>
      </c>
    </row>
    <row r="70" spans="1:7">
      <c r="A70" s="3">
        <v>20</v>
      </c>
      <c r="B70" s="3">
        <v>13</v>
      </c>
      <c r="C70" s="3">
        <v>18</v>
      </c>
      <c r="D70" s="3">
        <v>7</v>
      </c>
      <c r="E70" s="3">
        <v>486.32</v>
      </c>
      <c r="F70" s="4" t="str">
        <f>HYPERLINK("http://141.218.60.56/~jnz1568/getInfo.php?workbook=20_13.xlsx&amp;sheet=A0&amp;row=70&amp;col=6&amp;number=110500000&amp;sourceID=14","110500000")</f>
        <v>110500000</v>
      </c>
      <c r="G70" s="4" t="str">
        <f>HYPERLINK("http://141.218.60.56/~jnz1568/getInfo.php?workbook=20_13.xlsx&amp;sheet=A0&amp;row=70&amp;col=7&amp;number=0&amp;sourceID=14","0")</f>
        <v>0</v>
      </c>
    </row>
    <row r="71" spans="1:7">
      <c r="A71" s="3">
        <v>20</v>
      </c>
      <c r="B71" s="3">
        <v>13</v>
      </c>
      <c r="C71" s="3">
        <v>18</v>
      </c>
      <c r="D71" s="3">
        <v>8</v>
      </c>
      <c r="E71" s="3">
        <v>621.616</v>
      </c>
      <c r="F71" s="4" t="str">
        <f>HYPERLINK("http://141.218.60.56/~jnz1568/getInfo.php?workbook=20_13.xlsx&amp;sheet=A0&amp;row=71&amp;col=6&amp;number=18680000&amp;sourceID=14","18680000")</f>
        <v>18680000</v>
      </c>
      <c r="G71" s="4" t="str">
        <f>HYPERLINK("http://141.218.60.56/~jnz1568/getInfo.php?workbook=20_13.xlsx&amp;sheet=A0&amp;row=71&amp;col=7&amp;number=0&amp;sourceID=14","0")</f>
        <v>0</v>
      </c>
    </row>
    <row r="72" spans="1:7">
      <c r="A72" s="3">
        <v>20</v>
      </c>
      <c r="B72" s="3">
        <v>13</v>
      </c>
      <c r="C72" s="3">
        <v>18</v>
      </c>
      <c r="D72" s="3">
        <v>9</v>
      </c>
      <c r="E72" s="3">
        <v>682.864</v>
      </c>
      <c r="F72" s="4" t="str">
        <f>HYPERLINK("http://141.218.60.56/~jnz1568/getInfo.php?workbook=20_13.xlsx&amp;sheet=A0&amp;row=72&amp;col=6&amp;number=1768000&amp;sourceID=14","1768000")</f>
        <v>1768000</v>
      </c>
      <c r="G72" s="4" t="str">
        <f>HYPERLINK("http://141.218.60.56/~jnz1568/getInfo.php?workbook=20_13.xlsx&amp;sheet=A0&amp;row=72&amp;col=7&amp;number=0&amp;sourceID=14","0")</f>
        <v>0</v>
      </c>
    </row>
    <row r="73" spans="1:7">
      <c r="A73" s="3">
        <v>20</v>
      </c>
      <c r="B73" s="3">
        <v>13</v>
      </c>
      <c r="C73" s="3">
        <v>18</v>
      </c>
      <c r="D73" s="3">
        <v>10</v>
      </c>
      <c r="E73" s="3">
        <v>695.091</v>
      </c>
      <c r="F73" s="4" t="str">
        <f>HYPERLINK("http://141.218.60.56/~jnz1568/getInfo.php?workbook=20_13.xlsx&amp;sheet=A0&amp;row=73&amp;col=6&amp;number=27640000&amp;sourceID=14","27640000")</f>
        <v>27640000</v>
      </c>
      <c r="G73" s="4" t="str">
        <f>HYPERLINK("http://141.218.60.56/~jnz1568/getInfo.php?workbook=20_13.xlsx&amp;sheet=A0&amp;row=73&amp;col=7&amp;number=0&amp;sourceID=14","0")</f>
        <v>0</v>
      </c>
    </row>
    <row r="74" spans="1:7">
      <c r="A74" s="3">
        <v>20</v>
      </c>
      <c r="B74" s="3">
        <v>13</v>
      </c>
      <c r="C74" s="3">
        <v>18</v>
      </c>
      <c r="D74" s="3">
        <v>11</v>
      </c>
      <c r="E74" s="3">
        <v>1051.469</v>
      </c>
      <c r="F74" s="4" t="str">
        <f>HYPERLINK("http://141.218.60.56/~jnz1568/getInfo.php?workbook=20_13.xlsx&amp;sheet=A0&amp;row=74&amp;col=6&amp;number=44010&amp;sourceID=14","44010")</f>
        <v>44010</v>
      </c>
      <c r="G74" s="4" t="str">
        <f>HYPERLINK("http://141.218.60.56/~jnz1568/getInfo.php?workbook=20_13.xlsx&amp;sheet=A0&amp;row=74&amp;col=7&amp;number=0&amp;sourceID=14","0")</f>
        <v>0</v>
      </c>
    </row>
    <row r="75" spans="1:7">
      <c r="A75" s="3">
        <v>20</v>
      </c>
      <c r="B75" s="3">
        <v>13</v>
      </c>
      <c r="C75" s="3">
        <v>18</v>
      </c>
      <c r="D75" s="3">
        <v>12</v>
      </c>
      <c r="E75" s="3">
        <v>1053.918</v>
      </c>
      <c r="F75" s="4" t="str">
        <f>HYPERLINK("http://141.218.60.56/~jnz1568/getInfo.php?workbook=20_13.xlsx&amp;sheet=A0&amp;row=75&amp;col=6&amp;number=28600&amp;sourceID=14","28600")</f>
        <v>28600</v>
      </c>
      <c r="G75" s="4" t="str">
        <f>HYPERLINK("http://141.218.60.56/~jnz1568/getInfo.php?workbook=20_13.xlsx&amp;sheet=A0&amp;row=75&amp;col=7&amp;number=0&amp;sourceID=14","0")</f>
        <v>0</v>
      </c>
    </row>
    <row r="76" spans="1:7">
      <c r="A76" s="3">
        <v>20</v>
      </c>
      <c r="B76" s="3">
        <v>13</v>
      </c>
      <c r="C76" s="3">
        <v>19</v>
      </c>
      <c r="D76" s="3">
        <v>4</v>
      </c>
      <c r="E76" s="3">
        <v>404.942</v>
      </c>
      <c r="F76" s="4" t="str">
        <f>HYPERLINK("http://141.218.60.56/~jnz1568/getInfo.php?workbook=20_13.xlsx&amp;sheet=A0&amp;row=76&amp;col=6&amp;number=10940000&amp;sourceID=14","10940000")</f>
        <v>10940000</v>
      </c>
      <c r="G76" s="4" t="str">
        <f>HYPERLINK("http://141.218.60.56/~jnz1568/getInfo.php?workbook=20_13.xlsx&amp;sheet=A0&amp;row=76&amp;col=7&amp;number=0&amp;sourceID=14","0")</f>
        <v>0</v>
      </c>
    </row>
    <row r="77" spans="1:7">
      <c r="A77" s="3">
        <v>20</v>
      </c>
      <c r="B77" s="3">
        <v>13</v>
      </c>
      <c r="C77" s="3">
        <v>19</v>
      </c>
      <c r="D77" s="3">
        <v>5</v>
      </c>
      <c r="E77" s="3">
        <v>408.851</v>
      </c>
      <c r="F77" s="4" t="str">
        <f>HYPERLINK("http://141.218.60.56/~jnz1568/getInfo.php?workbook=20_13.xlsx&amp;sheet=A0&amp;row=77&amp;col=6&amp;number=5045000&amp;sourceID=14","5045000")</f>
        <v>5045000</v>
      </c>
      <c r="G77" s="4" t="str">
        <f>HYPERLINK("http://141.218.60.56/~jnz1568/getInfo.php?workbook=20_13.xlsx&amp;sheet=A0&amp;row=77&amp;col=7&amp;number=0&amp;sourceID=14","0")</f>
        <v>0</v>
      </c>
    </row>
    <row r="78" spans="1:7">
      <c r="A78" s="3">
        <v>20</v>
      </c>
      <c r="B78" s="3">
        <v>13</v>
      </c>
      <c r="C78" s="3">
        <v>19</v>
      </c>
      <c r="D78" s="3">
        <v>6</v>
      </c>
      <c r="E78" s="3">
        <v>483.615</v>
      </c>
      <c r="F78" s="4" t="str">
        <f>HYPERLINK("http://141.218.60.56/~jnz1568/getInfo.php?workbook=20_13.xlsx&amp;sheet=A0&amp;row=78&amp;col=6&amp;number=13390&amp;sourceID=14","13390")</f>
        <v>13390</v>
      </c>
      <c r="G78" s="4" t="str">
        <f>HYPERLINK("http://141.218.60.56/~jnz1568/getInfo.php?workbook=20_13.xlsx&amp;sheet=A0&amp;row=78&amp;col=7&amp;number=0&amp;sourceID=14","0")</f>
        <v>0</v>
      </c>
    </row>
    <row r="79" spans="1:7">
      <c r="A79" s="3">
        <v>20</v>
      </c>
      <c r="B79" s="3">
        <v>13</v>
      </c>
      <c r="C79" s="3">
        <v>19</v>
      </c>
      <c r="D79" s="3">
        <v>7</v>
      </c>
      <c r="E79" s="3">
        <v>484.215</v>
      </c>
      <c r="F79" s="4" t="str">
        <f>HYPERLINK("http://141.218.60.56/~jnz1568/getInfo.php?workbook=20_13.xlsx&amp;sheet=A0&amp;row=79&amp;col=6&amp;number=5779000&amp;sourceID=14","5779000")</f>
        <v>5779000</v>
      </c>
      <c r="G79" s="4" t="str">
        <f>HYPERLINK("http://141.218.60.56/~jnz1568/getInfo.php?workbook=20_13.xlsx&amp;sheet=A0&amp;row=79&amp;col=7&amp;number=0&amp;sourceID=14","0")</f>
        <v>0</v>
      </c>
    </row>
    <row r="80" spans="1:7">
      <c r="A80" s="3">
        <v>20</v>
      </c>
      <c r="B80" s="3">
        <v>13</v>
      </c>
      <c r="C80" s="3">
        <v>19</v>
      </c>
      <c r="D80" s="3">
        <v>10</v>
      </c>
      <c r="E80" s="3">
        <v>690.799</v>
      </c>
      <c r="F80" s="4" t="str">
        <f>HYPERLINK("http://141.218.60.56/~jnz1568/getInfo.php?workbook=20_13.xlsx&amp;sheet=A0&amp;row=80&amp;col=6&amp;number=18520&amp;sourceID=14","18520")</f>
        <v>18520</v>
      </c>
      <c r="G80" s="4" t="str">
        <f>HYPERLINK("http://141.218.60.56/~jnz1568/getInfo.php?workbook=20_13.xlsx&amp;sheet=A0&amp;row=80&amp;col=7&amp;number=0&amp;sourceID=14","0")</f>
        <v>0</v>
      </c>
    </row>
    <row r="81" spans="1:7">
      <c r="A81" s="3">
        <v>20</v>
      </c>
      <c r="B81" s="3">
        <v>13</v>
      </c>
      <c r="C81" s="3">
        <v>19</v>
      </c>
      <c r="D81" s="3">
        <v>11</v>
      </c>
      <c r="E81" s="3">
        <v>1041.677</v>
      </c>
      <c r="F81" s="4" t="str">
        <f>HYPERLINK("http://141.218.60.56/~jnz1568/getInfo.php?workbook=20_13.xlsx&amp;sheet=A0&amp;row=81&amp;col=6&amp;number=260500&amp;sourceID=14","260500")</f>
        <v>260500</v>
      </c>
      <c r="G81" s="4" t="str">
        <f>HYPERLINK("http://141.218.60.56/~jnz1568/getInfo.php?workbook=20_13.xlsx&amp;sheet=A0&amp;row=81&amp;col=7&amp;number=0&amp;sourceID=14","0")</f>
        <v>0</v>
      </c>
    </row>
    <row r="82" spans="1:7">
      <c r="A82" s="3">
        <v>20</v>
      </c>
      <c r="B82" s="3">
        <v>13</v>
      </c>
      <c r="C82" s="3">
        <v>19</v>
      </c>
      <c r="D82" s="3">
        <v>12</v>
      </c>
      <c r="E82" s="3">
        <v>1044.081</v>
      </c>
      <c r="F82" s="4" t="str">
        <f>HYPERLINK("http://141.218.60.56/~jnz1568/getInfo.php?workbook=20_13.xlsx&amp;sheet=A0&amp;row=82&amp;col=6&amp;number=12410&amp;sourceID=14","12410")</f>
        <v>12410</v>
      </c>
      <c r="G82" s="4" t="str">
        <f>HYPERLINK("http://141.218.60.56/~jnz1568/getInfo.php?workbook=20_13.xlsx&amp;sheet=A0&amp;row=82&amp;col=7&amp;number=0&amp;sourceID=14","0")</f>
        <v>0</v>
      </c>
    </row>
    <row r="83" spans="1:7">
      <c r="A83" s="3">
        <v>20</v>
      </c>
      <c r="B83" s="3">
        <v>13</v>
      </c>
      <c r="C83" s="3">
        <v>20</v>
      </c>
      <c r="D83" s="3">
        <v>5</v>
      </c>
      <c r="E83" s="3">
        <v>406.732</v>
      </c>
      <c r="F83" s="4" t="str">
        <f>HYPERLINK("http://141.218.60.56/~jnz1568/getInfo.php?workbook=20_13.xlsx&amp;sheet=A0&amp;row=83&amp;col=6&amp;number=17610000&amp;sourceID=14","17610000")</f>
        <v>17610000</v>
      </c>
      <c r="G83" s="4" t="str">
        <f>HYPERLINK("http://141.218.60.56/~jnz1568/getInfo.php?workbook=20_13.xlsx&amp;sheet=A0&amp;row=83&amp;col=7&amp;number=0&amp;sourceID=14","0")</f>
        <v>0</v>
      </c>
    </row>
    <row r="84" spans="1:7">
      <c r="A84" s="3">
        <v>20</v>
      </c>
      <c r="B84" s="3">
        <v>13</v>
      </c>
      <c r="C84" s="3">
        <v>20</v>
      </c>
      <c r="D84" s="3">
        <v>7</v>
      </c>
      <c r="E84" s="3">
        <v>481.246</v>
      </c>
      <c r="F84" s="4" t="str">
        <f>HYPERLINK("http://141.218.60.56/~jnz1568/getInfo.php?workbook=20_13.xlsx&amp;sheet=A0&amp;row=84&amp;col=6&amp;number=314100&amp;sourceID=14","314100")</f>
        <v>314100</v>
      </c>
      <c r="G84" s="4" t="str">
        <f>HYPERLINK("http://141.218.60.56/~jnz1568/getInfo.php?workbook=20_13.xlsx&amp;sheet=A0&amp;row=84&amp;col=7&amp;number=0&amp;sourceID=14","0")</f>
        <v>0</v>
      </c>
    </row>
    <row r="85" spans="1:7">
      <c r="A85" s="3">
        <v>20</v>
      </c>
      <c r="B85" s="3">
        <v>13</v>
      </c>
      <c r="C85" s="3">
        <v>20</v>
      </c>
      <c r="D85" s="3">
        <v>12</v>
      </c>
      <c r="E85" s="3">
        <v>1030.375</v>
      </c>
      <c r="F85" s="4" t="str">
        <f>HYPERLINK("http://141.218.60.56/~jnz1568/getInfo.php?workbook=20_13.xlsx&amp;sheet=A0&amp;row=85&amp;col=6&amp;number=308700&amp;sourceID=14","308700")</f>
        <v>308700</v>
      </c>
      <c r="G85" s="4" t="str">
        <f>HYPERLINK("http://141.218.60.56/~jnz1568/getInfo.php?workbook=20_13.xlsx&amp;sheet=A0&amp;row=85&amp;col=7&amp;number=0&amp;sourceID=14","0")</f>
        <v>0</v>
      </c>
    </row>
    <row r="86" spans="1:7">
      <c r="A86" s="3">
        <v>20</v>
      </c>
      <c r="B86" s="3">
        <v>13</v>
      </c>
      <c r="C86" s="3">
        <v>21</v>
      </c>
      <c r="D86" s="3">
        <v>5</v>
      </c>
      <c r="E86" s="3">
        <v>403.933</v>
      </c>
      <c r="F86" s="4" t="str">
        <f>HYPERLINK("http://141.218.60.56/~jnz1568/getInfo.php?workbook=20_13.xlsx&amp;sheet=A0&amp;row=86&amp;col=6&amp;number=2.132&amp;sourceID=14","2.132")</f>
        <v>2.132</v>
      </c>
      <c r="G86" s="4" t="str">
        <f>HYPERLINK("http://141.218.60.56/~jnz1568/getInfo.php?workbook=20_13.xlsx&amp;sheet=A0&amp;row=86&amp;col=7&amp;number=0&amp;sourceID=14","0")</f>
        <v>0</v>
      </c>
    </row>
    <row r="87" spans="1:7">
      <c r="A87" s="3">
        <v>20</v>
      </c>
      <c r="B87" s="3">
        <v>13</v>
      </c>
      <c r="C87" s="3">
        <v>21</v>
      </c>
      <c r="D87" s="3">
        <v>7</v>
      </c>
      <c r="E87" s="3">
        <v>477.332</v>
      </c>
      <c r="F87" s="4" t="str">
        <f>HYPERLINK("http://141.218.60.56/~jnz1568/getInfo.php?workbook=20_13.xlsx&amp;sheet=A0&amp;row=87&amp;col=6&amp;number=5.327&amp;sourceID=14","5.327")</f>
        <v>5.327</v>
      </c>
      <c r="G87" s="4" t="str">
        <f>HYPERLINK("http://141.218.60.56/~jnz1568/getInfo.php?workbook=20_13.xlsx&amp;sheet=A0&amp;row=87&amp;col=7&amp;number=0&amp;sourceID=14","0")</f>
        <v>0</v>
      </c>
    </row>
    <row r="88" spans="1:7">
      <c r="A88" s="3">
        <v>20</v>
      </c>
      <c r="B88" s="3">
        <v>13</v>
      </c>
      <c r="C88" s="3">
        <v>21</v>
      </c>
      <c r="D88" s="3">
        <v>12</v>
      </c>
      <c r="E88" s="3">
        <v>1012.597</v>
      </c>
      <c r="F88" s="4" t="str">
        <f>HYPERLINK("http://141.218.60.56/~jnz1568/getInfo.php?workbook=20_13.xlsx&amp;sheet=A0&amp;row=88&amp;col=6&amp;number=0.02205&amp;sourceID=14","0.02205")</f>
        <v>0.02205</v>
      </c>
      <c r="G88" s="4" t="str">
        <f>HYPERLINK("http://141.218.60.56/~jnz1568/getInfo.php?workbook=20_13.xlsx&amp;sheet=A0&amp;row=88&amp;col=7&amp;number=0&amp;sourceID=14","0")</f>
        <v>0</v>
      </c>
    </row>
    <row r="89" spans="1:7">
      <c r="A89" s="3">
        <v>20</v>
      </c>
      <c r="B89" s="3">
        <v>13</v>
      </c>
      <c r="C89" s="3">
        <v>22</v>
      </c>
      <c r="D89" s="3">
        <v>4</v>
      </c>
      <c r="E89" s="3">
        <v>360.286</v>
      </c>
      <c r="F89" s="4" t="str">
        <f>HYPERLINK("http://141.218.60.56/~jnz1568/getInfo.php?workbook=20_13.xlsx&amp;sheet=A0&amp;row=89&amp;col=6&amp;number=9982000000&amp;sourceID=14","9982000000")</f>
        <v>9982000000</v>
      </c>
      <c r="G89" s="4" t="str">
        <f>HYPERLINK("http://141.218.60.56/~jnz1568/getInfo.php?workbook=20_13.xlsx&amp;sheet=A0&amp;row=89&amp;col=7&amp;number=0&amp;sourceID=14","0")</f>
        <v>0</v>
      </c>
    </row>
    <row r="90" spans="1:7">
      <c r="A90" s="3">
        <v>20</v>
      </c>
      <c r="B90" s="3">
        <v>13</v>
      </c>
      <c r="C90" s="3">
        <v>22</v>
      </c>
      <c r="D90" s="3">
        <v>5</v>
      </c>
      <c r="E90" s="3">
        <v>363.377</v>
      </c>
      <c r="F90" s="4" t="str">
        <f>HYPERLINK("http://141.218.60.56/~jnz1568/getInfo.php?workbook=20_13.xlsx&amp;sheet=A0&amp;row=90&amp;col=6&amp;number=5024000000&amp;sourceID=14","5024000000")</f>
        <v>5024000000</v>
      </c>
      <c r="G90" s="4" t="str">
        <f>HYPERLINK("http://141.218.60.56/~jnz1568/getInfo.php?workbook=20_13.xlsx&amp;sheet=A0&amp;row=90&amp;col=7&amp;number=0&amp;sourceID=14","0")</f>
        <v>0</v>
      </c>
    </row>
    <row r="91" spans="1:7">
      <c r="A91" s="3">
        <v>20</v>
      </c>
      <c r="B91" s="3">
        <v>13</v>
      </c>
      <c r="C91" s="3">
        <v>22</v>
      </c>
      <c r="D91" s="3">
        <v>6</v>
      </c>
      <c r="E91" s="3">
        <v>421.258</v>
      </c>
      <c r="F91" s="4" t="str">
        <f>HYPERLINK("http://141.218.60.56/~jnz1568/getInfo.php?workbook=20_13.xlsx&amp;sheet=A0&amp;row=91&amp;col=6&amp;number=4185000&amp;sourceID=14","4185000")</f>
        <v>4185000</v>
      </c>
      <c r="G91" s="4" t="str">
        <f>HYPERLINK("http://141.218.60.56/~jnz1568/getInfo.php?workbook=20_13.xlsx&amp;sheet=A0&amp;row=91&amp;col=7&amp;number=0&amp;sourceID=14","0")</f>
        <v>0</v>
      </c>
    </row>
    <row r="92" spans="1:7">
      <c r="A92" s="3">
        <v>20</v>
      </c>
      <c r="B92" s="3">
        <v>13</v>
      </c>
      <c r="C92" s="3">
        <v>22</v>
      </c>
      <c r="D92" s="3">
        <v>7</v>
      </c>
      <c r="E92" s="3">
        <v>421.713</v>
      </c>
      <c r="F92" s="4" t="str">
        <f>HYPERLINK("http://141.218.60.56/~jnz1568/getInfo.php?workbook=20_13.xlsx&amp;sheet=A0&amp;row=92&amp;col=6&amp;number=83750000&amp;sourceID=14","83750000")</f>
        <v>83750000</v>
      </c>
      <c r="G92" s="4" t="str">
        <f>HYPERLINK("http://141.218.60.56/~jnz1568/getInfo.php?workbook=20_13.xlsx&amp;sheet=A0&amp;row=92&amp;col=7&amp;number=0&amp;sourceID=14","0")</f>
        <v>0</v>
      </c>
    </row>
    <row r="93" spans="1:7">
      <c r="A93" s="3">
        <v>20</v>
      </c>
      <c r="B93" s="3">
        <v>13</v>
      </c>
      <c r="C93" s="3">
        <v>22</v>
      </c>
      <c r="D93" s="3">
        <v>10</v>
      </c>
      <c r="E93" s="3">
        <v>570.229</v>
      </c>
      <c r="F93" s="4" t="str">
        <f>HYPERLINK("http://141.218.60.56/~jnz1568/getInfo.php?workbook=20_13.xlsx&amp;sheet=A0&amp;row=93&amp;col=6&amp;number=2283000&amp;sourceID=14","2283000")</f>
        <v>2283000</v>
      </c>
      <c r="G93" s="4" t="str">
        <f>HYPERLINK("http://141.218.60.56/~jnz1568/getInfo.php?workbook=20_13.xlsx&amp;sheet=A0&amp;row=93&amp;col=7&amp;number=0&amp;sourceID=14","0")</f>
        <v>0</v>
      </c>
    </row>
    <row r="94" spans="1:7">
      <c r="A94" s="3">
        <v>20</v>
      </c>
      <c r="B94" s="3">
        <v>13</v>
      </c>
      <c r="C94" s="3">
        <v>22</v>
      </c>
      <c r="D94" s="3">
        <v>11</v>
      </c>
      <c r="E94" s="3">
        <v>789.846</v>
      </c>
      <c r="F94" s="4" t="str">
        <f>HYPERLINK("http://141.218.60.56/~jnz1568/getInfo.php?workbook=20_13.xlsx&amp;sheet=A0&amp;row=94&amp;col=6&amp;number=154500&amp;sourceID=14","154500")</f>
        <v>154500</v>
      </c>
      <c r="G94" s="4" t="str">
        <f>HYPERLINK("http://141.218.60.56/~jnz1568/getInfo.php?workbook=20_13.xlsx&amp;sheet=A0&amp;row=94&amp;col=7&amp;number=0&amp;sourceID=14","0")</f>
        <v>0</v>
      </c>
    </row>
    <row r="95" spans="1:7">
      <c r="A95" s="3">
        <v>20</v>
      </c>
      <c r="B95" s="3">
        <v>13</v>
      </c>
      <c r="C95" s="3">
        <v>22</v>
      </c>
      <c r="D95" s="3">
        <v>12</v>
      </c>
      <c r="E95" s="3">
        <v>791.227</v>
      </c>
      <c r="F95" s="4" t="str">
        <f>HYPERLINK("http://141.218.60.56/~jnz1568/getInfo.php?workbook=20_13.xlsx&amp;sheet=A0&amp;row=95&amp;col=6&amp;number=2442000&amp;sourceID=14","2442000")</f>
        <v>2442000</v>
      </c>
      <c r="G95" s="4" t="str">
        <f>HYPERLINK("http://141.218.60.56/~jnz1568/getInfo.php?workbook=20_13.xlsx&amp;sheet=A0&amp;row=95&amp;col=7&amp;number=0&amp;sourceID=14","0")</f>
        <v>0</v>
      </c>
    </row>
    <row r="96" spans="1:7">
      <c r="A96" s="3">
        <v>20</v>
      </c>
      <c r="B96" s="3">
        <v>13</v>
      </c>
      <c r="C96" s="3">
        <v>23</v>
      </c>
      <c r="D96" s="3">
        <v>3</v>
      </c>
      <c r="E96" s="3">
        <v>356.92</v>
      </c>
      <c r="F96" s="4" t="str">
        <f>HYPERLINK("http://141.218.60.56/~jnz1568/getInfo.php?workbook=20_13.xlsx&amp;sheet=A0&amp;row=96&amp;col=6&amp;number=12150000000&amp;sourceID=14","12150000000")</f>
        <v>12150000000</v>
      </c>
      <c r="G96" s="4" t="str">
        <f>HYPERLINK("http://141.218.60.56/~jnz1568/getInfo.php?workbook=20_13.xlsx&amp;sheet=A0&amp;row=96&amp;col=7&amp;number=0&amp;sourceID=14","0")</f>
        <v>0</v>
      </c>
    </row>
    <row r="97" spans="1:7">
      <c r="A97" s="3">
        <v>20</v>
      </c>
      <c r="B97" s="3">
        <v>13</v>
      </c>
      <c r="C97" s="3">
        <v>23</v>
      </c>
      <c r="D97" s="3">
        <v>4</v>
      </c>
      <c r="E97" s="3">
        <v>358.944</v>
      </c>
      <c r="F97" s="4" t="str">
        <f>HYPERLINK("http://141.218.60.56/~jnz1568/getInfo.php?workbook=20_13.xlsx&amp;sheet=A0&amp;row=97&amp;col=6&amp;number=637500&amp;sourceID=14","637500")</f>
        <v>637500</v>
      </c>
      <c r="G97" s="4" t="str">
        <f>HYPERLINK("http://141.218.60.56/~jnz1568/getInfo.php?workbook=20_13.xlsx&amp;sheet=A0&amp;row=97&amp;col=7&amp;number=0&amp;sourceID=14","0")</f>
        <v>0</v>
      </c>
    </row>
    <row r="98" spans="1:7">
      <c r="A98" s="3">
        <v>20</v>
      </c>
      <c r="B98" s="3">
        <v>13</v>
      </c>
      <c r="C98" s="3">
        <v>23</v>
      </c>
      <c r="D98" s="3">
        <v>5</v>
      </c>
      <c r="E98" s="3">
        <v>362.012</v>
      </c>
      <c r="F98" s="4" t="str">
        <f>HYPERLINK("http://141.218.60.56/~jnz1568/getInfo.php?workbook=20_13.xlsx&amp;sheet=A0&amp;row=98&amp;col=6&amp;number=3787000000&amp;sourceID=14","3787000000")</f>
        <v>3787000000</v>
      </c>
      <c r="G98" s="4" t="str">
        <f>HYPERLINK("http://141.218.60.56/~jnz1568/getInfo.php?workbook=20_13.xlsx&amp;sheet=A0&amp;row=98&amp;col=7&amp;number=0&amp;sourceID=14","0")</f>
        <v>0</v>
      </c>
    </row>
    <row r="99" spans="1:7">
      <c r="A99" s="3">
        <v>20</v>
      </c>
      <c r="B99" s="3">
        <v>13</v>
      </c>
      <c r="C99" s="3">
        <v>23</v>
      </c>
      <c r="D99" s="3">
        <v>6</v>
      </c>
      <c r="E99" s="3">
        <v>419.424</v>
      </c>
      <c r="F99" s="4" t="str">
        <f>HYPERLINK("http://141.218.60.56/~jnz1568/getInfo.php?workbook=20_13.xlsx&amp;sheet=A0&amp;row=99&amp;col=6&amp;number=33600000&amp;sourceID=14","33600000")</f>
        <v>33600000</v>
      </c>
      <c r="G99" s="4" t="str">
        <f>HYPERLINK("http://141.218.60.56/~jnz1568/getInfo.php?workbook=20_13.xlsx&amp;sheet=A0&amp;row=99&amp;col=7&amp;number=0&amp;sourceID=14","0")</f>
        <v>0</v>
      </c>
    </row>
    <row r="100" spans="1:7">
      <c r="A100" s="3">
        <v>20</v>
      </c>
      <c r="B100" s="3">
        <v>13</v>
      </c>
      <c r="C100" s="3">
        <v>23</v>
      </c>
      <c r="D100" s="3">
        <v>7</v>
      </c>
      <c r="E100" s="3">
        <v>419.875</v>
      </c>
      <c r="F100" s="4" t="str">
        <f>HYPERLINK("http://141.218.60.56/~jnz1568/getInfo.php?workbook=20_13.xlsx&amp;sheet=A0&amp;row=100&amp;col=6&amp;number=687100&amp;sourceID=14","687100")</f>
        <v>687100</v>
      </c>
      <c r="G100" s="4" t="str">
        <f>HYPERLINK("http://141.218.60.56/~jnz1568/getInfo.php?workbook=20_13.xlsx&amp;sheet=A0&amp;row=100&amp;col=7&amp;number=0&amp;sourceID=14","0")</f>
        <v>0</v>
      </c>
    </row>
    <row r="101" spans="1:7">
      <c r="A101" s="3">
        <v>20</v>
      </c>
      <c r="B101" s="3">
        <v>13</v>
      </c>
      <c r="C101" s="3">
        <v>23</v>
      </c>
      <c r="D101" s="3">
        <v>8</v>
      </c>
      <c r="E101" s="3">
        <v>517.034</v>
      </c>
      <c r="F101" s="4" t="str">
        <f>HYPERLINK("http://141.218.60.56/~jnz1568/getInfo.php?workbook=20_13.xlsx&amp;sheet=A0&amp;row=101&amp;col=6&amp;number=842900&amp;sourceID=14","842900")</f>
        <v>842900</v>
      </c>
      <c r="G101" s="4" t="str">
        <f>HYPERLINK("http://141.218.60.56/~jnz1568/getInfo.php?workbook=20_13.xlsx&amp;sheet=A0&amp;row=101&amp;col=7&amp;number=0&amp;sourceID=14","0")</f>
        <v>0</v>
      </c>
    </row>
    <row r="102" spans="1:7">
      <c r="A102" s="3">
        <v>20</v>
      </c>
      <c r="B102" s="3">
        <v>13</v>
      </c>
      <c r="C102" s="3">
        <v>23</v>
      </c>
      <c r="D102" s="3">
        <v>9</v>
      </c>
      <c r="E102" s="3">
        <v>558.715</v>
      </c>
      <c r="F102" s="4" t="str">
        <f>HYPERLINK("http://141.218.60.56/~jnz1568/getInfo.php?workbook=20_13.xlsx&amp;sheet=A0&amp;row=102&amp;col=6&amp;number=699000&amp;sourceID=14","699000")</f>
        <v>699000</v>
      </c>
      <c r="G102" s="4" t="str">
        <f>HYPERLINK("http://141.218.60.56/~jnz1568/getInfo.php?workbook=20_13.xlsx&amp;sheet=A0&amp;row=102&amp;col=7&amp;number=0&amp;sourceID=14","0")</f>
        <v>0</v>
      </c>
    </row>
    <row r="103" spans="1:7">
      <c r="A103" s="3">
        <v>20</v>
      </c>
      <c r="B103" s="3">
        <v>13</v>
      </c>
      <c r="C103" s="3">
        <v>23</v>
      </c>
      <c r="D103" s="3">
        <v>10</v>
      </c>
      <c r="E103" s="3">
        <v>566.874</v>
      </c>
      <c r="F103" s="4" t="str">
        <f>HYPERLINK("http://141.218.60.56/~jnz1568/getInfo.php?workbook=20_13.xlsx&amp;sheet=A0&amp;row=103&amp;col=6&amp;number=26210&amp;sourceID=14","26210")</f>
        <v>26210</v>
      </c>
      <c r="G103" s="4" t="str">
        <f>HYPERLINK("http://141.218.60.56/~jnz1568/getInfo.php?workbook=20_13.xlsx&amp;sheet=A0&amp;row=103&amp;col=7&amp;number=0&amp;sourceID=14","0")</f>
        <v>0</v>
      </c>
    </row>
    <row r="104" spans="1:7">
      <c r="A104" s="3">
        <v>20</v>
      </c>
      <c r="B104" s="3">
        <v>13</v>
      </c>
      <c r="C104" s="3">
        <v>23</v>
      </c>
      <c r="D104" s="3">
        <v>11</v>
      </c>
      <c r="E104" s="3">
        <v>783.423</v>
      </c>
      <c r="F104" s="4" t="str">
        <f>HYPERLINK("http://141.218.60.56/~jnz1568/getInfo.php?workbook=20_13.xlsx&amp;sheet=A0&amp;row=104&amp;col=6&amp;number=917200&amp;sourceID=14","917200")</f>
        <v>917200</v>
      </c>
      <c r="G104" s="4" t="str">
        <f>HYPERLINK("http://141.218.60.56/~jnz1568/getInfo.php?workbook=20_13.xlsx&amp;sheet=A0&amp;row=104&amp;col=7&amp;number=0&amp;sourceID=14","0")</f>
        <v>0</v>
      </c>
    </row>
    <row r="105" spans="1:7">
      <c r="A105" s="3">
        <v>20</v>
      </c>
      <c r="B105" s="3">
        <v>13</v>
      </c>
      <c r="C105" s="3">
        <v>23</v>
      </c>
      <c r="D105" s="3">
        <v>12</v>
      </c>
      <c r="E105" s="3">
        <v>784.781</v>
      </c>
      <c r="F105" s="4" t="str">
        <f>HYPERLINK("http://141.218.60.56/~jnz1568/getInfo.php?workbook=20_13.xlsx&amp;sheet=A0&amp;row=105&amp;col=6&amp;number=205600&amp;sourceID=14","205600")</f>
        <v>205600</v>
      </c>
      <c r="G105" s="4" t="str">
        <f>HYPERLINK("http://141.218.60.56/~jnz1568/getInfo.php?workbook=20_13.xlsx&amp;sheet=A0&amp;row=105&amp;col=7&amp;number=0&amp;sourceID=14","0")</f>
        <v>0</v>
      </c>
    </row>
    <row r="106" spans="1:7">
      <c r="A106" s="3">
        <v>20</v>
      </c>
      <c r="B106" s="3">
        <v>13</v>
      </c>
      <c r="C106" s="3">
        <v>24</v>
      </c>
      <c r="D106" s="3">
        <v>3</v>
      </c>
      <c r="E106" s="3">
        <v>355.706</v>
      </c>
      <c r="F106" s="4" t="str">
        <f>HYPERLINK("http://141.218.60.56/~jnz1568/getInfo.php?workbook=20_13.xlsx&amp;sheet=A0&amp;row=106&amp;col=6&amp;number=9205000000&amp;sourceID=14","9205000000")</f>
        <v>9205000000</v>
      </c>
      <c r="G106" s="4" t="str">
        <f>HYPERLINK("http://141.218.60.56/~jnz1568/getInfo.php?workbook=20_13.xlsx&amp;sheet=A0&amp;row=106&amp;col=7&amp;number=0&amp;sourceID=14","0")</f>
        <v>0</v>
      </c>
    </row>
    <row r="107" spans="1:7">
      <c r="A107" s="3">
        <v>20</v>
      </c>
      <c r="B107" s="3">
        <v>13</v>
      </c>
      <c r="C107" s="3">
        <v>24</v>
      </c>
      <c r="D107" s="3">
        <v>4</v>
      </c>
      <c r="E107" s="3">
        <v>357.716</v>
      </c>
      <c r="F107" s="4" t="str">
        <f>HYPERLINK("http://141.218.60.56/~jnz1568/getInfo.php?workbook=20_13.xlsx&amp;sheet=A0&amp;row=107&amp;col=6&amp;number=6773000000&amp;sourceID=14","6773000000")</f>
        <v>6773000000</v>
      </c>
      <c r="G107" s="4" t="str">
        <f>HYPERLINK("http://141.218.60.56/~jnz1568/getInfo.php?workbook=20_13.xlsx&amp;sheet=A0&amp;row=107&amp;col=7&amp;number=0&amp;sourceID=14","0")</f>
        <v>0</v>
      </c>
    </row>
    <row r="108" spans="1:7">
      <c r="A108" s="3">
        <v>20</v>
      </c>
      <c r="B108" s="3">
        <v>13</v>
      </c>
      <c r="C108" s="3">
        <v>24</v>
      </c>
      <c r="D108" s="3">
        <v>6</v>
      </c>
      <c r="E108" s="3">
        <v>417.749</v>
      </c>
      <c r="F108" s="4" t="str">
        <f>HYPERLINK("http://141.218.60.56/~jnz1568/getInfo.php?workbook=20_13.xlsx&amp;sheet=A0&amp;row=108&amp;col=6&amp;number=1694000&amp;sourceID=14","1694000")</f>
        <v>1694000</v>
      </c>
      <c r="G108" s="4" t="str">
        <f>HYPERLINK("http://141.218.60.56/~jnz1568/getInfo.php?workbook=20_13.xlsx&amp;sheet=A0&amp;row=108&amp;col=7&amp;number=0&amp;sourceID=14","0")</f>
        <v>0</v>
      </c>
    </row>
    <row r="109" spans="1:7">
      <c r="A109" s="3">
        <v>20</v>
      </c>
      <c r="B109" s="3">
        <v>13</v>
      </c>
      <c r="C109" s="3">
        <v>24</v>
      </c>
      <c r="D109" s="3">
        <v>8</v>
      </c>
      <c r="E109" s="3">
        <v>514.491</v>
      </c>
      <c r="F109" s="4" t="str">
        <f>HYPERLINK("http://141.218.60.56/~jnz1568/getInfo.php?workbook=20_13.xlsx&amp;sheet=A0&amp;row=109&amp;col=6&amp;number=532000&amp;sourceID=14","532000")</f>
        <v>532000</v>
      </c>
      <c r="G109" s="4" t="str">
        <f>HYPERLINK("http://141.218.60.56/~jnz1568/getInfo.php?workbook=20_13.xlsx&amp;sheet=A0&amp;row=109&amp;col=7&amp;number=0&amp;sourceID=14","0")</f>
        <v>0</v>
      </c>
    </row>
    <row r="110" spans="1:7">
      <c r="A110" s="3">
        <v>20</v>
      </c>
      <c r="B110" s="3">
        <v>13</v>
      </c>
      <c r="C110" s="3">
        <v>24</v>
      </c>
      <c r="D110" s="3">
        <v>9</v>
      </c>
      <c r="E110" s="3">
        <v>555.747</v>
      </c>
      <c r="F110" s="4" t="str">
        <f>HYPERLINK("http://141.218.60.56/~jnz1568/getInfo.php?workbook=20_13.xlsx&amp;sheet=A0&amp;row=110&amp;col=6&amp;number=2993&amp;sourceID=14","2993")</f>
        <v>2993</v>
      </c>
      <c r="G110" s="4" t="str">
        <f>HYPERLINK("http://141.218.60.56/~jnz1568/getInfo.php?workbook=20_13.xlsx&amp;sheet=A0&amp;row=110&amp;col=7&amp;number=0&amp;sourceID=14","0")</f>
        <v>0</v>
      </c>
    </row>
    <row r="111" spans="1:7">
      <c r="A111" s="3">
        <v>20</v>
      </c>
      <c r="B111" s="3">
        <v>13</v>
      </c>
      <c r="C111" s="3">
        <v>24</v>
      </c>
      <c r="D111" s="3">
        <v>10</v>
      </c>
      <c r="E111" s="3">
        <v>563.819</v>
      </c>
      <c r="F111" s="4" t="str">
        <f>HYPERLINK("http://141.218.60.56/~jnz1568/getInfo.php?workbook=20_13.xlsx&amp;sheet=A0&amp;row=111&amp;col=6&amp;number=292900&amp;sourceID=14","292900")</f>
        <v>292900</v>
      </c>
      <c r="G111" s="4" t="str">
        <f>HYPERLINK("http://141.218.60.56/~jnz1568/getInfo.php?workbook=20_13.xlsx&amp;sheet=A0&amp;row=111&amp;col=7&amp;number=0&amp;sourceID=14","0")</f>
        <v>0</v>
      </c>
    </row>
    <row r="112" spans="1:7">
      <c r="A112" s="3">
        <v>20</v>
      </c>
      <c r="B112" s="3">
        <v>13</v>
      </c>
      <c r="C112" s="3">
        <v>24</v>
      </c>
      <c r="D112" s="3">
        <v>11</v>
      </c>
      <c r="E112" s="3">
        <v>777.599</v>
      </c>
      <c r="F112" s="4" t="str">
        <f>HYPERLINK("http://141.218.60.56/~jnz1568/getInfo.php?workbook=20_13.xlsx&amp;sheet=A0&amp;row=112&amp;col=6&amp;number=437800&amp;sourceID=14","437800")</f>
        <v>437800</v>
      </c>
      <c r="G112" s="4" t="str">
        <f>HYPERLINK("http://141.218.60.56/~jnz1568/getInfo.php?workbook=20_13.xlsx&amp;sheet=A0&amp;row=112&amp;col=7&amp;number=0&amp;sourceID=14","0")</f>
        <v>0</v>
      </c>
    </row>
    <row r="113" spans="1:7">
      <c r="A113" s="3">
        <v>20</v>
      </c>
      <c r="B113" s="3">
        <v>13</v>
      </c>
      <c r="C113" s="3">
        <v>25</v>
      </c>
      <c r="D113" s="3">
        <v>3</v>
      </c>
      <c r="E113" s="3">
        <v>353.683</v>
      </c>
      <c r="F113" s="4" t="str">
        <f>HYPERLINK("http://141.218.60.56/~jnz1568/getInfo.php?workbook=20_13.xlsx&amp;sheet=A0&amp;row=113&amp;col=6&amp;number=14630000000&amp;sourceID=14","14630000000")</f>
        <v>14630000000</v>
      </c>
      <c r="G113" s="4" t="str">
        <f>HYPERLINK("http://141.218.60.56/~jnz1568/getInfo.php?workbook=20_13.xlsx&amp;sheet=A0&amp;row=113&amp;col=7&amp;number=0&amp;sourceID=14","0")</f>
        <v>0</v>
      </c>
    </row>
    <row r="114" spans="1:7">
      <c r="A114" s="3">
        <v>20</v>
      </c>
      <c r="B114" s="3">
        <v>13</v>
      </c>
      <c r="C114" s="3">
        <v>25</v>
      </c>
      <c r="D114" s="3">
        <v>4</v>
      </c>
      <c r="E114" s="3">
        <v>355.671</v>
      </c>
      <c r="F114" s="4" t="str">
        <f>HYPERLINK("http://141.218.60.56/~jnz1568/getInfo.php?workbook=20_13.xlsx&amp;sheet=A0&amp;row=114&amp;col=6&amp;number=9752000000&amp;sourceID=14","9752000000")</f>
        <v>9752000000</v>
      </c>
      <c r="G114" s="4" t="str">
        <f>HYPERLINK("http://141.218.60.56/~jnz1568/getInfo.php?workbook=20_13.xlsx&amp;sheet=A0&amp;row=114&amp;col=7&amp;number=0&amp;sourceID=14","0")</f>
        <v>0</v>
      </c>
    </row>
    <row r="115" spans="1:7">
      <c r="A115" s="3">
        <v>20</v>
      </c>
      <c r="B115" s="3">
        <v>13</v>
      </c>
      <c r="C115" s="3">
        <v>25</v>
      </c>
      <c r="D115" s="3">
        <v>6</v>
      </c>
      <c r="E115" s="3">
        <v>414.962</v>
      </c>
      <c r="F115" s="4" t="str">
        <f>HYPERLINK("http://141.218.60.56/~jnz1568/getInfo.php?workbook=20_13.xlsx&amp;sheet=A0&amp;row=115&amp;col=6&amp;number=1786000&amp;sourceID=14","1786000")</f>
        <v>1786000</v>
      </c>
      <c r="G115" s="4" t="str">
        <f>HYPERLINK("http://141.218.60.56/~jnz1568/getInfo.php?workbook=20_13.xlsx&amp;sheet=A0&amp;row=115&amp;col=7&amp;number=0&amp;sourceID=14","0")</f>
        <v>0</v>
      </c>
    </row>
    <row r="116" spans="1:7">
      <c r="A116" s="3">
        <v>20</v>
      </c>
      <c r="B116" s="3">
        <v>13</v>
      </c>
      <c r="C116" s="3">
        <v>25</v>
      </c>
      <c r="D116" s="3">
        <v>8</v>
      </c>
      <c r="E116" s="3">
        <v>510.269</v>
      </c>
      <c r="F116" s="4" t="str">
        <f>HYPERLINK("http://141.218.60.56/~jnz1568/getInfo.php?workbook=20_13.xlsx&amp;sheet=A0&amp;row=116&amp;col=6&amp;number=996800&amp;sourceID=14","996800")</f>
        <v>996800</v>
      </c>
      <c r="G116" s="4" t="str">
        <f>HYPERLINK("http://141.218.60.56/~jnz1568/getInfo.php?workbook=20_13.xlsx&amp;sheet=A0&amp;row=116&amp;col=7&amp;number=0&amp;sourceID=14","0")</f>
        <v>0</v>
      </c>
    </row>
    <row r="117" spans="1:7">
      <c r="A117" s="3">
        <v>20</v>
      </c>
      <c r="B117" s="3">
        <v>13</v>
      </c>
      <c r="C117" s="3">
        <v>25</v>
      </c>
      <c r="D117" s="3">
        <v>9</v>
      </c>
      <c r="E117" s="3">
        <v>550.825</v>
      </c>
      <c r="F117" s="4" t="str">
        <f>HYPERLINK("http://141.218.60.56/~jnz1568/getInfo.php?workbook=20_13.xlsx&amp;sheet=A0&amp;row=117&amp;col=6&amp;number=84.05&amp;sourceID=14","84.05")</f>
        <v>84.05</v>
      </c>
      <c r="G117" s="4" t="str">
        <f>HYPERLINK("http://141.218.60.56/~jnz1568/getInfo.php?workbook=20_13.xlsx&amp;sheet=A0&amp;row=117&amp;col=7&amp;number=0&amp;sourceID=14","0")</f>
        <v>0</v>
      </c>
    </row>
    <row r="118" spans="1:7">
      <c r="A118" s="3">
        <v>20</v>
      </c>
      <c r="B118" s="3">
        <v>13</v>
      </c>
      <c r="C118" s="3">
        <v>25</v>
      </c>
      <c r="D118" s="3">
        <v>10</v>
      </c>
      <c r="E118" s="3">
        <v>558.753</v>
      </c>
      <c r="F118" s="4" t="str">
        <f>HYPERLINK("http://141.218.60.56/~jnz1568/getInfo.php?workbook=20_13.xlsx&amp;sheet=A0&amp;row=118&amp;col=6&amp;number=63380&amp;sourceID=14","63380")</f>
        <v>63380</v>
      </c>
      <c r="G118" s="4" t="str">
        <f>HYPERLINK("http://141.218.60.56/~jnz1568/getInfo.php?workbook=20_13.xlsx&amp;sheet=A0&amp;row=118&amp;col=7&amp;number=0&amp;sourceID=14","0")</f>
        <v>0</v>
      </c>
    </row>
    <row r="119" spans="1:7">
      <c r="A119" s="3">
        <v>20</v>
      </c>
      <c r="B119" s="3">
        <v>13</v>
      </c>
      <c r="C119" s="3">
        <v>25</v>
      </c>
      <c r="D119" s="3">
        <v>11</v>
      </c>
      <c r="E119" s="3">
        <v>767.996</v>
      </c>
      <c r="F119" s="4" t="str">
        <f>HYPERLINK("http://141.218.60.56/~jnz1568/getInfo.php?workbook=20_13.xlsx&amp;sheet=A0&amp;row=119&amp;col=6&amp;number=981200&amp;sourceID=14","981200")</f>
        <v>981200</v>
      </c>
      <c r="G119" s="4" t="str">
        <f>HYPERLINK("http://141.218.60.56/~jnz1568/getInfo.php?workbook=20_13.xlsx&amp;sheet=A0&amp;row=119&amp;col=7&amp;number=0&amp;sourceID=14","0")</f>
        <v>0</v>
      </c>
    </row>
    <row r="120" spans="1:7">
      <c r="A120" s="3">
        <v>20</v>
      </c>
      <c r="B120" s="3">
        <v>13</v>
      </c>
      <c r="C120" s="3">
        <v>26</v>
      </c>
      <c r="D120" s="3">
        <v>3</v>
      </c>
      <c r="E120" s="3">
        <v>352.986</v>
      </c>
      <c r="F120" s="4" t="str">
        <f>HYPERLINK("http://141.218.60.56/~jnz1568/getInfo.php?workbook=20_13.xlsx&amp;sheet=A0&amp;row=120&amp;col=6&amp;number=4552000000&amp;sourceID=14","4552000000")</f>
        <v>4552000000</v>
      </c>
      <c r="G120" s="4" t="str">
        <f>HYPERLINK("http://141.218.60.56/~jnz1568/getInfo.php?workbook=20_13.xlsx&amp;sheet=A0&amp;row=120&amp;col=7&amp;number=0&amp;sourceID=14","0")</f>
        <v>0</v>
      </c>
    </row>
    <row r="121" spans="1:7">
      <c r="A121" s="3">
        <v>20</v>
      </c>
      <c r="B121" s="3">
        <v>13</v>
      </c>
      <c r="C121" s="3">
        <v>26</v>
      </c>
      <c r="D121" s="3">
        <v>4</v>
      </c>
      <c r="E121" s="3">
        <v>354.966</v>
      </c>
      <c r="F121" s="4" t="str">
        <f>HYPERLINK("http://141.218.60.56/~jnz1568/getInfo.php?workbook=20_13.xlsx&amp;sheet=A0&amp;row=121&amp;col=6&amp;number=15570000000&amp;sourceID=14","15570000000")</f>
        <v>15570000000</v>
      </c>
      <c r="G121" s="4" t="str">
        <f>HYPERLINK("http://141.218.60.56/~jnz1568/getInfo.php?workbook=20_13.xlsx&amp;sheet=A0&amp;row=121&amp;col=7&amp;number=0&amp;sourceID=14","0")</f>
        <v>0</v>
      </c>
    </row>
    <row r="122" spans="1:7">
      <c r="A122" s="3">
        <v>20</v>
      </c>
      <c r="B122" s="3">
        <v>13</v>
      </c>
      <c r="C122" s="3">
        <v>26</v>
      </c>
      <c r="D122" s="3">
        <v>5</v>
      </c>
      <c r="E122" s="3">
        <v>357.966</v>
      </c>
      <c r="F122" s="4" t="str">
        <f>HYPERLINK("http://141.218.60.56/~jnz1568/getInfo.php?workbook=20_13.xlsx&amp;sheet=A0&amp;row=122&amp;col=6&amp;number=3887000000&amp;sourceID=14","3887000000")</f>
        <v>3887000000</v>
      </c>
      <c r="G122" s="4" t="str">
        <f>HYPERLINK("http://141.218.60.56/~jnz1568/getInfo.php?workbook=20_13.xlsx&amp;sheet=A0&amp;row=122&amp;col=7&amp;number=0&amp;sourceID=14","0")</f>
        <v>0</v>
      </c>
    </row>
    <row r="123" spans="1:7">
      <c r="A123" s="3">
        <v>20</v>
      </c>
      <c r="B123" s="3">
        <v>13</v>
      </c>
      <c r="C123" s="3">
        <v>26</v>
      </c>
      <c r="D123" s="3">
        <v>6</v>
      </c>
      <c r="E123" s="3">
        <v>414.003</v>
      </c>
      <c r="F123" s="4" t="str">
        <f>HYPERLINK("http://141.218.60.56/~jnz1568/getInfo.php?workbook=20_13.xlsx&amp;sheet=A0&amp;row=123&amp;col=6&amp;number=8870000&amp;sourceID=14","8870000")</f>
        <v>8870000</v>
      </c>
      <c r="G123" s="4" t="str">
        <f>HYPERLINK("http://141.218.60.56/~jnz1568/getInfo.php?workbook=20_13.xlsx&amp;sheet=A0&amp;row=123&amp;col=7&amp;number=0&amp;sourceID=14","0")</f>
        <v>0</v>
      </c>
    </row>
    <row r="124" spans="1:7">
      <c r="A124" s="3">
        <v>20</v>
      </c>
      <c r="B124" s="3">
        <v>13</v>
      </c>
      <c r="C124" s="3">
        <v>26</v>
      </c>
      <c r="D124" s="3">
        <v>7</v>
      </c>
      <c r="E124" s="3">
        <v>414.443</v>
      </c>
      <c r="F124" s="4" t="str">
        <f>HYPERLINK("http://141.218.60.56/~jnz1568/getInfo.php?workbook=20_13.xlsx&amp;sheet=A0&amp;row=124&amp;col=6&amp;number=7826000&amp;sourceID=14","7826000")</f>
        <v>7826000</v>
      </c>
      <c r="G124" s="4" t="str">
        <f>HYPERLINK("http://141.218.60.56/~jnz1568/getInfo.php?workbook=20_13.xlsx&amp;sheet=A0&amp;row=124&amp;col=7&amp;number=0&amp;sourceID=14","0")</f>
        <v>0</v>
      </c>
    </row>
    <row r="125" spans="1:7">
      <c r="A125" s="3">
        <v>20</v>
      </c>
      <c r="B125" s="3">
        <v>13</v>
      </c>
      <c r="C125" s="3">
        <v>26</v>
      </c>
      <c r="D125" s="3">
        <v>8</v>
      </c>
      <c r="E125" s="3">
        <v>508.82</v>
      </c>
      <c r="F125" s="4" t="str">
        <f>HYPERLINK("http://141.218.60.56/~jnz1568/getInfo.php?workbook=20_13.xlsx&amp;sheet=A0&amp;row=125&amp;col=6&amp;number=404500&amp;sourceID=14","404500")</f>
        <v>404500</v>
      </c>
      <c r="G125" s="4" t="str">
        <f>HYPERLINK("http://141.218.60.56/~jnz1568/getInfo.php?workbook=20_13.xlsx&amp;sheet=A0&amp;row=125&amp;col=7&amp;number=0&amp;sourceID=14","0")</f>
        <v>0</v>
      </c>
    </row>
    <row r="126" spans="1:7">
      <c r="A126" s="3">
        <v>20</v>
      </c>
      <c r="B126" s="3">
        <v>13</v>
      </c>
      <c r="C126" s="3">
        <v>26</v>
      </c>
      <c r="D126" s="3">
        <v>9</v>
      </c>
      <c r="E126" s="3">
        <v>549.137</v>
      </c>
      <c r="F126" s="4" t="str">
        <f>HYPERLINK("http://141.218.60.56/~jnz1568/getInfo.php?workbook=20_13.xlsx&amp;sheet=A0&amp;row=126&amp;col=6&amp;number=72050&amp;sourceID=14","72050")</f>
        <v>72050</v>
      </c>
      <c r="G126" s="4" t="str">
        <f>HYPERLINK("http://141.218.60.56/~jnz1568/getInfo.php?workbook=20_13.xlsx&amp;sheet=A0&amp;row=126&amp;col=7&amp;number=0&amp;sourceID=14","0")</f>
        <v>0</v>
      </c>
    </row>
    <row r="127" spans="1:7">
      <c r="A127" s="3">
        <v>20</v>
      </c>
      <c r="B127" s="3">
        <v>13</v>
      </c>
      <c r="C127" s="3">
        <v>26</v>
      </c>
      <c r="D127" s="3">
        <v>10</v>
      </c>
      <c r="E127" s="3">
        <v>557.016</v>
      </c>
      <c r="F127" s="4" t="str">
        <f>HYPERLINK("http://141.218.60.56/~jnz1568/getInfo.php?workbook=20_13.xlsx&amp;sheet=A0&amp;row=127&amp;col=6&amp;number=196900&amp;sourceID=14","196900")</f>
        <v>196900</v>
      </c>
      <c r="G127" s="4" t="str">
        <f>HYPERLINK("http://141.218.60.56/~jnz1568/getInfo.php?workbook=20_13.xlsx&amp;sheet=A0&amp;row=127&amp;col=7&amp;number=0&amp;sourceID=14","0")</f>
        <v>0</v>
      </c>
    </row>
    <row r="128" spans="1:7">
      <c r="A128" s="3">
        <v>20</v>
      </c>
      <c r="B128" s="3">
        <v>13</v>
      </c>
      <c r="C128" s="3">
        <v>26</v>
      </c>
      <c r="D128" s="3">
        <v>11</v>
      </c>
      <c r="E128" s="3">
        <v>764.719</v>
      </c>
      <c r="F128" s="4" t="str">
        <f>HYPERLINK("http://141.218.60.56/~jnz1568/getInfo.php?workbook=20_13.xlsx&amp;sheet=A0&amp;row=128&amp;col=6&amp;number=89750&amp;sourceID=14","89750")</f>
        <v>89750</v>
      </c>
      <c r="G128" s="4" t="str">
        <f>HYPERLINK("http://141.218.60.56/~jnz1568/getInfo.php?workbook=20_13.xlsx&amp;sheet=A0&amp;row=128&amp;col=7&amp;number=0&amp;sourceID=14","0")</f>
        <v>0</v>
      </c>
    </row>
    <row r="129" spans="1:7">
      <c r="A129" s="3">
        <v>20</v>
      </c>
      <c r="B129" s="3">
        <v>13</v>
      </c>
      <c r="C129" s="3">
        <v>26</v>
      </c>
      <c r="D129" s="3">
        <v>12</v>
      </c>
      <c r="E129" s="3">
        <v>766.013</v>
      </c>
      <c r="F129" s="4" t="str">
        <f>HYPERLINK("http://141.218.60.56/~jnz1568/getInfo.php?workbook=20_13.xlsx&amp;sheet=A0&amp;row=129&amp;col=6&amp;number=271000&amp;sourceID=14","271000")</f>
        <v>271000</v>
      </c>
      <c r="G129" s="4" t="str">
        <f>HYPERLINK("http://141.218.60.56/~jnz1568/getInfo.php?workbook=20_13.xlsx&amp;sheet=A0&amp;row=129&amp;col=7&amp;number=0&amp;sourceID=14","0")</f>
        <v>0</v>
      </c>
    </row>
    <row r="130" spans="1:7">
      <c r="A130" s="3">
        <v>20</v>
      </c>
      <c r="B130" s="3">
        <v>13</v>
      </c>
      <c r="C130" s="3">
        <v>27</v>
      </c>
      <c r="D130" s="3">
        <v>4</v>
      </c>
      <c r="E130" s="3">
        <v>354.492</v>
      </c>
      <c r="F130" s="4" t="str">
        <f>HYPERLINK("http://141.218.60.56/~jnz1568/getInfo.php?workbook=20_13.xlsx&amp;sheet=A0&amp;row=130&amp;col=6&amp;number=11840000000&amp;sourceID=14","11840000000")</f>
        <v>11840000000</v>
      </c>
      <c r="G130" s="4" t="str">
        <f>HYPERLINK("http://141.218.60.56/~jnz1568/getInfo.php?workbook=20_13.xlsx&amp;sheet=A0&amp;row=130&amp;col=7&amp;number=0&amp;sourceID=14","0")</f>
        <v>0</v>
      </c>
    </row>
    <row r="131" spans="1:7">
      <c r="A131" s="3">
        <v>20</v>
      </c>
      <c r="B131" s="3">
        <v>13</v>
      </c>
      <c r="C131" s="3">
        <v>27</v>
      </c>
      <c r="D131" s="3">
        <v>5</v>
      </c>
      <c r="E131" s="3">
        <v>357.484</v>
      </c>
      <c r="F131" s="4" t="str">
        <f>HYPERLINK("http://141.218.60.56/~jnz1568/getInfo.php?workbook=20_13.xlsx&amp;sheet=A0&amp;row=131&amp;col=6&amp;number=12500000000&amp;sourceID=14","12500000000")</f>
        <v>12500000000</v>
      </c>
      <c r="G131" s="4" t="str">
        <f>HYPERLINK("http://141.218.60.56/~jnz1568/getInfo.php?workbook=20_13.xlsx&amp;sheet=A0&amp;row=131&amp;col=7&amp;number=0&amp;sourceID=14","0")</f>
        <v>0</v>
      </c>
    </row>
    <row r="132" spans="1:7">
      <c r="A132" s="3">
        <v>20</v>
      </c>
      <c r="B132" s="3">
        <v>13</v>
      </c>
      <c r="C132" s="3">
        <v>27</v>
      </c>
      <c r="D132" s="3">
        <v>6</v>
      </c>
      <c r="E132" s="3">
        <v>413.358</v>
      </c>
      <c r="F132" s="4" t="str">
        <f>HYPERLINK("http://141.218.60.56/~jnz1568/getInfo.php?workbook=20_13.xlsx&amp;sheet=A0&amp;row=132&amp;col=6&amp;number=1106000&amp;sourceID=14","1106000")</f>
        <v>1106000</v>
      </c>
      <c r="G132" s="4" t="str">
        <f>HYPERLINK("http://141.218.60.56/~jnz1568/getInfo.php?workbook=20_13.xlsx&amp;sheet=A0&amp;row=132&amp;col=7&amp;number=0&amp;sourceID=14","0")</f>
        <v>0</v>
      </c>
    </row>
    <row r="133" spans="1:7">
      <c r="A133" s="3">
        <v>20</v>
      </c>
      <c r="B133" s="3">
        <v>13</v>
      </c>
      <c r="C133" s="3">
        <v>27</v>
      </c>
      <c r="D133" s="3">
        <v>7</v>
      </c>
      <c r="E133" s="3">
        <v>413.796</v>
      </c>
      <c r="F133" s="4" t="str">
        <f>HYPERLINK("http://141.218.60.56/~jnz1568/getInfo.php?workbook=20_13.xlsx&amp;sheet=A0&amp;row=133&amp;col=6&amp;number=14620000&amp;sourceID=14","14620000")</f>
        <v>14620000</v>
      </c>
      <c r="G133" s="4" t="str">
        <f>HYPERLINK("http://141.218.60.56/~jnz1568/getInfo.php?workbook=20_13.xlsx&amp;sheet=A0&amp;row=133&amp;col=7&amp;number=0&amp;sourceID=14","0")</f>
        <v>0</v>
      </c>
    </row>
    <row r="134" spans="1:7">
      <c r="A134" s="3">
        <v>20</v>
      </c>
      <c r="B134" s="3">
        <v>13</v>
      </c>
      <c r="C134" s="3">
        <v>27</v>
      </c>
      <c r="D134" s="3">
        <v>10</v>
      </c>
      <c r="E134" s="3">
        <v>555.849</v>
      </c>
      <c r="F134" s="4" t="str">
        <f>HYPERLINK("http://141.218.60.56/~jnz1568/getInfo.php?workbook=20_13.xlsx&amp;sheet=A0&amp;row=134&amp;col=6&amp;number=129700&amp;sourceID=14","129700")</f>
        <v>129700</v>
      </c>
      <c r="G134" s="4" t="str">
        <f>HYPERLINK("http://141.218.60.56/~jnz1568/getInfo.php?workbook=20_13.xlsx&amp;sheet=A0&amp;row=134&amp;col=7&amp;number=0&amp;sourceID=14","0")</f>
        <v>0</v>
      </c>
    </row>
    <row r="135" spans="1:7">
      <c r="A135" s="3">
        <v>20</v>
      </c>
      <c r="B135" s="3">
        <v>13</v>
      </c>
      <c r="C135" s="3">
        <v>27</v>
      </c>
      <c r="D135" s="3">
        <v>11</v>
      </c>
      <c r="E135" s="3">
        <v>762.521</v>
      </c>
      <c r="F135" s="4" t="str">
        <f>HYPERLINK("http://141.218.60.56/~jnz1568/getInfo.php?workbook=20_13.xlsx&amp;sheet=A0&amp;row=135&amp;col=6&amp;number=132300&amp;sourceID=14","132300")</f>
        <v>132300</v>
      </c>
      <c r="G135" s="4" t="str">
        <f>HYPERLINK("http://141.218.60.56/~jnz1568/getInfo.php?workbook=20_13.xlsx&amp;sheet=A0&amp;row=135&amp;col=7&amp;number=0&amp;sourceID=14","0")</f>
        <v>0</v>
      </c>
    </row>
    <row r="136" spans="1:7">
      <c r="A136" s="3">
        <v>20</v>
      </c>
      <c r="B136" s="3">
        <v>13</v>
      </c>
      <c r="C136" s="3">
        <v>27</v>
      </c>
      <c r="D136" s="3">
        <v>12</v>
      </c>
      <c r="E136" s="3">
        <v>763.808</v>
      </c>
      <c r="F136" s="4" t="str">
        <f>HYPERLINK("http://141.218.60.56/~jnz1568/getInfo.php?workbook=20_13.xlsx&amp;sheet=A0&amp;row=136&amp;col=6&amp;number=12.08&amp;sourceID=14","12.08")</f>
        <v>12.08</v>
      </c>
      <c r="G136" s="4" t="str">
        <f>HYPERLINK("http://141.218.60.56/~jnz1568/getInfo.php?workbook=20_13.xlsx&amp;sheet=A0&amp;row=136&amp;col=7&amp;number=0&amp;sourceID=14","0")</f>
        <v>0</v>
      </c>
    </row>
    <row r="137" spans="1:7">
      <c r="A137" s="3">
        <v>20</v>
      </c>
      <c r="B137" s="3">
        <v>13</v>
      </c>
      <c r="C137" s="3">
        <v>28</v>
      </c>
      <c r="D137" s="3">
        <v>5</v>
      </c>
      <c r="E137" s="3">
        <v>357.341</v>
      </c>
      <c r="F137" s="4" t="str">
        <f>HYPERLINK("http://141.218.60.56/~jnz1568/getInfo.php?workbook=20_13.xlsx&amp;sheet=A0&amp;row=137&amp;col=6&amp;number=24890000000&amp;sourceID=14","24890000000")</f>
        <v>24890000000</v>
      </c>
      <c r="G137" s="4" t="str">
        <f>HYPERLINK("http://141.218.60.56/~jnz1568/getInfo.php?workbook=20_13.xlsx&amp;sheet=A0&amp;row=137&amp;col=7&amp;number=0&amp;sourceID=14","0")</f>
        <v>0</v>
      </c>
    </row>
    <row r="138" spans="1:7">
      <c r="A138" s="3">
        <v>20</v>
      </c>
      <c r="B138" s="3">
        <v>13</v>
      </c>
      <c r="C138" s="3">
        <v>28</v>
      </c>
      <c r="D138" s="3">
        <v>7</v>
      </c>
      <c r="E138" s="3">
        <v>413.604</v>
      </c>
      <c r="F138" s="4" t="str">
        <f>HYPERLINK("http://141.218.60.56/~jnz1568/getInfo.php?workbook=20_13.xlsx&amp;sheet=A0&amp;row=138&amp;col=6&amp;number=21840000&amp;sourceID=14","21840000")</f>
        <v>21840000</v>
      </c>
      <c r="G138" s="4" t="str">
        <f>HYPERLINK("http://141.218.60.56/~jnz1568/getInfo.php?workbook=20_13.xlsx&amp;sheet=A0&amp;row=138&amp;col=7&amp;number=0&amp;sourceID=14","0")</f>
        <v>0</v>
      </c>
    </row>
    <row r="139" spans="1:7">
      <c r="A139" s="3">
        <v>20</v>
      </c>
      <c r="B139" s="3">
        <v>13</v>
      </c>
      <c r="C139" s="3">
        <v>28</v>
      </c>
      <c r="D139" s="3">
        <v>12</v>
      </c>
      <c r="E139" s="3">
        <v>763.155</v>
      </c>
      <c r="F139" s="4" t="str">
        <f>HYPERLINK("http://141.218.60.56/~jnz1568/getInfo.php?workbook=20_13.xlsx&amp;sheet=A0&amp;row=139&amp;col=6&amp;number=667700&amp;sourceID=14","667700")</f>
        <v>667700</v>
      </c>
      <c r="G139" s="4" t="str">
        <f>HYPERLINK("http://141.218.60.56/~jnz1568/getInfo.php?workbook=20_13.xlsx&amp;sheet=A0&amp;row=139&amp;col=7&amp;number=0&amp;sourceID=14","0")</f>
        <v>0</v>
      </c>
    </row>
    <row r="140" spans="1:7">
      <c r="A140" s="3">
        <v>20</v>
      </c>
      <c r="B140" s="3">
        <v>13</v>
      </c>
      <c r="C140" s="3">
        <v>29</v>
      </c>
      <c r="D140" s="3">
        <v>4</v>
      </c>
      <c r="E140" s="3">
        <v>342.22</v>
      </c>
      <c r="F140" s="4" t="str">
        <f>HYPERLINK("http://141.218.60.56/~jnz1568/getInfo.php?workbook=20_13.xlsx&amp;sheet=A0&amp;row=140&amp;col=6&amp;number=89960000&amp;sourceID=14","89960000")</f>
        <v>89960000</v>
      </c>
      <c r="G140" s="4" t="str">
        <f>HYPERLINK("http://141.218.60.56/~jnz1568/getInfo.php?workbook=20_13.xlsx&amp;sheet=A0&amp;row=140&amp;col=7&amp;number=0&amp;sourceID=14","0")</f>
        <v>0</v>
      </c>
    </row>
    <row r="141" spans="1:7">
      <c r="A141" s="3">
        <v>20</v>
      </c>
      <c r="B141" s="3">
        <v>13</v>
      </c>
      <c r="C141" s="3">
        <v>29</v>
      </c>
      <c r="D141" s="3">
        <v>5</v>
      </c>
      <c r="E141" s="3">
        <v>345.007</v>
      </c>
      <c r="F141" s="4" t="str">
        <f>HYPERLINK("http://141.218.60.56/~jnz1568/getInfo.php?workbook=20_13.xlsx&amp;sheet=A0&amp;row=141&amp;col=6&amp;number=65560&amp;sourceID=14","65560")</f>
        <v>65560</v>
      </c>
      <c r="G141" s="4" t="str">
        <f>HYPERLINK("http://141.218.60.56/~jnz1568/getInfo.php?workbook=20_13.xlsx&amp;sheet=A0&amp;row=141&amp;col=7&amp;number=0&amp;sourceID=14","0")</f>
        <v>0</v>
      </c>
    </row>
    <row r="142" spans="1:7">
      <c r="A142" s="3">
        <v>20</v>
      </c>
      <c r="B142" s="3">
        <v>13</v>
      </c>
      <c r="C142" s="3">
        <v>29</v>
      </c>
      <c r="D142" s="3">
        <v>6</v>
      </c>
      <c r="E142" s="3">
        <v>396.767</v>
      </c>
      <c r="F142" s="4" t="str">
        <f>HYPERLINK("http://141.218.60.56/~jnz1568/getInfo.php?workbook=20_13.xlsx&amp;sheet=A0&amp;row=142&amp;col=6&amp;number=1492000000&amp;sourceID=14","1492000000")</f>
        <v>1492000000</v>
      </c>
      <c r="G142" s="4" t="str">
        <f>HYPERLINK("http://141.218.60.56/~jnz1568/getInfo.php?workbook=20_13.xlsx&amp;sheet=A0&amp;row=142&amp;col=7&amp;number=0&amp;sourceID=14","0")</f>
        <v>0</v>
      </c>
    </row>
    <row r="143" spans="1:7">
      <c r="A143" s="3">
        <v>20</v>
      </c>
      <c r="B143" s="3">
        <v>13</v>
      </c>
      <c r="C143" s="3">
        <v>29</v>
      </c>
      <c r="D143" s="3">
        <v>7</v>
      </c>
      <c r="E143" s="3">
        <v>397.171</v>
      </c>
      <c r="F143" s="4" t="str">
        <f>HYPERLINK("http://141.218.60.56/~jnz1568/getInfo.php?workbook=20_13.xlsx&amp;sheet=A0&amp;row=143&amp;col=6&amp;number=17630000000&amp;sourceID=14","17630000000")</f>
        <v>17630000000</v>
      </c>
      <c r="G143" s="4" t="str">
        <f>HYPERLINK("http://141.218.60.56/~jnz1568/getInfo.php?workbook=20_13.xlsx&amp;sheet=A0&amp;row=143&amp;col=7&amp;number=0&amp;sourceID=14","0")</f>
        <v>0</v>
      </c>
    </row>
    <row r="144" spans="1:7">
      <c r="A144" s="3">
        <v>20</v>
      </c>
      <c r="B144" s="3">
        <v>13</v>
      </c>
      <c r="C144" s="3">
        <v>29</v>
      </c>
      <c r="D144" s="3">
        <v>10</v>
      </c>
      <c r="E144" s="3">
        <v>526.258</v>
      </c>
      <c r="F144" s="4" t="str">
        <f>HYPERLINK("http://141.218.60.56/~jnz1568/getInfo.php?workbook=20_13.xlsx&amp;sheet=A0&amp;row=144&amp;col=6&amp;number=356200000&amp;sourceID=14","356200000")</f>
        <v>356200000</v>
      </c>
      <c r="G144" s="4" t="str">
        <f>HYPERLINK("http://141.218.60.56/~jnz1568/getInfo.php?workbook=20_13.xlsx&amp;sheet=A0&amp;row=144&amp;col=7&amp;number=0&amp;sourceID=14","0")</f>
        <v>0</v>
      </c>
    </row>
    <row r="145" spans="1:7">
      <c r="A145" s="3">
        <v>20</v>
      </c>
      <c r="B145" s="3">
        <v>13</v>
      </c>
      <c r="C145" s="3">
        <v>29</v>
      </c>
      <c r="D145" s="3">
        <v>11</v>
      </c>
      <c r="E145" s="3">
        <v>707.914</v>
      </c>
      <c r="F145" s="4" t="str">
        <f>HYPERLINK("http://141.218.60.56/~jnz1568/getInfo.php?workbook=20_13.xlsx&amp;sheet=A0&amp;row=145&amp;col=6&amp;number=26970000&amp;sourceID=14","26970000")</f>
        <v>26970000</v>
      </c>
      <c r="G145" s="4" t="str">
        <f>HYPERLINK("http://141.218.60.56/~jnz1568/getInfo.php?workbook=20_13.xlsx&amp;sheet=A0&amp;row=145&amp;col=7&amp;number=0&amp;sourceID=14","0")</f>
        <v>0</v>
      </c>
    </row>
    <row r="146" spans="1:7">
      <c r="A146" s="3">
        <v>20</v>
      </c>
      <c r="B146" s="3">
        <v>13</v>
      </c>
      <c r="C146" s="3">
        <v>29</v>
      </c>
      <c r="D146" s="3">
        <v>12</v>
      </c>
      <c r="E146" s="3">
        <v>709.024</v>
      </c>
      <c r="F146" s="4" t="str">
        <f>HYPERLINK("http://141.218.60.56/~jnz1568/getInfo.php?workbook=20_13.xlsx&amp;sheet=A0&amp;row=146&amp;col=6&amp;number=202700000&amp;sourceID=14","202700000")</f>
        <v>202700000</v>
      </c>
      <c r="G146" s="4" t="str">
        <f>HYPERLINK("http://141.218.60.56/~jnz1568/getInfo.php?workbook=20_13.xlsx&amp;sheet=A0&amp;row=146&amp;col=7&amp;number=0&amp;sourceID=14","0")</f>
        <v>0</v>
      </c>
    </row>
    <row r="147" spans="1:7">
      <c r="A147" s="3">
        <v>20</v>
      </c>
      <c r="B147" s="3">
        <v>13</v>
      </c>
      <c r="C147" s="3">
        <v>30</v>
      </c>
      <c r="D147" s="3">
        <v>3</v>
      </c>
      <c r="E147" s="3">
        <v>340.387</v>
      </c>
      <c r="F147" s="4" t="str">
        <f>HYPERLINK("http://141.218.60.56/~jnz1568/getInfo.php?workbook=20_13.xlsx&amp;sheet=A0&amp;row=147&amp;col=6&amp;number=40640000&amp;sourceID=14","40640000")</f>
        <v>40640000</v>
      </c>
      <c r="G147" s="4" t="str">
        <f>HYPERLINK("http://141.218.60.56/~jnz1568/getInfo.php?workbook=20_13.xlsx&amp;sheet=A0&amp;row=147&amp;col=7&amp;number=0&amp;sourceID=14","0")</f>
        <v>0</v>
      </c>
    </row>
    <row r="148" spans="1:7">
      <c r="A148" s="3">
        <v>20</v>
      </c>
      <c r="B148" s="3">
        <v>13</v>
      </c>
      <c r="C148" s="3">
        <v>30</v>
      </c>
      <c r="D148" s="3">
        <v>4</v>
      </c>
      <c r="E148" s="3">
        <v>342.228</v>
      </c>
      <c r="F148" s="4" t="str">
        <f>HYPERLINK("http://141.218.60.56/~jnz1568/getInfo.php?workbook=20_13.xlsx&amp;sheet=A0&amp;row=148&amp;col=6&amp;number=18960000&amp;sourceID=14","18960000")</f>
        <v>18960000</v>
      </c>
      <c r="G148" s="4" t="str">
        <f>HYPERLINK("http://141.218.60.56/~jnz1568/getInfo.php?workbook=20_13.xlsx&amp;sheet=A0&amp;row=148&amp;col=7&amp;number=0&amp;sourceID=14","0")</f>
        <v>0</v>
      </c>
    </row>
    <row r="149" spans="1:7">
      <c r="A149" s="3">
        <v>20</v>
      </c>
      <c r="B149" s="3">
        <v>13</v>
      </c>
      <c r="C149" s="3">
        <v>30</v>
      </c>
      <c r="D149" s="3">
        <v>5</v>
      </c>
      <c r="E149" s="3">
        <v>345.016</v>
      </c>
      <c r="F149" s="4" t="str">
        <f>HYPERLINK("http://141.218.60.56/~jnz1568/getInfo.php?workbook=20_13.xlsx&amp;sheet=A0&amp;row=149&amp;col=6&amp;number=15750&amp;sourceID=14","15750")</f>
        <v>15750</v>
      </c>
      <c r="G149" s="4" t="str">
        <f>HYPERLINK("http://141.218.60.56/~jnz1568/getInfo.php?workbook=20_13.xlsx&amp;sheet=A0&amp;row=149&amp;col=7&amp;number=0&amp;sourceID=14","0")</f>
        <v>0</v>
      </c>
    </row>
    <row r="150" spans="1:7">
      <c r="A150" s="3">
        <v>20</v>
      </c>
      <c r="B150" s="3">
        <v>13</v>
      </c>
      <c r="C150" s="3">
        <v>30</v>
      </c>
      <c r="D150" s="3">
        <v>6</v>
      </c>
      <c r="E150" s="3">
        <v>396.778</v>
      </c>
      <c r="F150" s="4" t="str">
        <f>HYPERLINK("http://141.218.60.56/~jnz1568/getInfo.php?workbook=20_13.xlsx&amp;sheet=A0&amp;row=150&amp;col=6&amp;number=17360000000&amp;sourceID=14","17360000000")</f>
        <v>17360000000</v>
      </c>
      <c r="G150" s="4" t="str">
        <f>HYPERLINK("http://141.218.60.56/~jnz1568/getInfo.php?workbook=20_13.xlsx&amp;sheet=A0&amp;row=150&amp;col=7&amp;number=0&amp;sourceID=14","0")</f>
        <v>0</v>
      </c>
    </row>
    <row r="151" spans="1:7">
      <c r="A151" s="3">
        <v>20</v>
      </c>
      <c r="B151" s="3">
        <v>13</v>
      </c>
      <c r="C151" s="3">
        <v>30</v>
      </c>
      <c r="D151" s="3">
        <v>7</v>
      </c>
      <c r="E151" s="3">
        <v>397.182</v>
      </c>
      <c r="F151" s="4" t="str">
        <f>HYPERLINK("http://141.218.60.56/~jnz1568/getInfo.php?workbook=20_13.xlsx&amp;sheet=A0&amp;row=151&amp;col=6&amp;number=1764000000&amp;sourceID=14","1764000000")</f>
        <v>1764000000</v>
      </c>
      <c r="G151" s="4" t="str">
        <f>HYPERLINK("http://141.218.60.56/~jnz1568/getInfo.php?workbook=20_13.xlsx&amp;sheet=A0&amp;row=151&amp;col=7&amp;number=0&amp;sourceID=14","0")</f>
        <v>0</v>
      </c>
    </row>
    <row r="152" spans="1:7">
      <c r="A152" s="3">
        <v>20</v>
      </c>
      <c r="B152" s="3">
        <v>13</v>
      </c>
      <c r="C152" s="3">
        <v>30</v>
      </c>
      <c r="D152" s="3">
        <v>8</v>
      </c>
      <c r="E152" s="3">
        <v>483.047</v>
      </c>
      <c r="F152" s="4" t="str">
        <f>HYPERLINK("http://141.218.60.56/~jnz1568/getInfo.php?workbook=20_13.xlsx&amp;sheet=A0&amp;row=152&amp;col=6&amp;number=10910000&amp;sourceID=14","10910000")</f>
        <v>10910000</v>
      </c>
      <c r="G152" s="4" t="str">
        <f>HYPERLINK("http://141.218.60.56/~jnz1568/getInfo.php?workbook=20_13.xlsx&amp;sheet=A0&amp;row=152&amp;col=7&amp;number=0&amp;sourceID=14","0")</f>
        <v>0</v>
      </c>
    </row>
    <row r="153" spans="1:7">
      <c r="A153" s="3">
        <v>20</v>
      </c>
      <c r="B153" s="3">
        <v>13</v>
      </c>
      <c r="C153" s="3">
        <v>30</v>
      </c>
      <c r="D153" s="3">
        <v>9</v>
      </c>
      <c r="E153" s="3">
        <v>519.238</v>
      </c>
      <c r="F153" s="4" t="str">
        <f>HYPERLINK("http://141.218.60.56/~jnz1568/getInfo.php?workbook=20_13.xlsx&amp;sheet=A0&amp;row=153&amp;col=6&amp;number=356800000&amp;sourceID=14","356800000")</f>
        <v>356800000</v>
      </c>
      <c r="G153" s="4" t="str">
        <f>HYPERLINK("http://141.218.60.56/~jnz1568/getInfo.php?workbook=20_13.xlsx&amp;sheet=A0&amp;row=153&amp;col=7&amp;number=0&amp;sourceID=14","0")</f>
        <v>0</v>
      </c>
    </row>
    <row r="154" spans="1:7">
      <c r="A154" s="3">
        <v>20</v>
      </c>
      <c r="B154" s="3">
        <v>13</v>
      </c>
      <c r="C154" s="3">
        <v>30</v>
      </c>
      <c r="D154" s="3">
        <v>10</v>
      </c>
      <c r="E154" s="3">
        <v>526.277</v>
      </c>
      <c r="F154" s="4" t="str">
        <f>HYPERLINK("http://141.218.60.56/~jnz1568/getInfo.php?workbook=20_13.xlsx&amp;sheet=A0&amp;row=154&amp;col=6&amp;number=99150000&amp;sourceID=14","99150000")</f>
        <v>99150000</v>
      </c>
      <c r="G154" s="4" t="str">
        <f>HYPERLINK("http://141.218.60.56/~jnz1568/getInfo.php?workbook=20_13.xlsx&amp;sheet=A0&amp;row=154&amp;col=7&amp;number=0&amp;sourceID=14","0")</f>
        <v>0</v>
      </c>
    </row>
    <row r="155" spans="1:7">
      <c r="A155" s="3">
        <v>20</v>
      </c>
      <c r="B155" s="3">
        <v>13</v>
      </c>
      <c r="C155" s="3">
        <v>30</v>
      </c>
      <c r="D155" s="3">
        <v>11</v>
      </c>
      <c r="E155" s="3">
        <v>707.95</v>
      </c>
      <c r="F155" s="4" t="str">
        <f>HYPERLINK("http://141.218.60.56/~jnz1568/getInfo.php?workbook=20_13.xlsx&amp;sheet=A0&amp;row=155&amp;col=6&amp;number=207000000&amp;sourceID=14","207000000")</f>
        <v>207000000</v>
      </c>
      <c r="G155" s="4" t="str">
        <f>HYPERLINK("http://141.218.60.56/~jnz1568/getInfo.php?workbook=20_13.xlsx&amp;sheet=A0&amp;row=155&amp;col=7&amp;number=0&amp;sourceID=14","0")</f>
        <v>0</v>
      </c>
    </row>
    <row r="156" spans="1:7">
      <c r="A156" s="3">
        <v>20</v>
      </c>
      <c r="B156" s="3">
        <v>13</v>
      </c>
      <c r="C156" s="3">
        <v>30</v>
      </c>
      <c r="D156" s="3">
        <v>12</v>
      </c>
      <c r="E156" s="3">
        <v>709.059</v>
      </c>
      <c r="F156" s="4" t="str">
        <f>HYPERLINK("http://141.218.60.56/~jnz1568/getInfo.php?workbook=20_13.xlsx&amp;sheet=A0&amp;row=156&amp;col=6&amp;number=15600000&amp;sourceID=14","15600000")</f>
        <v>15600000</v>
      </c>
      <c r="G156" s="4" t="str">
        <f>HYPERLINK("http://141.218.60.56/~jnz1568/getInfo.php?workbook=20_13.xlsx&amp;sheet=A0&amp;row=156&amp;col=7&amp;number=0&amp;sourceID=14","0")</f>
        <v>0</v>
      </c>
    </row>
    <row r="157" spans="1:7">
      <c r="A157" s="3">
        <v>20</v>
      </c>
      <c r="B157" s="3">
        <v>13</v>
      </c>
      <c r="C157" s="3">
        <v>31</v>
      </c>
      <c r="D157" s="3">
        <v>4</v>
      </c>
      <c r="E157" s="3">
        <v>319.854</v>
      </c>
      <c r="F157" s="4" t="str">
        <f>HYPERLINK("http://141.218.60.56/~jnz1568/getInfo.php?workbook=20_13.xlsx&amp;sheet=A0&amp;row=157&amp;col=6&amp;number=5059000&amp;sourceID=14","5059000")</f>
        <v>5059000</v>
      </c>
      <c r="G157" s="4" t="str">
        <f>HYPERLINK("http://141.218.60.56/~jnz1568/getInfo.php?workbook=20_13.xlsx&amp;sheet=A0&amp;row=157&amp;col=7&amp;number=0&amp;sourceID=14","0")</f>
        <v>0</v>
      </c>
    </row>
    <row r="158" spans="1:7">
      <c r="A158" s="3">
        <v>20</v>
      </c>
      <c r="B158" s="3">
        <v>13</v>
      </c>
      <c r="C158" s="3">
        <v>31</v>
      </c>
      <c r="D158" s="3">
        <v>5</v>
      </c>
      <c r="E158" s="3">
        <v>322.287</v>
      </c>
      <c r="F158" s="4" t="str">
        <f>HYPERLINK("http://141.218.60.56/~jnz1568/getInfo.php?workbook=20_13.xlsx&amp;sheet=A0&amp;row=158&amp;col=6&amp;number=2377000&amp;sourceID=14","2377000")</f>
        <v>2377000</v>
      </c>
      <c r="G158" s="4" t="str">
        <f>HYPERLINK("http://141.218.60.56/~jnz1568/getInfo.php?workbook=20_13.xlsx&amp;sheet=A0&amp;row=158&amp;col=7&amp;number=0&amp;sourceID=14","0")</f>
        <v>0</v>
      </c>
    </row>
    <row r="159" spans="1:7">
      <c r="A159" s="3">
        <v>20</v>
      </c>
      <c r="B159" s="3">
        <v>13</v>
      </c>
      <c r="C159" s="3">
        <v>31</v>
      </c>
      <c r="D159" s="3">
        <v>6</v>
      </c>
      <c r="E159" s="3">
        <v>367.013</v>
      </c>
      <c r="F159" s="4" t="str">
        <f>HYPERLINK("http://141.218.60.56/~jnz1568/getInfo.php?workbook=20_13.xlsx&amp;sheet=A0&amp;row=159&amp;col=6&amp;number=7907000000&amp;sourceID=14","7907000000")</f>
        <v>7907000000</v>
      </c>
      <c r="G159" s="4" t="str">
        <f>HYPERLINK("http://141.218.60.56/~jnz1568/getInfo.php?workbook=20_13.xlsx&amp;sheet=A0&amp;row=159&amp;col=7&amp;number=0&amp;sourceID=14","0")</f>
        <v>0</v>
      </c>
    </row>
    <row r="160" spans="1:7">
      <c r="A160" s="3">
        <v>20</v>
      </c>
      <c r="B160" s="3">
        <v>13</v>
      </c>
      <c r="C160" s="3">
        <v>31</v>
      </c>
      <c r="D160" s="3">
        <v>7</v>
      </c>
      <c r="E160" s="3">
        <v>367.358</v>
      </c>
      <c r="F160" s="4" t="str">
        <f>HYPERLINK("http://141.218.60.56/~jnz1568/getInfo.php?workbook=20_13.xlsx&amp;sheet=A0&amp;row=160&amp;col=6&amp;number=805800000&amp;sourceID=14","805800000")</f>
        <v>805800000</v>
      </c>
      <c r="G160" s="4" t="str">
        <f>HYPERLINK("http://141.218.60.56/~jnz1568/getInfo.php?workbook=20_13.xlsx&amp;sheet=A0&amp;row=160&amp;col=7&amp;number=0&amp;sourceID=14","0")</f>
        <v>0</v>
      </c>
    </row>
    <row r="161" spans="1:7">
      <c r="A161" s="3">
        <v>20</v>
      </c>
      <c r="B161" s="3">
        <v>13</v>
      </c>
      <c r="C161" s="3">
        <v>31</v>
      </c>
      <c r="D161" s="3">
        <v>10</v>
      </c>
      <c r="E161" s="3">
        <v>475.163</v>
      </c>
      <c r="F161" s="4" t="str">
        <f>HYPERLINK("http://141.218.60.56/~jnz1568/getInfo.php?workbook=20_13.xlsx&amp;sheet=A0&amp;row=161&amp;col=6&amp;number=433.8&amp;sourceID=14","433.8")</f>
        <v>433.8</v>
      </c>
      <c r="G161" s="4" t="str">
        <f>HYPERLINK("http://141.218.60.56/~jnz1568/getInfo.php?workbook=20_13.xlsx&amp;sheet=A0&amp;row=161&amp;col=7&amp;number=0&amp;sourceID=14","0")</f>
        <v>0</v>
      </c>
    </row>
    <row r="162" spans="1:7">
      <c r="A162" s="3">
        <v>20</v>
      </c>
      <c r="B162" s="3">
        <v>13</v>
      </c>
      <c r="C162" s="3">
        <v>31</v>
      </c>
      <c r="D162" s="3">
        <v>11</v>
      </c>
      <c r="E162" s="3">
        <v>618.456</v>
      </c>
      <c r="F162" s="4" t="str">
        <f>HYPERLINK("http://141.218.60.56/~jnz1568/getInfo.php?workbook=20_13.xlsx&amp;sheet=A0&amp;row=162&amp;col=6&amp;number=754700000&amp;sourceID=14","754700000")</f>
        <v>754700000</v>
      </c>
      <c r="G162" s="4" t="str">
        <f>HYPERLINK("http://141.218.60.56/~jnz1568/getInfo.php?workbook=20_13.xlsx&amp;sheet=A0&amp;row=162&amp;col=7&amp;number=0&amp;sourceID=14","0")</f>
        <v>0</v>
      </c>
    </row>
    <row r="163" spans="1:7">
      <c r="A163" s="3">
        <v>20</v>
      </c>
      <c r="B163" s="3">
        <v>13</v>
      </c>
      <c r="C163" s="3">
        <v>31</v>
      </c>
      <c r="D163" s="3">
        <v>12</v>
      </c>
      <c r="E163" s="3">
        <v>619.302</v>
      </c>
      <c r="F163" s="4" t="str">
        <f>HYPERLINK("http://141.218.60.56/~jnz1568/getInfo.php?workbook=20_13.xlsx&amp;sheet=A0&amp;row=163&amp;col=6&amp;number=87230000&amp;sourceID=14","87230000")</f>
        <v>87230000</v>
      </c>
      <c r="G163" s="4" t="str">
        <f>HYPERLINK("http://141.218.60.56/~jnz1568/getInfo.php?workbook=20_13.xlsx&amp;sheet=A0&amp;row=163&amp;col=7&amp;number=0&amp;sourceID=14","0")</f>
        <v>0</v>
      </c>
    </row>
    <row r="164" spans="1:7">
      <c r="A164" s="3">
        <v>20</v>
      </c>
      <c r="B164" s="3">
        <v>13</v>
      </c>
      <c r="C164" s="3">
        <v>32</v>
      </c>
      <c r="D164" s="3">
        <v>5</v>
      </c>
      <c r="E164" s="3">
        <v>318.78</v>
      </c>
      <c r="F164" s="4" t="str">
        <f>HYPERLINK("http://141.218.60.56/~jnz1568/getInfo.php?workbook=20_13.xlsx&amp;sheet=A0&amp;row=164&amp;col=6&amp;number=32480000&amp;sourceID=14","32480000")</f>
        <v>32480000</v>
      </c>
      <c r="G164" s="4" t="str">
        <f>HYPERLINK("http://141.218.60.56/~jnz1568/getInfo.php?workbook=20_13.xlsx&amp;sheet=A0&amp;row=164&amp;col=7&amp;number=0&amp;sourceID=14","0")</f>
        <v>0</v>
      </c>
    </row>
    <row r="165" spans="1:7">
      <c r="A165" s="3">
        <v>20</v>
      </c>
      <c r="B165" s="3">
        <v>13</v>
      </c>
      <c r="C165" s="3">
        <v>32</v>
      </c>
      <c r="D165" s="3">
        <v>7</v>
      </c>
      <c r="E165" s="3">
        <v>362.808</v>
      </c>
      <c r="F165" s="4" t="str">
        <f>HYPERLINK("http://141.218.60.56/~jnz1568/getInfo.php?workbook=20_13.xlsx&amp;sheet=A0&amp;row=165&amp;col=6&amp;number=8864000000&amp;sourceID=14","8864000000")</f>
        <v>8864000000</v>
      </c>
      <c r="G165" s="4" t="str">
        <f>HYPERLINK("http://141.218.60.56/~jnz1568/getInfo.php?workbook=20_13.xlsx&amp;sheet=A0&amp;row=165&amp;col=7&amp;number=0&amp;sourceID=14","0")</f>
        <v>0</v>
      </c>
    </row>
    <row r="166" spans="1:7">
      <c r="A166" s="3">
        <v>20</v>
      </c>
      <c r="B166" s="3">
        <v>13</v>
      </c>
      <c r="C166" s="3">
        <v>32</v>
      </c>
      <c r="D166" s="3">
        <v>12</v>
      </c>
      <c r="E166" s="3">
        <v>606.48</v>
      </c>
      <c r="F166" s="4" t="str">
        <f>HYPERLINK("http://141.218.60.56/~jnz1568/getInfo.php?workbook=20_13.xlsx&amp;sheet=A0&amp;row=166&amp;col=6&amp;number=927200000&amp;sourceID=14","927200000")</f>
        <v>927200000</v>
      </c>
      <c r="G166" s="4" t="str">
        <f>HYPERLINK("http://141.218.60.56/~jnz1568/getInfo.php?workbook=20_13.xlsx&amp;sheet=A0&amp;row=166&amp;col=7&amp;number=0&amp;sourceID=14","0")</f>
        <v>0</v>
      </c>
    </row>
    <row r="167" spans="1:7">
      <c r="A167" s="3">
        <v>20</v>
      </c>
      <c r="B167" s="3">
        <v>13</v>
      </c>
      <c r="C167" s="3">
        <v>33</v>
      </c>
      <c r="D167" s="3">
        <v>3</v>
      </c>
      <c r="E167" s="3">
        <v>282.423</v>
      </c>
      <c r="F167" s="4" t="str">
        <f>HYPERLINK("http://141.218.60.56/~jnz1568/getInfo.php?workbook=20_13.xlsx&amp;sheet=A0&amp;row=167&amp;col=6&amp;number=23990000&amp;sourceID=14","23990000")</f>
        <v>23990000</v>
      </c>
      <c r="G167" s="4" t="str">
        <f>HYPERLINK("http://141.218.60.56/~jnz1568/getInfo.php?workbook=20_13.xlsx&amp;sheet=A0&amp;row=167&amp;col=7&amp;number=0&amp;sourceID=14","0")</f>
        <v>0</v>
      </c>
    </row>
    <row r="168" spans="1:7">
      <c r="A168" s="3">
        <v>20</v>
      </c>
      <c r="B168" s="3">
        <v>13</v>
      </c>
      <c r="C168" s="3">
        <v>33</v>
      </c>
      <c r="D168" s="3">
        <v>4</v>
      </c>
      <c r="E168" s="3">
        <v>283.689</v>
      </c>
      <c r="F168" s="4" t="str">
        <f>HYPERLINK("http://141.218.60.56/~jnz1568/getInfo.php?workbook=20_13.xlsx&amp;sheet=A0&amp;row=168&amp;col=6&amp;number=1272000&amp;sourceID=14","1272000")</f>
        <v>1272000</v>
      </c>
      <c r="G168" s="4" t="str">
        <f>HYPERLINK("http://141.218.60.56/~jnz1568/getInfo.php?workbook=20_13.xlsx&amp;sheet=A0&amp;row=168&amp;col=7&amp;number=0&amp;sourceID=14","0")</f>
        <v>0</v>
      </c>
    </row>
    <row r="169" spans="1:7">
      <c r="A169" s="3">
        <v>20</v>
      </c>
      <c r="B169" s="3">
        <v>13</v>
      </c>
      <c r="C169" s="3">
        <v>33</v>
      </c>
      <c r="D169" s="3">
        <v>5</v>
      </c>
      <c r="E169" s="3">
        <v>285.602</v>
      </c>
      <c r="F169" s="4" t="str">
        <f>HYPERLINK("http://141.218.60.56/~jnz1568/getInfo.php?workbook=20_13.xlsx&amp;sheet=A0&amp;row=169&amp;col=6&amp;number=1095000&amp;sourceID=14","1095000")</f>
        <v>1095000</v>
      </c>
      <c r="G169" s="4" t="str">
        <f>HYPERLINK("http://141.218.60.56/~jnz1568/getInfo.php?workbook=20_13.xlsx&amp;sheet=A0&amp;row=169&amp;col=7&amp;number=0&amp;sourceID=14","0")</f>
        <v>0</v>
      </c>
    </row>
    <row r="170" spans="1:7">
      <c r="A170" s="3">
        <v>20</v>
      </c>
      <c r="B170" s="3">
        <v>13</v>
      </c>
      <c r="C170" s="3">
        <v>33</v>
      </c>
      <c r="D170" s="3">
        <v>6</v>
      </c>
      <c r="E170" s="3">
        <v>320.178</v>
      </c>
      <c r="F170" s="4" t="str">
        <f>HYPERLINK("http://141.218.60.56/~jnz1568/getInfo.php?workbook=20_13.xlsx&amp;sheet=A0&amp;row=170&amp;col=6&amp;number=1307&amp;sourceID=14","1307")</f>
        <v>1307</v>
      </c>
      <c r="G170" s="4" t="str">
        <f>HYPERLINK("http://141.218.60.56/~jnz1568/getInfo.php?workbook=20_13.xlsx&amp;sheet=A0&amp;row=170&amp;col=7&amp;number=0&amp;sourceID=14","0")</f>
        <v>0</v>
      </c>
    </row>
    <row r="171" spans="1:7">
      <c r="A171" s="3">
        <v>20</v>
      </c>
      <c r="B171" s="3">
        <v>13</v>
      </c>
      <c r="C171" s="3">
        <v>33</v>
      </c>
      <c r="D171" s="3">
        <v>7</v>
      </c>
      <c r="E171" s="3">
        <v>320.441</v>
      </c>
      <c r="F171" s="4" t="str">
        <f>HYPERLINK("http://141.218.60.56/~jnz1568/getInfo.php?workbook=20_13.xlsx&amp;sheet=A0&amp;row=171&amp;col=6&amp;number=210900&amp;sourceID=14","210900")</f>
        <v>210900</v>
      </c>
      <c r="G171" s="4" t="str">
        <f>HYPERLINK("http://141.218.60.56/~jnz1568/getInfo.php?workbook=20_13.xlsx&amp;sheet=A0&amp;row=171&amp;col=7&amp;number=0&amp;sourceID=14","0")</f>
        <v>0</v>
      </c>
    </row>
    <row r="172" spans="1:7">
      <c r="A172" s="3">
        <v>20</v>
      </c>
      <c r="B172" s="3">
        <v>13</v>
      </c>
      <c r="C172" s="3">
        <v>33</v>
      </c>
      <c r="D172" s="3">
        <v>8</v>
      </c>
      <c r="E172" s="3">
        <v>374.09</v>
      </c>
      <c r="F172" s="4" t="str">
        <f>HYPERLINK("http://141.218.60.56/~jnz1568/getInfo.php?workbook=20_13.xlsx&amp;sheet=A0&amp;row=172&amp;col=6&amp;number=19280000000&amp;sourceID=14","19280000000")</f>
        <v>19280000000</v>
      </c>
      <c r="G172" s="4" t="str">
        <f>HYPERLINK("http://141.218.60.56/~jnz1568/getInfo.php?workbook=20_13.xlsx&amp;sheet=A0&amp;row=172&amp;col=7&amp;number=0&amp;sourceID=14","0")</f>
        <v>0</v>
      </c>
    </row>
    <row r="173" spans="1:7">
      <c r="A173" s="3">
        <v>20</v>
      </c>
      <c r="B173" s="3">
        <v>13</v>
      </c>
      <c r="C173" s="3">
        <v>33</v>
      </c>
      <c r="D173" s="3">
        <v>9</v>
      </c>
      <c r="E173" s="3">
        <v>395.435</v>
      </c>
      <c r="F173" s="4" t="str">
        <f>HYPERLINK("http://141.218.60.56/~jnz1568/getInfo.php?workbook=20_13.xlsx&amp;sheet=A0&amp;row=173&amp;col=6&amp;number=1146000000&amp;sourceID=14","1146000000")</f>
        <v>1146000000</v>
      </c>
      <c r="G173" s="4" t="str">
        <f>HYPERLINK("http://141.218.60.56/~jnz1568/getInfo.php?workbook=20_13.xlsx&amp;sheet=A0&amp;row=173&amp;col=7&amp;number=0&amp;sourceID=14","0")</f>
        <v>0</v>
      </c>
    </row>
    <row r="174" spans="1:7">
      <c r="A174" s="3">
        <v>20</v>
      </c>
      <c r="B174" s="3">
        <v>13</v>
      </c>
      <c r="C174" s="3">
        <v>33</v>
      </c>
      <c r="D174" s="3">
        <v>10</v>
      </c>
      <c r="E174" s="3">
        <v>399.505</v>
      </c>
      <c r="F174" s="4" t="str">
        <f>HYPERLINK("http://141.218.60.56/~jnz1568/getInfo.php?workbook=20_13.xlsx&amp;sheet=A0&amp;row=174&amp;col=6&amp;number=6914000000&amp;sourceID=14","6914000000")</f>
        <v>6914000000</v>
      </c>
      <c r="G174" s="4" t="str">
        <f>HYPERLINK("http://141.218.60.56/~jnz1568/getInfo.php?workbook=20_13.xlsx&amp;sheet=A0&amp;row=174&amp;col=7&amp;number=0&amp;sourceID=14","0")</f>
        <v>0</v>
      </c>
    </row>
    <row r="175" spans="1:7">
      <c r="A175" s="3">
        <v>20</v>
      </c>
      <c r="B175" s="3">
        <v>13</v>
      </c>
      <c r="C175" s="3">
        <v>33</v>
      </c>
      <c r="D175" s="3">
        <v>11</v>
      </c>
      <c r="E175" s="3">
        <v>496.157</v>
      </c>
      <c r="F175" s="4" t="str">
        <f>HYPERLINK("http://141.218.60.56/~jnz1568/getInfo.php?workbook=20_13.xlsx&amp;sheet=A0&amp;row=175&amp;col=6&amp;number=37510000&amp;sourceID=14","37510000")</f>
        <v>37510000</v>
      </c>
      <c r="G175" s="4" t="str">
        <f>HYPERLINK("http://141.218.60.56/~jnz1568/getInfo.php?workbook=20_13.xlsx&amp;sheet=A0&amp;row=175&amp;col=7&amp;number=0&amp;sourceID=14","0")</f>
        <v>0</v>
      </c>
    </row>
    <row r="176" spans="1:7">
      <c r="A176" s="3">
        <v>20</v>
      </c>
      <c r="B176" s="3">
        <v>13</v>
      </c>
      <c r="C176" s="3">
        <v>33</v>
      </c>
      <c r="D176" s="3">
        <v>12</v>
      </c>
      <c r="E176" s="3">
        <v>496.702</v>
      </c>
      <c r="F176" s="4" t="str">
        <f>HYPERLINK("http://141.218.60.56/~jnz1568/getInfo.php?workbook=20_13.xlsx&amp;sheet=A0&amp;row=176&amp;col=6&amp;number=18810000&amp;sourceID=14","18810000")</f>
        <v>18810000</v>
      </c>
      <c r="G176" s="4" t="str">
        <f>HYPERLINK("http://141.218.60.56/~jnz1568/getInfo.php?workbook=20_13.xlsx&amp;sheet=A0&amp;row=176&amp;col=7&amp;number=0&amp;sourceID=14","0")</f>
        <v>0</v>
      </c>
    </row>
    <row r="177" spans="1:7">
      <c r="A177" s="3">
        <v>20</v>
      </c>
      <c r="B177" s="3">
        <v>13</v>
      </c>
      <c r="C177" s="3">
        <v>34</v>
      </c>
      <c r="D177" s="3">
        <v>3</v>
      </c>
      <c r="E177" s="3">
        <v>281.318</v>
      </c>
      <c r="F177" s="4" t="str">
        <f>HYPERLINK("http://141.218.60.56/~jnz1568/getInfo.php?workbook=20_13.xlsx&amp;sheet=A0&amp;row=177&amp;col=6&amp;number=12490000&amp;sourceID=14","12490000")</f>
        <v>12490000</v>
      </c>
      <c r="G177" s="4" t="str">
        <f>HYPERLINK("http://141.218.60.56/~jnz1568/getInfo.php?workbook=20_13.xlsx&amp;sheet=A0&amp;row=177&amp;col=7&amp;number=0&amp;sourceID=14","0")</f>
        <v>0</v>
      </c>
    </row>
    <row r="178" spans="1:7">
      <c r="A178" s="3">
        <v>20</v>
      </c>
      <c r="B178" s="3">
        <v>13</v>
      </c>
      <c r="C178" s="3">
        <v>34</v>
      </c>
      <c r="D178" s="3">
        <v>4</v>
      </c>
      <c r="E178" s="3">
        <v>282.574</v>
      </c>
      <c r="F178" s="4" t="str">
        <f>HYPERLINK("http://141.218.60.56/~jnz1568/getInfo.php?workbook=20_13.xlsx&amp;sheet=A0&amp;row=178&amp;col=6&amp;number=1729000&amp;sourceID=14","1729000")</f>
        <v>1729000</v>
      </c>
      <c r="G178" s="4" t="str">
        <f>HYPERLINK("http://141.218.60.56/~jnz1568/getInfo.php?workbook=20_13.xlsx&amp;sheet=A0&amp;row=178&amp;col=7&amp;number=0&amp;sourceID=14","0")</f>
        <v>0</v>
      </c>
    </row>
    <row r="179" spans="1:7">
      <c r="A179" s="3">
        <v>20</v>
      </c>
      <c r="B179" s="3">
        <v>13</v>
      </c>
      <c r="C179" s="3">
        <v>34</v>
      </c>
      <c r="D179" s="3">
        <v>6</v>
      </c>
      <c r="E179" s="3">
        <v>318.76</v>
      </c>
      <c r="F179" s="4" t="str">
        <f>HYPERLINK("http://141.218.60.56/~jnz1568/getInfo.php?workbook=20_13.xlsx&amp;sheet=A0&amp;row=179&amp;col=6&amp;number=4815000&amp;sourceID=14","4815000")</f>
        <v>4815000</v>
      </c>
      <c r="G179" s="4" t="str">
        <f>HYPERLINK("http://141.218.60.56/~jnz1568/getInfo.php?workbook=20_13.xlsx&amp;sheet=A0&amp;row=179&amp;col=7&amp;number=0&amp;sourceID=14","0")</f>
        <v>0</v>
      </c>
    </row>
    <row r="180" spans="1:7">
      <c r="A180" s="3">
        <v>20</v>
      </c>
      <c r="B180" s="3">
        <v>13</v>
      </c>
      <c r="C180" s="3">
        <v>34</v>
      </c>
      <c r="D180" s="3">
        <v>8</v>
      </c>
      <c r="E180" s="3">
        <v>372.155</v>
      </c>
      <c r="F180" s="4" t="str">
        <f>HYPERLINK("http://141.218.60.56/~jnz1568/getInfo.php?workbook=20_13.xlsx&amp;sheet=A0&amp;row=180&amp;col=6&amp;number=14790000000&amp;sourceID=14","14790000000")</f>
        <v>14790000000</v>
      </c>
      <c r="G180" s="4" t="str">
        <f>HYPERLINK("http://141.218.60.56/~jnz1568/getInfo.php?workbook=20_13.xlsx&amp;sheet=A0&amp;row=180&amp;col=7&amp;number=0&amp;sourceID=14","0")</f>
        <v>0</v>
      </c>
    </row>
    <row r="181" spans="1:7">
      <c r="A181" s="3">
        <v>20</v>
      </c>
      <c r="B181" s="3">
        <v>13</v>
      </c>
      <c r="C181" s="3">
        <v>34</v>
      </c>
      <c r="D181" s="3">
        <v>9</v>
      </c>
      <c r="E181" s="3">
        <v>393.273</v>
      </c>
      <c r="F181" s="4" t="str">
        <f>HYPERLINK("http://141.218.60.56/~jnz1568/getInfo.php?workbook=20_13.xlsx&amp;sheet=A0&amp;row=181&amp;col=6&amp;number=8949000000&amp;sourceID=14","8949000000")</f>
        <v>8949000000</v>
      </c>
      <c r="G181" s="4" t="str">
        <f>HYPERLINK("http://141.218.60.56/~jnz1568/getInfo.php?workbook=20_13.xlsx&amp;sheet=A0&amp;row=181&amp;col=7&amp;number=0&amp;sourceID=14","0")</f>
        <v>0</v>
      </c>
    </row>
    <row r="182" spans="1:7">
      <c r="A182" s="3">
        <v>20</v>
      </c>
      <c r="B182" s="3">
        <v>13</v>
      </c>
      <c r="C182" s="3">
        <v>34</v>
      </c>
      <c r="D182" s="3">
        <v>10</v>
      </c>
      <c r="E182" s="3">
        <v>397.298</v>
      </c>
      <c r="F182" s="4" t="str">
        <f>HYPERLINK("http://141.218.60.56/~jnz1568/getInfo.php?workbook=20_13.xlsx&amp;sheet=A0&amp;row=182&amp;col=6&amp;number=2807000000&amp;sourceID=14","2807000000")</f>
        <v>2807000000</v>
      </c>
      <c r="G182" s="4" t="str">
        <f>HYPERLINK("http://141.218.60.56/~jnz1568/getInfo.php?workbook=20_13.xlsx&amp;sheet=A0&amp;row=182&amp;col=7&amp;number=0&amp;sourceID=14","0")</f>
        <v>0</v>
      </c>
    </row>
    <row r="183" spans="1:7">
      <c r="A183" s="3">
        <v>20</v>
      </c>
      <c r="B183" s="3">
        <v>13</v>
      </c>
      <c r="C183" s="3">
        <v>34</v>
      </c>
      <c r="D183" s="3">
        <v>11</v>
      </c>
      <c r="E183" s="3">
        <v>492.759</v>
      </c>
      <c r="F183" s="4" t="str">
        <f>HYPERLINK("http://141.218.60.56/~jnz1568/getInfo.php?workbook=20_13.xlsx&amp;sheet=A0&amp;row=183&amp;col=6&amp;number=20700000&amp;sourceID=14","20700000")</f>
        <v>20700000</v>
      </c>
      <c r="G183" s="4" t="str">
        <f>HYPERLINK("http://141.218.60.56/~jnz1568/getInfo.php?workbook=20_13.xlsx&amp;sheet=A0&amp;row=183&amp;col=7&amp;number=0&amp;sourceID=14","0")</f>
        <v>0</v>
      </c>
    </row>
    <row r="184" spans="1:7">
      <c r="A184" s="3">
        <v>20</v>
      </c>
      <c r="B184" s="3">
        <v>13</v>
      </c>
      <c r="C184" s="3">
        <v>35</v>
      </c>
      <c r="D184" s="3">
        <v>5</v>
      </c>
      <c r="E184" s="3">
        <v>283.738</v>
      </c>
      <c r="F184" s="4" t="str">
        <f>HYPERLINK("http://141.218.60.56/~jnz1568/getInfo.php?workbook=20_13.xlsx&amp;sheet=A0&amp;row=184&amp;col=6&amp;number=21920000&amp;sourceID=14","21920000")</f>
        <v>21920000</v>
      </c>
      <c r="G184" s="4" t="str">
        <f>HYPERLINK("http://141.218.60.56/~jnz1568/getInfo.php?workbook=20_13.xlsx&amp;sheet=A0&amp;row=184&amp;col=7&amp;number=0&amp;sourceID=14","0")</f>
        <v>0</v>
      </c>
    </row>
    <row r="185" spans="1:7">
      <c r="A185" s="3">
        <v>20</v>
      </c>
      <c r="B185" s="3">
        <v>13</v>
      </c>
      <c r="C185" s="3">
        <v>35</v>
      </c>
      <c r="D185" s="3">
        <v>7</v>
      </c>
      <c r="E185" s="3">
        <v>318.096</v>
      </c>
      <c r="F185" s="4" t="str">
        <f>HYPERLINK("http://141.218.60.56/~jnz1568/getInfo.php?workbook=20_13.xlsx&amp;sheet=A0&amp;row=185&amp;col=6&amp;number=17350000000&amp;sourceID=14","17350000000")</f>
        <v>17350000000</v>
      </c>
      <c r="G185" s="4" t="str">
        <f>HYPERLINK("http://141.218.60.56/~jnz1568/getInfo.php?workbook=20_13.xlsx&amp;sheet=A0&amp;row=185&amp;col=7&amp;number=0&amp;sourceID=14","0")</f>
        <v>0</v>
      </c>
    </row>
    <row r="186" spans="1:7">
      <c r="A186" s="3">
        <v>20</v>
      </c>
      <c r="B186" s="3">
        <v>13</v>
      </c>
      <c r="C186" s="3">
        <v>35</v>
      </c>
      <c r="D186" s="3">
        <v>12</v>
      </c>
      <c r="E186" s="3">
        <v>491.092</v>
      </c>
      <c r="F186" s="4" t="str">
        <f>HYPERLINK("http://141.218.60.56/~jnz1568/getInfo.php?workbook=20_13.xlsx&amp;sheet=A0&amp;row=186&amp;col=6&amp;number=12340000000&amp;sourceID=14","12340000000")</f>
        <v>12340000000</v>
      </c>
      <c r="G186" s="4" t="str">
        <f>HYPERLINK("http://141.218.60.56/~jnz1568/getInfo.php?workbook=20_13.xlsx&amp;sheet=A0&amp;row=186&amp;col=7&amp;number=0&amp;sourceID=14","0")</f>
        <v>0</v>
      </c>
    </row>
    <row r="187" spans="1:7">
      <c r="A187" s="3">
        <v>20</v>
      </c>
      <c r="B187" s="3">
        <v>13</v>
      </c>
      <c r="C187" s="3">
        <v>36</v>
      </c>
      <c r="D187" s="3">
        <v>4</v>
      </c>
      <c r="E187" s="3">
        <v>281.153</v>
      </c>
      <c r="F187" s="4" t="str">
        <f>HYPERLINK("http://141.218.60.56/~jnz1568/getInfo.php?workbook=20_13.xlsx&amp;sheet=A0&amp;row=187&amp;col=6&amp;number=2619000&amp;sourceID=14","2619000")</f>
        <v>2619000</v>
      </c>
      <c r="G187" s="4" t="str">
        <f>HYPERLINK("http://141.218.60.56/~jnz1568/getInfo.php?workbook=20_13.xlsx&amp;sheet=A0&amp;row=187&amp;col=7&amp;number=0&amp;sourceID=14","0")</f>
        <v>0</v>
      </c>
    </row>
    <row r="188" spans="1:7">
      <c r="A188" s="3">
        <v>20</v>
      </c>
      <c r="B188" s="3">
        <v>13</v>
      </c>
      <c r="C188" s="3">
        <v>36</v>
      </c>
      <c r="D188" s="3">
        <v>5</v>
      </c>
      <c r="E188" s="3">
        <v>283.032</v>
      </c>
      <c r="F188" s="4" t="str">
        <f>HYPERLINK("http://141.218.60.56/~jnz1568/getInfo.php?workbook=20_13.xlsx&amp;sheet=A0&amp;row=188&amp;col=6&amp;number=1248000&amp;sourceID=14","1248000")</f>
        <v>1248000</v>
      </c>
      <c r="G188" s="4" t="str">
        <f>HYPERLINK("http://141.218.60.56/~jnz1568/getInfo.php?workbook=20_13.xlsx&amp;sheet=A0&amp;row=188&amp;col=7&amp;number=0&amp;sourceID=14","0")</f>
        <v>0</v>
      </c>
    </row>
    <row r="189" spans="1:7">
      <c r="A189" s="3">
        <v>20</v>
      </c>
      <c r="B189" s="3">
        <v>13</v>
      </c>
      <c r="C189" s="3">
        <v>36</v>
      </c>
      <c r="D189" s="3">
        <v>6</v>
      </c>
      <c r="E189" s="3">
        <v>316.952</v>
      </c>
      <c r="F189" s="4" t="str">
        <f>HYPERLINK("http://141.218.60.56/~jnz1568/getInfo.php?workbook=20_13.xlsx&amp;sheet=A0&amp;row=189&amp;col=6&amp;number=16240000000&amp;sourceID=14","16240000000")</f>
        <v>16240000000</v>
      </c>
      <c r="G189" s="4" t="str">
        <f>HYPERLINK("http://141.218.60.56/~jnz1568/getInfo.php?workbook=20_13.xlsx&amp;sheet=A0&amp;row=189&amp;col=7&amp;number=0&amp;sourceID=14","0")</f>
        <v>0</v>
      </c>
    </row>
    <row r="190" spans="1:7">
      <c r="A190" s="3">
        <v>20</v>
      </c>
      <c r="B190" s="3">
        <v>13</v>
      </c>
      <c r="C190" s="3">
        <v>36</v>
      </c>
      <c r="D190" s="3">
        <v>7</v>
      </c>
      <c r="E190" s="3">
        <v>317.21</v>
      </c>
      <c r="F190" s="4" t="str">
        <f>HYPERLINK("http://141.218.60.56/~jnz1568/getInfo.php?workbook=20_13.xlsx&amp;sheet=A0&amp;row=190&amp;col=6&amp;number=1072000000&amp;sourceID=14","1072000000")</f>
        <v>1072000000</v>
      </c>
      <c r="G190" s="4" t="str">
        <f>HYPERLINK("http://141.218.60.56/~jnz1568/getInfo.php?workbook=20_13.xlsx&amp;sheet=A0&amp;row=190&amp;col=7&amp;number=0&amp;sourceID=14","0")</f>
        <v>0</v>
      </c>
    </row>
    <row r="191" spans="1:7">
      <c r="A191" s="3">
        <v>20</v>
      </c>
      <c r="B191" s="3">
        <v>13</v>
      </c>
      <c r="C191" s="3">
        <v>36</v>
      </c>
      <c r="D191" s="3">
        <v>10</v>
      </c>
      <c r="E191" s="3">
        <v>394.494</v>
      </c>
      <c r="F191" s="4" t="str">
        <f>HYPERLINK("http://141.218.60.56/~jnz1568/getInfo.php?workbook=20_13.xlsx&amp;sheet=A0&amp;row=191&amp;col=6&amp;number=14920000&amp;sourceID=14","14920000")</f>
        <v>14920000</v>
      </c>
      <c r="G191" s="4" t="str">
        <f>HYPERLINK("http://141.218.60.56/~jnz1568/getInfo.php?workbook=20_13.xlsx&amp;sheet=A0&amp;row=191&amp;col=7&amp;number=0&amp;sourceID=14","0")</f>
        <v>0</v>
      </c>
    </row>
    <row r="192" spans="1:7">
      <c r="A192" s="3">
        <v>20</v>
      </c>
      <c r="B192" s="3">
        <v>13</v>
      </c>
      <c r="C192" s="3">
        <v>36</v>
      </c>
      <c r="D192" s="3">
        <v>11</v>
      </c>
      <c r="E192" s="3">
        <v>488.453</v>
      </c>
      <c r="F192" s="4" t="str">
        <f>HYPERLINK("http://141.218.60.56/~jnz1568/getInfo.php?workbook=20_13.xlsx&amp;sheet=A0&amp;row=192&amp;col=6&amp;number=11900000000&amp;sourceID=14","11900000000")</f>
        <v>11900000000</v>
      </c>
      <c r="G192" s="4" t="str">
        <f>HYPERLINK("http://141.218.60.56/~jnz1568/getInfo.php?workbook=20_13.xlsx&amp;sheet=A0&amp;row=192&amp;col=7&amp;number=0&amp;sourceID=14","0")</f>
        <v>0</v>
      </c>
    </row>
    <row r="193" spans="1:7">
      <c r="A193" s="3">
        <v>20</v>
      </c>
      <c r="B193" s="3">
        <v>13</v>
      </c>
      <c r="C193" s="3">
        <v>36</v>
      </c>
      <c r="D193" s="3">
        <v>12</v>
      </c>
      <c r="E193" s="3">
        <v>488.981</v>
      </c>
      <c r="F193" s="4" t="str">
        <f>HYPERLINK("http://141.218.60.56/~jnz1568/getInfo.php?workbook=20_13.xlsx&amp;sheet=A0&amp;row=193&amp;col=6&amp;number=728100000&amp;sourceID=14","728100000")</f>
        <v>728100000</v>
      </c>
      <c r="G193" s="4" t="str">
        <f>HYPERLINK("http://141.218.60.56/~jnz1568/getInfo.php?workbook=20_13.xlsx&amp;sheet=A0&amp;row=193&amp;col=7&amp;number=0&amp;sourceID=14","0")</f>
        <v>0</v>
      </c>
    </row>
    <row r="194" spans="1:7">
      <c r="A194" s="3">
        <v>20</v>
      </c>
      <c r="B194" s="3">
        <v>13</v>
      </c>
      <c r="C194" s="3">
        <v>37</v>
      </c>
      <c r="D194" s="3">
        <v>3</v>
      </c>
      <c r="E194" s="3">
        <v>268.713</v>
      </c>
      <c r="F194" s="4" t="str">
        <f>HYPERLINK("http://141.218.60.56/~jnz1568/getInfo.php?workbook=20_13.xlsx&amp;sheet=A0&amp;row=194&amp;col=6&amp;number=4856&amp;sourceID=14","4856")</f>
        <v>4856</v>
      </c>
      <c r="G194" s="4" t="str">
        <f>HYPERLINK("http://141.218.60.56/~jnz1568/getInfo.php?workbook=20_13.xlsx&amp;sheet=A0&amp;row=194&amp;col=7&amp;number=0&amp;sourceID=14","0")</f>
        <v>0</v>
      </c>
    </row>
    <row r="195" spans="1:7">
      <c r="A195" s="3">
        <v>20</v>
      </c>
      <c r="B195" s="3">
        <v>13</v>
      </c>
      <c r="C195" s="3">
        <v>37</v>
      </c>
      <c r="D195" s="3">
        <v>4</v>
      </c>
      <c r="E195" s="3">
        <v>269.859</v>
      </c>
      <c r="F195" s="4" t="str">
        <f>HYPERLINK("http://141.218.60.56/~jnz1568/getInfo.php?workbook=20_13.xlsx&amp;sheet=A0&amp;row=195&amp;col=6&amp;number=5468&amp;sourceID=14","5468")</f>
        <v>5468</v>
      </c>
      <c r="G195" s="4" t="str">
        <f>HYPERLINK("http://141.218.60.56/~jnz1568/getInfo.php?workbook=20_13.xlsx&amp;sheet=A0&amp;row=195&amp;col=7&amp;number=0&amp;sourceID=14","0")</f>
        <v>0</v>
      </c>
    </row>
    <row r="196" spans="1:7">
      <c r="A196" s="3">
        <v>20</v>
      </c>
      <c r="B196" s="3">
        <v>13</v>
      </c>
      <c r="C196" s="3">
        <v>37</v>
      </c>
      <c r="D196" s="3">
        <v>6</v>
      </c>
      <c r="E196" s="3">
        <v>302.672</v>
      </c>
      <c r="F196" s="4" t="str">
        <f>HYPERLINK("http://141.218.60.56/~jnz1568/getInfo.php?workbook=20_13.xlsx&amp;sheet=A0&amp;row=196&amp;col=6&amp;number=156400000&amp;sourceID=14","156400000")</f>
        <v>156400000</v>
      </c>
      <c r="G196" s="4" t="str">
        <f>HYPERLINK("http://141.218.60.56/~jnz1568/getInfo.php?workbook=20_13.xlsx&amp;sheet=A0&amp;row=196&amp;col=7&amp;number=0&amp;sourceID=14","0")</f>
        <v>0</v>
      </c>
    </row>
    <row r="197" spans="1:7">
      <c r="A197" s="3">
        <v>20</v>
      </c>
      <c r="B197" s="3">
        <v>13</v>
      </c>
      <c r="C197" s="3">
        <v>37</v>
      </c>
      <c r="D197" s="3">
        <v>8</v>
      </c>
      <c r="E197" s="3">
        <v>350.41</v>
      </c>
      <c r="F197" s="4" t="str">
        <f>HYPERLINK("http://141.218.60.56/~jnz1568/getInfo.php?workbook=20_13.xlsx&amp;sheet=A0&amp;row=197&amp;col=6&amp;number=6054000000&amp;sourceID=14","6054000000")</f>
        <v>6054000000</v>
      </c>
      <c r="G197" s="4" t="str">
        <f>HYPERLINK("http://141.218.60.56/~jnz1568/getInfo.php?workbook=20_13.xlsx&amp;sheet=A0&amp;row=197&amp;col=7&amp;number=0&amp;sourceID=14","0")</f>
        <v>0</v>
      </c>
    </row>
    <row r="198" spans="1:7">
      <c r="A198" s="3">
        <v>20</v>
      </c>
      <c r="B198" s="3">
        <v>13</v>
      </c>
      <c r="C198" s="3">
        <v>37</v>
      </c>
      <c r="D198" s="3">
        <v>9</v>
      </c>
      <c r="E198" s="3">
        <v>369.07</v>
      </c>
      <c r="F198" s="4" t="str">
        <f>HYPERLINK("http://141.218.60.56/~jnz1568/getInfo.php?workbook=20_13.xlsx&amp;sheet=A0&amp;row=198&amp;col=6&amp;number=7545000000&amp;sourceID=14","7545000000")</f>
        <v>7545000000</v>
      </c>
      <c r="G198" s="4" t="str">
        <f>HYPERLINK("http://141.218.60.56/~jnz1568/getInfo.php?workbook=20_13.xlsx&amp;sheet=A0&amp;row=198&amp;col=7&amp;number=0&amp;sourceID=14","0")</f>
        <v>0</v>
      </c>
    </row>
    <row r="199" spans="1:7">
      <c r="A199" s="3">
        <v>20</v>
      </c>
      <c r="B199" s="3">
        <v>13</v>
      </c>
      <c r="C199" s="3">
        <v>37</v>
      </c>
      <c r="D199" s="3">
        <v>10</v>
      </c>
      <c r="E199" s="3">
        <v>372.613</v>
      </c>
      <c r="F199" s="4" t="str">
        <f>HYPERLINK("http://141.218.60.56/~jnz1568/getInfo.php?workbook=20_13.xlsx&amp;sheet=A0&amp;row=199&amp;col=6&amp;number=4887000000&amp;sourceID=14","4887000000")</f>
        <v>4887000000</v>
      </c>
      <c r="G199" s="4" t="str">
        <f>HYPERLINK("http://141.218.60.56/~jnz1568/getInfo.php?workbook=20_13.xlsx&amp;sheet=A0&amp;row=199&amp;col=7&amp;number=0&amp;sourceID=14","0")</f>
        <v>0</v>
      </c>
    </row>
    <row r="200" spans="1:7">
      <c r="A200" s="3">
        <v>20</v>
      </c>
      <c r="B200" s="3">
        <v>13</v>
      </c>
      <c r="C200" s="3">
        <v>37</v>
      </c>
      <c r="D200" s="3">
        <v>11</v>
      </c>
      <c r="E200" s="3">
        <v>455.344</v>
      </c>
      <c r="F200" s="4" t="str">
        <f>HYPERLINK("http://141.218.60.56/~jnz1568/getInfo.php?workbook=20_13.xlsx&amp;sheet=A0&amp;row=200&amp;col=6&amp;number=15670000000&amp;sourceID=14","15670000000")</f>
        <v>15670000000</v>
      </c>
      <c r="G200" s="4" t="str">
        <f>HYPERLINK("http://141.218.60.56/~jnz1568/getInfo.php?workbook=20_13.xlsx&amp;sheet=A0&amp;row=200&amp;col=7&amp;number=0&amp;sourceID=14","0")</f>
        <v>0</v>
      </c>
    </row>
    <row r="201" spans="1:7">
      <c r="A201" s="3">
        <v>20</v>
      </c>
      <c r="B201" s="3">
        <v>13</v>
      </c>
      <c r="C201" s="3">
        <v>38</v>
      </c>
      <c r="D201" s="3">
        <v>3</v>
      </c>
      <c r="E201" s="3">
        <v>268.546</v>
      </c>
      <c r="F201" s="4" t="str">
        <f>HYPERLINK("http://141.218.60.56/~jnz1568/getInfo.php?workbook=20_13.xlsx&amp;sheet=A0&amp;row=201&amp;col=6&amp;number=117200&amp;sourceID=14","117200")</f>
        <v>117200</v>
      </c>
      <c r="G201" s="4" t="str">
        <f>HYPERLINK("http://141.218.60.56/~jnz1568/getInfo.php?workbook=20_13.xlsx&amp;sheet=A0&amp;row=201&amp;col=7&amp;number=0&amp;sourceID=14","0")</f>
        <v>0</v>
      </c>
    </row>
    <row r="202" spans="1:7">
      <c r="A202" s="3">
        <v>20</v>
      </c>
      <c r="B202" s="3">
        <v>13</v>
      </c>
      <c r="C202" s="3">
        <v>38</v>
      </c>
      <c r="D202" s="3">
        <v>4</v>
      </c>
      <c r="E202" s="3">
        <v>269.691</v>
      </c>
      <c r="F202" s="4" t="str">
        <f>HYPERLINK("http://141.218.60.56/~jnz1568/getInfo.php?workbook=20_13.xlsx&amp;sheet=A0&amp;row=202&amp;col=6&amp;number=443500&amp;sourceID=14","443500")</f>
        <v>443500</v>
      </c>
      <c r="G202" s="4" t="str">
        <f>HYPERLINK("http://141.218.60.56/~jnz1568/getInfo.php?workbook=20_13.xlsx&amp;sheet=A0&amp;row=202&amp;col=7&amp;number=0&amp;sourceID=14","0")</f>
        <v>0</v>
      </c>
    </row>
    <row r="203" spans="1:7">
      <c r="A203" s="3">
        <v>20</v>
      </c>
      <c r="B203" s="3">
        <v>13</v>
      </c>
      <c r="C203" s="3">
        <v>38</v>
      </c>
      <c r="D203" s="3">
        <v>5</v>
      </c>
      <c r="E203" s="3">
        <v>271.419</v>
      </c>
      <c r="F203" s="4" t="str">
        <f>HYPERLINK("http://141.218.60.56/~jnz1568/getInfo.php?workbook=20_13.xlsx&amp;sheet=A0&amp;row=203&amp;col=6&amp;number=512300&amp;sourceID=14","512300")</f>
        <v>512300</v>
      </c>
      <c r="G203" s="4" t="str">
        <f>HYPERLINK("http://141.218.60.56/~jnz1568/getInfo.php?workbook=20_13.xlsx&amp;sheet=A0&amp;row=203&amp;col=7&amp;number=0&amp;sourceID=14","0")</f>
        <v>0</v>
      </c>
    </row>
    <row r="204" spans="1:7">
      <c r="A204" s="3">
        <v>20</v>
      </c>
      <c r="B204" s="3">
        <v>13</v>
      </c>
      <c r="C204" s="3">
        <v>38</v>
      </c>
      <c r="D204" s="3">
        <v>6</v>
      </c>
      <c r="E204" s="3">
        <v>302.46</v>
      </c>
      <c r="F204" s="4" t="str">
        <f>HYPERLINK("http://141.218.60.56/~jnz1568/getInfo.php?workbook=20_13.xlsx&amp;sheet=A0&amp;row=204&amp;col=6&amp;number=25770000&amp;sourceID=14","25770000")</f>
        <v>25770000</v>
      </c>
      <c r="G204" s="4" t="str">
        <f>HYPERLINK("http://141.218.60.56/~jnz1568/getInfo.php?workbook=20_13.xlsx&amp;sheet=A0&amp;row=204&amp;col=7&amp;number=0&amp;sourceID=14","0")</f>
        <v>0</v>
      </c>
    </row>
    <row r="205" spans="1:7">
      <c r="A205" s="3">
        <v>20</v>
      </c>
      <c r="B205" s="3">
        <v>13</v>
      </c>
      <c r="C205" s="3">
        <v>38</v>
      </c>
      <c r="D205" s="3">
        <v>7</v>
      </c>
      <c r="E205" s="3">
        <v>302.695</v>
      </c>
      <c r="F205" s="4" t="str">
        <f>HYPERLINK("http://141.218.60.56/~jnz1568/getInfo.php?workbook=20_13.xlsx&amp;sheet=A0&amp;row=205&amp;col=6&amp;number=215700000&amp;sourceID=14","215700000")</f>
        <v>215700000</v>
      </c>
      <c r="G205" s="4" t="str">
        <f>HYPERLINK("http://141.218.60.56/~jnz1568/getInfo.php?workbook=20_13.xlsx&amp;sheet=A0&amp;row=205&amp;col=7&amp;number=0&amp;sourceID=14","0")</f>
        <v>0</v>
      </c>
    </row>
    <row r="206" spans="1:7">
      <c r="A206" s="3">
        <v>20</v>
      </c>
      <c r="B206" s="3">
        <v>13</v>
      </c>
      <c r="C206" s="3">
        <v>38</v>
      </c>
      <c r="D206" s="3">
        <v>8</v>
      </c>
      <c r="E206" s="3">
        <v>350.127</v>
      </c>
      <c r="F206" s="4" t="str">
        <f>HYPERLINK("http://141.218.60.56/~jnz1568/getInfo.php?workbook=20_13.xlsx&amp;sheet=A0&amp;row=206&amp;col=6&amp;number=3589000000&amp;sourceID=14","3589000000")</f>
        <v>3589000000</v>
      </c>
      <c r="G206" s="4" t="str">
        <f>HYPERLINK("http://141.218.60.56/~jnz1568/getInfo.php?workbook=20_13.xlsx&amp;sheet=A0&amp;row=206&amp;col=7&amp;number=0&amp;sourceID=14","0")</f>
        <v>0</v>
      </c>
    </row>
    <row r="207" spans="1:7">
      <c r="A207" s="3">
        <v>20</v>
      </c>
      <c r="B207" s="3">
        <v>13</v>
      </c>
      <c r="C207" s="3">
        <v>38</v>
      </c>
      <c r="D207" s="3">
        <v>9</v>
      </c>
      <c r="E207" s="3">
        <v>368.756</v>
      </c>
      <c r="F207" s="4" t="str">
        <f>HYPERLINK("http://141.218.60.56/~jnz1568/getInfo.php?workbook=20_13.xlsx&amp;sheet=A0&amp;row=207&amp;col=6&amp;number=5298000000&amp;sourceID=14","5298000000")</f>
        <v>5298000000</v>
      </c>
      <c r="G207" s="4" t="str">
        <f>HYPERLINK("http://141.218.60.56/~jnz1568/getInfo.php?workbook=20_13.xlsx&amp;sheet=A0&amp;row=207&amp;col=7&amp;number=0&amp;sourceID=14","0")</f>
        <v>0</v>
      </c>
    </row>
    <row r="208" spans="1:7">
      <c r="A208" s="3">
        <v>20</v>
      </c>
      <c r="B208" s="3">
        <v>13</v>
      </c>
      <c r="C208" s="3">
        <v>38</v>
      </c>
      <c r="D208" s="3">
        <v>10</v>
      </c>
      <c r="E208" s="3">
        <v>372.293</v>
      </c>
      <c r="F208" s="4" t="str">
        <f>HYPERLINK("http://141.218.60.56/~jnz1568/getInfo.php?workbook=20_13.xlsx&amp;sheet=A0&amp;row=208&amp;col=6&amp;number=8426000000&amp;sourceID=14","8426000000")</f>
        <v>8426000000</v>
      </c>
      <c r="G208" s="4" t="str">
        <f>HYPERLINK("http://141.218.60.56/~jnz1568/getInfo.php?workbook=20_13.xlsx&amp;sheet=A0&amp;row=208&amp;col=7&amp;number=0&amp;sourceID=14","0")</f>
        <v>0</v>
      </c>
    </row>
    <row r="209" spans="1:7">
      <c r="A209" s="3">
        <v>20</v>
      </c>
      <c r="B209" s="3">
        <v>13</v>
      </c>
      <c r="C209" s="3">
        <v>38</v>
      </c>
      <c r="D209" s="3">
        <v>11</v>
      </c>
      <c r="E209" s="3">
        <v>454.866</v>
      </c>
      <c r="F209" s="4" t="str">
        <f>HYPERLINK("http://141.218.60.56/~jnz1568/getInfo.php?workbook=20_13.xlsx&amp;sheet=A0&amp;row=209&amp;col=6&amp;number=894000000&amp;sourceID=14","894000000")</f>
        <v>894000000</v>
      </c>
      <c r="G209" s="4" t="str">
        <f>HYPERLINK("http://141.218.60.56/~jnz1568/getInfo.php?workbook=20_13.xlsx&amp;sheet=A0&amp;row=209&amp;col=7&amp;number=0&amp;sourceID=14","0")</f>
        <v>0</v>
      </c>
    </row>
    <row r="210" spans="1:7">
      <c r="A210" s="3">
        <v>20</v>
      </c>
      <c r="B210" s="3">
        <v>13</v>
      </c>
      <c r="C210" s="3">
        <v>38</v>
      </c>
      <c r="D210" s="3">
        <v>12</v>
      </c>
      <c r="E210" s="3">
        <v>455.324</v>
      </c>
      <c r="F210" s="4" t="str">
        <f>HYPERLINK("http://141.218.60.56/~jnz1568/getInfo.php?workbook=20_13.xlsx&amp;sheet=A0&amp;row=210&amp;col=6&amp;number=14950000000&amp;sourceID=14","14950000000")</f>
        <v>14950000000</v>
      </c>
      <c r="G210" s="4" t="str">
        <f>HYPERLINK("http://141.218.60.56/~jnz1568/getInfo.php?workbook=20_13.xlsx&amp;sheet=A0&amp;row=210&amp;col=7&amp;number=0&amp;sourceID=14","0")</f>
        <v>0</v>
      </c>
    </row>
    <row r="211" spans="1:7">
      <c r="A211" s="3">
        <v>20</v>
      </c>
      <c r="B211" s="3">
        <v>13</v>
      </c>
      <c r="C211" s="3">
        <v>39</v>
      </c>
      <c r="D211" s="3">
        <v>3</v>
      </c>
      <c r="E211" s="3">
        <v>265.783</v>
      </c>
      <c r="F211" s="4" t="str">
        <f>HYPERLINK("http://141.218.60.56/~jnz1568/getInfo.php?workbook=20_13.xlsx&amp;sheet=A0&amp;row=211&amp;col=6&amp;number=466200&amp;sourceID=14","466200")</f>
        <v>466200</v>
      </c>
      <c r="G211" s="4" t="str">
        <f>HYPERLINK("http://141.218.60.56/~jnz1568/getInfo.php?workbook=20_13.xlsx&amp;sheet=A0&amp;row=211&amp;col=7&amp;number=0&amp;sourceID=14","0")</f>
        <v>0</v>
      </c>
    </row>
    <row r="212" spans="1:7">
      <c r="A212" s="3">
        <v>20</v>
      </c>
      <c r="B212" s="3">
        <v>13</v>
      </c>
      <c r="C212" s="3">
        <v>39</v>
      </c>
      <c r="D212" s="3">
        <v>4</v>
      </c>
      <c r="E212" s="3">
        <v>266.904</v>
      </c>
      <c r="F212" s="4" t="str">
        <f>HYPERLINK("http://141.218.60.56/~jnz1568/getInfo.php?workbook=20_13.xlsx&amp;sheet=A0&amp;row=212&amp;col=6&amp;number=1478000&amp;sourceID=14","1478000")</f>
        <v>1478000</v>
      </c>
      <c r="G212" s="4" t="str">
        <f>HYPERLINK("http://141.218.60.56/~jnz1568/getInfo.php?workbook=20_13.xlsx&amp;sheet=A0&amp;row=212&amp;col=7&amp;number=0&amp;sourceID=14","0")</f>
        <v>0</v>
      </c>
    </row>
    <row r="213" spans="1:7">
      <c r="A213" s="3">
        <v>20</v>
      </c>
      <c r="B213" s="3">
        <v>13</v>
      </c>
      <c r="C213" s="3">
        <v>39</v>
      </c>
      <c r="D213" s="3">
        <v>5</v>
      </c>
      <c r="E213" s="3">
        <v>268.596</v>
      </c>
      <c r="F213" s="4" t="str">
        <f>HYPERLINK("http://141.218.60.56/~jnz1568/getInfo.php?workbook=20_13.xlsx&amp;sheet=A0&amp;row=213&amp;col=6&amp;number=385700&amp;sourceID=14","385700")</f>
        <v>385700</v>
      </c>
      <c r="G213" s="4" t="str">
        <f>HYPERLINK("http://141.218.60.56/~jnz1568/getInfo.php?workbook=20_13.xlsx&amp;sheet=A0&amp;row=213&amp;col=7&amp;number=0&amp;sourceID=14","0")</f>
        <v>0</v>
      </c>
    </row>
    <row r="214" spans="1:7">
      <c r="A214" s="3">
        <v>20</v>
      </c>
      <c r="B214" s="3">
        <v>13</v>
      </c>
      <c r="C214" s="3">
        <v>39</v>
      </c>
      <c r="D214" s="3">
        <v>6</v>
      </c>
      <c r="E214" s="3">
        <v>298.959</v>
      </c>
      <c r="F214" s="4" t="str">
        <f>HYPERLINK("http://141.218.60.56/~jnz1568/getInfo.php?workbook=20_13.xlsx&amp;sheet=A0&amp;row=214&amp;col=6&amp;number=50760000&amp;sourceID=14","50760000")</f>
        <v>50760000</v>
      </c>
      <c r="G214" s="4" t="str">
        <f>HYPERLINK("http://141.218.60.56/~jnz1568/getInfo.php?workbook=20_13.xlsx&amp;sheet=A0&amp;row=214&amp;col=7&amp;number=0&amp;sourceID=14","0")</f>
        <v>0</v>
      </c>
    </row>
    <row r="215" spans="1:7">
      <c r="A215" s="3">
        <v>20</v>
      </c>
      <c r="B215" s="3">
        <v>13</v>
      </c>
      <c r="C215" s="3">
        <v>39</v>
      </c>
      <c r="D215" s="3">
        <v>7</v>
      </c>
      <c r="E215" s="3">
        <v>299.188</v>
      </c>
      <c r="F215" s="4" t="str">
        <f>HYPERLINK("http://141.218.60.56/~jnz1568/getInfo.php?workbook=20_13.xlsx&amp;sheet=A0&amp;row=215&amp;col=6&amp;number=489.1&amp;sourceID=14","489.1")</f>
        <v>489.1</v>
      </c>
      <c r="G215" s="4" t="str">
        <f>HYPERLINK("http://141.218.60.56/~jnz1568/getInfo.php?workbook=20_13.xlsx&amp;sheet=A0&amp;row=215&amp;col=7&amp;number=0&amp;sourceID=14","0")</f>
        <v>0</v>
      </c>
    </row>
    <row r="216" spans="1:7">
      <c r="A216" s="3">
        <v>20</v>
      </c>
      <c r="B216" s="3">
        <v>13</v>
      </c>
      <c r="C216" s="3">
        <v>39</v>
      </c>
      <c r="D216" s="3">
        <v>8</v>
      </c>
      <c r="E216" s="3">
        <v>345.443</v>
      </c>
      <c r="F216" s="4" t="str">
        <f>HYPERLINK("http://141.218.60.56/~jnz1568/getInfo.php?workbook=20_13.xlsx&amp;sheet=A0&amp;row=216&amp;col=6&amp;number=461100000&amp;sourceID=14","461100000")</f>
        <v>461100000</v>
      </c>
      <c r="G216" s="4" t="str">
        <f>HYPERLINK("http://141.218.60.56/~jnz1568/getInfo.php?workbook=20_13.xlsx&amp;sheet=A0&amp;row=216&amp;col=7&amp;number=0&amp;sourceID=14","0")</f>
        <v>0</v>
      </c>
    </row>
    <row r="217" spans="1:7">
      <c r="A217" s="3">
        <v>20</v>
      </c>
      <c r="B217" s="3">
        <v>13</v>
      </c>
      <c r="C217" s="3">
        <v>39</v>
      </c>
      <c r="D217" s="3">
        <v>9</v>
      </c>
      <c r="E217" s="3">
        <v>363.565</v>
      </c>
      <c r="F217" s="4" t="str">
        <f>HYPERLINK("http://141.218.60.56/~jnz1568/getInfo.php?workbook=20_13.xlsx&amp;sheet=A0&amp;row=217&amp;col=6&amp;number=25280000000&amp;sourceID=14","25280000000")</f>
        <v>25280000000</v>
      </c>
      <c r="G217" s="4" t="str">
        <f>HYPERLINK("http://141.218.60.56/~jnz1568/getInfo.php?workbook=20_13.xlsx&amp;sheet=A0&amp;row=217&amp;col=7&amp;number=0&amp;sourceID=14","0")</f>
        <v>0</v>
      </c>
    </row>
    <row r="218" spans="1:7">
      <c r="A218" s="3">
        <v>20</v>
      </c>
      <c r="B218" s="3">
        <v>13</v>
      </c>
      <c r="C218" s="3">
        <v>39</v>
      </c>
      <c r="D218" s="3">
        <v>10</v>
      </c>
      <c r="E218" s="3">
        <v>367.002</v>
      </c>
      <c r="F218" s="4" t="str">
        <f>HYPERLINK("http://141.218.60.56/~jnz1568/getInfo.php?workbook=20_13.xlsx&amp;sheet=A0&amp;row=218&amp;col=6&amp;number=8703000000&amp;sourceID=14","8703000000")</f>
        <v>8703000000</v>
      </c>
      <c r="G218" s="4" t="str">
        <f>HYPERLINK("http://141.218.60.56/~jnz1568/getInfo.php?workbook=20_13.xlsx&amp;sheet=A0&amp;row=218&amp;col=7&amp;number=0&amp;sourceID=14","0")</f>
        <v>0</v>
      </c>
    </row>
    <row r="219" spans="1:7">
      <c r="A219" s="3">
        <v>20</v>
      </c>
      <c r="B219" s="3">
        <v>13</v>
      </c>
      <c r="C219" s="3">
        <v>39</v>
      </c>
      <c r="D219" s="3">
        <v>11</v>
      </c>
      <c r="E219" s="3">
        <v>446.993</v>
      </c>
      <c r="F219" s="4" t="str">
        <f>HYPERLINK("http://141.218.60.56/~jnz1568/getInfo.php?workbook=20_13.xlsx&amp;sheet=A0&amp;row=219&amp;col=6&amp;number=10020000000&amp;sourceID=14","10020000000")</f>
        <v>10020000000</v>
      </c>
      <c r="G219" s="4" t="str">
        <f>HYPERLINK("http://141.218.60.56/~jnz1568/getInfo.php?workbook=20_13.xlsx&amp;sheet=A0&amp;row=219&amp;col=7&amp;number=0&amp;sourceID=14","0")</f>
        <v>0</v>
      </c>
    </row>
    <row r="220" spans="1:7">
      <c r="A220" s="3">
        <v>20</v>
      </c>
      <c r="B220" s="3">
        <v>13</v>
      </c>
      <c r="C220" s="3">
        <v>39</v>
      </c>
      <c r="D220" s="3">
        <v>12</v>
      </c>
      <c r="E220" s="3">
        <v>447.435</v>
      </c>
      <c r="F220" s="4" t="str">
        <f>HYPERLINK("http://141.218.60.56/~jnz1568/getInfo.php?workbook=20_13.xlsx&amp;sheet=A0&amp;row=220&amp;col=6&amp;number=315500000&amp;sourceID=14","315500000")</f>
        <v>315500000</v>
      </c>
      <c r="G220" s="4" t="str">
        <f>HYPERLINK("http://141.218.60.56/~jnz1568/getInfo.php?workbook=20_13.xlsx&amp;sheet=A0&amp;row=220&amp;col=7&amp;number=0&amp;sourceID=14","0")</f>
        <v>0</v>
      </c>
    </row>
    <row r="221" spans="1:7">
      <c r="A221" s="3">
        <v>20</v>
      </c>
      <c r="B221" s="3">
        <v>13</v>
      </c>
      <c r="C221" s="3">
        <v>40</v>
      </c>
      <c r="D221" s="3">
        <v>4</v>
      </c>
      <c r="E221" s="3">
        <v>266.486</v>
      </c>
      <c r="F221" s="4" t="str">
        <f>HYPERLINK("http://141.218.60.56/~jnz1568/getInfo.php?workbook=20_13.xlsx&amp;sheet=A0&amp;row=221&amp;col=6&amp;number=2143000&amp;sourceID=14","2143000")</f>
        <v>2143000</v>
      </c>
      <c r="G221" s="4" t="str">
        <f>HYPERLINK("http://141.218.60.56/~jnz1568/getInfo.php?workbook=20_13.xlsx&amp;sheet=A0&amp;row=221&amp;col=7&amp;number=0&amp;sourceID=14","0")</f>
        <v>0</v>
      </c>
    </row>
    <row r="222" spans="1:7">
      <c r="A222" s="3">
        <v>20</v>
      </c>
      <c r="B222" s="3">
        <v>13</v>
      </c>
      <c r="C222" s="3">
        <v>40</v>
      </c>
      <c r="D222" s="3">
        <v>5</v>
      </c>
      <c r="E222" s="3">
        <v>268.173</v>
      </c>
      <c r="F222" s="4" t="str">
        <f>HYPERLINK("http://141.218.60.56/~jnz1568/getInfo.php?workbook=20_13.xlsx&amp;sheet=A0&amp;row=222&amp;col=6&amp;number=2316000&amp;sourceID=14","2316000")</f>
        <v>2316000</v>
      </c>
      <c r="G222" s="4" t="str">
        <f>HYPERLINK("http://141.218.60.56/~jnz1568/getInfo.php?workbook=20_13.xlsx&amp;sheet=A0&amp;row=222&amp;col=7&amp;number=0&amp;sourceID=14","0")</f>
        <v>0</v>
      </c>
    </row>
    <row r="223" spans="1:7">
      <c r="A223" s="3">
        <v>20</v>
      </c>
      <c r="B223" s="3">
        <v>13</v>
      </c>
      <c r="C223" s="3">
        <v>40</v>
      </c>
      <c r="D223" s="3">
        <v>6</v>
      </c>
      <c r="E223" s="3">
        <v>298.435</v>
      </c>
      <c r="F223" s="4" t="str">
        <f>HYPERLINK("http://141.218.60.56/~jnz1568/getInfo.php?workbook=20_13.xlsx&amp;sheet=A0&amp;row=223&amp;col=6&amp;number=1911&amp;sourceID=14","1911")</f>
        <v>1911</v>
      </c>
      <c r="G223" s="4" t="str">
        <f>HYPERLINK("http://141.218.60.56/~jnz1568/getInfo.php?workbook=20_13.xlsx&amp;sheet=A0&amp;row=223&amp;col=7&amp;number=0&amp;sourceID=14","0")</f>
        <v>0</v>
      </c>
    </row>
    <row r="224" spans="1:7">
      <c r="A224" s="3">
        <v>20</v>
      </c>
      <c r="B224" s="3">
        <v>13</v>
      </c>
      <c r="C224" s="3">
        <v>40</v>
      </c>
      <c r="D224" s="3">
        <v>7</v>
      </c>
      <c r="E224" s="3">
        <v>298.663</v>
      </c>
      <c r="F224" s="4" t="str">
        <f>HYPERLINK("http://141.218.60.56/~jnz1568/getInfo.php?workbook=20_13.xlsx&amp;sheet=A0&amp;row=224&amp;col=6&amp;number=2680000&amp;sourceID=14","2680000")</f>
        <v>2680000</v>
      </c>
      <c r="G224" s="4" t="str">
        <f>HYPERLINK("http://141.218.60.56/~jnz1568/getInfo.php?workbook=20_13.xlsx&amp;sheet=A0&amp;row=224&amp;col=7&amp;number=0&amp;sourceID=14","0")</f>
        <v>0</v>
      </c>
    </row>
    <row r="225" spans="1:7">
      <c r="A225" s="3">
        <v>20</v>
      </c>
      <c r="B225" s="3">
        <v>13</v>
      </c>
      <c r="C225" s="3">
        <v>40</v>
      </c>
      <c r="D225" s="3">
        <v>10</v>
      </c>
      <c r="E225" s="3">
        <v>366.213</v>
      </c>
      <c r="F225" s="4" t="str">
        <f>HYPERLINK("http://141.218.60.56/~jnz1568/getInfo.php?workbook=20_13.xlsx&amp;sheet=A0&amp;row=225&amp;col=6&amp;number=34430000000&amp;sourceID=14","34430000000")</f>
        <v>34430000000</v>
      </c>
      <c r="G225" s="4" t="str">
        <f>HYPERLINK("http://141.218.60.56/~jnz1568/getInfo.php?workbook=20_13.xlsx&amp;sheet=A0&amp;row=225&amp;col=7&amp;number=0&amp;sourceID=14","0")</f>
        <v>0</v>
      </c>
    </row>
    <row r="226" spans="1:7">
      <c r="A226" s="3">
        <v>20</v>
      </c>
      <c r="B226" s="3">
        <v>13</v>
      </c>
      <c r="C226" s="3">
        <v>40</v>
      </c>
      <c r="D226" s="3">
        <v>11</v>
      </c>
      <c r="E226" s="3">
        <v>445.824</v>
      </c>
      <c r="F226" s="4" t="str">
        <f>HYPERLINK("http://141.218.60.56/~jnz1568/getInfo.php?workbook=20_13.xlsx&amp;sheet=A0&amp;row=226&amp;col=6&amp;number=490300000&amp;sourceID=14","490300000")</f>
        <v>490300000</v>
      </c>
      <c r="G226" s="4" t="str">
        <f>HYPERLINK("http://141.218.60.56/~jnz1568/getInfo.php?workbook=20_13.xlsx&amp;sheet=A0&amp;row=226&amp;col=7&amp;number=0&amp;sourceID=14","0")</f>
        <v>0</v>
      </c>
    </row>
    <row r="227" spans="1:7">
      <c r="A227" s="3">
        <v>20</v>
      </c>
      <c r="B227" s="3">
        <v>13</v>
      </c>
      <c r="C227" s="3">
        <v>40</v>
      </c>
      <c r="D227" s="3">
        <v>12</v>
      </c>
      <c r="E227" s="3">
        <v>446.263</v>
      </c>
      <c r="F227" s="4" t="str">
        <f>HYPERLINK("http://141.218.60.56/~jnz1568/getInfo.php?workbook=20_13.xlsx&amp;sheet=A0&amp;row=227&amp;col=6&amp;number=9620000000&amp;sourceID=14","9620000000")</f>
        <v>9620000000</v>
      </c>
      <c r="G227" s="4" t="str">
        <f>HYPERLINK("http://141.218.60.56/~jnz1568/getInfo.php?workbook=20_13.xlsx&amp;sheet=A0&amp;row=227&amp;col=7&amp;number=0&amp;sourceID=14","0")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283"/>
  <sheetViews>
    <sheetView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31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27</v>
      </c>
      <c r="D3" s="2" t="s">
        <v>4</v>
      </c>
      <c r="E3" s="2" t="s">
        <v>32</v>
      </c>
      <c r="F3" s="2" t="s">
        <v>33</v>
      </c>
      <c r="G3" s="2" t="s">
        <v>34</v>
      </c>
    </row>
    <row r="4" spans="1:7">
      <c r="A4" s="3">
        <v>20</v>
      </c>
      <c r="B4" s="3">
        <v>13</v>
      </c>
      <c r="C4" s="3">
        <v>1</v>
      </c>
      <c r="D4" s="3">
        <v>2</v>
      </c>
      <c r="E4" s="3">
        <v>1</v>
      </c>
      <c r="F4" s="4" t="str">
        <f>HYPERLINK("http://141.218.60.56/~jnz1568/getInfo.php?workbook=20_13.xlsx&amp;sheet=U0&amp;row=4&amp;col=6&amp;number=3&amp;sourceID=14","3")</f>
        <v>3</v>
      </c>
      <c r="G4" s="4" t="str">
        <f>HYPERLINK("http://141.218.60.56/~jnz1568/getInfo.php?workbook=20_13.xlsx&amp;sheet=U0&amp;row=4&amp;col=7&amp;number=6.79&amp;sourceID=14","6.79")</f>
        <v>6.79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HYPERLINK("http://141.218.60.56/~jnz1568/getInfo.php?workbook=20_13.xlsx&amp;sheet=U0&amp;row=5&amp;col=6&amp;number=3.1&amp;sourceID=14","3.1")</f>
        <v>3.1</v>
      </c>
      <c r="G5" s="4" t="str">
        <f>HYPERLINK("http://141.218.60.56/~jnz1568/getInfo.php?workbook=20_13.xlsx&amp;sheet=U0&amp;row=5&amp;col=7&amp;number=6.78&amp;sourceID=14","6.78")</f>
        <v>6.78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HYPERLINK("http://141.218.60.56/~jnz1568/getInfo.php?workbook=20_13.xlsx&amp;sheet=U0&amp;row=6&amp;col=6&amp;number=3.2&amp;sourceID=14","3.2")</f>
        <v>3.2</v>
      </c>
      <c r="G6" s="4" t="str">
        <f>HYPERLINK("http://141.218.60.56/~jnz1568/getInfo.php?workbook=20_13.xlsx&amp;sheet=U0&amp;row=6&amp;col=7&amp;number=6.78&amp;sourceID=14","6.78")</f>
        <v>6.78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HYPERLINK("http://141.218.60.56/~jnz1568/getInfo.php?workbook=20_13.xlsx&amp;sheet=U0&amp;row=7&amp;col=6&amp;number=3.3&amp;sourceID=14","3.3")</f>
        <v>3.3</v>
      </c>
      <c r="G7" s="4" t="str">
        <f>HYPERLINK("http://141.218.60.56/~jnz1568/getInfo.php?workbook=20_13.xlsx&amp;sheet=U0&amp;row=7&amp;col=7&amp;number=6.77&amp;sourceID=14","6.77")</f>
        <v>6.77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HYPERLINK("http://141.218.60.56/~jnz1568/getInfo.php?workbook=20_13.xlsx&amp;sheet=U0&amp;row=8&amp;col=6&amp;number=3.4&amp;sourceID=14","3.4")</f>
        <v>3.4</v>
      </c>
      <c r="G8" s="4" t="str">
        <f>HYPERLINK("http://141.218.60.56/~jnz1568/getInfo.php?workbook=20_13.xlsx&amp;sheet=U0&amp;row=8&amp;col=7&amp;number=6.76&amp;sourceID=14","6.76")</f>
        <v>6.76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HYPERLINK("http://141.218.60.56/~jnz1568/getInfo.php?workbook=20_13.xlsx&amp;sheet=U0&amp;row=9&amp;col=6&amp;number=3.5&amp;sourceID=14","3.5")</f>
        <v>3.5</v>
      </c>
      <c r="G9" s="4" t="str">
        <f>HYPERLINK("http://141.218.60.56/~jnz1568/getInfo.php?workbook=20_13.xlsx&amp;sheet=U0&amp;row=9&amp;col=7&amp;number=6.75&amp;sourceID=14","6.75")</f>
        <v>6.75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HYPERLINK("http://141.218.60.56/~jnz1568/getInfo.php?workbook=20_13.xlsx&amp;sheet=U0&amp;row=10&amp;col=6&amp;number=3.6&amp;sourceID=14","3.6")</f>
        <v>3.6</v>
      </c>
      <c r="G10" s="4" t="str">
        <f>HYPERLINK("http://141.218.60.56/~jnz1568/getInfo.php?workbook=20_13.xlsx&amp;sheet=U0&amp;row=10&amp;col=7&amp;number=6.73&amp;sourceID=14","6.73")</f>
        <v>6.73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HYPERLINK("http://141.218.60.56/~jnz1568/getInfo.php?workbook=20_13.xlsx&amp;sheet=U0&amp;row=11&amp;col=6&amp;number=3.7&amp;sourceID=14","3.7")</f>
        <v>3.7</v>
      </c>
      <c r="G11" s="4" t="str">
        <f>HYPERLINK("http://141.218.60.56/~jnz1568/getInfo.php?workbook=20_13.xlsx&amp;sheet=U0&amp;row=11&amp;col=7&amp;number=6.72&amp;sourceID=14","6.72")</f>
        <v>6.72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HYPERLINK("http://141.218.60.56/~jnz1568/getInfo.php?workbook=20_13.xlsx&amp;sheet=U0&amp;row=12&amp;col=6&amp;number=3.8&amp;sourceID=14","3.8")</f>
        <v>3.8</v>
      </c>
      <c r="G12" s="4" t="str">
        <f>HYPERLINK("http://141.218.60.56/~jnz1568/getInfo.php?workbook=20_13.xlsx&amp;sheet=U0&amp;row=12&amp;col=7&amp;number=6.69&amp;sourceID=14","6.69")</f>
        <v>6.69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HYPERLINK("http://141.218.60.56/~jnz1568/getInfo.php?workbook=20_13.xlsx&amp;sheet=U0&amp;row=13&amp;col=6&amp;number=3.9&amp;sourceID=14","3.9")</f>
        <v>3.9</v>
      </c>
      <c r="G13" s="4" t="str">
        <f>HYPERLINK("http://141.218.60.56/~jnz1568/getInfo.php?workbook=20_13.xlsx&amp;sheet=U0&amp;row=13&amp;col=7&amp;number=6.67&amp;sourceID=14","6.67")</f>
        <v>6.67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HYPERLINK("http://141.218.60.56/~jnz1568/getInfo.php?workbook=20_13.xlsx&amp;sheet=U0&amp;row=14&amp;col=6&amp;number=4&amp;sourceID=14","4")</f>
        <v>4</v>
      </c>
      <c r="G14" s="4" t="str">
        <f>HYPERLINK("http://141.218.60.56/~jnz1568/getInfo.php?workbook=20_13.xlsx&amp;sheet=U0&amp;row=14&amp;col=7&amp;number=6.63&amp;sourceID=14","6.63")</f>
        <v>6.63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HYPERLINK("http://141.218.60.56/~jnz1568/getInfo.php?workbook=20_13.xlsx&amp;sheet=U0&amp;row=15&amp;col=6&amp;number=4.1&amp;sourceID=14","4.1")</f>
        <v>4.1</v>
      </c>
      <c r="G15" s="4" t="str">
        <f>HYPERLINK("http://141.218.60.56/~jnz1568/getInfo.php?workbook=20_13.xlsx&amp;sheet=U0&amp;row=15&amp;col=7&amp;number=6.59&amp;sourceID=14","6.59")</f>
        <v>6.59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HYPERLINK("http://141.218.60.56/~jnz1568/getInfo.php?workbook=20_13.xlsx&amp;sheet=U0&amp;row=16&amp;col=6&amp;number=4.2&amp;sourceID=14","4.2")</f>
        <v>4.2</v>
      </c>
      <c r="G16" s="4" t="str">
        <f>HYPERLINK("http://141.218.60.56/~jnz1568/getInfo.php?workbook=20_13.xlsx&amp;sheet=U0&amp;row=16&amp;col=7&amp;number=6.53&amp;sourceID=14","6.53")</f>
        <v>6.53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HYPERLINK("http://141.218.60.56/~jnz1568/getInfo.php?workbook=20_13.xlsx&amp;sheet=U0&amp;row=17&amp;col=6&amp;number=4.3&amp;sourceID=14","4.3")</f>
        <v>4.3</v>
      </c>
      <c r="G17" s="4" t="str">
        <f>HYPERLINK("http://141.218.60.56/~jnz1568/getInfo.php?workbook=20_13.xlsx&amp;sheet=U0&amp;row=17&amp;col=7&amp;number=6.46&amp;sourceID=14","6.46")</f>
        <v>6.46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HYPERLINK("http://141.218.60.56/~jnz1568/getInfo.php?workbook=20_13.xlsx&amp;sheet=U0&amp;row=18&amp;col=6&amp;number=4.4&amp;sourceID=14","4.4")</f>
        <v>4.4</v>
      </c>
      <c r="G18" s="4" t="str">
        <f>HYPERLINK("http://141.218.60.56/~jnz1568/getInfo.php?workbook=20_13.xlsx&amp;sheet=U0&amp;row=18&amp;col=7&amp;number=6.38&amp;sourceID=14","6.38")</f>
        <v>6.38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HYPERLINK("http://141.218.60.56/~jnz1568/getInfo.php?workbook=20_13.xlsx&amp;sheet=U0&amp;row=19&amp;col=6&amp;number=4.5&amp;sourceID=14","4.5")</f>
        <v>4.5</v>
      </c>
      <c r="G19" s="4" t="str">
        <f>HYPERLINK("http://141.218.60.56/~jnz1568/getInfo.php?workbook=20_13.xlsx&amp;sheet=U0&amp;row=19&amp;col=7&amp;number=6.28&amp;sourceID=14","6.28")</f>
        <v>6.28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HYPERLINK("http://141.218.60.56/~jnz1568/getInfo.php?workbook=20_13.xlsx&amp;sheet=U0&amp;row=20&amp;col=6&amp;number=4.6&amp;sourceID=14","4.6")</f>
        <v>4.6</v>
      </c>
      <c r="G20" s="4" t="str">
        <f>HYPERLINK("http://141.218.60.56/~jnz1568/getInfo.php?workbook=20_13.xlsx&amp;sheet=U0&amp;row=20&amp;col=7&amp;number=6.16&amp;sourceID=14","6.16")</f>
        <v>6.16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HYPERLINK("http://141.218.60.56/~jnz1568/getInfo.php?workbook=20_13.xlsx&amp;sheet=U0&amp;row=21&amp;col=6&amp;number=4.7&amp;sourceID=14","4.7")</f>
        <v>4.7</v>
      </c>
      <c r="G21" s="4" t="str">
        <f>HYPERLINK("http://141.218.60.56/~jnz1568/getInfo.php?workbook=20_13.xlsx&amp;sheet=U0&amp;row=21&amp;col=7&amp;number=6.03&amp;sourceID=14","6.03")</f>
        <v>6.03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HYPERLINK("http://141.218.60.56/~jnz1568/getInfo.php?workbook=20_13.xlsx&amp;sheet=U0&amp;row=22&amp;col=6&amp;number=4.8&amp;sourceID=14","4.8")</f>
        <v>4.8</v>
      </c>
      <c r="G22" s="4" t="str">
        <f>HYPERLINK("http://141.218.60.56/~jnz1568/getInfo.php?workbook=20_13.xlsx&amp;sheet=U0&amp;row=22&amp;col=7&amp;number=5.87&amp;sourceID=14","5.87")</f>
        <v>5.87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HYPERLINK("http://141.218.60.56/~jnz1568/getInfo.php?workbook=20_13.xlsx&amp;sheet=U0&amp;row=23&amp;col=6&amp;number=4.9&amp;sourceID=14","4.9")</f>
        <v>4.9</v>
      </c>
      <c r="G23" s="4" t="str">
        <f>HYPERLINK("http://141.218.60.56/~jnz1568/getInfo.php?workbook=20_13.xlsx&amp;sheet=U0&amp;row=23&amp;col=7&amp;number=5.7&amp;sourceID=14","5.7")</f>
        <v>5.7</v>
      </c>
    </row>
    <row r="24" spans="1:7">
      <c r="A24" s="3">
        <v>20</v>
      </c>
      <c r="B24" s="3">
        <v>13</v>
      </c>
      <c r="C24" s="3">
        <v>1</v>
      </c>
      <c r="D24" s="3">
        <v>3</v>
      </c>
      <c r="E24" s="3">
        <v>1</v>
      </c>
      <c r="F24" s="4" t="str">
        <f>HYPERLINK("http://141.218.60.56/~jnz1568/getInfo.php?workbook=20_13.xlsx&amp;sheet=U0&amp;row=24&amp;col=6&amp;number=3&amp;sourceID=14","3")</f>
        <v>3</v>
      </c>
      <c r="G24" s="4" t="str">
        <f>HYPERLINK("http://141.218.60.56/~jnz1568/getInfo.php?workbook=20_13.xlsx&amp;sheet=U0&amp;row=24&amp;col=7&amp;number=0.188&amp;sourceID=14","0.188")</f>
        <v>0.188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HYPERLINK("http://141.218.60.56/~jnz1568/getInfo.php?workbook=20_13.xlsx&amp;sheet=U0&amp;row=25&amp;col=6&amp;number=3.1&amp;sourceID=14","3.1")</f>
        <v>3.1</v>
      </c>
      <c r="G25" s="4" t="str">
        <f>HYPERLINK("http://141.218.60.56/~jnz1568/getInfo.php?workbook=20_13.xlsx&amp;sheet=U0&amp;row=25&amp;col=7&amp;number=0.188&amp;sourceID=14","0.188")</f>
        <v>0.188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HYPERLINK("http://141.218.60.56/~jnz1568/getInfo.php?workbook=20_13.xlsx&amp;sheet=U0&amp;row=26&amp;col=6&amp;number=3.2&amp;sourceID=14","3.2")</f>
        <v>3.2</v>
      </c>
      <c r="G26" s="4" t="str">
        <f>HYPERLINK("http://141.218.60.56/~jnz1568/getInfo.php?workbook=20_13.xlsx&amp;sheet=U0&amp;row=26&amp;col=7&amp;number=0.187&amp;sourceID=14","0.187")</f>
        <v>0.187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HYPERLINK("http://141.218.60.56/~jnz1568/getInfo.php?workbook=20_13.xlsx&amp;sheet=U0&amp;row=27&amp;col=6&amp;number=3.3&amp;sourceID=14","3.3")</f>
        <v>3.3</v>
      </c>
      <c r="G27" s="4" t="str">
        <f>HYPERLINK("http://141.218.60.56/~jnz1568/getInfo.php?workbook=20_13.xlsx&amp;sheet=U0&amp;row=27&amp;col=7&amp;number=0.187&amp;sourceID=14","0.187")</f>
        <v>0.187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HYPERLINK("http://141.218.60.56/~jnz1568/getInfo.php?workbook=20_13.xlsx&amp;sheet=U0&amp;row=28&amp;col=6&amp;number=3.4&amp;sourceID=14","3.4")</f>
        <v>3.4</v>
      </c>
      <c r="G28" s="4" t="str">
        <f>HYPERLINK("http://141.218.60.56/~jnz1568/getInfo.php?workbook=20_13.xlsx&amp;sheet=U0&amp;row=28&amp;col=7&amp;number=0.186&amp;sourceID=14","0.186")</f>
        <v>0.186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HYPERLINK("http://141.218.60.56/~jnz1568/getInfo.php?workbook=20_13.xlsx&amp;sheet=U0&amp;row=29&amp;col=6&amp;number=3.5&amp;sourceID=14","3.5")</f>
        <v>3.5</v>
      </c>
      <c r="G29" s="4" t="str">
        <f>HYPERLINK("http://141.218.60.56/~jnz1568/getInfo.php?workbook=20_13.xlsx&amp;sheet=U0&amp;row=29&amp;col=7&amp;number=0.186&amp;sourceID=14","0.186")</f>
        <v>0.186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HYPERLINK("http://141.218.60.56/~jnz1568/getInfo.php?workbook=20_13.xlsx&amp;sheet=U0&amp;row=30&amp;col=6&amp;number=3.6&amp;sourceID=14","3.6")</f>
        <v>3.6</v>
      </c>
      <c r="G30" s="4" t="str">
        <f>HYPERLINK("http://141.218.60.56/~jnz1568/getInfo.php?workbook=20_13.xlsx&amp;sheet=U0&amp;row=30&amp;col=7&amp;number=0.185&amp;sourceID=14","0.185")</f>
        <v>0.185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HYPERLINK("http://141.218.60.56/~jnz1568/getInfo.php?workbook=20_13.xlsx&amp;sheet=U0&amp;row=31&amp;col=6&amp;number=3.7&amp;sourceID=14","3.7")</f>
        <v>3.7</v>
      </c>
      <c r="G31" s="4" t="str">
        <f>HYPERLINK("http://141.218.60.56/~jnz1568/getInfo.php?workbook=20_13.xlsx&amp;sheet=U0&amp;row=31&amp;col=7&amp;number=0.184&amp;sourceID=14","0.184")</f>
        <v>0.184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HYPERLINK("http://141.218.60.56/~jnz1568/getInfo.php?workbook=20_13.xlsx&amp;sheet=U0&amp;row=32&amp;col=6&amp;number=3.8&amp;sourceID=14","3.8")</f>
        <v>3.8</v>
      </c>
      <c r="G32" s="4" t="str">
        <f>HYPERLINK("http://141.218.60.56/~jnz1568/getInfo.php?workbook=20_13.xlsx&amp;sheet=U0&amp;row=32&amp;col=7&amp;number=0.182&amp;sourceID=14","0.182")</f>
        <v>0.182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HYPERLINK("http://141.218.60.56/~jnz1568/getInfo.php?workbook=20_13.xlsx&amp;sheet=U0&amp;row=33&amp;col=6&amp;number=3.9&amp;sourceID=14","3.9")</f>
        <v>3.9</v>
      </c>
      <c r="G33" s="4" t="str">
        <f>HYPERLINK("http://141.218.60.56/~jnz1568/getInfo.php?workbook=20_13.xlsx&amp;sheet=U0&amp;row=33&amp;col=7&amp;number=0.181&amp;sourceID=14","0.181")</f>
        <v>0.181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HYPERLINK("http://141.218.60.56/~jnz1568/getInfo.php?workbook=20_13.xlsx&amp;sheet=U0&amp;row=34&amp;col=6&amp;number=4&amp;sourceID=14","4")</f>
        <v>4</v>
      </c>
      <c r="G34" s="4" t="str">
        <f>HYPERLINK("http://141.218.60.56/~jnz1568/getInfo.php?workbook=20_13.xlsx&amp;sheet=U0&amp;row=34&amp;col=7&amp;number=0.179&amp;sourceID=14","0.179")</f>
        <v>0.179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HYPERLINK("http://141.218.60.56/~jnz1568/getInfo.php?workbook=20_13.xlsx&amp;sheet=U0&amp;row=35&amp;col=6&amp;number=4.1&amp;sourceID=14","4.1")</f>
        <v>4.1</v>
      </c>
      <c r="G35" s="4" t="str">
        <f>HYPERLINK("http://141.218.60.56/~jnz1568/getInfo.php?workbook=20_13.xlsx&amp;sheet=U0&amp;row=35&amp;col=7&amp;number=0.176&amp;sourceID=14","0.176")</f>
        <v>0.176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HYPERLINK("http://141.218.60.56/~jnz1568/getInfo.php?workbook=20_13.xlsx&amp;sheet=U0&amp;row=36&amp;col=6&amp;number=4.2&amp;sourceID=14","4.2")</f>
        <v>4.2</v>
      </c>
      <c r="G36" s="4" t="str">
        <f>HYPERLINK("http://141.218.60.56/~jnz1568/getInfo.php?workbook=20_13.xlsx&amp;sheet=U0&amp;row=36&amp;col=7&amp;number=0.173&amp;sourceID=14","0.173")</f>
        <v>0.173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HYPERLINK("http://141.218.60.56/~jnz1568/getInfo.php?workbook=20_13.xlsx&amp;sheet=U0&amp;row=37&amp;col=6&amp;number=4.3&amp;sourceID=14","4.3")</f>
        <v>4.3</v>
      </c>
      <c r="G37" s="4" t="str">
        <f>HYPERLINK("http://141.218.60.56/~jnz1568/getInfo.php?workbook=20_13.xlsx&amp;sheet=U0&amp;row=37&amp;col=7&amp;number=0.169&amp;sourceID=14","0.169")</f>
        <v>0.169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HYPERLINK("http://141.218.60.56/~jnz1568/getInfo.php?workbook=20_13.xlsx&amp;sheet=U0&amp;row=38&amp;col=6&amp;number=4.4&amp;sourceID=14","4.4")</f>
        <v>4.4</v>
      </c>
      <c r="G38" s="4" t="str">
        <f>HYPERLINK("http://141.218.60.56/~jnz1568/getInfo.php?workbook=20_13.xlsx&amp;sheet=U0&amp;row=38&amp;col=7&amp;number=0.164&amp;sourceID=14","0.164")</f>
        <v>0.164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HYPERLINK("http://141.218.60.56/~jnz1568/getInfo.php?workbook=20_13.xlsx&amp;sheet=U0&amp;row=39&amp;col=6&amp;number=4.5&amp;sourceID=14","4.5")</f>
        <v>4.5</v>
      </c>
      <c r="G39" s="4" t="str">
        <f>HYPERLINK("http://141.218.60.56/~jnz1568/getInfo.php?workbook=20_13.xlsx&amp;sheet=U0&amp;row=39&amp;col=7&amp;number=0.158&amp;sourceID=14","0.158")</f>
        <v>0.158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HYPERLINK("http://141.218.60.56/~jnz1568/getInfo.php?workbook=20_13.xlsx&amp;sheet=U0&amp;row=40&amp;col=6&amp;number=4.6&amp;sourceID=14","4.6")</f>
        <v>4.6</v>
      </c>
      <c r="G40" s="4" t="str">
        <f>HYPERLINK("http://141.218.60.56/~jnz1568/getInfo.php?workbook=20_13.xlsx&amp;sheet=U0&amp;row=40&amp;col=7&amp;number=0.152&amp;sourceID=14","0.152")</f>
        <v>0.152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HYPERLINK("http://141.218.60.56/~jnz1568/getInfo.php?workbook=20_13.xlsx&amp;sheet=U0&amp;row=41&amp;col=6&amp;number=4.7&amp;sourceID=14","4.7")</f>
        <v>4.7</v>
      </c>
      <c r="G41" s="4" t="str">
        <f>HYPERLINK("http://141.218.60.56/~jnz1568/getInfo.php?workbook=20_13.xlsx&amp;sheet=U0&amp;row=41&amp;col=7&amp;number=0.144&amp;sourceID=14","0.144")</f>
        <v>0.144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HYPERLINK("http://141.218.60.56/~jnz1568/getInfo.php?workbook=20_13.xlsx&amp;sheet=U0&amp;row=42&amp;col=6&amp;number=4.8&amp;sourceID=14","4.8")</f>
        <v>4.8</v>
      </c>
      <c r="G42" s="4" t="str">
        <f>HYPERLINK("http://141.218.60.56/~jnz1568/getInfo.php?workbook=20_13.xlsx&amp;sheet=U0&amp;row=42&amp;col=7&amp;number=0.136&amp;sourceID=14","0.136")</f>
        <v>0.136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HYPERLINK("http://141.218.60.56/~jnz1568/getInfo.php?workbook=20_13.xlsx&amp;sheet=U0&amp;row=43&amp;col=6&amp;number=4.9&amp;sourceID=14","4.9")</f>
        <v>4.9</v>
      </c>
      <c r="G43" s="4" t="str">
        <f>HYPERLINK("http://141.218.60.56/~jnz1568/getInfo.php?workbook=20_13.xlsx&amp;sheet=U0&amp;row=43&amp;col=7&amp;number=0.128&amp;sourceID=14","0.128")</f>
        <v>0.128</v>
      </c>
    </row>
    <row r="44" spans="1:7">
      <c r="A44" s="3">
        <v>20</v>
      </c>
      <c r="B44" s="3">
        <v>13</v>
      </c>
      <c r="C44" s="3">
        <v>1</v>
      </c>
      <c r="D44" s="3">
        <v>4</v>
      </c>
      <c r="E44" s="3">
        <v>1</v>
      </c>
      <c r="F44" s="4" t="str">
        <f>HYPERLINK("http://141.218.60.56/~jnz1568/getInfo.php?workbook=20_13.xlsx&amp;sheet=U0&amp;row=44&amp;col=6&amp;number=3&amp;sourceID=14","3")</f>
        <v>3</v>
      </c>
      <c r="G44" s="4" t="str">
        <f>HYPERLINK("http://141.218.60.56/~jnz1568/getInfo.php?workbook=20_13.xlsx&amp;sheet=U0&amp;row=44&amp;col=7&amp;number=0.312&amp;sourceID=14","0.312")</f>
        <v>0.312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HYPERLINK("http://141.218.60.56/~jnz1568/getInfo.php?workbook=20_13.xlsx&amp;sheet=U0&amp;row=45&amp;col=6&amp;number=3.1&amp;sourceID=14","3.1")</f>
        <v>3.1</v>
      </c>
      <c r="G45" s="4" t="str">
        <f>HYPERLINK("http://141.218.60.56/~jnz1568/getInfo.php?workbook=20_13.xlsx&amp;sheet=U0&amp;row=45&amp;col=7&amp;number=0.311&amp;sourceID=14","0.311")</f>
        <v>0.311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HYPERLINK("http://141.218.60.56/~jnz1568/getInfo.php?workbook=20_13.xlsx&amp;sheet=U0&amp;row=46&amp;col=6&amp;number=3.2&amp;sourceID=14","3.2")</f>
        <v>3.2</v>
      </c>
      <c r="G46" s="4" t="str">
        <f>HYPERLINK("http://141.218.60.56/~jnz1568/getInfo.php?workbook=20_13.xlsx&amp;sheet=U0&amp;row=46&amp;col=7&amp;number=0.311&amp;sourceID=14","0.311")</f>
        <v>0.311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HYPERLINK("http://141.218.60.56/~jnz1568/getInfo.php?workbook=20_13.xlsx&amp;sheet=U0&amp;row=47&amp;col=6&amp;number=3.3&amp;sourceID=14","3.3")</f>
        <v>3.3</v>
      </c>
      <c r="G47" s="4" t="str">
        <f>HYPERLINK("http://141.218.60.56/~jnz1568/getInfo.php?workbook=20_13.xlsx&amp;sheet=U0&amp;row=47&amp;col=7&amp;number=0.31&amp;sourceID=14","0.31")</f>
        <v>0.31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HYPERLINK("http://141.218.60.56/~jnz1568/getInfo.php?workbook=20_13.xlsx&amp;sheet=U0&amp;row=48&amp;col=6&amp;number=3.4&amp;sourceID=14","3.4")</f>
        <v>3.4</v>
      </c>
      <c r="G48" s="4" t="str">
        <f>HYPERLINK("http://141.218.60.56/~jnz1568/getInfo.php?workbook=20_13.xlsx&amp;sheet=U0&amp;row=48&amp;col=7&amp;number=0.31&amp;sourceID=14","0.31")</f>
        <v>0.31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HYPERLINK("http://141.218.60.56/~jnz1568/getInfo.php?workbook=20_13.xlsx&amp;sheet=U0&amp;row=49&amp;col=6&amp;number=3.5&amp;sourceID=14","3.5")</f>
        <v>3.5</v>
      </c>
      <c r="G49" s="4" t="str">
        <f>HYPERLINK("http://141.218.60.56/~jnz1568/getInfo.php?workbook=20_13.xlsx&amp;sheet=U0&amp;row=49&amp;col=7&amp;number=0.309&amp;sourceID=14","0.309")</f>
        <v>0.309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HYPERLINK("http://141.218.60.56/~jnz1568/getInfo.php?workbook=20_13.xlsx&amp;sheet=U0&amp;row=50&amp;col=6&amp;number=3.6&amp;sourceID=14","3.6")</f>
        <v>3.6</v>
      </c>
      <c r="G50" s="4" t="str">
        <f>HYPERLINK("http://141.218.60.56/~jnz1568/getInfo.php?workbook=20_13.xlsx&amp;sheet=U0&amp;row=50&amp;col=7&amp;number=0.308&amp;sourceID=14","0.308")</f>
        <v>0.308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HYPERLINK("http://141.218.60.56/~jnz1568/getInfo.php?workbook=20_13.xlsx&amp;sheet=U0&amp;row=51&amp;col=6&amp;number=3.7&amp;sourceID=14","3.7")</f>
        <v>3.7</v>
      </c>
      <c r="G51" s="4" t="str">
        <f>HYPERLINK("http://141.218.60.56/~jnz1568/getInfo.php?workbook=20_13.xlsx&amp;sheet=U0&amp;row=51&amp;col=7&amp;number=0.306&amp;sourceID=14","0.306")</f>
        <v>0.306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HYPERLINK("http://141.218.60.56/~jnz1568/getInfo.php?workbook=20_13.xlsx&amp;sheet=U0&amp;row=52&amp;col=6&amp;number=3.8&amp;sourceID=14","3.8")</f>
        <v>3.8</v>
      </c>
      <c r="G52" s="4" t="str">
        <f>HYPERLINK("http://141.218.60.56/~jnz1568/getInfo.php?workbook=20_13.xlsx&amp;sheet=U0&amp;row=52&amp;col=7&amp;number=0.304&amp;sourceID=14","0.304")</f>
        <v>0.304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HYPERLINK("http://141.218.60.56/~jnz1568/getInfo.php?workbook=20_13.xlsx&amp;sheet=U0&amp;row=53&amp;col=6&amp;number=3.9&amp;sourceID=14","3.9")</f>
        <v>3.9</v>
      </c>
      <c r="G53" s="4" t="str">
        <f>HYPERLINK("http://141.218.60.56/~jnz1568/getInfo.php?workbook=20_13.xlsx&amp;sheet=U0&amp;row=53&amp;col=7&amp;number=0.302&amp;sourceID=14","0.302")</f>
        <v>0.302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HYPERLINK("http://141.218.60.56/~jnz1568/getInfo.php?workbook=20_13.xlsx&amp;sheet=U0&amp;row=54&amp;col=6&amp;number=4&amp;sourceID=14","4")</f>
        <v>4</v>
      </c>
      <c r="G54" s="4" t="str">
        <f>HYPERLINK("http://141.218.60.56/~jnz1568/getInfo.php?workbook=20_13.xlsx&amp;sheet=U0&amp;row=54&amp;col=7&amp;number=0.299&amp;sourceID=14","0.299")</f>
        <v>0.299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HYPERLINK("http://141.218.60.56/~jnz1568/getInfo.php?workbook=20_13.xlsx&amp;sheet=U0&amp;row=55&amp;col=6&amp;number=4.1&amp;sourceID=14","4.1")</f>
        <v>4.1</v>
      </c>
      <c r="G55" s="4" t="str">
        <f>HYPERLINK("http://141.218.60.56/~jnz1568/getInfo.php?workbook=20_13.xlsx&amp;sheet=U0&amp;row=55&amp;col=7&amp;number=0.295&amp;sourceID=14","0.295")</f>
        <v>0.295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HYPERLINK("http://141.218.60.56/~jnz1568/getInfo.php?workbook=20_13.xlsx&amp;sheet=U0&amp;row=56&amp;col=6&amp;number=4.2&amp;sourceID=14","4.2")</f>
        <v>4.2</v>
      </c>
      <c r="G56" s="4" t="str">
        <f>HYPERLINK("http://141.218.60.56/~jnz1568/getInfo.php?workbook=20_13.xlsx&amp;sheet=U0&amp;row=56&amp;col=7&amp;number=0.291&amp;sourceID=14","0.291")</f>
        <v>0.291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HYPERLINK("http://141.218.60.56/~jnz1568/getInfo.php?workbook=20_13.xlsx&amp;sheet=U0&amp;row=57&amp;col=6&amp;number=4.3&amp;sourceID=14","4.3")</f>
        <v>4.3</v>
      </c>
      <c r="G57" s="4" t="str">
        <f>HYPERLINK("http://141.218.60.56/~jnz1568/getInfo.php?workbook=20_13.xlsx&amp;sheet=U0&amp;row=57&amp;col=7&amp;number=0.285&amp;sourceID=14","0.285")</f>
        <v>0.285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HYPERLINK("http://141.218.60.56/~jnz1568/getInfo.php?workbook=20_13.xlsx&amp;sheet=U0&amp;row=58&amp;col=6&amp;number=4.4&amp;sourceID=14","4.4")</f>
        <v>4.4</v>
      </c>
      <c r="G58" s="4" t="str">
        <f>HYPERLINK("http://141.218.60.56/~jnz1568/getInfo.php?workbook=20_13.xlsx&amp;sheet=U0&amp;row=58&amp;col=7&amp;number=0.278&amp;sourceID=14","0.278")</f>
        <v>0.278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HYPERLINK("http://141.218.60.56/~jnz1568/getInfo.php?workbook=20_13.xlsx&amp;sheet=U0&amp;row=59&amp;col=6&amp;number=4.5&amp;sourceID=14","4.5")</f>
        <v>4.5</v>
      </c>
      <c r="G59" s="4" t="str">
        <f>HYPERLINK("http://141.218.60.56/~jnz1568/getInfo.php?workbook=20_13.xlsx&amp;sheet=U0&amp;row=59&amp;col=7&amp;number=0.27&amp;sourceID=14","0.27")</f>
        <v>0.27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HYPERLINK("http://141.218.60.56/~jnz1568/getInfo.php?workbook=20_13.xlsx&amp;sheet=U0&amp;row=60&amp;col=6&amp;number=4.6&amp;sourceID=14","4.6")</f>
        <v>4.6</v>
      </c>
      <c r="G60" s="4" t="str">
        <f>HYPERLINK("http://141.218.60.56/~jnz1568/getInfo.php?workbook=20_13.xlsx&amp;sheet=U0&amp;row=60&amp;col=7&amp;number=0.26&amp;sourceID=14","0.26")</f>
        <v>0.26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HYPERLINK("http://141.218.60.56/~jnz1568/getInfo.php?workbook=20_13.xlsx&amp;sheet=U0&amp;row=61&amp;col=6&amp;number=4.7&amp;sourceID=14","4.7")</f>
        <v>4.7</v>
      </c>
      <c r="G61" s="4" t="str">
        <f>HYPERLINK("http://141.218.60.56/~jnz1568/getInfo.php?workbook=20_13.xlsx&amp;sheet=U0&amp;row=61&amp;col=7&amp;number=0.248&amp;sourceID=14","0.248")</f>
        <v>0.248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HYPERLINK("http://141.218.60.56/~jnz1568/getInfo.php?workbook=20_13.xlsx&amp;sheet=U0&amp;row=62&amp;col=6&amp;number=4.8&amp;sourceID=14","4.8")</f>
        <v>4.8</v>
      </c>
      <c r="G62" s="4" t="str">
        <f>HYPERLINK("http://141.218.60.56/~jnz1568/getInfo.php?workbook=20_13.xlsx&amp;sheet=U0&amp;row=62&amp;col=7&amp;number=0.235&amp;sourceID=14","0.235")</f>
        <v>0.235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HYPERLINK("http://141.218.60.56/~jnz1568/getInfo.php?workbook=20_13.xlsx&amp;sheet=U0&amp;row=63&amp;col=6&amp;number=4.9&amp;sourceID=14","4.9")</f>
        <v>4.9</v>
      </c>
      <c r="G63" s="4" t="str">
        <f>HYPERLINK("http://141.218.60.56/~jnz1568/getInfo.php?workbook=20_13.xlsx&amp;sheet=U0&amp;row=63&amp;col=7&amp;number=0.22&amp;sourceID=14","0.22")</f>
        <v>0.22</v>
      </c>
    </row>
    <row r="64" spans="1:7">
      <c r="A64" s="3">
        <v>20</v>
      </c>
      <c r="B64" s="3">
        <v>13</v>
      </c>
      <c r="C64" s="3">
        <v>1</v>
      </c>
      <c r="D64" s="3">
        <v>5</v>
      </c>
      <c r="E64" s="3">
        <v>1</v>
      </c>
      <c r="F64" s="4" t="str">
        <f>HYPERLINK("http://141.218.60.56/~jnz1568/getInfo.php?workbook=20_13.xlsx&amp;sheet=U0&amp;row=64&amp;col=6&amp;number=3&amp;sourceID=14","3")</f>
        <v>3</v>
      </c>
      <c r="G64" s="4" t="str">
        <f>HYPERLINK("http://141.218.60.56/~jnz1568/getInfo.php?workbook=20_13.xlsx&amp;sheet=U0&amp;row=64&amp;col=7&amp;number=0.337&amp;sourceID=14","0.337")</f>
        <v>0.337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HYPERLINK("http://141.218.60.56/~jnz1568/getInfo.php?workbook=20_13.xlsx&amp;sheet=U0&amp;row=65&amp;col=6&amp;number=3.1&amp;sourceID=14","3.1")</f>
        <v>3.1</v>
      </c>
      <c r="G65" s="4" t="str">
        <f>HYPERLINK("http://141.218.60.56/~jnz1568/getInfo.php?workbook=20_13.xlsx&amp;sheet=U0&amp;row=65&amp;col=7&amp;number=0.336&amp;sourceID=14","0.336")</f>
        <v>0.336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HYPERLINK("http://141.218.60.56/~jnz1568/getInfo.php?workbook=20_13.xlsx&amp;sheet=U0&amp;row=66&amp;col=6&amp;number=3.2&amp;sourceID=14","3.2")</f>
        <v>3.2</v>
      </c>
      <c r="G66" s="4" t="str">
        <f>HYPERLINK("http://141.218.60.56/~jnz1568/getInfo.php?workbook=20_13.xlsx&amp;sheet=U0&amp;row=66&amp;col=7&amp;number=0.336&amp;sourceID=14","0.336")</f>
        <v>0.336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HYPERLINK("http://141.218.60.56/~jnz1568/getInfo.php?workbook=20_13.xlsx&amp;sheet=U0&amp;row=67&amp;col=6&amp;number=3.3&amp;sourceID=14","3.3")</f>
        <v>3.3</v>
      </c>
      <c r="G67" s="4" t="str">
        <f>HYPERLINK("http://141.218.60.56/~jnz1568/getInfo.php?workbook=20_13.xlsx&amp;sheet=U0&amp;row=67&amp;col=7&amp;number=0.335&amp;sourceID=14","0.335")</f>
        <v>0.335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HYPERLINK("http://141.218.60.56/~jnz1568/getInfo.php?workbook=20_13.xlsx&amp;sheet=U0&amp;row=68&amp;col=6&amp;number=3.4&amp;sourceID=14","3.4")</f>
        <v>3.4</v>
      </c>
      <c r="G68" s="4" t="str">
        <f>HYPERLINK("http://141.218.60.56/~jnz1568/getInfo.php?workbook=20_13.xlsx&amp;sheet=U0&amp;row=68&amp;col=7&amp;number=0.335&amp;sourceID=14","0.335")</f>
        <v>0.335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HYPERLINK("http://141.218.60.56/~jnz1568/getInfo.php?workbook=20_13.xlsx&amp;sheet=U0&amp;row=69&amp;col=6&amp;number=3.5&amp;sourceID=14","3.5")</f>
        <v>3.5</v>
      </c>
      <c r="G69" s="4" t="str">
        <f>HYPERLINK("http://141.218.60.56/~jnz1568/getInfo.php?workbook=20_13.xlsx&amp;sheet=U0&amp;row=69&amp;col=7&amp;number=0.334&amp;sourceID=14","0.334")</f>
        <v>0.334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HYPERLINK("http://141.218.60.56/~jnz1568/getInfo.php?workbook=20_13.xlsx&amp;sheet=U0&amp;row=70&amp;col=6&amp;number=3.6&amp;sourceID=14","3.6")</f>
        <v>3.6</v>
      </c>
      <c r="G70" s="4" t="str">
        <f>HYPERLINK("http://141.218.60.56/~jnz1568/getInfo.php?workbook=20_13.xlsx&amp;sheet=U0&amp;row=70&amp;col=7&amp;number=0.332&amp;sourceID=14","0.332")</f>
        <v>0.332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HYPERLINK("http://141.218.60.56/~jnz1568/getInfo.php?workbook=20_13.xlsx&amp;sheet=U0&amp;row=71&amp;col=6&amp;number=3.7&amp;sourceID=14","3.7")</f>
        <v>3.7</v>
      </c>
      <c r="G71" s="4" t="str">
        <f>HYPERLINK("http://141.218.60.56/~jnz1568/getInfo.php?workbook=20_13.xlsx&amp;sheet=U0&amp;row=71&amp;col=7&amp;number=0.331&amp;sourceID=14","0.331")</f>
        <v>0.331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HYPERLINK("http://141.218.60.56/~jnz1568/getInfo.php?workbook=20_13.xlsx&amp;sheet=U0&amp;row=72&amp;col=6&amp;number=3.8&amp;sourceID=14","3.8")</f>
        <v>3.8</v>
      </c>
      <c r="G72" s="4" t="str">
        <f>HYPERLINK("http://141.218.60.56/~jnz1568/getInfo.php?workbook=20_13.xlsx&amp;sheet=U0&amp;row=72&amp;col=7&amp;number=0.329&amp;sourceID=14","0.329")</f>
        <v>0.329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HYPERLINK("http://141.218.60.56/~jnz1568/getInfo.php?workbook=20_13.xlsx&amp;sheet=U0&amp;row=73&amp;col=6&amp;number=3.9&amp;sourceID=14","3.9")</f>
        <v>3.9</v>
      </c>
      <c r="G73" s="4" t="str">
        <f>HYPERLINK("http://141.218.60.56/~jnz1568/getInfo.php?workbook=20_13.xlsx&amp;sheet=U0&amp;row=73&amp;col=7&amp;number=0.327&amp;sourceID=14","0.327")</f>
        <v>0.327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HYPERLINK("http://141.218.60.56/~jnz1568/getInfo.php?workbook=20_13.xlsx&amp;sheet=U0&amp;row=74&amp;col=6&amp;number=4&amp;sourceID=14","4")</f>
        <v>4</v>
      </c>
      <c r="G74" s="4" t="str">
        <f>HYPERLINK("http://141.218.60.56/~jnz1568/getInfo.php?workbook=20_13.xlsx&amp;sheet=U0&amp;row=74&amp;col=7&amp;number=0.324&amp;sourceID=14","0.324")</f>
        <v>0.324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HYPERLINK("http://141.218.60.56/~jnz1568/getInfo.php?workbook=20_13.xlsx&amp;sheet=U0&amp;row=75&amp;col=6&amp;number=4.1&amp;sourceID=14","4.1")</f>
        <v>4.1</v>
      </c>
      <c r="G75" s="4" t="str">
        <f>HYPERLINK("http://141.218.60.56/~jnz1568/getInfo.php?workbook=20_13.xlsx&amp;sheet=U0&amp;row=75&amp;col=7&amp;number=0.32&amp;sourceID=14","0.32")</f>
        <v>0.32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HYPERLINK("http://141.218.60.56/~jnz1568/getInfo.php?workbook=20_13.xlsx&amp;sheet=U0&amp;row=76&amp;col=6&amp;number=4.2&amp;sourceID=14","4.2")</f>
        <v>4.2</v>
      </c>
      <c r="G76" s="4" t="str">
        <f>HYPERLINK("http://141.218.60.56/~jnz1568/getInfo.php?workbook=20_13.xlsx&amp;sheet=U0&amp;row=76&amp;col=7&amp;number=0.315&amp;sourceID=14","0.315")</f>
        <v>0.315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HYPERLINK("http://141.218.60.56/~jnz1568/getInfo.php?workbook=20_13.xlsx&amp;sheet=U0&amp;row=77&amp;col=6&amp;number=4.3&amp;sourceID=14","4.3")</f>
        <v>4.3</v>
      </c>
      <c r="G77" s="4" t="str">
        <f>HYPERLINK("http://141.218.60.56/~jnz1568/getInfo.php?workbook=20_13.xlsx&amp;sheet=U0&amp;row=77&amp;col=7&amp;number=0.31&amp;sourceID=14","0.31")</f>
        <v>0.31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HYPERLINK("http://141.218.60.56/~jnz1568/getInfo.php?workbook=20_13.xlsx&amp;sheet=U0&amp;row=78&amp;col=6&amp;number=4.4&amp;sourceID=14","4.4")</f>
        <v>4.4</v>
      </c>
      <c r="G78" s="4" t="str">
        <f>HYPERLINK("http://141.218.60.56/~jnz1568/getInfo.php?workbook=20_13.xlsx&amp;sheet=U0&amp;row=78&amp;col=7&amp;number=0.303&amp;sourceID=14","0.303")</f>
        <v>0.303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HYPERLINK("http://141.218.60.56/~jnz1568/getInfo.php?workbook=20_13.xlsx&amp;sheet=U0&amp;row=79&amp;col=6&amp;number=4.5&amp;sourceID=14","4.5")</f>
        <v>4.5</v>
      </c>
      <c r="G79" s="4" t="str">
        <f>HYPERLINK("http://141.218.60.56/~jnz1568/getInfo.php?workbook=20_13.xlsx&amp;sheet=U0&amp;row=79&amp;col=7&amp;number=0.294&amp;sourceID=14","0.294")</f>
        <v>0.294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HYPERLINK("http://141.218.60.56/~jnz1568/getInfo.php?workbook=20_13.xlsx&amp;sheet=U0&amp;row=80&amp;col=6&amp;number=4.6&amp;sourceID=14","4.6")</f>
        <v>4.6</v>
      </c>
      <c r="G80" s="4" t="str">
        <f>HYPERLINK("http://141.218.60.56/~jnz1568/getInfo.php?workbook=20_13.xlsx&amp;sheet=U0&amp;row=80&amp;col=7&amp;number=0.284&amp;sourceID=14","0.284")</f>
        <v>0.284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HYPERLINK("http://141.218.60.56/~jnz1568/getInfo.php?workbook=20_13.xlsx&amp;sheet=U0&amp;row=81&amp;col=6&amp;number=4.7&amp;sourceID=14","4.7")</f>
        <v>4.7</v>
      </c>
      <c r="G81" s="4" t="str">
        <f>HYPERLINK("http://141.218.60.56/~jnz1568/getInfo.php?workbook=20_13.xlsx&amp;sheet=U0&amp;row=81&amp;col=7&amp;number=0.271&amp;sourceID=14","0.271")</f>
        <v>0.271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HYPERLINK("http://141.218.60.56/~jnz1568/getInfo.php?workbook=20_13.xlsx&amp;sheet=U0&amp;row=82&amp;col=6&amp;number=4.8&amp;sourceID=14","4.8")</f>
        <v>4.8</v>
      </c>
      <c r="G82" s="4" t="str">
        <f>HYPERLINK("http://141.218.60.56/~jnz1568/getInfo.php?workbook=20_13.xlsx&amp;sheet=U0&amp;row=82&amp;col=7&amp;number=0.257&amp;sourceID=14","0.257")</f>
        <v>0.257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HYPERLINK("http://141.218.60.56/~jnz1568/getInfo.php?workbook=20_13.xlsx&amp;sheet=U0&amp;row=83&amp;col=6&amp;number=4.9&amp;sourceID=14","4.9")</f>
        <v>4.9</v>
      </c>
      <c r="G83" s="4" t="str">
        <f>HYPERLINK("http://141.218.60.56/~jnz1568/getInfo.php?workbook=20_13.xlsx&amp;sheet=U0&amp;row=83&amp;col=7&amp;number=0.241&amp;sourceID=14","0.241")</f>
        <v>0.241</v>
      </c>
    </row>
    <row r="84" spans="1:7">
      <c r="A84" s="3">
        <v>20</v>
      </c>
      <c r="B84" s="3">
        <v>13</v>
      </c>
      <c r="C84" s="3">
        <v>1</v>
      </c>
      <c r="D84" s="3">
        <v>6</v>
      </c>
      <c r="E84" s="3">
        <v>1</v>
      </c>
      <c r="F84" s="4" t="str">
        <f>HYPERLINK("http://141.218.60.56/~jnz1568/getInfo.php?workbook=20_13.xlsx&amp;sheet=U0&amp;row=84&amp;col=6&amp;number=3&amp;sourceID=14","3")</f>
        <v>3</v>
      </c>
      <c r="G84" s="4" t="str">
        <f>HYPERLINK("http://141.218.60.56/~jnz1568/getInfo.php?workbook=20_13.xlsx&amp;sheet=U0&amp;row=84&amp;col=7&amp;number=1.48&amp;sourceID=14","1.48")</f>
        <v>1.48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HYPERLINK("http://141.218.60.56/~jnz1568/getInfo.php?workbook=20_13.xlsx&amp;sheet=U0&amp;row=85&amp;col=6&amp;number=3.1&amp;sourceID=14","3.1")</f>
        <v>3.1</v>
      </c>
      <c r="G85" s="4" t="str">
        <f>HYPERLINK("http://141.218.60.56/~jnz1568/getInfo.php?workbook=20_13.xlsx&amp;sheet=U0&amp;row=85&amp;col=7&amp;number=1.48&amp;sourceID=14","1.48")</f>
        <v>1.48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HYPERLINK("http://141.218.60.56/~jnz1568/getInfo.php?workbook=20_13.xlsx&amp;sheet=U0&amp;row=86&amp;col=6&amp;number=3.2&amp;sourceID=14","3.2")</f>
        <v>3.2</v>
      </c>
      <c r="G86" s="4" t="str">
        <f>HYPERLINK("http://141.218.60.56/~jnz1568/getInfo.php?workbook=20_13.xlsx&amp;sheet=U0&amp;row=86&amp;col=7&amp;number=1.48&amp;sourceID=14","1.48")</f>
        <v>1.48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HYPERLINK("http://141.218.60.56/~jnz1568/getInfo.php?workbook=20_13.xlsx&amp;sheet=U0&amp;row=87&amp;col=6&amp;number=3.3&amp;sourceID=14","3.3")</f>
        <v>3.3</v>
      </c>
      <c r="G87" s="4" t="str">
        <f>HYPERLINK("http://141.218.60.56/~jnz1568/getInfo.php?workbook=20_13.xlsx&amp;sheet=U0&amp;row=87&amp;col=7&amp;number=1.48&amp;sourceID=14","1.48")</f>
        <v>1.48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HYPERLINK("http://141.218.60.56/~jnz1568/getInfo.php?workbook=20_13.xlsx&amp;sheet=U0&amp;row=88&amp;col=6&amp;number=3.4&amp;sourceID=14","3.4")</f>
        <v>3.4</v>
      </c>
      <c r="G88" s="4" t="str">
        <f>HYPERLINK("http://141.218.60.56/~jnz1568/getInfo.php?workbook=20_13.xlsx&amp;sheet=U0&amp;row=88&amp;col=7&amp;number=1.48&amp;sourceID=14","1.48")</f>
        <v>1.48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HYPERLINK("http://141.218.60.56/~jnz1568/getInfo.php?workbook=20_13.xlsx&amp;sheet=U0&amp;row=89&amp;col=6&amp;number=3.5&amp;sourceID=14","3.5")</f>
        <v>3.5</v>
      </c>
      <c r="G89" s="4" t="str">
        <f>HYPERLINK("http://141.218.60.56/~jnz1568/getInfo.php?workbook=20_13.xlsx&amp;sheet=U0&amp;row=89&amp;col=7&amp;number=1.48&amp;sourceID=14","1.48")</f>
        <v>1.48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HYPERLINK("http://141.218.60.56/~jnz1568/getInfo.php?workbook=20_13.xlsx&amp;sheet=U0&amp;row=90&amp;col=6&amp;number=3.6&amp;sourceID=14","3.6")</f>
        <v>3.6</v>
      </c>
      <c r="G90" s="4" t="str">
        <f>HYPERLINK("http://141.218.60.56/~jnz1568/getInfo.php?workbook=20_13.xlsx&amp;sheet=U0&amp;row=90&amp;col=7&amp;number=1.47&amp;sourceID=14","1.47")</f>
        <v>1.47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HYPERLINK("http://141.218.60.56/~jnz1568/getInfo.php?workbook=20_13.xlsx&amp;sheet=U0&amp;row=91&amp;col=6&amp;number=3.7&amp;sourceID=14","3.7")</f>
        <v>3.7</v>
      </c>
      <c r="G91" s="4" t="str">
        <f>HYPERLINK("http://141.218.60.56/~jnz1568/getInfo.php?workbook=20_13.xlsx&amp;sheet=U0&amp;row=91&amp;col=7&amp;number=1.47&amp;sourceID=14","1.47")</f>
        <v>1.47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HYPERLINK("http://141.218.60.56/~jnz1568/getInfo.php?workbook=20_13.xlsx&amp;sheet=U0&amp;row=92&amp;col=6&amp;number=3.8&amp;sourceID=14","3.8")</f>
        <v>3.8</v>
      </c>
      <c r="G92" s="4" t="str">
        <f>HYPERLINK("http://141.218.60.56/~jnz1568/getInfo.php?workbook=20_13.xlsx&amp;sheet=U0&amp;row=92&amp;col=7&amp;number=1.47&amp;sourceID=14","1.47")</f>
        <v>1.47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HYPERLINK("http://141.218.60.56/~jnz1568/getInfo.php?workbook=20_13.xlsx&amp;sheet=U0&amp;row=93&amp;col=6&amp;number=3.9&amp;sourceID=14","3.9")</f>
        <v>3.9</v>
      </c>
      <c r="G93" s="4" t="str">
        <f>HYPERLINK("http://141.218.60.56/~jnz1568/getInfo.php?workbook=20_13.xlsx&amp;sheet=U0&amp;row=93&amp;col=7&amp;number=1.47&amp;sourceID=14","1.47")</f>
        <v>1.47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HYPERLINK("http://141.218.60.56/~jnz1568/getInfo.php?workbook=20_13.xlsx&amp;sheet=U0&amp;row=94&amp;col=6&amp;number=4&amp;sourceID=14","4")</f>
        <v>4</v>
      </c>
      <c r="G94" s="4" t="str">
        <f>HYPERLINK("http://141.218.60.56/~jnz1568/getInfo.php?workbook=20_13.xlsx&amp;sheet=U0&amp;row=94&amp;col=7&amp;number=1.47&amp;sourceID=14","1.47")</f>
        <v>1.47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HYPERLINK("http://141.218.60.56/~jnz1568/getInfo.php?workbook=20_13.xlsx&amp;sheet=U0&amp;row=95&amp;col=6&amp;number=4.1&amp;sourceID=14","4.1")</f>
        <v>4.1</v>
      </c>
      <c r="G95" s="4" t="str">
        <f>HYPERLINK("http://141.218.60.56/~jnz1568/getInfo.php?workbook=20_13.xlsx&amp;sheet=U0&amp;row=95&amp;col=7&amp;number=1.47&amp;sourceID=14","1.47")</f>
        <v>1.47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HYPERLINK("http://141.218.60.56/~jnz1568/getInfo.php?workbook=20_13.xlsx&amp;sheet=U0&amp;row=96&amp;col=6&amp;number=4.2&amp;sourceID=14","4.2")</f>
        <v>4.2</v>
      </c>
      <c r="G96" s="4" t="str">
        <f>HYPERLINK("http://141.218.60.56/~jnz1568/getInfo.php?workbook=20_13.xlsx&amp;sheet=U0&amp;row=96&amp;col=7&amp;number=1.47&amp;sourceID=14","1.47")</f>
        <v>1.47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HYPERLINK("http://141.218.60.56/~jnz1568/getInfo.php?workbook=20_13.xlsx&amp;sheet=U0&amp;row=97&amp;col=6&amp;number=4.3&amp;sourceID=14","4.3")</f>
        <v>4.3</v>
      </c>
      <c r="G97" s="4" t="str">
        <f>HYPERLINK("http://141.218.60.56/~jnz1568/getInfo.php?workbook=20_13.xlsx&amp;sheet=U0&amp;row=97&amp;col=7&amp;number=1.46&amp;sourceID=14","1.46")</f>
        <v>1.46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HYPERLINK("http://141.218.60.56/~jnz1568/getInfo.php?workbook=20_13.xlsx&amp;sheet=U0&amp;row=98&amp;col=6&amp;number=4.4&amp;sourceID=14","4.4")</f>
        <v>4.4</v>
      </c>
      <c r="G98" s="4" t="str">
        <f>HYPERLINK("http://141.218.60.56/~jnz1568/getInfo.php?workbook=20_13.xlsx&amp;sheet=U0&amp;row=98&amp;col=7&amp;number=1.46&amp;sourceID=14","1.46")</f>
        <v>1.46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HYPERLINK("http://141.218.60.56/~jnz1568/getInfo.php?workbook=20_13.xlsx&amp;sheet=U0&amp;row=99&amp;col=6&amp;number=4.5&amp;sourceID=14","4.5")</f>
        <v>4.5</v>
      </c>
      <c r="G99" s="4" t="str">
        <f>HYPERLINK("http://141.218.60.56/~jnz1568/getInfo.php?workbook=20_13.xlsx&amp;sheet=U0&amp;row=99&amp;col=7&amp;number=1.45&amp;sourceID=14","1.45")</f>
        <v>1.45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HYPERLINK("http://141.218.60.56/~jnz1568/getInfo.php?workbook=20_13.xlsx&amp;sheet=U0&amp;row=100&amp;col=6&amp;number=4.6&amp;sourceID=14","4.6")</f>
        <v>4.6</v>
      </c>
      <c r="G100" s="4" t="str">
        <f>HYPERLINK("http://141.218.60.56/~jnz1568/getInfo.php?workbook=20_13.xlsx&amp;sheet=U0&amp;row=100&amp;col=7&amp;number=1.45&amp;sourceID=14","1.45")</f>
        <v>1.45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HYPERLINK("http://141.218.60.56/~jnz1568/getInfo.php?workbook=20_13.xlsx&amp;sheet=U0&amp;row=101&amp;col=6&amp;number=4.7&amp;sourceID=14","4.7")</f>
        <v>4.7</v>
      </c>
      <c r="G101" s="4" t="str">
        <f>HYPERLINK("http://141.218.60.56/~jnz1568/getInfo.php?workbook=20_13.xlsx&amp;sheet=U0&amp;row=101&amp;col=7&amp;number=1.44&amp;sourceID=14","1.44")</f>
        <v>1.44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HYPERLINK("http://141.218.60.56/~jnz1568/getInfo.php?workbook=20_13.xlsx&amp;sheet=U0&amp;row=102&amp;col=6&amp;number=4.8&amp;sourceID=14","4.8")</f>
        <v>4.8</v>
      </c>
      <c r="G102" s="4" t="str">
        <f>HYPERLINK("http://141.218.60.56/~jnz1568/getInfo.php?workbook=20_13.xlsx&amp;sheet=U0&amp;row=102&amp;col=7&amp;number=1.43&amp;sourceID=14","1.43")</f>
        <v>1.43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HYPERLINK("http://141.218.60.56/~jnz1568/getInfo.php?workbook=20_13.xlsx&amp;sheet=U0&amp;row=103&amp;col=6&amp;number=4.9&amp;sourceID=14","4.9")</f>
        <v>4.9</v>
      </c>
      <c r="G103" s="4" t="str">
        <f>HYPERLINK("http://141.218.60.56/~jnz1568/getInfo.php?workbook=20_13.xlsx&amp;sheet=U0&amp;row=103&amp;col=7&amp;number=1.41&amp;sourceID=14","1.41")</f>
        <v>1.41</v>
      </c>
    </row>
    <row r="104" spans="1:7">
      <c r="A104" s="3">
        <v>20</v>
      </c>
      <c r="B104" s="3">
        <v>13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HYPERLINK("http://141.218.60.56/~jnz1568/getInfo.php?workbook=20_13.xlsx&amp;sheet=U0&amp;row=104&amp;col=6&amp;number=3&amp;sourceID=14","3")</f>
        <v>3</v>
      </c>
      <c r="G104" s="4" t="str">
        <f>HYPERLINK("http://141.218.60.56/~jnz1568/getInfo.php?workbook=20_13.xlsx&amp;sheet=U0&amp;row=104&amp;col=7&amp;number=0.904&amp;sourceID=14","0.904")</f>
        <v>0.904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HYPERLINK("http://141.218.60.56/~jnz1568/getInfo.php?workbook=20_13.xlsx&amp;sheet=U0&amp;row=105&amp;col=6&amp;number=3.1&amp;sourceID=14","3.1")</f>
        <v>3.1</v>
      </c>
      <c r="G105" s="4" t="str">
        <f>HYPERLINK("http://141.218.60.56/~jnz1568/getInfo.php?workbook=20_13.xlsx&amp;sheet=U0&amp;row=105&amp;col=7&amp;number=0.903&amp;sourceID=14","0.903")</f>
        <v>0.903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HYPERLINK("http://141.218.60.56/~jnz1568/getInfo.php?workbook=20_13.xlsx&amp;sheet=U0&amp;row=106&amp;col=6&amp;number=3.2&amp;sourceID=14","3.2")</f>
        <v>3.2</v>
      </c>
      <c r="G106" s="4" t="str">
        <f>HYPERLINK("http://141.218.60.56/~jnz1568/getInfo.php?workbook=20_13.xlsx&amp;sheet=U0&amp;row=106&amp;col=7&amp;number=0.902&amp;sourceID=14","0.902")</f>
        <v>0.902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HYPERLINK("http://141.218.60.56/~jnz1568/getInfo.php?workbook=20_13.xlsx&amp;sheet=U0&amp;row=107&amp;col=6&amp;number=3.3&amp;sourceID=14","3.3")</f>
        <v>3.3</v>
      </c>
      <c r="G107" s="4" t="str">
        <f>HYPERLINK("http://141.218.60.56/~jnz1568/getInfo.php?workbook=20_13.xlsx&amp;sheet=U0&amp;row=107&amp;col=7&amp;number=0.901&amp;sourceID=14","0.901")</f>
        <v>0.901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HYPERLINK("http://141.218.60.56/~jnz1568/getInfo.php?workbook=20_13.xlsx&amp;sheet=U0&amp;row=108&amp;col=6&amp;number=3.4&amp;sourceID=14","3.4")</f>
        <v>3.4</v>
      </c>
      <c r="G108" s="4" t="str">
        <f>HYPERLINK("http://141.218.60.56/~jnz1568/getInfo.php?workbook=20_13.xlsx&amp;sheet=U0&amp;row=108&amp;col=7&amp;number=0.899&amp;sourceID=14","0.899")</f>
        <v>0.899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HYPERLINK("http://141.218.60.56/~jnz1568/getInfo.php?workbook=20_13.xlsx&amp;sheet=U0&amp;row=109&amp;col=6&amp;number=3.5&amp;sourceID=14","3.5")</f>
        <v>3.5</v>
      </c>
      <c r="G109" s="4" t="str">
        <f>HYPERLINK("http://141.218.60.56/~jnz1568/getInfo.php?workbook=20_13.xlsx&amp;sheet=U0&amp;row=109&amp;col=7&amp;number=0.897&amp;sourceID=14","0.897")</f>
        <v>0.897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HYPERLINK("http://141.218.60.56/~jnz1568/getInfo.php?workbook=20_13.xlsx&amp;sheet=U0&amp;row=110&amp;col=6&amp;number=3.6&amp;sourceID=14","3.6")</f>
        <v>3.6</v>
      </c>
      <c r="G110" s="4" t="str">
        <f>HYPERLINK("http://141.218.60.56/~jnz1568/getInfo.php?workbook=20_13.xlsx&amp;sheet=U0&amp;row=110&amp;col=7&amp;number=0.895&amp;sourceID=14","0.895")</f>
        <v>0.895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HYPERLINK("http://141.218.60.56/~jnz1568/getInfo.php?workbook=20_13.xlsx&amp;sheet=U0&amp;row=111&amp;col=6&amp;number=3.7&amp;sourceID=14","3.7")</f>
        <v>3.7</v>
      </c>
      <c r="G111" s="4" t="str">
        <f>HYPERLINK("http://141.218.60.56/~jnz1568/getInfo.php?workbook=20_13.xlsx&amp;sheet=U0&amp;row=111&amp;col=7&amp;number=0.891&amp;sourceID=14","0.891")</f>
        <v>0.891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HYPERLINK("http://141.218.60.56/~jnz1568/getInfo.php?workbook=20_13.xlsx&amp;sheet=U0&amp;row=112&amp;col=6&amp;number=3.8&amp;sourceID=14","3.8")</f>
        <v>3.8</v>
      </c>
      <c r="G112" s="4" t="str">
        <f>HYPERLINK("http://141.218.60.56/~jnz1568/getInfo.php?workbook=20_13.xlsx&amp;sheet=U0&amp;row=112&amp;col=7&amp;number=0.887&amp;sourceID=14","0.887")</f>
        <v>0.887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HYPERLINK("http://141.218.60.56/~jnz1568/getInfo.php?workbook=20_13.xlsx&amp;sheet=U0&amp;row=113&amp;col=6&amp;number=3.9&amp;sourceID=14","3.9")</f>
        <v>3.9</v>
      </c>
      <c r="G113" s="4" t="str">
        <f>HYPERLINK("http://141.218.60.56/~jnz1568/getInfo.php?workbook=20_13.xlsx&amp;sheet=U0&amp;row=113&amp;col=7&amp;number=0.882&amp;sourceID=14","0.882")</f>
        <v>0.882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HYPERLINK("http://141.218.60.56/~jnz1568/getInfo.php?workbook=20_13.xlsx&amp;sheet=U0&amp;row=114&amp;col=6&amp;number=4&amp;sourceID=14","4")</f>
        <v>4</v>
      </c>
      <c r="G114" s="4" t="str">
        <f>HYPERLINK("http://141.218.60.56/~jnz1568/getInfo.php?workbook=20_13.xlsx&amp;sheet=U0&amp;row=114&amp;col=7&amp;number=0.876&amp;sourceID=14","0.876")</f>
        <v>0.876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HYPERLINK("http://141.218.60.56/~jnz1568/getInfo.php?workbook=20_13.xlsx&amp;sheet=U0&amp;row=115&amp;col=6&amp;number=4.1&amp;sourceID=14","4.1")</f>
        <v>4.1</v>
      </c>
      <c r="G115" s="4" t="str">
        <f>HYPERLINK("http://141.218.60.56/~jnz1568/getInfo.php?workbook=20_13.xlsx&amp;sheet=U0&amp;row=115&amp;col=7&amp;number=0.868&amp;sourceID=14","0.868")</f>
        <v>0.868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HYPERLINK("http://141.218.60.56/~jnz1568/getInfo.php?workbook=20_13.xlsx&amp;sheet=U0&amp;row=116&amp;col=6&amp;number=4.2&amp;sourceID=14","4.2")</f>
        <v>4.2</v>
      </c>
      <c r="G116" s="4" t="str">
        <f>HYPERLINK("http://141.218.60.56/~jnz1568/getInfo.php?workbook=20_13.xlsx&amp;sheet=U0&amp;row=116&amp;col=7&amp;number=0.858&amp;sourceID=14","0.858")</f>
        <v>0.858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HYPERLINK("http://141.218.60.56/~jnz1568/getInfo.php?workbook=20_13.xlsx&amp;sheet=U0&amp;row=117&amp;col=6&amp;number=4.3&amp;sourceID=14","4.3")</f>
        <v>4.3</v>
      </c>
      <c r="G117" s="4" t="str">
        <f>HYPERLINK("http://141.218.60.56/~jnz1568/getInfo.php?workbook=20_13.xlsx&amp;sheet=U0&amp;row=117&amp;col=7&amp;number=0.845&amp;sourceID=14","0.845")</f>
        <v>0.845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HYPERLINK("http://141.218.60.56/~jnz1568/getInfo.php?workbook=20_13.xlsx&amp;sheet=U0&amp;row=118&amp;col=6&amp;number=4.4&amp;sourceID=14","4.4")</f>
        <v>4.4</v>
      </c>
      <c r="G118" s="4" t="str">
        <f>HYPERLINK("http://141.218.60.56/~jnz1568/getInfo.php?workbook=20_13.xlsx&amp;sheet=U0&amp;row=118&amp;col=7&amp;number=0.83&amp;sourceID=14","0.83")</f>
        <v>0.83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HYPERLINK("http://141.218.60.56/~jnz1568/getInfo.php?workbook=20_13.xlsx&amp;sheet=U0&amp;row=119&amp;col=6&amp;number=4.5&amp;sourceID=14","4.5")</f>
        <v>4.5</v>
      </c>
      <c r="G119" s="4" t="str">
        <f>HYPERLINK("http://141.218.60.56/~jnz1568/getInfo.php?workbook=20_13.xlsx&amp;sheet=U0&amp;row=119&amp;col=7&amp;number=0.811&amp;sourceID=14","0.811")</f>
        <v>0.811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HYPERLINK("http://141.218.60.56/~jnz1568/getInfo.php?workbook=20_13.xlsx&amp;sheet=U0&amp;row=120&amp;col=6&amp;number=4.6&amp;sourceID=14","4.6")</f>
        <v>4.6</v>
      </c>
      <c r="G120" s="4" t="str">
        <f>HYPERLINK("http://141.218.60.56/~jnz1568/getInfo.php?workbook=20_13.xlsx&amp;sheet=U0&amp;row=120&amp;col=7&amp;number=0.788&amp;sourceID=14","0.788")</f>
        <v>0.788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HYPERLINK("http://141.218.60.56/~jnz1568/getInfo.php?workbook=20_13.xlsx&amp;sheet=U0&amp;row=121&amp;col=6&amp;number=4.7&amp;sourceID=14","4.7")</f>
        <v>4.7</v>
      </c>
      <c r="G121" s="4" t="str">
        <f>HYPERLINK("http://141.218.60.56/~jnz1568/getInfo.php?workbook=20_13.xlsx&amp;sheet=U0&amp;row=121&amp;col=7&amp;number=0.76&amp;sourceID=14","0.76")</f>
        <v>0.76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HYPERLINK("http://141.218.60.56/~jnz1568/getInfo.php?workbook=20_13.xlsx&amp;sheet=U0&amp;row=122&amp;col=6&amp;number=4.8&amp;sourceID=14","4.8")</f>
        <v>4.8</v>
      </c>
      <c r="G122" s="4" t="str">
        <f>HYPERLINK("http://141.218.60.56/~jnz1568/getInfo.php?workbook=20_13.xlsx&amp;sheet=U0&amp;row=122&amp;col=7&amp;number=0.726&amp;sourceID=14","0.726")</f>
        <v>0.726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HYPERLINK("http://141.218.60.56/~jnz1568/getInfo.php?workbook=20_13.xlsx&amp;sheet=U0&amp;row=123&amp;col=6&amp;number=4.9&amp;sourceID=14","4.9")</f>
        <v>4.9</v>
      </c>
      <c r="G123" s="4" t="str">
        <f>HYPERLINK("http://141.218.60.56/~jnz1568/getInfo.php?workbook=20_13.xlsx&amp;sheet=U0&amp;row=123&amp;col=7&amp;number=0.687&amp;sourceID=14","0.687")</f>
        <v>0.687</v>
      </c>
    </row>
    <row r="124" spans="1:7">
      <c r="A124" s="3">
        <v>20</v>
      </c>
      <c r="B124" s="3">
        <v>13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HYPERLINK("http://141.218.60.56/~jnz1568/getInfo.php?workbook=20_13.xlsx&amp;sheet=U0&amp;row=124&amp;col=6&amp;number=3&amp;sourceID=14","3")</f>
        <v>3</v>
      </c>
      <c r="G124" s="4" t="str">
        <f>HYPERLINK("http://141.218.60.56/~jnz1568/getInfo.php?workbook=20_13.xlsx&amp;sheet=U0&amp;row=124&amp;col=7&amp;number=0.81&amp;sourceID=14","0.81")</f>
        <v>0.81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HYPERLINK("http://141.218.60.56/~jnz1568/getInfo.php?workbook=20_13.xlsx&amp;sheet=U0&amp;row=125&amp;col=6&amp;number=3.1&amp;sourceID=14","3.1")</f>
        <v>3.1</v>
      </c>
      <c r="G125" s="4" t="str">
        <f>HYPERLINK("http://141.218.60.56/~jnz1568/getInfo.php?workbook=20_13.xlsx&amp;sheet=U0&amp;row=125&amp;col=7&amp;number=0.811&amp;sourceID=14","0.811")</f>
        <v>0.811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HYPERLINK("http://141.218.60.56/~jnz1568/getInfo.php?workbook=20_13.xlsx&amp;sheet=U0&amp;row=126&amp;col=6&amp;number=3.2&amp;sourceID=14","3.2")</f>
        <v>3.2</v>
      </c>
      <c r="G126" s="4" t="str">
        <f>HYPERLINK("http://141.218.60.56/~jnz1568/getInfo.php?workbook=20_13.xlsx&amp;sheet=U0&amp;row=126&amp;col=7&amp;number=0.812&amp;sourceID=14","0.812")</f>
        <v>0.812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HYPERLINK("http://141.218.60.56/~jnz1568/getInfo.php?workbook=20_13.xlsx&amp;sheet=U0&amp;row=127&amp;col=6&amp;number=3.3&amp;sourceID=14","3.3")</f>
        <v>3.3</v>
      </c>
      <c r="G127" s="4" t="str">
        <f>HYPERLINK("http://141.218.60.56/~jnz1568/getInfo.php?workbook=20_13.xlsx&amp;sheet=U0&amp;row=127&amp;col=7&amp;number=0.814&amp;sourceID=14","0.814")</f>
        <v>0.814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HYPERLINK("http://141.218.60.56/~jnz1568/getInfo.php?workbook=20_13.xlsx&amp;sheet=U0&amp;row=128&amp;col=6&amp;number=3.4&amp;sourceID=14","3.4")</f>
        <v>3.4</v>
      </c>
      <c r="G128" s="4" t="str">
        <f>HYPERLINK("http://141.218.60.56/~jnz1568/getInfo.php?workbook=20_13.xlsx&amp;sheet=U0&amp;row=128&amp;col=7&amp;number=0.815&amp;sourceID=14","0.815")</f>
        <v>0.815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HYPERLINK("http://141.218.60.56/~jnz1568/getInfo.php?workbook=20_13.xlsx&amp;sheet=U0&amp;row=129&amp;col=6&amp;number=3.5&amp;sourceID=14","3.5")</f>
        <v>3.5</v>
      </c>
      <c r="G129" s="4" t="str">
        <f>HYPERLINK("http://141.218.60.56/~jnz1568/getInfo.php?workbook=20_13.xlsx&amp;sheet=U0&amp;row=129&amp;col=7&amp;number=0.818&amp;sourceID=14","0.818")</f>
        <v>0.818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HYPERLINK("http://141.218.60.56/~jnz1568/getInfo.php?workbook=20_13.xlsx&amp;sheet=U0&amp;row=130&amp;col=6&amp;number=3.6&amp;sourceID=14","3.6")</f>
        <v>3.6</v>
      </c>
      <c r="G130" s="4" t="str">
        <f>HYPERLINK("http://141.218.60.56/~jnz1568/getInfo.php?workbook=20_13.xlsx&amp;sheet=U0&amp;row=130&amp;col=7&amp;number=0.821&amp;sourceID=14","0.821")</f>
        <v>0.821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HYPERLINK("http://141.218.60.56/~jnz1568/getInfo.php?workbook=20_13.xlsx&amp;sheet=U0&amp;row=131&amp;col=6&amp;number=3.7&amp;sourceID=14","3.7")</f>
        <v>3.7</v>
      </c>
      <c r="G131" s="4" t="str">
        <f>HYPERLINK("http://141.218.60.56/~jnz1568/getInfo.php?workbook=20_13.xlsx&amp;sheet=U0&amp;row=131&amp;col=7&amp;number=0.825&amp;sourceID=14","0.825")</f>
        <v>0.825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HYPERLINK("http://141.218.60.56/~jnz1568/getInfo.php?workbook=20_13.xlsx&amp;sheet=U0&amp;row=132&amp;col=6&amp;number=3.8&amp;sourceID=14","3.8")</f>
        <v>3.8</v>
      </c>
      <c r="G132" s="4" t="str">
        <f>HYPERLINK("http://141.218.60.56/~jnz1568/getInfo.php?workbook=20_13.xlsx&amp;sheet=U0&amp;row=132&amp;col=7&amp;number=0.83&amp;sourceID=14","0.83")</f>
        <v>0.83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HYPERLINK("http://141.218.60.56/~jnz1568/getInfo.php?workbook=20_13.xlsx&amp;sheet=U0&amp;row=133&amp;col=6&amp;number=3.9&amp;sourceID=14","3.9")</f>
        <v>3.9</v>
      </c>
      <c r="G133" s="4" t="str">
        <f>HYPERLINK("http://141.218.60.56/~jnz1568/getInfo.php?workbook=20_13.xlsx&amp;sheet=U0&amp;row=133&amp;col=7&amp;number=0.835&amp;sourceID=14","0.835")</f>
        <v>0.835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HYPERLINK("http://141.218.60.56/~jnz1568/getInfo.php?workbook=20_13.xlsx&amp;sheet=U0&amp;row=134&amp;col=6&amp;number=4&amp;sourceID=14","4")</f>
        <v>4</v>
      </c>
      <c r="G134" s="4" t="str">
        <f>HYPERLINK("http://141.218.60.56/~jnz1568/getInfo.php?workbook=20_13.xlsx&amp;sheet=U0&amp;row=134&amp;col=7&amp;number=0.843&amp;sourceID=14","0.843")</f>
        <v>0.843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HYPERLINK("http://141.218.60.56/~jnz1568/getInfo.php?workbook=20_13.xlsx&amp;sheet=U0&amp;row=135&amp;col=6&amp;number=4.1&amp;sourceID=14","4.1")</f>
        <v>4.1</v>
      </c>
      <c r="G135" s="4" t="str">
        <f>HYPERLINK("http://141.218.60.56/~jnz1568/getInfo.php?workbook=20_13.xlsx&amp;sheet=U0&amp;row=135&amp;col=7&amp;number=0.852&amp;sourceID=14","0.852")</f>
        <v>0.852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HYPERLINK("http://141.218.60.56/~jnz1568/getInfo.php?workbook=20_13.xlsx&amp;sheet=U0&amp;row=136&amp;col=6&amp;number=4.2&amp;sourceID=14","4.2")</f>
        <v>4.2</v>
      </c>
      <c r="G136" s="4" t="str">
        <f>HYPERLINK("http://141.218.60.56/~jnz1568/getInfo.php?workbook=20_13.xlsx&amp;sheet=U0&amp;row=136&amp;col=7&amp;number=0.863&amp;sourceID=14","0.863")</f>
        <v>0.863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HYPERLINK("http://141.218.60.56/~jnz1568/getInfo.php?workbook=20_13.xlsx&amp;sheet=U0&amp;row=137&amp;col=6&amp;number=4.3&amp;sourceID=14","4.3")</f>
        <v>4.3</v>
      </c>
      <c r="G137" s="4" t="str">
        <f>HYPERLINK("http://141.218.60.56/~jnz1568/getInfo.php?workbook=20_13.xlsx&amp;sheet=U0&amp;row=137&amp;col=7&amp;number=0.877&amp;sourceID=14","0.877")</f>
        <v>0.877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HYPERLINK("http://141.218.60.56/~jnz1568/getInfo.php?workbook=20_13.xlsx&amp;sheet=U0&amp;row=138&amp;col=6&amp;number=4.4&amp;sourceID=14","4.4")</f>
        <v>4.4</v>
      </c>
      <c r="G138" s="4" t="str">
        <f>HYPERLINK("http://141.218.60.56/~jnz1568/getInfo.php?workbook=20_13.xlsx&amp;sheet=U0&amp;row=138&amp;col=7&amp;number=0.893&amp;sourceID=14","0.893")</f>
        <v>0.893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HYPERLINK("http://141.218.60.56/~jnz1568/getInfo.php?workbook=20_13.xlsx&amp;sheet=U0&amp;row=139&amp;col=6&amp;number=4.5&amp;sourceID=14","4.5")</f>
        <v>4.5</v>
      </c>
      <c r="G139" s="4" t="str">
        <f>HYPERLINK("http://141.218.60.56/~jnz1568/getInfo.php?workbook=20_13.xlsx&amp;sheet=U0&amp;row=139&amp;col=7&amp;number=0.912&amp;sourceID=14","0.912")</f>
        <v>0.912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HYPERLINK("http://141.218.60.56/~jnz1568/getInfo.php?workbook=20_13.xlsx&amp;sheet=U0&amp;row=140&amp;col=6&amp;number=4.6&amp;sourceID=14","4.6")</f>
        <v>4.6</v>
      </c>
      <c r="G140" s="4" t="str">
        <f>HYPERLINK("http://141.218.60.56/~jnz1568/getInfo.php?workbook=20_13.xlsx&amp;sheet=U0&amp;row=140&amp;col=7&amp;number=0.934&amp;sourceID=14","0.934")</f>
        <v>0.934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HYPERLINK("http://141.218.60.56/~jnz1568/getInfo.php?workbook=20_13.xlsx&amp;sheet=U0&amp;row=141&amp;col=6&amp;number=4.7&amp;sourceID=14","4.7")</f>
        <v>4.7</v>
      </c>
      <c r="G141" s="4" t="str">
        <f>HYPERLINK("http://141.218.60.56/~jnz1568/getInfo.php?workbook=20_13.xlsx&amp;sheet=U0&amp;row=141&amp;col=7&amp;number=0.957&amp;sourceID=14","0.957")</f>
        <v>0.957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HYPERLINK("http://141.218.60.56/~jnz1568/getInfo.php?workbook=20_13.xlsx&amp;sheet=U0&amp;row=142&amp;col=6&amp;number=4.8&amp;sourceID=14","4.8")</f>
        <v>4.8</v>
      </c>
      <c r="G142" s="4" t="str">
        <f>HYPERLINK("http://141.218.60.56/~jnz1568/getInfo.php?workbook=20_13.xlsx&amp;sheet=U0&amp;row=142&amp;col=7&amp;number=0.979&amp;sourceID=14","0.979")</f>
        <v>0.979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HYPERLINK("http://141.218.60.56/~jnz1568/getInfo.php?workbook=20_13.xlsx&amp;sheet=U0&amp;row=143&amp;col=6&amp;number=4.9&amp;sourceID=14","4.9")</f>
        <v>4.9</v>
      </c>
      <c r="G143" s="4" t="str">
        <f>HYPERLINK("http://141.218.60.56/~jnz1568/getInfo.php?workbook=20_13.xlsx&amp;sheet=U0&amp;row=143&amp;col=7&amp;number=0.998&amp;sourceID=14","0.998")</f>
        <v>0.998</v>
      </c>
    </row>
    <row r="144" spans="1:7">
      <c r="A144" s="3">
        <v>20</v>
      </c>
      <c r="B144" s="3">
        <v>13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HYPERLINK("http://141.218.60.56/~jnz1568/getInfo.php?workbook=20_13.xlsx&amp;sheet=U0&amp;row=144&amp;col=6&amp;number=3&amp;sourceID=14","3")</f>
        <v>3</v>
      </c>
      <c r="G144" s="4" t="str">
        <f>HYPERLINK("http://141.218.60.56/~jnz1568/getInfo.php?workbook=20_13.xlsx&amp;sheet=U0&amp;row=144&amp;col=7&amp;number=2.41&amp;sourceID=14","2.41")</f>
        <v>2.41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HYPERLINK("http://141.218.60.56/~jnz1568/getInfo.php?workbook=20_13.xlsx&amp;sheet=U0&amp;row=145&amp;col=6&amp;number=3.1&amp;sourceID=14","3.1")</f>
        <v>3.1</v>
      </c>
      <c r="G145" s="4" t="str">
        <f>HYPERLINK("http://141.218.60.56/~jnz1568/getInfo.php?workbook=20_13.xlsx&amp;sheet=U0&amp;row=145&amp;col=7&amp;number=2.41&amp;sourceID=14","2.41")</f>
        <v>2.41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HYPERLINK("http://141.218.60.56/~jnz1568/getInfo.php?workbook=20_13.xlsx&amp;sheet=U0&amp;row=146&amp;col=6&amp;number=3.2&amp;sourceID=14","3.2")</f>
        <v>3.2</v>
      </c>
      <c r="G146" s="4" t="str">
        <f>HYPERLINK("http://141.218.60.56/~jnz1568/getInfo.php?workbook=20_13.xlsx&amp;sheet=U0&amp;row=146&amp;col=7&amp;number=2.41&amp;sourceID=14","2.41")</f>
        <v>2.41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HYPERLINK("http://141.218.60.56/~jnz1568/getInfo.php?workbook=20_13.xlsx&amp;sheet=U0&amp;row=147&amp;col=6&amp;number=3.3&amp;sourceID=14","3.3")</f>
        <v>3.3</v>
      </c>
      <c r="G147" s="4" t="str">
        <f>HYPERLINK("http://141.218.60.56/~jnz1568/getInfo.php?workbook=20_13.xlsx&amp;sheet=U0&amp;row=147&amp;col=7&amp;number=2.41&amp;sourceID=14","2.41")</f>
        <v>2.41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HYPERLINK("http://141.218.60.56/~jnz1568/getInfo.php?workbook=20_13.xlsx&amp;sheet=U0&amp;row=148&amp;col=6&amp;number=3.4&amp;sourceID=14","3.4")</f>
        <v>3.4</v>
      </c>
      <c r="G148" s="4" t="str">
        <f>HYPERLINK("http://141.218.60.56/~jnz1568/getInfo.php?workbook=20_13.xlsx&amp;sheet=U0&amp;row=148&amp;col=7&amp;number=2.41&amp;sourceID=14","2.41")</f>
        <v>2.41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HYPERLINK("http://141.218.60.56/~jnz1568/getInfo.php?workbook=20_13.xlsx&amp;sheet=U0&amp;row=149&amp;col=6&amp;number=3.5&amp;sourceID=14","3.5")</f>
        <v>3.5</v>
      </c>
      <c r="G149" s="4" t="str">
        <f>HYPERLINK("http://141.218.60.56/~jnz1568/getInfo.php?workbook=20_13.xlsx&amp;sheet=U0&amp;row=149&amp;col=7&amp;number=2.41&amp;sourceID=14","2.41")</f>
        <v>2.41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HYPERLINK("http://141.218.60.56/~jnz1568/getInfo.php?workbook=20_13.xlsx&amp;sheet=U0&amp;row=150&amp;col=6&amp;number=3.6&amp;sourceID=14","3.6")</f>
        <v>3.6</v>
      </c>
      <c r="G150" s="4" t="str">
        <f>HYPERLINK("http://141.218.60.56/~jnz1568/getInfo.php?workbook=20_13.xlsx&amp;sheet=U0&amp;row=150&amp;col=7&amp;number=2.41&amp;sourceID=14","2.41")</f>
        <v>2.41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HYPERLINK("http://141.218.60.56/~jnz1568/getInfo.php?workbook=20_13.xlsx&amp;sheet=U0&amp;row=151&amp;col=6&amp;number=3.7&amp;sourceID=14","3.7")</f>
        <v>3.7</v>
      </c>
      <c r="G151" s="4" t="str">
        <f>HYPERLINK("http://141.218.60.56/~jnz1568/getInfo.php?workbook=20_13.xlsx&amp;sheet=U0&amp;row=151&amp;col=7&amp;number=2.41&amp;sourceID=14","2.41")</f>
        <v>2.41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HYPERLINK("http://141.218.60.56/~jnz1568/getInfo.php?workbook=20_13.xlsx&amp;sheet=U0&amp;row=152&amp;col=6&amp;number=3.8&amp;sourceID=14","3.8")</f>
        <v>3.8</v>
      </c>
      <c r="G152" s="4" t="str">
        <f>HYPERLINK("http://141.218.60.56/~jnz1568/getInfo.php?workbook=20_13.xlsx&amp;sheet=U0&amp;row=152&amp;col=7&amp;number=2.41&amp;sourceID=14","2.41")</f>
        <v>2.41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HYPERLINK("http://141.218.60.56/~jnz1568/getInfo.php?workbook=20_13.xlsx&amp;sheet=U0&amp;row=153&amp;col=6&amp;number=3.9&amp;sourceID=14","3.9")</f>
        <v>3.9</v>
      </c>
      <c r="G153" s="4" t="str">
        <f>HYPERLINK("http://141.218.60.56/~jnz1568/getInfo.php?workbook=20_13.xlsx&amp;sheet=U0&amp;row=153&amp;col=7&amp;number=2.41&amp;sourceID=14","2.41")</f>
        <v>2.41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HYPERLINK("http://141.218.60.56/~jnz1568/getInfo.php?workbook=20_13.xlsx&amp;sheet=U0&amp;row=154&amp;col=6&amp;number=4&amp;sourceID=14","4")</f>
        <v>4</v>
      </c>
      <c r="G154" s="4" t="str">
        <f>HYPERLINK("http://141.218.60.56/~jnz1568/getInfo.php?workbook=20_13.xlsx&amp;sheet=U0&amp;row=154&amp;col=7&amp;number=2.4&amp;sourceID=14","2.4")</f>
        <v>2.4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HYPERLINK("http://141.218.60.56/~jnz1568/getInfo.php?workbook=20_13.xlsx&amp;sheet=U0&amp;row=155&amp;col=6&amp;number=4.1&amp;sourceID=14","4.1")</f>
        <v>4.1</v>
      </c>
      <c r="G155" s="4" t="str">
        <f>HYPERLINK("http://141.218.60.56/~jnz1568/getInfo.php?workbook=20_13.xlsx&amp;sheet=U0&amp;row=155&amp;col=7&amp;number=2.4&amp;sourceID=14","2.4")</f>
        <v>2.4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HYPERLINK("http://141.218.60.56/~jnz1568/getInfo.php?workbook=20_13.xlsx&amp;sheet=U0&amp;row=156&amp;col=6&amp;number=4.2&amp;sourceID=14","4.2")</f>
        <v>4.2</v>
      </c>
      <c r="G156" s="4" t="str">
        <f>HYPERLINK("http://141.218.60.56/~jnz1568/getInfo.php?workbook=20_13.xlsx&amp;sheet=U0&amp;row=156&amp;col=7&amp;number=2.4&amp;sourceID=14","2.4")</f>
        <v>2.4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HYPERLINK("http://141.218.60.56/~jnz1568/getInfo.php?workbook=20_13.xlsx&amp;sheet=U0&amp;row=157&amp;col=6&amp;number=4.3&amp;sourceID=14","4.3")</f>
        <v>4.3</v>
      </c>
      <c r="G157" s="4" t="str">
        <f>HYPERLINK("http://141.218.60.56/~jnz1568/getInfo.php?workbook=20_13.xlsx&amp;sheet=U0&amp;row=157&amp;col=7&amp;number=2.4&amp;sourceID=14","2.4")</f>
        <v>2.4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HYPERLINK("http://141.218.60.56/~jnz1568/getInfo.php?workbook=20_13.xlsx&amp;sheet=U0&amp;row=158&amp;col=6&amp;number=4.4&amp;sourceID=14","4.4")</f>
        <v>4.4</v>
      </c>
      <c r="G158" s="4" t="str">
        <f>HYPERLINK("http://141.218.60.56/~jnz1568/getInfo.php?workbook=20_13.xlsx&amp;sheet=U0&amp;row=158&amp;col=7&amp;number=2.4&amp;sourceID=14","2.4")</f>
        <v>2.4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HYPERLINK("http://141.218.60.56/~jnz1568/getInfo.php?workbook=20_13.xlsx&amp;sheet=U0&amp;row=159&amp;col=6&amp;number=4.5&amp;sourceID=14","4.5")</f>
        <v>4.5</v>
      </c>
      <c r="G159" s="4" t="str">
        <f>HYPERLINK("http://141.218.60.56/~jnz1568/getInfo.php?workbook=20_13.xlsx&amp;sheet=U0&amp;row=159&amp;col=7&amp;number=2.39&amp;sourceID=14","2.39")</f>
        <v>2.39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HYPERLINK("http://141.218.60.56/~jnz1568/getInfo.php?workbook=20_13.xlsx&amp;sheet=U0&amp;row=160&amp;col=6&amp;number=4.6&amp;sourceID=14","4.6")</f>
        <v>4.6</v>
      </c>
      <c r="G160" s="4" t="str">
        <f>HYPERLINK("http://141.218.60.56/~jnz1568/getInfo.php?workbook=20_13.xlsx&amp;sheet=U0&amp;row=160&amp;col=7&amp;number=2.39&amp;sourceID=14","2.39")</f>
        <v>2.39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HYPERLINK("http://141.218.60.56/~jnz1568/getInfo.php?workbook=20_13.xlsx&amp;sheet=U0&amp;row=161&amp;col=6&amp;number=4.7&amp;sourceID=14","4.7")</f>
        <v>4.7</v>
      </c>
      <c r="G161" s="4" t="str">
        <f>HYPERLINK("http://141.218.60.56/~jnz1568/getInfo.php?workbook=20_13.xlsx&amp;sheet=U0&amp;row=161&amp;col=7&amp;number=2.39&amp;sourceID=14","2.39")</f>
        <v>2.39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HYPERLINK("http://141.218.60.56/~jnz1568/getInfo.php?workbook=20_13.xlsx&amp;sheet=U0&amp;row=162&amp;col=6&amp;number=4.8&amp;sourceID=14","4.8")</f>
        <v>4.8</v>
      </c>
      <c r="G162" s="4" t="str">
        <f>HYPERLINK("http://141.218.60.56/~jnz1568/getInfo.php?workbook=20_13.xlsx&amp;sheet=U0&amp;row=162&amp;col=7&amp;number=2.39&amp;sourceID=14","2.39")</f>
        <v>2.39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HYPERLINK("http://141.218.60.56/~jnz1568/getInfo.php?workbook=20_13.xlsx&amp;sheet=U0&amp;row=163&amp;col=6&amp;number=4.9&amp;sourceID=14","4.9")</f>
        <v>4.9</v>
      </c>
      <c r="G163" s="4" t="str">
        <f>HYPERLINK("http://141.218.60.56/~jnz1568/getInfo.php?workbook=20_13.xlsx&amp;sheet=U0&amp;row=163&amp;col=7&amp;number=2.39&amp;sourceID=14","2.39")</f>
        <v>2.39</v>
      </c>
    </row>
    <row r="164" spans="1:7">
      <c r="A164" s="3">
        <v>20</v>
      </c>
      <c r="B164" s="3">
        <v>13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HYPERLINK("http://141.218.60.56/~jnz1568/getInfo.php?workbook=20_13.xlsx&amp;sheet=U0&amp;row=164&amp;col=6&amp;number=3&amp;sourceID=14","3")</f>
        <v>3</v>
      </c>
      <c r="G164" s="4" t="str">
        <f>HYPERLINK("http://141.218.60.56/~jnz1568/getInfo.php?workbook=20_13.xlsx&amp;sheet=U0&amp;row=164&amp;col=7&amp;number=1.5&amp;sourceID=14","1.5")</f>
        <v>1.5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HYPERLINK("http://141.218.60.56/~jnz1568/getInfo.php?workbook=20_13.xlsx&amp;sheet=U0&amp;row=165&amp;col=6&amp;number=3.1&amp;sourceID=14","3.1")</f>
        <v>3.1</v>
      </c>
      <c r="G165" s="4" t="str">
        <f>HYPERLINK("http://141.218.60.56/~jnz1568/getInfo.php?workbook=20_13.xlsx&amp;sheet=U0&amp;row=165&amp;col=7&amp;number=1.5&amp;sourceID=14","1.5")</f>
        <v>1.5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HYPERLINK("http://141.218.60.56/~jnz1568/getInfo.php?workbook=20_13.xlsx&amp;sheet=U0&amp;row=166&amp;col=6&amp;number=3.2&amp;sourceID=14","3.2")</f>
        <v>3.2</v>
      </c>
      <c r="G166" s="4" t="str">
        <f>HYPERLINK("http://141.218.60.56/~jnz1568/getInfo.php?workbook=20_13.xlsx&amp;sheet=U0&amp;row=166&amp;col=7&amp;number=1.5&amp;sourceID=14","1.5")</f>
        <v>1.5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HYPERLINK("http://141.218.60.56/~jnz1568/getInfo.php?workbook=20_13.xlsx&amp;sheet=U0&amp;row=167&amp;col=6&amp;number=3.3&amp;sourceID=14","3.3")</f>
        <v>3.3</v>
      </c>
      <c r="G167" s="4" t="str">
        <f>HYPERLINK("http://141.218.60.56/~jnz1568/getInfo.php?workbook=20_13.xlsx&amp;sheet=U0&amp;row=167&amp;col=7&amp;number=1.5&amp;sourceID=14","1.5")</f>
        <v>1.5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HYPERLINK("http://141.218.60.56/~jnz1568/getInfo.php?workbook=20_13.xlsx&amp;sheet=U0&amp;row=168&amp;col=6&amp;number=3.4&amp;sourceID=14","3.4")</f>
        <v>3.4</v>
      </c>
      <c r="G168" s="4" t="str">
        <f>HYPERLINK("http://141.218.60.56/~jnz1568/getInfo.php?workbook=20_13.xlsx&amp;sheet=U0&amp;row=168&amp;col=7&amp;number=1.5&amp;sourceID=14","1.5")</f>
        <v>1.5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HYPERLINK("http://141.218.60.56/~jnz1568/getInfo.php?workbook=20_13.xlsx&amp;sheet=U0&amp;row=169&amp;col=6&amp;number=3.5&amp;sourceID=14","3.5")</f>
        <v>3.5</v>
      </c>
      <c r="G169" s="4" t="str">
        <f>HYPERLINK("http://141.218.60.56/~jnz1568/getInfo.php?workbook=20_13.xlsx&amp;sheet=U0&amp;row=169&amp;col=7&amp;number=1.5&amp;sourceID=14","1.5")</f>
        <v>1.5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HYPERLINK("http://141.218.60.56/~jnz1568/getInfo.php?workbook=20_13.xlsx&amp;sheet=U0&amp;row=170&amp;col=6&amp;number=3.6&amp;sourceID=14","3.6")</f>
        <v>3.6</v>
      </c>
      <c r="G170" s="4" t="str">
        <f>HYPERLINK("http://141.218.60.56/~jnz1568/getInfo.php?workbook=20_13.xlsx&amp;sheet=U0&amp;row=170&amp;col=7&amp;number=1.5&amp;sourceID=14","1.5")</f>
        <v>1.5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HYPERLINK("http://141.218.60.56/~jnz1568/getInfo.php?workbook=20_13.xlsx&amp;sheet=U0&amp;row=171&amp;col=6&amp;number=3.7&amp;sourceID=14","3.7")</f>
        <v>3.7</v>
      </c>
      <c r="G171" s="4" t="str">
        <f>HYPERLINK("http://141.218.60.56/~jnz1568/getInfo.php?workbook=20_13.xlsx&amp;sheet=U0&amp;row=171&amp;col=7&amp;number=1.5&amp;sourceID=14","1.5")</f>
        <v>1.5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HYPERLINK("http://141.218.60.56/~jnz1568/getInfo.php?workbook=20_13.xlsx&amp;sheet=U0&amp;row=172&amp;col=6&amp;number=3.8&amp;sourceID=14","3.8")</f>
        <v>3.8</v>
      </c>
      <c r="G172" s="4" t="str">
        <f>HYPERLINK("http://141.218.60.56/~jnz1568/getInfo.php?workbook=20_13.xlsx&amp;sheet=U0&amp;row=172&amp;col=7&amp;number=1.5&amp;sourceID=14","1.5")</f>
        <v>1.5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HYPERLINK("http://141.218.60.56/~jnz1568/getInfo.php?workbook=20_13.xlsx&amp;sheet=U0&amp;row=173&amp;col=6&amp;number=3.9&amp;sourceID=14","3.9")</f>
        <v>3.9</v>
      </c>
      <c r="G173" s="4" t="str">
        <f>HYPERLINK("http://141.218.60.56/~jnz1568/getInfo.php?workbook=20_13.xlsx&amp;sheet=U0&amp;row=173&amp;col=7&amp;number=1.5&amp;sourceID=14","1.5")</f>
        <v>1.5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HYPERLINK("http://141.218.60.56/~jnz1568/getInfo.php?workbook=20_13.xlsx&amp;sheet=U0&amp;row=174&amp;col=6&amp;number=4&amp;sourceID=14","4")</f>
        <v>4</v>
      </c>
      <c r="G174" s="4" t="str">
        <f>HYPERLINK("http://141.218.60.56/~jnz1568/getInfo.php?workbook=20_13.xlsx&amp;sheet=U0&amp;row=174&amp;col=7&amp;number=1.5&amp;sourceID=14","1.5")</f>
        <v>1.5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HYPERLINK("http://141.218.60.56/~jnz1568/getInfo.php?workbook=20_13.xlsx&amp;sheet=U0&amp;row=175&amp;col=6&amp;number=4.1&amp;sourceID=14","4.1")</f>
        <v>4.1</v>
      </c>
      <c r="G175" s="4" t="str">
        <f>HYPERLINK("http://141.218.60.56/~jnz1568/getInfo.php?workbook=20_13.xlsx&amp;sheet=U0&amp;row=175&amp;col=7&amp;number=1.51&amp;sourceID=14","1.51")</f>
        <v>1.51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HYPERLINK("http://141.218.60.56/~jnz1568/getInfo.php?workbook=20_13.xlsx&amp;sheet=U0&amp;row=176&amp;col=6&amp;number=4.2&amp;sourceID=14","4.2")</f>
        <v>4.2</v>
      </c>
      <c r="G176" s="4" t="str">
        <f>HYPERLINK("http://141.218.60.56/~jnz1568/getInfo.php?workbook=20_13.xlsx&amp;sheet=U0&amp;row=176&amp;col=7&amp;number=1.51&amp;sourceID=14","1.51")</f>
        <v>1.51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HYPERLINK("http://141.218.60.56/~jnz1568/getInfo.php?workbook=20_13.xlsx&amp;sheet=U0&amp;row=177&amp;col=6&amp;number=4.3&amp;sourceID=14","4.3")</f>
        <v>4.3</v>
      </c>
      <c r="G177" s="4" t="str">
        <f>HYPERLINK("http://141.218.60.56/~jnz1568/getInfo.php?workbook=20_13.xlsx&amp;sheet=U0&amp;row=177&amp;col=7&amp;number=1.51&amp;sourceID=14","1.51")</f>
        <v>1.51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HYPERLINK("http://141.218.60.56/~jnz1568/getInfo.php?workbook=20_13.xlsx&amp;sheet=U0&amp;row=178&amp;col=6&amp;number=4.4&amp;sourceID=14","4.4")</f>
        <v>4.4</v>
      </c>
      <c r="G178" s="4" t="str">
        <f>HYPERLINK("http://141.218.60.56/~jnz1568/getInfo.php?workbook=20_13.xlsx&amp;sheet=U0&amp;row=178&amp;col=7&amp;number=1.51&amp;sourceID=14","1.51")</f>
        <v>1.51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HYPERLINK("http://141.218.60.56/~jnz1568/getInfo.php?workbook=20_13.xlsx&amp;sheet=U0&amp;row=179&amp;col=6&amp;number=4.5&amp;sourceID=14","4.5")</f>
        <v>4.5</v>
      </c>
      <c r="G179" s="4" t="str">
        <f>HYPERLINK("http://141.218.60.56/~jnz1568/getInfo.php?workbook=20_13.xlsx&amp;sheet=U0&amp;row=179&amp;col=7&amp;number=1.51&amp;sourceID=14","1.51")</f>
        <v>1.51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HYPERLINK("http://141.218.60.56/~jnz1568/getInfo.php?workbook=20_13.xlsx&amp;sheet=U0&amp;row=180&amp;col=6&amp;number=4.6&amp;sourceID=14","4.6")</f>
        <v>4.6</v>
      </c>
      <c r="G180" s="4" t="str">
        <f>HYPERLINK("http://141.218.60.56/~jnz1568/getInfo.php?workbook=20_13.xlsx&amp;sheet=U0&amp;row=180&amp;col=7&amp;number=1.52&amp;sourceID=14","1.52")</f>
        <v>1.52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HYPERLINK("http://141.218.60.56/~jnz1568/getInfo.php?workbook=20_13.xlsx&amp;sheet=U0&amp;row=181&amp;col=6&amp;number=4.7&amp;sourceID=14","4.7")</f>
        <v>4.7</v>
      </c>
      <c r="G181" s="4" t="str">
        <f>HYPERLINK("http://141.218.60.56/~jnz1568/getInfo.php?workbook=20_13.xlsx&amp;sheet=U0&amp;row=181&amp;col=7&amp;number=1.52&amp;sourceID=14","1.52")</f>
        <v>1.52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HYPERLINK("http://141.218.60.56/~jnz1568/getInfo.php?workbook=20_13.xlsx&amp;sheet=U0&amp;row=182&amp;col=6&amp;number=4.8&amp;sourceID=14","4.8")</f>
        <v>4.8</v>
      </c>
      <c r="G182" s="4" t="str">
        <f>HYPERLINK("http://141.218.60.56/~jnz1568/getInfo.php?workbook=20_13.xlsx&amp;sheet=U0&amp;row=182&amp;col=7&amp;number=1.53&amp;sourceID=14","1.53")</f>
        <v>1.53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HYPERLINK("http://141.218.60.56/~jnz1568/getInfo.php?workbook=20_13.xlsx&amp;sheet=U0&amp;row=183&amp;col=6&amp;number=4.9&amp;sourceID=14","4.9")</f>
        <v>4.9</v>
      </c>
      <c r="G183" s="4" t="str">
        <f>HYPERLINK("http://141.218.60.56/~jnz1568/getInfo.php?workbook=20_13.xlsx&amp;sheet=U0&amp;row=183&amp;col=7&amp;number=1.53&amp;sourceID=14","1.53")</f>
        <v>1.53</v>
      </c>
    </row>
    <row r="184" spans="1:7">
      <c r="A184" s="3">
        <v>20</v>
      </c>
      <c r="B184" s="3">
        <v>13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HYPERLINK("http://141.218.60.56/~jnz1568/getInfo.php?workbook=20_13.xlsx&amp;sheet=U0&amp;row=184&amp;col=6&amp;number=3&amp;sourceID=14","3")</f>
        <v>3</v>
      </c>
      <c r="G184" s="4" t="str">
        <f>HYPERLINK("http://141.218.60.56/~jnz1568/getInfo.php?workbook=20_13.xlsx&amp;sheet=U0&amp;row=184&amp;col=7&amp;number=3.85&amp;sourceID=14","3.85")</f>
        <v>3.85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HYPERLINK("http://141.218.60.56/~jnz1568/getInfo.php?workbook=20_13.xlsx&amp;sheet=U0&amp;row=185&amp;col=6&amp;number=3.1&amp;sourceID=14","3.1")</f>
        <v>3.1</v>
      </c>
      <c r="G185" s="4" t="str">
        <f>HYPERLINK("http://141.218.60.56/~jnz1568/getInfo.php?workbook=20_13.xlsx&amp;sheet=U0&amp;row=185&amp;col=7&amp;number=3.85&amp;sourceID=14","3.85")</f>
        <v>3.85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HYPERLINK("http://141.218.60.56/~jnz1568/getInfo.php?workbook=20_13.xlsx&amp;sheet=U0&amp;row=186&amp;col=6&amp;number=3.2&amp;sourceID=14","3.2")</f>
        <v>3.2</v>
      </c>
      <c r="G186" s="4" t="str">
        <f>HYPERLINK("http://141.218.60.56/~jnz1568/getInfo.php?workbook=20_13.xlsx&amp;sheet=U0&amp;row=186&amp;col=7&amp;number=3.85&amp;sourceID=14","3.85")</f>
        <v>3.85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HYPERLINK("http://141.218.60.56/~jnz1568/getInfo.php?workbook=20_13.xlsx&amp;sheet=U0&amp;row=187&amp;col=6&amp;number=3.3&amp;sourceID=14","3.3")</f>
        <v>3.3</v>
      </c>
      <c r="G187" s="4" t="str">
        <f>HYPERLINK("http://141.218.60.56/~jnz1568/getInfo.php?workbook=20_13.xlsx&amp;sheet=U0&amp;row=187&amp;col=7&amp;number=3.86&amp;sourceID=14","3.86")</f>
        <v>3.86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HYPERLINK("http://141.218.60.56/~jnz1568/getInfo.php?workbook=20_13.xlsx&amp;sheet=U0&amp;row=188&amp;col=6&amp;number=3.4&amp;sourceID=14","3.4")</f>
        <v>3.4</v>
      </c>
      <c r="G188" s="4" t="str">
        <f>HYPERLINK("http://141.218.60.56/~jnz1568/getInfo.php?workbook=20_13.xlsx&amp;sheet=U0&amp;row=188&amp;col=7&amp;number=3.86&amp;sourceID=14","3.86")</f>
        <v>3.86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HYPERLINK("http://141.218.60.56/~jnz1568/getInfo.php?workbook=20_13.xlsx&amp;sheet=U0&amp;row=189&amp;col=6&amp;number=3.5&amp;sourceID=14","3.5")</f>
        <v>3.5</v>
      </c>
      <c r="G189" s="4" t="str">
        <f>HYPERLINK("http://141.218.60.56/~jnz1568/getInfo.php?workbook=20_13.xlsx&amp;sheet=U0&amp;row=189&amp;col=7&amp;number=3.86&amp;sourceID=14","3.86")</f>
        <v>3.86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HYPERLINK("http://141.218.60.56/~jnz1568/getInfo.php?workbook=20_13.xlsx&amp;sheet=U0&amp;row=190&amp;col=6&amp;number=3.6&amp;sourceID=14","3.6")</f>
        <v>3.6</v>
      </c>
      <c r="G190" s="4" t="str">
        <f>HYPERLINK("http://141.218.60.56/~jnz1568/getInfo.php?workbook=20_13.xlsx&amp;sheet=U0&amp;row=190&amp;col=7&amp;number=3.86&amp;sourceID=14","3.86")</f>
        <v>3.86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HYPERLINK("http://141.218.60.56/~jnz1568/getInfo.php?workbook=20_13.xlsx&amp;sheet=U0&amp;row=191&amp;col=6&amp;number=3.7&amp;sourceID=14","3.7")</f>
        <v>3.7</v>
      </c>
      <c r="G191" s="4" t="str">
        <f>HYPERLINK("http://141.218.60.56/~jnz1568/getInfo.php?workbook=20_13.xlsx&amp;sheet=U0&amp;row=191&amp;col=7&amp;number=3.87&amp;sourceID=14","3.87")</f>
        <v>3.87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HYPERLINK("http://141.218.60.56/~jnz1568/getInfo.php?workbook=20_13.xlsx&amp;sheet=U0&amp;row=192&amp;col=6&amp;number=3.8&amp;sourceID=14","3.8")</f>
        <v>3.8</v>
      </c>
      <c r="G192" s="4" t="str">
        <f>HYPERLINK("http://141.218.60.56/~jnz1568/getInfo.php?workbook=20_13.xlsx&amp;sheet=U0&amp;row=192&amp;col=7&amp;number=3.88&amp;sourceID=14","3.88")</f>
        <v>3.88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HYPERLINK("http://141.218.60.56/~jnz1568/getInfo.php?workbook=20_13.xlsx&amp;sheet=U0&amp;row=193&amp;col=6&amp;number=3.9&amp;sourceID=14","3.9")</f>
        <v>3.9</v>
      </c>
      <c r="G193" s="4" t="str">
        <f>HYPERLINK("http://141.218.60.56/~jnz1568/getInfo.php?workbook=20_13.xlsx&amp;sheet=U0&amp;row=193&amp;col=7&amp;number=3.88&amp;sourceID=14","3.88")</f>
        <v>3.88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HYPERLINK("http://141.218.60.56/~jnz1568/getInfo.php?workbook=20_13.xlsx&amp;sheet=U0&amp;row=194&amp;col=6&amp;number=4&amp;sourceID=14","4")</f>
        <v>4</v>
      </c>
      <c r="G194" s="4" t="str">
        <f>HYPERLINK("http://141.218.60.56/~jnz1568/getInfo.php?workbook=20_13.xlsx&amp;sheet=U0&amp;row=194&amp;col=7&amp;number=3.89&amp;sourceID=14","3.89")</f>
        <v>3.89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HYPERLINK("http://141.218.60.56/~jnz1568/getInfo.php?workbook=20_13.xlsx&amp;sheet=U0&amp;row=195&amp;col=6&amp;number=4.1&amp;sourceID=14","4.1")</f>
        <v>4.1</v>
      </c>
      <c r="G195" s="4" t="str">
        <f>HYPERLINK("http://141.218.60.56/~jnz1568/getInfo.php?workbook=20_13.xlsx&amp;sheet=U0&amp;row=195&amp;col=7&amp;number=3.9&amp;sourceID=14","3.9")</f>
        <v>3.9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HYPERLINK("http://141.218.60.56/~jnz1568/getInfo.php?workbook=20_13.xlsx&amp;sheet=U0&amp;row=196&amp;col=6&amp;number=4.2&amp;sourceID=14","4.2")</f>
        <v>4.2</v>
      </c>
      <c r="G196" s="4" t="str">
        <f>HYPERLINK("http://141.218.60.56/~jnz1568/getInfo.php?workbook=20_13.xlsx&amp;sheet=U0&amp;row=196&amp;col=7&amp;number=3.92&amp;sourceID=14","3.92")</f>
        <v>3.92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HYPERLINK("http://141.218.60.56/~jnz1568/getInfo.php?workbook=20_13.xlsx&amp;sheet=U0&amp;row=197&amp;col=6&amp;number=4.3&amp;sourceID=14","4.3")</f>
        <v>4.3</v>
      </c>
      <c r="G197" s="4" t="str">
        <f>HYPERLINK("http://141.218.60.56/~jnz1568/getInfo.php?workbook=20_13.xlsx&amp;sheet=U0&amp;row=197&amp;col=7&amp;number=3.93&amp;sourceID=14","3.93")</f>
        <v>3.93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HYPERLINK("http://141.218.60.56/~jnz1568/getInfo.php?workbook=20_13.xlsx&amp;sheet=U0&amp;row=198&amp;col=6&amp;number=4.4&amp;sourceID=14","4.4")</f>
        <v>4.4</v>
      </c>
      <c r="G198" s="4" t="str">
        <f>HYPERLINK("http://141.218.60.56/~jnz1568/getInfo.php?workbook=20_13.xlsx&amp;sheet=U0&amp;row=198&amp;col=7&amp;number=3.96&amp;sourceID=14","3.96")</f>
        <v>3.96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HYPERLINK("http://141.218.60.56/~jnz1568/getInfo.php?workbook=20_13.xlsx&amp;sheet=U0&amp;row=199&amp;col=6&amp;number=4.5&amp;sourceID=14","4.5")</f>
        <v>4.5</v>
      </c>
      <c r="G199" s="4" t="str">
        <f>HYPERLINK("http://141.218.60.56/~jnz1568/getInfo.php?workbook=20_13.xlsx&amp;sheet=U0&amp;row=199&amp;col=7&amp;number=3.98&amp;sourceID=14","3.98")</f>
        <v>3.98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HYPERLINK("http://141.218.60.56/~jnz1568/getInfo.php?workbook=20_13.xlsx&amp;sheet=U0&amp;row=200&amp;col=6&amp;number=4.6&amp;sourceID=14","4.6")</f>
        <v>4.6</v>
      </c>
      <c r="G200" s="4" t="str">
        <f>HYPERLINK("http://141.218.60.56/~jnz1568/getInfo.php?workbook=20_13.xlsx&amp;sheet=U0&amp;row=200&amp;col=7&amp;number=4.01&amp;sourceID=14","4.01")</f>
        <v>4.01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HYPERLINK("http://141.218.60.56/~jnz1568/getInfo.php?workbook=20_13.xlsx&amp;sheet=U0&amp;row=201&amp;col=6&amp;number=4.7&amp;sourceID=14","4.7")</f>
        <v>4.7</v>
      </c>
      <c r="G201" s="4" t="str">
        <f>HYPERLINK("http://141.218.60.56/~jnz1568/getInfo.php?workbook=20_13.xlsx&amp;sheet=U0&amp;row=201&amp;col=7&amp;number=4.04&amp;sourceID=14","4.04")</f>
        <v>4.04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HYPERLINK("http://141.218.60.56/~jnz1568/getInfo.php?workbook=20_13.xlsx&amp;sheet=U0&amp;row=202&amp;col=6&amp;number=4.8&amp;sourceID=14","4.8")</f>
        <v>4.8</v>
      </c>
      <c r="G202" s="4" t="str">
        <f>HYPERLINK("http://141.218.60.56/~jnz1568/getInfo.php?workbook=20_13.xlsx&amp;sheet=U0&amp;row=202&amp;col=7&amp;number=4.07&amp;sourceID=14","4.07")</f>
        <v>4.07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HYPERLINK("http://141.218.60.56/~jnz1568/getInfo.php?workbook=20_13.xlsx&amp;sheet=U0&amp;row=203&amp;col=6&amp;number=4.9&amp;sourceID=14","4.9")</f>
        <v>4.9</v>
      </c>
      <c r="G203" s="4" t="str">
        <f>HYPERLINK("http://141.218.60.56/~jnz1568/getInfo.php?workbook=20_13.xlsx&amp;sheet=U0&amp;row=203&amp;col=7&amp;number=4.1&amp;sourceID=14","4.1")</f>
        <v>4.1</v>
      </c>
    </row>
    <row r="204" spans="1:7">
      <c r="A204" s="3">
        <v>20</v>
      </c>
      <c r="B204" s="3">
        <v>13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HYPERLINK("http://141.218.60.56/~jnz1568/getInfo.php?workbook=20_13.xlsx&amp;sheet=U0&amp;row=204&amp;col=6&amp;number=3&amp;sourceID=14","3")</f>
        <v>3</v>
      </c>
      <c r="G204" s="4" t="str">
        <f>HYPERLINK("http://141.218.60.56/~jnz1568/getInfo.php?workbook=20_13.xlsx&amp;sheet=U0&amp;row=204&amp;col=7&amp;number=0.399&amp;sourceID=14","0.399")</f>
        <v>0.399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HYPERLINK("http://141.218.60.56/~jnz1568/getInfo.php?workbook=20_13.xlsx&amp;sheet=U0&amp;row=205&amp;col=6&amp;number=3.1&amp;sourceID=14","3.1")</f>
        <v>3.1</v>
      </c>
      <c r="G205" s="4" t="str">
        <f>HYPERLINK("http://141.218.60.56/~jnz1568/getInfo.php?workbook=20_13.xlsx&amp;sheet=U0&amp;row=205&amp;col=7&amp;number=0.399&amp;sourceID=14","0.399")</f>
        <v>0.399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HYPERLINK("http://141.218.60.56/~jnz1568/getInfo.php?workbook=20_13.xlsx&amp;sheet=U0&amp;row=206&amp;col=6&amp;number=3.2&amp;sourceID=14","3.2")</f>
        <v>3.2</v>
      </c>
      <c r="G206" s="4" t="str">
        <f>HYPERLINK("http://141.218.60.56/~jnz1568/getInfo.php?workbook=20_13.xlsx&amp;sheet=U0&amp;row=206&amp;col=7&amp;number=0.398&amp;sourceID=14","0.398")</f>
        <v>0.398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HYPERLINK("http://141.218.60.56/~jnz1568/getInfo.php?workbook=20_13.xlsx&amp;sheet=U0&amp;row=207&amp;col=6&amp;number=3.3&amp;sourceID=14","3.3")</f>
        <v>3.3</v>
      </c>
      <c r="G207" s="4" t="str">
        <f>HYPERLINK("http://141.218.60.56/~jnz1568/getInfo.php?workbook=20_13.xlsx&amp;sheet=U0&amp;row=207&amp;col=7&amp;number=0.398&amp;sourceID=14","0.398")</f>
        <v>0.398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HYPERLINK("http://141.218.60.56/~jnz1568/getInfo.php?workbook=20_13.xlsx&amp;sheet=U0&amp;row=208&amp;col=6&amp;number=3.4&amp;sourceID=14","3.4")</f>
        <v>3.4</v>
      </c>
      <c r="G208" s="4" t="str">
        <f>HYPERLINK("http://141.218.60.56/~jnz1568/getInfo.php?workbook=20_13.xlsx&amp;sheet=U0&amp;row=208&amp;col=7&amp;number=0.398&amp;sourceID=14","0.398")</f>
        <v>0.398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HYPERLINK("http://141.218.60.56/~jnz1568/getInfo.php?workbook=20_13.xlsx&amp;sheet=U0&amp;row=209&amp;col=6&amp;number=3.5&amp;sourceID=14","3.5")</f>
        <v>3.5</v>
      </c>
      <c r="G209" s="4" t="str">
        <f>HYPERLINK("http://141.218.60.56/~jnz1568/getInfo.php?workbook=20_13.xlsx&amp;sheet=U0&amp;row=209&amp;col=7&amp;number=0.397&amp;sourceID=14","0.397")</f>
        <v>0.397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HYPERLINK("http://141.218.60.56/~jnz1568/getInfo.php?workbook=20_13.xlsx&amp;sheet=U0&amp;row=210&amp;col=6&amp;number=3.6&amp;sourceID=14","3.6")</f>
        <v>3.6</v>
      </c>
      <c r="G210" s="4" t="str">
        <f>HYPERLINK("http://141.218.60.56/~jnz1568/getInfo.php?workbook=20_13.xlsx&amp;sheet=U0&amp;row=210&amp;col=7&amp;number=0.397&amp;sourceID=14","0.397")</f>
        <v>0.397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HYPERLINK("http://141.218.60.56/~jnz1568/getInfo.php?workbook=20_13.xlsx&amp;sheet=U0&amp;row=211&amp;col=6&amp;number=3.7&amp;sourceID=14","3.7")</f>
        <v>3.7</v>
      </c>
      <c r="G211" s="4" t="str">
        <f>HYPERLINK("http://141.218.60.56/~jnz1568/getInfo.php?workbook=20_13.xlsx&amp;sheet=U0&amp;row=211&amp;col=7&amp;number=0.396&amp;sourceID=14","0.396")</f>
        <v>0.396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HYPERLINK("http://141.218.60.56/~jnz1568/getInfo.php?workbook=20_13.xlsx&amp;sheet=U0&amp;row=212&amp;col=6&amp;number=3.8&amp;sourceID=14","3.8")</f>
        <v>3.8</v>
      </c>
      <c r="G212" s="4" t="str">
        <f>HYPERLINK("http://141.218.60.56/~jnz1568/getInfo.php?workbook=20_13.xlsx&amp;sheet=U0&amp;row=212&amp;col=7&amp;number=0.395&amp;sourceID=14","0.395")</f>
        <v>0.395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HYPERLINK("http://141.218.60.56/~jnz1568/getInfo.php?workbook=20_13.xlsx&amp;sheet=U0&amp;row=213&amp;col=6&amp;number=3.9&amp;sourceID=14","3.9")</f>
        <v>3.9</v>
      </c>
      <c r="G213" s="4" t="str">
        <f>HYPERLINK("http://141.218.60.56/~jnz1568/getInfo.php?workbook=20_13.xlsx&amp;sheet=U0&amp;row=213&amp;col=7&amp;number=0.393&amp;sourceID=14","0.393")</f>
        <v>0.393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HYPERLINK("http://141.218.60.56/~jnz1568/getInfo.php?workbook=20_13.xlsx&amp;sheet=U0&amp;row=214&amp;col=6&amp;number=4&amp;sourceID=14","4")</f>
        <v>4</v>
      </c>
      <c r="G214" s="4" t="str">
        <f>HYPERLINK("http://141.218.60.56/~jnz1568/getInfo.php?workbook=20_13.xlsx&amp;sheet=U0&amp;row=214&amp;col=7&amp;number=0.392&amp;sourceID=14","0.392")</f>
        <v>0.392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HYPERLINK("http://141.218.60.56/~jnz1568/getInfo.php?workbook=20_13.xlsx&amp;sheet=U0&amp;row=215&amp;col=6&amp;number=4.1&amp;sourceID=14","4.1")</f>
        <v>4.1</v>
      </c>
      <c r="G215" s="4" t="str">
        <f>HYPERLINK("http://141.218.60.56/~jnz1568/getInfo.php?workbook=20_13.xlsx&amp;sheet=U0&amp;row=215&amp;col=7&amp;number=0.39&amp;sourceID=14","0.39")</f>
        <v>0.39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HYPERLINK("http://141.218.60.56/~jnz1568/getInfo.php?workbook=20_13.xlsx&amp;sheet=U0&amp;row=216&amp;col=6&amp;number=4.2&amp;sourceID=14","4.2")</f>
        <v>4.2</v>
      </c>
      <c r="G216" s="4" t="str">
        <f>HYPERLINK("http://141.218.60.56/~jnz1568/getInfo.php?workbook=20_13.xlsx&amp;sheet=U0&amp;row=216&amp;col=7&amp;number=0.388&amp;sourceID=14","0.388")</f>
        <v>0.388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HYPERLINK("http://141.218.60.56/~jnz1568/getInfo.php?workbook=20_13.xlsx&amp;sheet=U0&amp;row=217&amp;col=6&amp;number=4.3&amp;sourceID=14","4.3")</f>
        <v>4.3</v>
      </c>
      <c r="G217" s="4" t="str">
        <f>HYPERLINK("http://141.218.60.56/~jnz1568/getInfo.php?workbook=20_13.xlsx&amp;sheet=U0&amp;row=217&amp;col=7&amp;number=0.384&amp;sourceID=14","0.384")</f>
        <v>0.384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HYPERLINK("http://141.218.60.56/~jnz1568/getInfo.php?workbook=20_13.xlsx&amp;sheet=U0&amp;row=218&amp;col=6&amp;number=4.4&amp;sourceID=14","4.4")</f>
        <v>4.4</v>
      </c>
      <c r="G218" s="4" t="str">
        <f>HYPERLINK("http://141.218.60.56/~jnz1568/getInfo.php?workbook=20_13.xlsx&amp;sheet=U0&amp;row=218&amp;col=7&amp;number=0.381&amp;sourceID=14","0.381")</f>
        <v>0.381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HYPERLINK("http://141.218.60.56/~jnz1568/getInfo.php?workbook=20_13.xlsx&amp;sheet=U0&amp;row=219&amp;col=6&amp;number=4.5&amp;sourceID=14","4.5")</f>
        <v>4.5</v>
      </c>
      <c r="G219" s="4" t="str">
        <f>HYPERLINK("http://141.218.60.56/~jnz1568/getInfo.php?workbook=20_13.xlsx&amp;sheet=U0&amp;row=219&amp;col=7&amp;number=0.376&amp;sourceID=14","0.376")</f>
        <v>0.376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HYPERLINK("http://141.218.60.56/~jnz1568/getInfo.php?workbook=20_13.xlsx&amp;sheet=U0&amp;row=220&amp;col=6&amp;number=4.6&amp;sourceID=14","4.6")</f>
        <v>4.6</v>
      </c>
      <c r="G220" s="4" t="str">
        <f>HYPERLINK("http://141.218.60.56/~jnz1568/getInfo.php?workbook=20_13.xlsx&amp;sheet=U0&amp;row=220&amp;col=7&amp;number=0.37&amp;sourceID=14","0.37")</f>
        <v>0.37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HYPERLINK("http://141.218.60.56/~jnz1568/getInfo.php?workbook=20_13.xlsx&amp;sheet=U0&amp;row=221&amp;col=6&amp;number=4.7&amp;sourceID=14","4.7")</f>
        <v>4.7</v>
      </c>
      <c r="G221" s="4" t="str">
        <f>HYPERLINK("http://141.218.60.56/~jnz1568/getInfo.php?workbook=20_13.xlsx&amp;sheet=U0&amp;row=221&amp;col=7&amp;number=0.363&amp;sourceID=14","0.363")</f>
        <v>0.363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HYPERLINK("http://141.218.60.56/~jnz1568/getInfo.php?workbook=20_13.xlsx&amp;sheet=U0&amp;row=222&amp;col=6&amp;number=4.8&amp;sourceID=14","4.8")</f>
        <v>4.8</v>
      </c>
      <c r="G222" s="4" t="str">
        <f>HYPERLINK("http://141.218.60.56/~jnz1568/getInfo.php?workbook=20_13.xlsx&amp;sheet=U0&amp;row=222&amp;col=7&amp;number=0.354&amp;sourceID=14","0.354")</f>
        <v>0.354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HYPERLINK("http://141.218.60.56/~jnz1568/getInfo.php?workbook=20_13.xlsx&amp;sheet=U0&amp;row=223&amp;col=6&amp;number=4.9&amp;sourceID=14","4.9")</f>
        <v>4.9</v>
      </c>
      <c r="G223" s="4" t="str">
        <f>HYPERLINK("http://141.218.60.56/~jnz1568/getInfo.php?workbook=20_13.xlsx&amp;sheet=U0&amp;row=223&amp;col=7&amp;number=0.344&amp;sourceID=14","0.344")</f>
        <v>0.344</v>
      </c>
    </row>
    <row r="224" spans="1:7">
      <c r="A224" s="3">
        <v>20</v>
      </c>
      <c r="B224" s="3">
        <v>13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HYPERLINK("http://141.218.60.56/~jnz1568/getInfo.php?workbook=20_13.xlsx&amp;sheet=U0&amp;row=224&amp;col=6&amp;number=3&amp;sourceID=14","3")</f>
        <v>3</v>
      </c>
      <c r="G224" s="4" t="str">
        <f>HYPERLINK("http://141.218.60.56/~jnz1568/getInfo.php?workbook=20_13.xlsx&amp;sheet=U0&amp;row=224&amp;col=7&amp;number=0.146&amp;sourceID=14","0.146")</f>
        <v>0.146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HYPERLINK("http://141.218.60.56/~jnz1568/getInfo.php?workbook=20_13.xlsx&amp;sheet=U0&amp;row=225&amp;col=6&amp;number=3.1&amp;sourceID=14","3.1")</f>
        <v>3.1</v>
      </c>
      <c r="G225" s="4" t="str">
        <f>HYPERLINK("http://141.218.60.56/~jnz1568/getInfo.php?workbook=20_13.xlsx&amp;sheet=U0&amp;row=225&amp;col=7&amp;number=0.146&amp;sourceID=14","0.146")</f>
        <v>0.146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HYPERLINK("http://141.218.60.56/~jnz1568/getInfo.php?workbook=20_13.xlsx&amp;sheet=U0&amp;row=226&amp;col=6&amp;number=3.2&amp;sourceID=14","3.2")</f>
        <v>3.2</v>
      </c>
      <c r="G226" s="4" t="str">
        <f>HYPERLINK("http://141.218.60.56/~jnz1568/getInfo.php?workbook=20_13.xlsx&amp;sheet=U0&amp;row=226&amp;col=7&amp;number=0.146&amp;sourceID=14","0.146")</f>
        <v>0.146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HYPERLINK("http://141.218.60.56/~jnz1568/getInfo.php?workbook=20_13.xlsx&amp;sheet=U0&amp;row=227&amp;col=6&amp;number=3.3&amp;sourceID=14","3.3")</f>
        <v>3.3</v>
      </c>
      <c r="G227" s="4" t="str">
        <f>HYPERLINK("http://141.218.60.56/~jnz1568/getInfo.php?workbook=20_13.xlsx&amp;sheet=U0&amp;row=227&amp;col=7&amp;number=0.146&amp;sourceID=14","0.146")</f>
        <v>0.146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HYPERLINK("http://141.218.60.56/~jnz1568/getInfo.php?workbook=20_13.xlsx&amp;sheet=U0&amp;row=228&amp;col=6&amp;number=3.4&amp;sourceID=14","3.4")</f>
        <v>3.4</v>
      </c>
      <c r="G228" s="4" t="str">
        <f>HYPERLINK("http://141.218.60.56/~jnz1568/getInfo.php?workbook=20_13.xlsx&amp;sheet=U0&amp;row=228&amp;col=7&amp;number=0.146&amp;sourceID=14","0.146")</f>
        <v>0.146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HYPERLINK("http://141.218.60.56/~jnz1568/getInfo.php?workbook=20_13.xlsx&amp;sheet=U0&amp;row=229&amp;col=6&amp;number=3.5&amp;sourceID=14","3.5")</f>
        <v>3.5</v>
      </c>
      <c r="G229" s="4" t="str">
        <f>HYPERLINK("http://141.218.60.56/~jnz1568/getInfo.php?workbook=20_13.xlsx&amp;sheet=U0&amp;row=229&amp;col=7&amp;number=0.146&amp;sourceID=14","0.146")</f>
        <v>0.146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HYPERLINK("http://141.218.60.56/~jnz1568/getInfo.php?workbook=20_13.xlsx&amp;sheet=U0&amp;row=230&amp;col=6&amp;number=3.6&amp;sourceID=14","3.6")</f>
        <v>3.6</v>
      </c>
      <c r="G230" s="4" t="str">
        <f>HYPERLINK("http://141.218.60.56/~jnz1568/getInfo.php?workbook=20_13.xlsx&amp;sheet=U0&amp;row=230&amp;col=7&amp;number=0.146&amp;sourceID=14","0.146")</f>
        <v>0.146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HYPERLINK("http://141.218.60.56/~jnz1568/getInfo.php?workbook=20_13.xlsx&amp;sheet=U0&amp;row=231&amp;col=6&amp;number=3.7&amp;sourceID=14","3.7")</f>
        <v>3.7</v>
      </c>
      <c r="G231" s="4" t="str">
        <f>HYPERLINK("http://141.218.60.56/~jnz1568/getInfo.php?workbook=20_13.xlsx&amp;sheet=U0&amp;row=231&amp;col=7&amp;number=0.146&amp;sourceID=14","0.146")</f>
        <v>0.146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HYPERLINK("http://141.218.60.56/~jnz1568/getInfo.php?workbook=20_13.xlsx&amp;sheet=U0&amp;row=232&amp;col=6&amp;number=3.8&amp;sourceID=14","3.8")</f>
        <v>3.8</v>
      </c>
      <c r="G232" s="4" t="str">
        <f>HYPERLINK("http://141.218.60.56/~jnz1568/getInfo.php?workbook=20_13.xlsx&amp;sheet=U0&amp;row=232&amp;col=7&amp;number=0.146&amp;sourceID=14","0.146")</f>
        <v>0.146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HYPERLINK("http://141.218.60.56/~jnz1568/getInfo.php?workbook=20_13.xlsx&amp;sheet=U0&amp;row=233&amp;col=6&amp;number=3.9&amp;sourceID=14","3.9")</f>
        <v>3.9</v>
      </c>
      <c r="G233" s="4" t="str">
        <f>HYPERLINK("http://141.218.60.56/~jnz1568/getInfo.php?workbook=20_13.xlsx&amp;sheet=U0&amp;row=233&amp;col=7&amp;number=0.146&amp;sourceID=14","0.146")</f>
        <v>0.146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HYPERLINK("http://141.218.60.56/~jnz1568/getInfo.php?workbook=20_13.xlsx&amp;sheet=U0&amp;row=234&amp;col=6&amp;number=4&amp;sourceID=14","4")</f>
        <v>4</v>
      </c>
      <c r="G234" s="4" t="str">
        <f>HYPERLINK("http://141.218.60.56/~jnz1568/getInfo.php?workbook=20_13.xlsx&amp;sheet=U0&amp;row=234&amp;col=7&amp;number=0.146&amp;sourceID=14","0.146")</f>
        <v>0.146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HYPERLINK("http://141.218.60.56/~jnz1568/getInfo.php?workbook=20_13.xlsx&amp;sheet=U0&amp;row=235&amp;col=6&amp;number=4.1&amp;sourceID=14","4.1")</f>
        <v>4.1</v>
      </c>
      <c r="G235" s="4" t="str">
        <f>HYPERLINK("http://141.218.60.56/~jnz1568/getInfo.php?workbook=20_13.xlsx&amp;sheet=U0&amp;row=235&amp;col=7&amp;number=0.146&amp;sourceID=14","0.146")</f>
        <v>0.146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HYPERLINK("http://141.218.60.56/~jnz1568/getInfo.php?workbook=20_13.xlsx&amp;sheet=U0&amp;row=236&amp;col=6&amp;number=4.2&amp;sourceID=14","4.2")</f>
        <v>4.2</v>
      </c>
      <c r="G236" s="4" t="str">
        <f>HYPERLINK("http://141.218.60.56/~jnz1568/getInfo.php?workbook=20_13.xlsx&amp;sheet=U0&amp;row=236&amp;col=7&amp;number=0.146&amp;sourceID=14","0.146")</f>
        <v>0.146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HYPERLINK("http://141.218.60.56/~jnz1568/getInfo.php?workbook=20_13.xlsx&amp;sheet=U0&amp;row=237&amp;col=6&amp;number=4.3&amp;sourceID=14","4.3")</f>
        <v>4.3</v>
      </c>
      <c r="G237" s="4" t="str">
        <f>HYPERLINK("http://141.218.60.56/~jnz1568/getInfo.php?workbook=20_13.xlsx&amp;sheet=U0&amp;row=237&amp;col=7&amp;number=0.147&amp;sourceID=14","0.147")</f>
        <v>0.147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HYPERLINK("http://141.218.60.56/~jnz1568/getInfo.php?workbook=20_13.xlsx&amp;sheet=U0&amp;row=238&amp;col=6&amp;number=4.4&amp;sourceID=14","4.4")</f>
        <v>4.4</v>
      </c>
      <c r="G238" s="4" t="str">
        <f>HYPERLINK("http://141.218.60.56/~jnz1568/getInfo.php?workbook=20_13.xlsx&amp;sheet=U0&amp;row=238&amp;col=7&amp;number=0.147&amp;sourceID=14","0.147")</f>
        <v>0.147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HYPERLINK("http://141.218.60.56/~jnz1568/getInfo.php?workbook=20_13.xlsx&amp;sheet=U0&amp;row=239&amp;col=6&amp;number=4.5&amp;sourceID=14","4.5")</f>
        <v>4.5</v>
      </c>
      <c r="G239" s="4" t="str">
        <f>HYPERLINK("http://141.218.60.56/~jnz1568/getInfo.php?workbook=20_13.xlsx&amp;sheet=U0&amp;row=239&amp;col=7&amp;number=0.147&amp;sourceID=14","0.147")</f>
        <v>0.147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HYPERLINK("http://141.218.60.56/~jnz1568/getInfo.php?workbook=20_13.xlsx&amp;sheet=U0&amp;row=240&amp;col=6&amp;number=4.6&amp;sourceID=14","4.6")</f>
        <v>4.6</v>
      </c>
      <c r="G240" s="4" t="str">
        <f>HYPERLINK("http://141.218.60.56/~jnz1568/getInfo.php?workbook=20_13.xlsx&amp;sheet=U0&amp;row=240&amp;col=7&amp;number=0.148&amp;sourceID=14","0.148")</f>
        <v>0.148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HYPERLINK("http://141.218.60.56/~jnz1568/getInfo.php?workbook=20_13.xlsx&amp;sheet=U0&amp;row=241&amp;col=6&amp;number=4.7&amp;sourceID=14","4.7")</f>
        <v>4.7</v>
      </c>
      <c r="G241" s="4" t="str">
        <f>HYPERLINK("http://141.218.60.56/~jnz1568/getInfo.php?workbook=20_13.xlsx&amp;sheet=U0&amp;row=241&amp;col=7&amp;number=0.148&amp;sourceID=14","0.148")</f>
        <v>0.148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HYPERLINK("http://141.218.60.56/~jnz1568/getInfo.php?workbook=20_13.xlsx&amp;sheet=U0&amp;row=242&amp;col=6&amp;number=4.8&amp;sourceID=14","4.8")</f>
        <v>4.8</v>
      </c>
      <c r="G242" s="4" t="str">
        <f>HYPERLINK("http://141.218.60.56/~jnz1568/getInfo.php?workbook=20_13.xlsx&amp;sheet=U0&amp;row=242&amp;col=7&amp;number=0.149&amp;sourceID=14","0.149")</f>
        <v>0.149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HYPERLINK("http://141.218.60.56/~jnz1568/getInfo.php?workbook=20_13.xlsx&amp;sheet=U0&amp;row=243&amp;col=6&amp;number=4.9&amp;sourceID=14","4.9")</f>
        <v>4.9</v>
      </c>
      <c r="G243" s="4" t="str">
        <f>HYPERLINK("http://141.218.60.56/~jnz1568/getInfo.php?workbook=20_13.xlsx&amp;sheet=U0&amp;row=243&amp;col=7&amp;number=0.149&amp;sourceID=14","0.149")</f>
        <v>0.149</v>
      </c>
    </row>
    <row r="244" spans="1:7">
      <c r="A244" s="3">
        <v>20</v>
      </c>
      <c r="B244" s="3">
        <v>13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HYPERLINK("http://141.218.60.56/~jnz1568/getInfo.php?workbook=20_13.xlsx&amp;sheet=U0&amp;row=244&amp;col=6&amp;number=3&amp;sourceID=14","3")</f>
        <v>3</v>
      </c>
      <c r="G244" s="4" t="str">
        <f>HYPERLINK("http://141.218.60.56/~jnz1568/getInfo.php?workbook=20_13.xlsx&amp;sheet=U0&amp;row=244&amp;col=7&amp;number=0.109&amp;sourceID=14","0.109")</f>
        <v>0.109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HYPERLINK("http://141.218.60.56/~jnz1568/getInfo.php?workbook=20_13.xlsx&amp;sheet=U0&amp;row=245&amp;col=6&amp;number=3.1&amp;sourceID=14","3.1")</f>
        <v>3.1</v>
      </c>
      <c r="G245" s="4" t="str">
        <f>HYPERLINK("http://141.218.60.56/~jnz1568/getInfo.php?workbook=20_13.xlsx&amp;sheet=U0&amp;row=245&amp;col=7&amp;number=0.109&amp;sourceID=14","0.109")</f>
        <v>0.109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HYPERLINK("http://141.218.60.56/~jnz1568/getInfo.php?workbook=20_13.xlsx&amp;sheet=U0&amp;row=246&amp;col=6&amp;number=3.2&amp;sourceID=14","3.2")</f>
        <v>3.2</v>
      </c>
      <c r="G246" s="4" t="str">
        <f>HYPERLINK("http://141.218.60.56/~jnz1568/getInfo.php?workbook=20_13.xlsx&amp;sheet=U0&amp;row=246&amp;col=7&amp;number=0.109&amp;sourceID=14","0.109")</f>
        <v>0.109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HYPERLINK("http://141.218.60.56/~jnz1568/getInfo.php?workbook=20_13.xlsx&amp;sheet=U0&amp;row=247&amp;col=6&amp;number=3.3&amp;sourceID=14","3.3")</f>
        <v>3.3</v>
      </c>
      <c r="G247" s="4" t="str">
        <f>HYPERLINK("http://141.218.60.56/~jnz1568/getInfo.php?workbook=20_13.xlsx&amp;sheet=U0&amp;row=247&amp;col=7&amp;number=0.109&amp;sourceID=14","0.109")</f>
        <v>0.109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HYPERLINK("http://141.218.60.56/~jnz1568/getInfo.php?workbook=20_13.xlsx&amp;sheet=U0&amp;row=248&amp;col=6&amp;number=3.4&amp;sourceID=14","3.4")</f>
        <v>3.4</v>
      </c>
      <c r="G248" s="4" t="str">
        <f>HYPERLINK("http://141.218.60.56/~jnz1568/getInfo.php?workbook=20_13.xlsx&amp;sheet=U0&amp;row=248&amp;col=7&amp;number=0.109&amp;sourceID=14","0.109")</f>
        <v>0.109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HYPERLINK("http://141.218.60.56/~jnz1568/getInfo.php?workbook=20_13.xlsx&amp;sheet=U0&amp;row=249&amp;col=6&amp;number=3.5&amp;sourceID=14","3.5")</f>
        <v>3.5</v>
      </c>
      <c r="G249" s="4" t="str">
        <f>HYPERLINK("http://141.218.60.56/~jnz1568/getInfo.php?workbook=20_13.xlsx&amp;sheet=U0&amp;row=249&amp;col=7&amp;number=0.109&amp;sourceID=14","0.109")</f>
        <v>0.109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HYPERLINK("http://141.218.60.56/~jnz1568/getInfo.php?workbook=20_13.xlsx&amp;sheet=U0&amp;row=250&amp;col=6&amp;number=3.6&amp;sourceID=14","3.6")</f>
        <v>3.6</v>
      </c>
      <c r="G250" s="4" t="str">
        <f>HYPERLINK("http://141.218.60.56/~jnz1568/getInfo.php?workbook=20_13.xlsx&amp;sheet=U0&amp;row=250&amp;col=7&amp;number=0.109&amp;sourceID=14","0.109")</f>
        <v>0.109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HYPERLINK("http://141.218.60.56/~jnz1568/getInfo.php?workbook=20_13.xlsx&amp;sheet=U0&amp;row=251&amp;col=6&amp;number=3.7&amp;sourceID=14","3.7")</f>
        <v>3.7</v>
      </c>
      <c r="G251" s="4" t="str">
        <f>HYPERLINK("http://141.218.60.56/~jnz1568/getInfo.php?workbook=20_13.xlsx&amp;sheet=U0&amp;row=251&amp;col=7&amp;number=0.109&amp;sourceID=14","0.109")</f>
        <v>0.109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HYPERLINK("http://141.218.60.56/~jnz1568/getInfo.php?workbook=20_13.xlsx&amp;sheet=U0&amp;row=252&amp;col=6&amp;number=3.8&amp;sourceID=14","3.8")</f>
        <v>3.8</v>
      </c>
      <c r="G252" s="4" t="str">
        <f>HYPERLINK("http://141.218.60.56/~jnz1568/getInfo.php?workbook=20_13.xlsx&amp;sheet=U0&amp;row=252&amp;col=7&amp;number=0.108&amp;sourceID=14","0.108")</f>
        <v>0.108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HYPERLINK("http://141.218.60.56/~jnz1568/getInfo.php?workbook=20_13.xlsx&amp;sheet=U0&amp;row=253&amp;col=6&amp;number=3.9&amp;sourceID=14","3.9")</f>
        <v>3.9</v>
      </c>
      <c r="G253" s="4" t="str">
        <f>HYPERLINK("http://141.218.60.56/~jnz1568/getInfo.php?workbook=20_13.xlsx&amp;sheet=U0&amp;row=253&amp;col=7&amp;number=0.108&amp;sourceID=14","0.108")</f>
        <v>0.108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HYPERLINK("http://141.218.60.56/~jnz1568/getInfo.php?workbook=20_13.xlsx&amp;sheet=U0&amp;row=254&amp;col=6&amp;number=4&amp;sourceID=14","4")</f>
        <v>4</v>
      </c>
      <c r="G254" s="4" t="str">
        <f>HYPERLINK("http://141.218.60.56/~jnz1568/getInfo.php?workbook=20_13.xlsx&amp;sheet=U0&amp;row=254&amp;col=7&amp;number=0.108&amp;sourceID=14","0.108")</f>
        <v>0.108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HYPERLINK("http://141.218.60.56/~jnz1568/getInfo.php?workbook=20_13.xlsx&amp;sheet=U0&amp;row=255&amp;col=6&amp;number=4.1&amp;sourceID=14","4.1")</f>
        <v>4.1</v>
      </c>
      <c r="G255" s="4" t="str">
        <f>HYPERLINK("http://141.218.60.56/~jnz1568/getInfo.php?workbook=20_13.xlsx&amp;sheet=U0&amp;row=255&amp;col=7&amp;number=0.108&amp;sourceID=14","0.108")</f>
        <v>0.108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HYPERLINK("http://141.218.60.56/~jnz1568/getInfo.php?workbook=20_13.xlsx&amp;sheet=U0&amp;row=256&amp;col=6&amp;number=4.2&amp;sourceID=14","4.2")</f>
        <v>4.2</v>
      </c>
      <c r="G256" s="4" t="str">
        <f>HYPERLINK("http://141.218.60.56/~jnz1568/getInfo.php?workbook=20_13.xlsx&amp;sheet=U0&amp;row=256&amp;col=7&amp;number=0.108&amp;sourceID=14","0.108")</f>
        <v>0.108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HYPERLINK("http://141.218.60.56/~jnz1568/getInfo.php?workbook=20_13.xlsx&amp;sheet=U0&amp;row=257&amp;col=6&amp;number=4.3&amp;sourceID=14","4.3")</f>
        <v>4.3</v>
      </c>
      <c r="G257" s="4" t="str">
        <f>HYPERLINK("http://141.218.60.56/~jnz1568/getInfo.php?workbook=20_13.xlsx&amp;sheet=U0&amp;row=257&amp;col=7&amp;number=0.107&amp;sourceID=14","0.107")</f>
        <v>0.107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HYPERLINK("http://141.218.60.56/~jnz1568/getInfo.php?workbook=20_13.xlsx&amp;sheet=U0&amp;row=258&amp;col=6&amp;number=4.4&amp;sourceID=14","4.4")</f>
        <v>4.4</v>
      </c>
      <c r="G258" s="4" t="str">
        <f>HYPERLINK("http://141.218.60.56/~jnz1568/getInfo.php?workbook=20_13.xlsx&amp;sheet=U0&amp;row=258&amp;col=7&amp;number=0.107&amp;sourceID=14","0.107")</f>
        <v>0.107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HYPERLINK("http://141.218.60.56/~jnz1568/getInfo.php?workbook=20_13.xlsx&amp;sheet=U0&amp;row=259&amp;col=6&amp;number=4.5&amp;sourceID=14","4.5")</f>
        <v>4.5</v>
      </c>
      <c r="G259" s="4" t="str">
        <f>HYPERLINK("http://141.218.60.56/~jnz1568/getInfo.php?workbook=20_13.xlsx&amp;sheet=U0&amp;row=259&amp;col=7&amp;number=0.106&amp;sourceID=14","0.106")</f>
        <v>0.106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HYPERLINK("http://141.218.60.56/~jnz1568/getInfo.php?workbook=20_13.xlsx&amp;sheet=U0&amp;row=260&amp;col=6&amp;number=4.6&amp;sourceID=14","4.6")</f>
        <v>4.6</v>
      </c>
      <c r="G260" s="4" t="str">
        <f>HYPERLINK("http://141.218.60.56/~jnz1568/getInfo.php?workbook=20_13.xlsx&amp;sheet=U0&amp;row=260&amp;col=7&amp;number=0.105&amp;sourceID=14","0.105")</f>
        <v>0.105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HYPERLINK("http://141.218.60.56/~jnz1568/getInfo.php?workbook=20_13.xlsx&amp;sheet=U0&amp;row=261&amp;col=6&amp;number=4.7&amp;sourceID=14","4.7")</f>
        <v>4.7</v>
      </c>
      <c r="G261" s="4" t="str">
        <f>HYPERLINK("http://141.218.60.56/~jnz1568/getInfo.php?workbook=20_13.xlsx&amp;sheet=U0&amp;row=261&amp;col=7&amp;number=0.105&amp;sourceID=14","0.105")</f>
        <v>0.105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HYPERLINK("http://141.218.60.56/~jnz1568/getInfo.php?workbook=20_13.xlsx&amp;sheet=U0&amp;row=262&amp;col=6&amp;number=4.8&amp;sourceID=14","4.8")</f>
        <v>4.8</v>
      </c>
      <c r="G262" s="4" t="str">
        <f>HYPERLINK("http://141.218.60.56/~jnz1568/getInfo.php?workbook=20_13.xlsx&amp;sheet=U0&amp;row=262&amp;col=7&amp;number=0.104&amp;sourceID=14","0.104")</f>
        <v>0.104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HYPERLINK("http://141.218.60.56/~jnz1568/getInfo.php?workbook=20_13.xlsx&amp;sheet=U0&amp;row=263&amp;col=6&amp;number=4.9&amp;sourceID=14","4.9")</f>
        <v>4.9</v>
      </c>
      <c r="G263" s="4" t="str">
        <f>HYPERLINK("http://141.218.60.56/~jnz1568/getInfo.php?workbook=20_13.xlsx&amp;sheet=U0&amp;row=263&amp;col=7&amp;number=0.103&amp;sourceID=14","0.103")</f>
        <v>0.103</v>
      </c>
    </row>
    <row r="264" spans="1:7">
      <c r="A264" s="3">
        <v>20</v>
      </c>
      <c r="B264" s="3">
        <v>13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HYPERLINK("http://141.218.60.56/~jnz1568/getInfo.php?workbook=20_13.xlsx&amp;sheet=U0&amp;row=264&amp;col=6&amp;number=3&amp;sourceID=14","3")</f>
        <v>3</v>
      </c>
      <c r="G264" s="4" t="str">
        <f>HYPERLINK("http://141.218.60.56/~jnz1568/getInfo.php?workbook=20_13.xlsx&amp;sheet=U0&amp;row=264&amp;col=7&amp;number=0.00485&amp;sourceID=14","0.00485")</f>
        <v>0.00485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HYPERLINK("http://141.218.60.56/~jnz1568/getInfo.php?workbook=20_13.xlsx&amp;sheet=U0&amp;row=265&amp;col=6&amp;number=3.1&amp;sourceID=14","3.1")</f>
        <v>3.1</v>
      </c>
      <c r="G265" s="4" t="str">
        <f>HYPERLINK("http://141.218.60.56/~jnz1568/getInfo.php?workbook=20_13.xlsx&amp;sheet=U0&amp;row=265&amp;col=7&amp;number=0.00485&amp;sourceID=14","0.00485")</f>
        <v>0.00485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HYPERLINK("http://141.218.60.56/~jnz1568/getInfo.php?workbook=20_13.xlsx&amp;sheet=U0&amp;row=266&amp;col=6&amp;number=3.2&amp;sourceID=14","3.2")</f>
        <v>3.2</v>
      </c>
      <c r="G266" s="4" t="str">
        <f>HYPERLINK("http://141.218.60.56/~jnz1568/getInfo.php?workbook=20_13.xlsx&amp;sheet=U0&amp;row=266&amp;col=7&amp;number=0.00484&amp;sourceID=14","0.00484")</f>
        <v>0.00484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HYPERLINK("http://141.218.60.56/~jnz1568/getInfo.php?workbook=20_13.xlsx&amp;sheet=U0&amp;row=267&amp;col=6&amp;number=3.3&amp;sourceID=14","3.3")</f>
        <v>3.3</v>
      </c>
      <c r="G267" s="4" t="str">
        <f>HYPERLINK("http://141.218.60.56/~jnz1568/getInfo.php?workbook=20_13.xlsx&amp;sheet=U0&amp;row=267&amp;col=7&amp;number=0.00483&amp;sourceID=14","0.00483")</f>
        <v>0.00483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HYPERLINK("http://141.218.60.56/~jnz1568/getInfo.php?workbook=20_13.xlsx&amp;sheet=U0&amp;row=268&amp;col=6&amp;number=3.4&amp;sourceID=14","3.4")</f>
        <v>3.4</v>
      </c>
      <c r="G268" s="4" t="str">
        <f>HYPERLINK("http://141.218.60.56/~jnz1568/getInfo.php?workbook=20_13.xlsx&amp;sheet=U0&amp;row=268&amp;col=7&amp;number=0.00482&amp;sourceID=14","0.00482")</f>
        <v>0.00482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HYPERLINK("http://141.218.60.56/~jnz1568/getInfo.php?workbook=20_13.xlsx&amp;sheet=U0&amp;row=269&amp;col=6&amp;number=3.5&amp;sourceID=14","3.5")</f>
        <v>3.5</v>
      </c>
      <c r="G269" s="4" t="str">
        <f>HYPERLINK("http://141.218.60.56/~jnz1568/getInfo.php?workbook=20_13.xlsx&amp;sheet=U0&amp;row=269&amp;col=7&amp;number=0.00481&amp;sourceID=14","0.00481")</f>
        <v>0.00481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HYPERLINK("http://141.218.60.56/~jnz1568/getInfo.php?workbook=20_13.xlsx&amp;sheet=U0&amp;row=270&amp;col=6&amp;number=3.6&amp;sourceID=14","3.6")</f>
        <v>3.6</v>
      </c>
      <c r="G270" s="4" t="str">
        <f>HYPERLINK("http://141.218.60.56/~jnz1568/getInfo.php?workbook=20_13.xlsx&amp;sheet=U0&amp;row=270&amp;col=7&amp;number=0.00479&amp;sourceID=14","0.00479")</f>
        <v>0.00479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HYPERLINK("http://141.218.60.56/~jnz1568/getInfo.php?workbook=20_13.xlsx&amp;sheet=U0&amp;row=271&amp;col=6&amp;number=3.7&amp;sourceID=14","3.7")</f>
        <v>3.7</v>
      </c>
      <c r="G271" s="4" t="str">
        <f>HYPERLINK("http://141.218.60.56/~jnz1568/getInfo.php?workbook=20_13.xlsx&amp;sheet=U0&amp;row=271&amp;col=7&amp;number=0.00477&amp;sourceID=14","0.00477")</f>
        <v>0.00477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HYPERLINK("http://141.218.60.56/~jnz1568/getInfo.php?workbook=20_13.xlsx&amp;sheet=U0&amp;row=272&amp;col=6&amp;number=3.8&amp;sourceID=14","3.8")</f>
        <v>3.8</v>
      </c>
      <c r="G272" s="4" t="str">
        <f>HYPERLINK("http://141.218.60.56/~jnz1568/getInfo.php?workbook=20_13.xlsx&amp;sheet=U0&amp;row=272&amp;col=7&amp;number=0.00474&amp;sourceID=14","0.00474")</f>
        <v>0.00474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HYPERLINK("http://141.218.60.56/~jnz1568/getInfo.php?workbook=20_13.xlsx&amp;sheet=U0&amp;row=273&amp;col=6&amp;number=3.9&amp;sourceID=14","3.9")</f>
        <v>3.9</v>
      </c>
      <c r="G273" s="4" t="str">
        <f>HYPERLINK("http://141.218.60.56/~jnz1568/getInfo.php?workbook=20_13.xlsx&amp;sheet=U0&amp;row=273&amp;col=7&amp;number=0.00471&amp;sourceID=14","0.00471")</f>
        <v>0.00471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HYPERLINK("http://141.218.60.56/~jnz1568/getInfo.php?workbook=20_13.xlsx&amp;sheet=U0&amp;row=274&amp;col=6&amp;number=4&amp;sourceID=14","4")</f>
        <v>4</v>
      </c>
      <c r="G274" s="4" t="str">
        <f>HYPERLINK("http://141.218.60.56/~jnz1568/getInfo.php?workbook=20_13.xlsx&amp;sheet=U0&amp;row=274&amp;col=7&amp;number=0.00466&amp;sourceID=14","0.00466")</f>
        <v>0.00466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HYPERLINK("http://141.218.60.56/~jnz1568/getInfo.php?workbook=20_13.xlsx&amp;sheet=U0&amp;row=275&amp;col=6&amp;number=4.1&amp;sourceID=14","4.1")</f>
        <v>4.1</v>
      </c>
      <c r="G275" s="4" t="str">
        <f>HYPERLINK("http://141.218.60.56/~jnz1568/getInfo.php?workbook=20_13.xlsx&amp;sheet=U0&amp;row=275&amp;col=7&amp;number=0.00461&amp;sourceID=14","0.00461")</f>
        <v>0.00461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HYPERLINK("http://141.218.60.56/~jnz1568/getInfo.php?workbook=20_13.xlsx&amp;sheet=U0&amp;row=276&amp;col=6&amp;number=4.2&amp;sourceID=14","4.2")</f>
        <v>4.2</v>
      </c>
      <c r="G276" s="4" t="str">
        <f>HYPERLINK("http://141.218.60.56/~jnz1568/getInfo.php?workbook=20_13.xlsx&amp;sheet=U0&amp;row=276&amp;col=7&amp;number=0.00454&amp;sourceID=14","0.00454")</f>
        <v>0.00454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HYPERLINK("http://141.218.60.56/~jnz1568/getInfo.php?workbook=20_13.xlsx&amp;sheet=U0&amp;row=277&amp;col=6&amp;number=4.3&amp;sourceID=14","4.3")</f>
        <v>4.3</v>
      </c>
      <c r="G277" s="4" t="str">
        <f>HYPERLINK("http://141.218.60.56/~jnz1568/getInfo.php?workbook=20_13.xlsx&amp;sheet=U0&amp;row=277&amp;col=7&amp;number=0.00446&amp;sourceID=14","0.00446")</f>
        <v>0.00446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HYPERLINK("http://141.218.60.56/~jnz1568/getInfo.php?workbook=20_13.xlsx&amp;sheet=U0&amp;row=278&amp;col=6&amp;number=4.4&amp;sourceID=14","4.4")</f>
        <v>4.4</v>
      </c>
      <c r="G278" s="4" t="str">
        <f>HYPERLINK("http://141.218.60.56/~jnz1568/getInfo.php?workbook=20_13.xlsx&amp;sheet=U0&amp;row=278&amp;col=7&amp;number=0.00436&amp;sourceID=14","0.00436")</f>
        <v>0.00436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HYPERLINK("http://141.218.60.56/~jnz1568/getInfo.php?workbook=20_13.xlsx&amp;sheet=U0&amp;row=279&amp;col=6&amp;number=4.5&amp;sourceID=14","4.5")</f>
        <v>4.5</v>
      </c>
      <c r="G279" s="4" t="str">
        <f>HYPERLINK("http://141.218.60.56/~jnz1568/getInfo.php?workbook=20_13.xlsx&amp;sheet=U0&amp;row=279&amp;col=7&amp;number=0.00423&amp;sourceID=14","0.00423")</f>
        <v>0.00423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HYPERLINK("http://141.218.60.56/~jnz1568/getInfo.php?workbook=20_13.xlsx&amp;sheet=U0&amp;row=280&amp;col=6&amp;number=4.6&amp;sourceID=14","4.6")</f>
        <v>4.6</v>
      </c>
      <c r="G280" s="4" t="str">
        <f>HYPERLINK("http://141.218.60.56/~jnz1568/getInfo.php?workbook=20_13.xlsx&amp;sheet=U0&amp;row=280&amp;col=7&amp;number=0.00408&amp;sourceID=14","0.00408")</f>
        <v>0.00408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HYPERLINK("http://141.218.60.56/~jnz1568/getInfo.php?workbook=20_13.xlsx&amp;sheet=U0&amp;row=281&amp;col=6&amp;number=4.7&amp;sourceID=14","4.7")</f>
        <v>4.7</v>
      </c>
      <c r="G281" s="4" t="str">
        <f>HYPERLINK("http://141.218.60.56/~jnz1568/getInfo.php?workbook=20_13.xlsx&amp;sheet=U0&amp;row=281&amp;col=7&amp;number=0.00389&amp;sourceID=14","0.00389")</f>
        <v>0.00389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HYPERLINK("http://141.218.60.56/~jnz1568/getInfo.php?workbook=20_13.xlsx&amp;sheet=U0&amp;row=282&amp;col=6&amp;number=4.8&amp;sourceID=14","4.8")</f>
        <v>4.8</v>
      </c>
      <c r="G282" s="4" t="str">
        <f>HYPERLINK("http://141.218.60.56/~jnz1568/getInfo.php?workbook=20_13.xlsx&amp;sheet=U0&amp;row=282&amp;col=7&amp;number=0.00366&amp;sourceID=14","0.00366")</f>
        <v>0.00366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HYPERLINK("http://141.218.60.56/~jnz1568/getInfo.php?workbook=20_13.xlsx&amp;sheet=U0&amp;row=283&amp;col=6&amp;number=4.9&amp;sourceID=14","4.9")</f>
        <v>4.9</v>
      </c>
      <c r="G283" s="4" t="str">
        <f>HYPERLINK("http://141.218.60.56/~jnz1568/getInfo.php?workbook=20_13.xlsx&amp;sheet=U0&amp;row=283&amp;col=7&amp;number=0.0034&amp;sourceID=14","0.0034")</f>
        <v>0.0034</v>
      </c>
    </row>
    <row r="284" spans="1:7">
      <c r="A284" s="3">
        <v>20</v>
      </c>
      <c r="B284" s="3">
        <v>13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HYPERLINK("http://141.218.60.56/~jnz1568/getInfo.php?workbook=20_13.xlsx&amp;sheet=U0&amp;row=284&amp;col=6&amp;number=3&amp;sourceID=14","3")</f>
        <v>3</v>
      </c>
      <c r="G284" s="4" t="str">
        <f>HYPERLINK("http://141.218.60.56/~jnz1568/getInfo.php?workbook=20_13.xlsx&amp;sheet=U0&amp;row=284&amp;col=7&amp;number=0.0196&amp;sourceID=14","0.0196")</f>
        <v>0.0196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HYPERLINK("http://141.218.60.56/~jnz1568/getInfo.php?workbook=20_13.xlsx&amp;sheet=U0&amp;row=285&amp;col=6&amp;number=3.1&amp;sourceID=14","3.1")</f>
        <v>3.1</v>
      </c>
      <c r="G285" s="4" t="str">
        <f>HYPERLINK("http://141.218.60.56/~jnz1568/getInfo.php?workbook=20_13.xlsx&amp;sheet=U0&amp;row=285&amp;col=7&amp;number=0.0196&amp;sourceID=14","0.0196")</f>
        <v>0.0196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HYPERLINK("http://141.218.60.56/~jnz1568/getInfo.php?workbook=20_13.xlsx&amp;sheet=U0&amp;row=286&amp;col=6&amp;number=3.2&amp;sourceID=14","3.2")</f>
        <v>3.2</v>
      </c>
      <c r="G286" s="4" t="str">
        <f>HYPERLINK("http://141.218.60.56/~jnz1568/getInfo.php?workbook=20_13.xlsx&amp;sheet=U0&amp;row=286&amp;col=7&amp;number=0.0195&amp;sourceID=14","0.0195")</f>
        <v>0.0195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HYPERLINK("http://141.218.60.56/~jnz1568/getInfo.php?workbook=20_13.xlsx&amp;sheet=U0&amp;row=287&amp;col=6&amp;number=3.3&amp;sourceID=14","3.3")</f>
        <v>3.3</v>
      </c>
      <c r="G287" s="4" t="str">
        <f>HYPERLINK("http://141.218.60.56/~jnz1568/getInfo.php?workbook=20_13.xlsx&amp;sheet=U0&amp;row=287&amp;col=7&amp;number=0.0195&amp;sourceID=14","0.0195")</f>
        <v>0.0195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HYPERLINK("http://141.218.60.56/~jnz1568/getInfo.php?workbook=20_13.xlsx&amp;sheet=U0&amp;row=288&amp;col=6&amp;number=3.4&amp;sourceID=14","3.4")</f>
        <v>3.4</v>
      </c>
      <c r="G288" s="4" t="str">
        <f>HYPERLINK("http://141.218.60.56/~jnz1568/getInfo.php?workbook=20_13.xlsx&amp;sheet=U0&amp;row=288&amp;col=7&amp;number=0.0194&amp;sourceID=14","0.0194")</f>
        <v>0.0194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HYPERLINK("http://141.218.60.56/~jnz1568/getInfo.php?workbook=20_13.xlsx&amp;sheet=U0&amp;row=289&amp;col=6&amp;number=3.5&amp;sourceID=14","3.5")</f>
        <v>3.5</v>
      </c>
      <c r="G289" s="4" t="str">
        <f>HYPERLINK("http://141.218.60.56/~jnz1568/getInfo.php?workbook=20_13.xlsx&amp;sheet=U0&amp;row=289&amp;col=7&amp;number=0.0194&amp;sourceID=14","0.0194")</f>
        <v>0.0194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HYPERLINK("http://141.218.60.56/~jnz1568/getInfo.php?workbook=20_13.xlsx&amp;sheet=U0&amp;row=290&amp;col=6&amp;number=3.6&amp;sourceID=14","3.6")</f>
        <v>3.6</v>
      </c>
      <c r="G290" s="4" t="str">
        <f>HYPERLINK("http://141.218.60.56/~jnz1568/getInfo.php?workbook=20_13.xlsx&amp;sheet=U0&amp;row=290&amp;col=7&amp;number=0.0193&amp;sourceID=14","0.0193")</f>
        <v>0.0193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HYPERLINK("http://141.218.60.56/~jnz1568/getInfo.php?workbook=20_13.xlsx&amp;sheet=U0&amp;row=291&amp;col=6&amp;number=3.7&amp;sourceID=14","3.7")</f>
        <v>3.7</v>
      </c>
      <c r="G291" s="4" t="str">
        <f>HYPERLINK("http://141.218.60.56/~jnz1568/getInfo.php?workbook=20_13.xlsx&amp;sheet=U0&amp;row=291&amp;col=7&amp;number=0.0192&amp;sourceID=14","0.0192")</f>
        <v>0.0192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HYPERLINK("http://141.218.60.56/~jnz1568/getInfo.php?workbook=20_13.xlsx&amp;sheet=U0&amp;row=292&amp;col=6&amp;number=3.8&amp;sourceID=14","3.8")</f>
        <v>3.8</v>
      </c>
      <c r="G292" s="4" t="str">
        <f>HYPERLINK("http://141.218.60.56/~jnz1568/getInfo.php?workbook=20_13.xlsx&amp;sheet=U0&amp;row=292&amp;col=7&amp;number=0.0191&amp;sourceID=14","0.0191")</f>
        <v>0.0191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HYPERLINK("http://141.218.60.56/~jnz1568/getInfo.php?workbook=20_13.xlsx&amp;sheet=U0&amp;row=293&amp;col=6&amp;number=3.9&amp;sourceID=14","3.9")</f>
        <v>3.9</v>
      </c>
      <c r="G293" s="4" t="str">
        <f>HYPERLINK("http://141.218.60.56/~jnz1568/getInfo.php?workbook=20_13.xlsx&amp;sheet=U0&amp;row=293&amp;col=7&amp;number=0.0189&amp;sourceID=14","0.0189")</f>
        <v>0.0189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HYPERLINK("http://141.218.60.56/~jnz1568/getInfo.php?workbook=20_13.xlsx&amp;sheet=U0&amp;row=294&amp;col=6&amp;number=4&amp;sourceID=14","4")</f>
        <v>4</v>
      </c>
      <c r="G294" s="4" t="str">
        <f>HYPERLINK("http://141.218.60.56/~jnz1568/getInfo.php?workbook=20_13.xlsx&amp;sheet=U0&amp;row=294&amp;col=7&amp;number=0.0188&amp;sourceID=14","0.0188")</f>
        <v>0.0188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HYPERLINK("http://141.218.60.56/~jnz1568/getInfo.php?workbook=20_13.xlsx&amp;sheet=U0&amp;row=295&amp;col=6&amp;number=4.1&amp;sourceID=14","4.1")</f>
        <v>4.1</v>
      </c>
      <c r="G295" s="4" t="str">
        <f>HYPERLINK("http://141.218.60.56/~jnz1568/getInfo.php?workbook=20_13.xlsx&amp;sheet=U0&amp;row=295&amp;col=7&amp;number=0.0185&amp;sourceID=14","0.0185")</f>
        <v>0.0185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HYPERLINK("http://141.218.60.56/~jnz1568/getInfo.php?workbook=20_13.xlsx&amp;sheet=U0&amp;row=296&amp;col=6&amp;number=4.2&amp;sourceID=14","4.2")</f>
        <v>4.2</v>
      </c>
      <c r="G296" s="4" t="str">
        <f>HYPERLINK("http://141.218.60.56/~jnz1568/getInfo.php?workbook=20_13.xlsx&amp;sheet=U0&amp;row=296&amp;col=7&amp;number=0.0182&amp;sourceID=14","0.0182")</f>
        <v>0.0182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HYPERLINK("http://141.218.60.56/~jnz1568/getInfo.php?workbook=20_13.xlsx&amp;sheet=U0&amp;row=297&amp;col=6&amp;number=4.3&amp;sourceID=14","4.3")</f>
        <v>4.3</v>
      </c>
      <c r="G297" s="4" t="str">
        <f>HYPERLINK("http://141.218.60.56/~jnz1568/getInfo.php?workbook=20_13.xlsx&amp;sheet=U0&amp;row=297&amp;col=7&amp;number=0.0179&amp;sourceID=14","0.0179")</f>
        <v>0.0179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HYPERLINK("http://141.218.60.56/~jnz1568/getInfo.php?workbook=20_13.xlsx&amp;sheet=U0&amp;row=298&amp;col=6&amp;number=4.4&amp;sourceID=14","4.4")</f>
        <v>4.4</v>
      </c>
      <c r="G298" s="4" t="str">
        <f>HYPERLINK("http://141.218.60.56/~jnz1568/getInfo.php?workbook=20_13.xlsx&amp;sheet=U0&amp;row=298&amp;col=7&amp;number=0.0175&amp;sourceID=14","0.0175")</f>
        <v>0.0175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HYPERLINK("http://141.218.60.56/~jnz1568/getInfo.php?workbook=20_13.xlsx&amp;sheet=U0&amp;row=299&amp;col=6&amp;number=4.5&amp;sourceID=14","4.5")</f>
        <v>4.5</v>
      </c>
      <c r="G299" s="4" t="str">
        <f>HYPERLINK("http://141.218.60.56/~jnz1568/getInfo.php?workbook=20_13.xlsx&amp;sheet=U0&amp;row=299&amp;col=7&amp;number=0.0169&amp;sourceID=14","0.0169")</f>
        <v>0.0169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HYPERLINK("http://141.218.60.56/~jnz1568/getInfo.php?workbook=20_13.xlsx&amp;sheet=U0&amp;row=300&amp;col=6&amp;number=4.6&amp;sourceID=14","4.6")</f>
        <v>4.6</v>
      </c>
      <c r="G300" s="4" t="str">
        <f>HYPERLINK("http://141.218.60.56/~jnz1568/getInfo.php?workbook=20_13.xlsx&amp;sheet=U0&amp;row=300&amp;col=7&amp;number=0.0163&amp;sourceID=14","0.0163")</f>
        <v>0.0163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HYPERLINK("http://141.218.60.56/~jnz1568/getInfo.php?workbook=20_13.xlsx&amp;sheet=U0&amp;row=301&amp;col=6&amp;number=4.7&amp;sourceID=14","4.7")</f>
        <v>4.7</v>
      </c>
      <c r="G301" s="4" t="str">
        <f>HYPERLINK("http://141.218.60.56/~jnz1568/getInfo.php?workbook=20_13.xlsx&amp;sheet=U0&amp;row=301&amp;col=7&amp;number=0.0155&amp;sourceID=14","0.0155")</f>
        <v>0.0155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HYPERLINK("http://141.218.60.56/~jnz1568/getInfo.php?workbook=20_13.xlsx&amp;sheet=U0&amp;row=302&amp;col=6&amp;number=4.8&amp;sourceID=14","4.8")</f>
        <v>4.8</v>
      </c>
      <c r="G302" s="4" t="str">
        <f>HYPERLINK("http://141.218.60.56/~jnz1568/getInfo.php?workbook=20_13.xlsx&amp;sheet=U0&amp;row=302&amp;col=7&amp;number=0.0146&amp;sourceID=14","0.0146")</f>
        <v>0.0146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HYPERLINK("http://141.218.60.56/~jnz1568/getInfo.php?workbook=20_13.xlsx&amp;sheet=U0&amp;row=303&amp;col=6&amp;number=4.9&amp;sourceID=14","4.9")</f>
        <v>4.9</v>
      </c>
      <c r="G303" s="4" t="str">
        <f>HYPERLINK("http://141.218.60.56/~jnz1568/getInfo.php?workbook=20_13.xlsx&amp;sheet=U0&amp;row=303&amp;col=7&amp;number=0.0136&amp;sourceID=14","0.0136")</f>
        <v>0.0136</v>
      </c>
    </row>
    <row r="304" spans="1:7">
      <c r="A304" s="3">
        <v>20</v>
      </c>
      <c r="B304" s="3">
        <v>13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HYPERLINK("http://141.218.60.56/~jnz1568/getInfo.php?workbook=20_13.xlsx&amp;sheet=U0&amp;row=304&amp;col=6&amp;number=3&amp;sourceID=14","3")</f>
        <v>3</v>
      </c>
      <c r="G304" s="4" t="str">
        <f>HYPERLINK("http://141.218.60.56/~jnz1568/getInfo.php?workbook=20_13.xlsx&amp;sheet=U0&amp;row=304&amp;col=7&amp;number=0.045&amp;sourceID=14","0.045")</f>
        <v>0.045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HYPERLINK("http://141.218.60.56/~jnz1568/getInfo.php?workbook=20_13.xlsx&amp;sheet=U0&amp;row=305&amp;col=6&amp;number=3.1&amp;sourceID=14","3.1")</f>
        <v>3.1</v>
      </c>
      <c r="G305" s="4" t="str">
        <f>HYPERLINK("http://141.218.60.56/~jnz1568/getInfo.php?workbook=20_13.xlsx&amp;sheet=U0&amp;row=305&amp;col=7&amp;number=0.045&amp;sourceID=14","0.045")</f>
        <v>0.045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HYPERLINK("http://141.218.60.56/~jnz1568/getInfo.php?workbook=20_13.xlsx&amp;sheet=U0&amp;row=306&amp;col=6&amp;number=3.2&amp;sourceID=14","3.2")</f>
        <v>3.2</v>
      </c>
      <c r="G306" s="4" t="str">
        <f>HYPERLINK("http://141.218.60.56/~jnz1568/getInfo.php?workbook=20_13.xlsx&amp;sheet=U0&amp;row=306&amp;col=7&amp;number=0.0449&amp;sourceID=14","0.0449")</f>
        <v>0.0449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HYPERLINK("http://141.218.60.56/~jnz1568/getInfo.php?workbook=20_13.xlsx&amp;sheet=U0&amp;row=307&amp;col=6&amp;number=3.3&amp;sourceID=14","3.3")</f>
        <v>3.3</v>
      </c>
      <c r="G307" s="4" t="str">
        <f>HYPERLINK("http://141.218.60.56/~jnz1568/getInfo.php?workbook=20_13.xlsx&amp;sheet=U0&amp;row=307&amp;col=7&amp;number=0.0449&amp;sourceID=14","0.0449")</f>
        <v>0.0449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HYPERLINK("http://141.218.60.56/~jnz1568/getInfo.php?workbook=20_13.xlsx&amp;sheet=U0&amp;row=308&amp;col=6&amp;number=3.4&amp;sourceID=14","3.4")</f>
        <v>3.4</v>
      </c>
      <c r="G308" s="4" t="str">
        <f>HYPERLINK("http://141.218.60.56/~jnz1568/getInfo.php?workbook=20_13.xlsx&amp;sheet=U0&amp;row=308&amp;col=7&amp;number=0.0449&amp;sourceID=14","0.0449")</f>
        <v>0.0449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HYPERLINK("http://141.218.60.56/~jnz1568/getInfo.php?workbook=20_13.xlsx&amp;sheet=U0&amp;row=309&amp;col=6&amp;number=3.5&amp;sourceID=14","3.5")</f>
        <v>3.5</v>
      </c>
      <c r="G309" s="4" t="str">
        <f>HYPERLINK("http://141.218.60.56/~jnz1568/getInfo.php?workbook=20_13.xlsx&amp;sheet=U0&amp;row=309&amp;col=7&amp;number=0.0449&amp;sourceID=14","0.0449")</f>
        <v>0.0449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HYPERLINK("http://141.218.60.56/~jnz1568/getInfo.php?workbook=20_13.xlsx&amp;sheet=U0&amp;row=310&amp;col=6&amp;number=3.6&amp;sourceID=14","3.6")</f>
        <v>3.6</v>
      </c>
      <c r="G310" s="4" t="str">
        <f>HYPERLINK("http://141.218.60.56/~jnz1568/getInfo.php?workbook=20_13.xlsx&amp;sheet=U0&amp;row=310&amp;col=7&amp;number=0.0448&amp;sourceID=14","0.0448")</f>
        <v>0.0448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HYPERLINK("http://141.218.60.56/~jnz1568/getInfo.php?workbook=20_13.xlsx&amp;sheet=U0&amp;row=311&amp;col=6&amp;number=3.7&amp;sourceID=14","3.7")</f>
        <v>3.7</v>
      </c>
      <c r="G311" s="4" t="str">
        <f>HYPERLINK("http://141.218.60.56/~jnz1568/getInfo.php?workbook=20_13.xlsx&amp;sheet=U0&amp;row=311&amp;col=7&amp;number=0.0447&amp;sourceID=14","0.0447")</f>
        <v>0.0447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HYPERLINK("http://141.218.60.56/~jnz1568/getInfo.php?workbook=20_13.xlsx&amp;sheet=U0&amp;row=312&amp;col=6&amp;number=3.8&amp;sourceID=14","3.8")</f>
        <v>3.8</v>
      </c>
      <c r="G312" s="4" t="str">
        <f>HYPERLINK("http://141.218.60.56/~jnz1568/getInfo.php?workbook=20_13.xlsx&amp;sheet=U0&amp;row=312&amp;col=7&amp;number=0.0447&amp;sourceID=14","0.0447")</f>
        <v>0.0447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HYPERLINK("http://141.218.60.56/~jnz1568/getInfo.php?workbook=20_13.xlsx&amp;sheet=U0&amp;row=313&amp;col=6&amp;number=3.9&amp;sourceID=14","3.9")</f>
        <v>3.9</v>
      </c>
      <c r="G313" s="4" t="str">
        <f>HYPERLINK("http://141.218.60.56/~jnz1568/getInfo.php?workbook=20_13.xlsx&amp;sheet=U0&amp;row=313&amp;col=7&amp;number=0.0446&amp;sourceID=14","0.0446")</f>
        <v>0.0446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HYPERLINK("http://141.218.60.56/~jnz1568/getInfo.php?workbook=20_13.xlsx&amp;sheet=U0&amp;row=314&amp;col=6&amp;number=4&amp;sourceID=14","4")</f>
        <v>4</v>
      </c>
      <c r="G314" s="4" t="str">
        <f>HYPERLINK("http://141.218.60.56/~jnz1568/getInfo.php?workbook=20_13.xlsx&amp;sheet=U0&amp;row=314&amp;col=7&amp;number=0.0445&amp;sourceID=14","0.0445")</f>
        <v>0.0445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HYPERLINK("http://141.218.60.56/~jnz1568/getInfo.php?workbook=20_13.xlsx&amp;sheet=U0&amp;row=315&amp;col=6&amp;number=4.1&amp;sourceID=14","4.1")</f>
        <v>4.1</v>
      </c>
      <c r="G315" s="4" t="str">
        <f>HYPERLINK("http://141.218.60.56/~jnz1568/getInfo.php?workbook=20_13.xlsx&amp;sheet=U0&amp;row=315&amp;col=7&amp;number=0.0443&amp;sourceID=14","0.0443")</f>
        <v>0.0443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HYPERLINK("http://141.218.60.56/~jnz1568/getInfo.php?workbook=20_13.xlsx&amp;sheet=U0&amp;row=316&amp;col=6&amp;number=4.2&amp;sourceID=14","4.2")</f>
        <v>4.2</v>
      </c>
      <c r="G316" s="4" t="str">
        <f>HYPERLINK("http://141.218.60.56/~jnz1568/getInfo.php?workbook=20_13.xlsx&amp;sheet=U0&amp;row=316&amp;col=7&amp;number=0.0442&amp;sourceID=14","0.0442")</f>
        <v>0.0442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HYPERLINK("http://141.218.60.56/~jnz1568/getInfo.php?workbook=20_13.xlsx&amp;sheet=U0&amp;row=317&amp;col=6&amp;number=4.3&amp;sourceID=14","4.3")</f>
        <v>4.3</v>
      </c>
      <c r="G317" s="4" t="str">
        <f>HYPERLINK("http://141.218.60.56/~jnz1568/getInfo.php?workbook=20_13.xlsx&amp;sheet=U0&amp;row=317&amp;col=7&amp;number=0.0439&amp;sourceID=14","0.0439")</f>
        <v>0.0439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HYPERLINK("http://141.218.60.56/~jnz1568/getInfo.php?workbook=20_13.xlsx&amp;sheet=U0&amp;row=318&amp;col=6&amp;number=4.4&amp;sourceID=14","4.4")</f>
        <v>4.4</v>
      </c>
      <c r="G318" s="4" t="str">
        <f>HYPERLINK("http://141.218.60.56/~jnz1568/getInfo.php?workbook=20_13.xlsx&amp;sheet=U0&amp;row=318&amp;col=7&amp;number=0.0436&amp;sourceID=14","0.0436")</f>
        <v>0.0436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HYPERLINK("http://141.218.60.56/~jnz1568/getInfo.php?workbook=20_13.xlsx&amp;sheet=U0&amp;row=319&amp;col=6&amp;number=4.5&amp;sourceID=14","4.5")</f>
        <v>4.5</v>
      </c>
      <c r="G319" s="4" t="str">
        <f>HYPERLINK("http://141.218.60.56/~jnz1568/getInfo.php?workbook=20_13.xlsx&amp;sheet=U0&amp;row=319&amp;col=7&amp;number=0.0433&amp;sourceID=14","0.0433")</f>
        <v>0.0433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HYPERLINK("http://141.218.60.56/~jnz1568/getInfo.php?workbook=20_13.xlsx&amp;sheet=U0&amp;row=320&amp;col=6&amp;number=4.6&amp;sourceID=14","4.6")</f>
        <v>4.6</v>
      </c>
      <c r="G320" s="4" t="str">
        <f>HYPERLINK("http://141.218.60.56/~jnz1568/getInfo.php?workbook=20_13.xlsx&amp;sheet=U0&amp;row=320&amp;col=7&amp;number=0.0429&amp;sourceID=14","0.0429")</f>
        <v>0.0429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HYPERLINK("http://141.218.60.56/~jnz1568/getInfo.php?workbook=20_13.xlsx&amp;sheet=U0&amp;row=321&amp;col=6&amp;number=4.7&amp;sourceID=14","4.7")</f>
        <v>4.7</v>
      </c>
      <c r="G321" s="4" t="str">
        <f>HYPERLINK("http://141.218.60.56/~jnz1568/getInfo.php?workbook=20_13.xlsx&amp;sheet=U0&amp;row=321&amp;col=7&amp;number=0.0423&amp;sourceID=14","0.0423")</f>
        <v>0.0423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HYPERLINK("http://141.218.60.56/~jnz1568/getInfo.php?workbook=20_13.xlsx&amp;sheet=U0&amp;row=322&amp;col=6&amp;number=4.8&amp;sourceID=14","4.8")</f>
        <v>4.8</v>
      </c>
      <c r="G322" s="4" t="str">
        <f>HYPERLINK("http://141.218.60.56/~jnz1568/getInfo.php?workbook=20_13.xlsx&amp;sheet=U0&amp;row=322&amp;col=7&amp;number=0.0417&amp;sourceID=14","0.0417")</f>
        <v>0.0417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HYPERLINK("http://141.218.60.56/~jnz1568/getInfo.php?workbook=20_13.xlsx&amp;sheet=U0&amp;row=323&amp;col=6&amp;number=4.9&amp;sourceID=14","4.9")</f>
        <v>4.9</v>
      </c>
      <c r="G323" s="4" t="str">
        <f>HYPERLINK("http://141.218.60.56/~jnz1568/getInfo.php?workbook=20_13.xlsx&amp;sheet=U0&amp;row=323&amp;col=7&amp;number=0.0409&amp;sourceID=14","0.0409")</f>
        <v>0.0409</v>
      </c>
    </row>
    <row r="324" spans="1:7">
      <c r="A324" s="3">
        <v>20</v>
      </c>
      <c r="B324" s="3">
        <v>13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HYPERLINK("http://141.218.60.56/~jnz1568/getInfo.php?workbook=20_13.xlsx&amp;sheet=U0&amp;row=324&amp;col=6&amp;number=3&amp;sourceID=14","3")</f>
        <v>3</v>
      </c>
      <c r="G324" s="4" t="str">
        <f>HYPERLINK("http://141.218.60.56/~jnz1568/getInfo.php?workbook=20_13.xlsx&amp;sheet=U0&amp;row=324&amp;col=7&amp;number=0.0812&amp;sourceID=14","0.0812")</f>
        <v>0.0812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HYPERLINK("http://141.218.60.56/~jnz1568/getInfo.php?workbook=20_13.xlsx&amp;sheet=U0&amp;row=325&amp;col=6&amp;number=3.1&amp;sourceID=14","3.1")</f>
        <v>3.1</v>
      </c>
      <c r="G325" s="4" t="str">
        <f>HYPERLINK("http://141.218.60.56/~jnz1568/getInfo.php?workbook=20_13.xlsx&amp;sheet=U0&amp;row=325&amp;col=7&amp;number=0.0811&amp;sourceID=14","0.0811")</f>
        <v>0.0811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HYPERLINK("http://141.218.60.56/~jnz1568/getInfo.php?workbook=20_13.xlsx&amp;sheet=U0&amp;row=326&amp;col=6&amp;number=3.2&amp;sourceID=14","3.2")</f>
        <v>3.2</v>
      </c>
      <c r="G326" s="4" t="str">
        <f>HYPERLINK("http://141.218.60.56/~jnz1568/getInfo.php?workbook=20_13.xlsx&amp;sheet=U0&amp;row=326&amp;col=7&amp;number=0.0811&amp;sourceID=14","0.0811")</f>
        <v>0.0811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HYPERLINK("http://141.218.60.56/~jnz1568/getInfo.php?workbook=20_13.xlsx&amp;sheet=U0&amp;row=327&amp;col=6&amp;number=3.3&amp;sourceID=14","3.3")</f>
        <v>3.3</v>
      </c>
      <c r="G327" s="4" t="str">
        <f>HYPERLINK("http://141.218.60.56/~jnz1568/getInfo.php?workbook=20_13.xlsx&amp;sheet=U0&amp;row=327&amp;col=7&amp;number=0.0811&amp;sourceID=14","0.0811")</f>
        <v>0.0811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HYPERLINK("http://141.218.60.56/~jnz1568/getInfo.php?workbook=20_13.xlsx&amp;sheet=U0&amp;row=328&amp;col=6&amp;number=3.4&amp;sourceID=14","3.4")</f>
        <v>3.4</v>
      </c>
      <c r="G328" s="4" t="str">
        <f>HYPERLINK("http://141.218.60.56/~jnz1568/getInfo.php?workbook=20_13.xlsx&amp;sheet=U0&amp;row=328&amp;col=7&amp;number=0.0811&amp;sourceID=14","0.0811")</f>
        <v>0.0811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HYPERLINK("http://141.218.60.56/~jnz1568/getInfo.php?workbook=20_13.xlsx&amp;sheet=U0&amp;row=329&amp;col=6&amp;number=3.5&amp;sourceID=14","3.5")</f>
        <v>3.5</v>
      </c>
      <c r="G329" s="4" t="str">
        <f>HYPERLINK("http://141.218.60.56/~jnz1568/getInfo.php?workbook=20_13.xlsx&amp;sheet=U0&amp;row=329&amp;col=7&amp;number=0.081&amp;sourceID=14","0.081")</f>
        <v>0.081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HYPERLINK("http://141.218.60.56/~jnz1568/getInfo.php?workbook=20_13.xlsx&amp;sheet=U0&amp;row=330&amp;col=6&amp;number=3.6&amp;sourceID=14","3.6")</f>
        <v>3.6</v>
      </c>
      <c r="G330" s="4" t="str">
        <f>HYPERLINK("http://141.218.60.56/~jnz1568/getInfo.php?workbook=20_13.xlsx&amp;sheet=U0&amp;row=330&amp;col=7&amp;number=0.081&amp;sourceID=14","0.081")</f>
        <v>0.081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HYPERLINK("http://141.218.60.56/~jnz1568/getInfo.php?workbook=20_13.xlsx&amp;sheet=U0&amp;row=331&amp;col=6&amp;number=3.7&amp;sourceID=14","3.7")</f>
        <v>3.7</v>
      </c>
      <c r="G331" s="4" t="str">
        <f>HYPERLINK("http://141.218.60.56/~jnz1568/getInfo.php?workbook=20_13.xlsx&amp;sheet=U0&amp;row=331&amp;col=7&amp;number=0.0809&amp;sourceID=14","0.0809")</f>
        <v>0.0809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HYPERLINK("http://141.218.60.56/~jnz1568/getInfo.php?workbook=20_13.xlsx&amp;sheet=U0&amp;row=332&amp;col=6&amp;number=3.8&amp;sourceID=14","3.8")</f>
        <v>3.8</v>
      </c>
      <c r="G332" s="4" t="str">
        <f>HYPERLINK("http://141.218.60.56/~jnz1568/getInfo.php?workbook=20_13.xlsx&amp;sheet=U0&amp;row=332&amp;col=7&amp;number=0.0808&amp;sourceID=14","0.0808")</f>
        <v>0.0808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HYPERLINK("http://141.218.60.56/~jnz1568/getInfo.php?workbook=20_13.xlsx&amp;sheet=U0&amp;row=333&amp;col=6&amp;number=3.9&amp;sourceID=14","3.9")</f>
        <v>3.9</v>
      </c>
      <c r="G333" s="4" t="str">
        <f>HYPERLINK("http://141.218.60.56/~jnz1568/getInfo.php?workbook=20_13.xlsx&amp;sheet=U0&amp;row=333&amp;col=7&amp;number=0.0807&amp;sourceID=14","0.0807")</f>
        <v>0.0807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HYPERLINK("http://141.218.60.56/~jnz1568/getInfo.php?workbook=20_13.xlsx&amp;sheet=U0&amp;row=334&amp;col=6&amp;number=4&amp;sourceID=14","4")</f>
        <v>4</v>
      </c>
      <c r="G334" s="4" t="str">
        <f>HYPERLINK("http://141.218.60.56/~jnz1568/getInfo.php?workbook=20_13.xlsx&amp;sheet=U0&amp;row=334&amp;col=7&amp;number=0.0806&amp;sourceID=14","0.0806")</f>
        <v>0.0806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HYPERLINK("http://141.218.60.56/~jnz1568/getInfo.php?workbook=20_13.xlsx&amp;sheet=U0&amp;row=335&amp;col=6&amp;number=4.1&amp;sourceID=14","4.1")</f>
        <v>4.1</v>
      </c>
      <c r="G335" s="4" t="str">
        <f>HYPERLINK("http://141.218.60.56/~jnz1568/getInfo.php?workbook=20_13.xlsx&amp;sheet=U0&amp;row=335&amp;col=7&amp;number=0.0805&amp;sourceID=14","0.0805")</f>
        <v>0.0805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HYPERLINK("http://141.218.60.56/~jnz1568/getInfo.php?workbook=20_13.xlsx&amp;sheet=U0&amp;row=336&amp;col=6&amp;number=4.2&amp;sourceID=14","4.2")</f>
        <v>4.2</v>
      </c>
      <c r="G336" s="4" t="str">
        <f>HYPERLINK("http://141.218.60.56/~jnz1568/getInfo.php?workbook=20_13.xlsx&amp;sheet=U0&amp;row=336&amp;col=7&amp;number=0.0803&amp;sourceID=14","0.0803")</f>
        <v>0.0803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HYPERLINK("http://141.218.60.56/~jnz1568/getInfo.php?workbook=20_13.xlsx&amp;sheet=U0&amp;row=337&amp;col=6&amp;number=4.3&amp;sourceID=14","4.3")</f>
        <v>4.3</v>
      </c>
      <c r="G337" s="4" t="str">
        <f>HYPERLINK("http://141.218.60.56/~jnz1568/getInfo.php?workbook=20_13.xlsx&amp;sheet=U0&amp;row=337&amp;col=7&amp;number=0.08&amp;sourceID=14","0.08")</f>
        <v>0.08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HYPERLINK("http://141.218.60.56/~jnz1568/getInfo.php?workbook=20_13.xlsx&amp;sheet=U0&amp;row=338&amp;col=6&amp;number=4.4&amp;sourceID=14","4.4")</f>
        <v>4.4</v>
      </c>
      <c r="G338" s="4" t="str">
        <f>HYPERLINK("http://141.218.60.56/~jnz1568/getInfo.php?workbook=20_13.xlsx&amp;sheet=U0&amp;row=338&amp;col=7&amp;number=0.0797&amp;sourceID=14","0.0797")</f>
        <v>0.0797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HYPERLINK("http://141.218.60.56/~jnz1568/getInfo.php?workbook=20_13.xlsx&amp;sheet=U0&amp;row=339&amp;col=6&amp;number=4.5&amp;sourceID=14","4.5")</f>
        <v>4.5</v>
      </c>
      <c r="G339" s="4" t="str">
        <f>HYPERLINK("http://141.218.60.56/~jnz1568/getInfo.php?workbook=20_13.xlsx&amp;sheet=U0&amp;row=339&amp;col=7&amp;number=0.0794&amp;sourceID=14","0.0794")</f>
        <v>0.0794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HYPERLINK("http://141.218.60.56/~jnz1568/getInfo.php?workbook=20_13.xlsx&amp;sheet=U0&amp;row=340&amp;col=6&amp;number=4.6&amp;sourceID=14","4.6")</f>
        <v>4.6</v>
      </c>
      <c r="G340" s="4" t="str">
        <f>HYPERLINK("http://141.218.60.56/~jnz1568/getInfo.php?workbook=20_13.xlsx&amp;sheet=U0&amp;row=340&amp;col=7&amp;number=0.0789&amp;sourceID=14","0.0789")</f>
        <v>0.0789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HYPERLINK("http://141.218.60.56/~jnz1568/getInfo.php?workbook=20_13.xlsx&amp;sheet=U0&amp;row=341&amp;col=6&amp;number=4.7&amp;sourceID=14","4.7")</f>
        <v>4.7</v>
      </c>
      <c r="G341" s="4" t="str">
        <f>HYPERLINK("http://141.218.60.56/~jnz1568/getInfo.php?workbook=20_13.xlsx&amp;sheet=U0&amp;row=341&amp;col=7&amp;number=0.0784&amp;sourceID=14","0.0784")</f>
        <v>0.0784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HYPERLINK("http://141.218.60.56/~jnz1568/getInfo.php?workbook=20_13.xlsx&amp;sheet=U0&amp;row=342&amp;col=6&amp;number=4.8&amp;sourceID=14","4.8")</f>
        <v>4.8</v>
      </c>
      <c r="G342" s="4" t="str">
        <f>HYPERLINK("http://141.218.60.56/~jnz1568/getInfo.php?workbook=20_13.xlsx&amp;sheet=U0&amp;row=342&amp;col=7&amp;number=0.0778&amp;sourceID=14","0.0778")</f>
        <v>0.0778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HYPERLINK("http://141.218.60.56/~jnz1568/getInfo.php?workbook=20_13.xlsx&amp;sheet=U0&amp;row=343&amp;col=6&amp;number=4.9&amp;sourceID=14","4.9")</f>
        <v>4.9</v>
      </c>
      <c r="G343" s="4" t="str">
        <f>HYPERLINK("http://141.218.60.56/~jnz1568/getInfo.php?workbook=20_13.xlsx&amp;sheet=U0&amp;row=343&amp;col=7&amp;number=0.0771&amp;sourceID=14","0.0771")</f>
        <v>0.0771</v>
      </c>
    </row>
    <row r="344" spans="1:7">
      <c r="A344" s="3">
        <v>20</v>
      </c>
      <c r="B344" s="3">
        <v>13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HYPERLINK("http://141.218.60.56/~jnz1568/getInfo.php?workbook=20_13.xlsx&amp;sheet=U0&amp;row=344&amp;col=6&amp;number=3&amp;sourceID=14","3")</f>
        <v>3</v>
      </c>
      <c r="G344" s="4" t="str">
        <f>HYPERLINK("http://141.218.60.56/~jnz1568/getInfo.php?workbook=20_13.xlsx&amp;sheet=U0&amp;row=344&amp;col=7&amp;number=0.0584&amp;sourceID=14","0.0584")</f>
        <v>0.0584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HYPERLINK("http://141.218.60.56/~jnz1568/getInfo.php?workbook=20_13.xlsx&amp;sheet=U0&amp;row=345&amp;col=6&amp;number=3.1&amp;sourceID=14","3.1")</f>
        <v>3.1</v>
      </c>
      <c r="G345" s="4" t="str">
        <f>HYPERLINK("http://141.218.60.56/~jnz1568/getInfo.php?workbook=20_13.xlsx&amp;sheet=U0&amp;row=345&amp;col=7&amp;number=0.0583&amp;sourceID=14","0.0583")</f>
        <v>0.0583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HYPERLINK("http://141.218.60.56/~jnz1568/getInfo.php?workbook=20_13.xlsx&amp;sheet=U0&amp;row=346&amp;col=6&amp;number=3.2&amp;sourceID=14","3.2")</f>
        <v>3.2</v>
      </c>
      <c r="G346" s="4" t="str">
        <f>HYPERLINK("http://141.218.60.56/~jnz1568/getInfo.php?workbook=20_13.xlsx&amp;sheet=U0&amp;row=346&amp;col=7&amp;number=0.0583&amp;sourceID=14","0.0583")</f>
        <v>0.0583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HYPERLINK("http://141.218.60.56/~jnz1568/getInfo.php?workbook=20_13.xlsx&amp;sheet=U0&amp;row=347&amp;col=6&amp;number=3.3&amp;sourceID=14","3.3")</f>
        <v>3.3</v>
      </c>
      <c r="G347" s="4" t="str">
        <f>HYPERLINK("http://141.218.60.56/~jnz1568/getInfo.php?workbook=20_13.xlsx&amp;sheet=U0&amp;row=347&amp;col=7&amp;number=0.0583&amp;sourceID=14","0.0583")</f>
        <v>0.0583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HYPERLINK("http://141.218.60.56/~jnz1568/getInfo.php?workbook=20_13.xlsx&amp;sheet=U0&amp;row=348&amp;col=6&amp;number=3.4&amp;sourceID=14","3.4")</f>
        <v>3.4</v>
      </c>
      <c r="G348" s="4" t="str">
        <f>HYPERLINK("http://141.218.60.56/~jnz1568/getInfo.php?workbook=20_13.xlsx&amp;sheet=U0&amp;row=348&amp;col=7&amp;number=0.0582&amp;sourceID=14","0.0582")</f>
        <v>0.0582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HYPERLINK("http://141.218.60.56/~jnz1568/getInfo.php?workbook=20_13.xlsx&amp;sheet=U0&amp;row=349&amp;col=6&amp;number=3.5&amp;sourceID=14","3.5")</f>
        <v>3.5</v>
      </c>
      <c r="G349" s="4" t="str">
        <f>HYPERLINK("http://141.218.60.56/~jnz1568/getInfo.php?workbook=20_13.xlsx&amp;sheet=U0&amp;row=349&amp;col=7&amp;number=0.0581&amp;sourceID=14","0.0581")</f>
        <v>0.0581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HYPERLINK("http://141.218.60.56/~jnz1568/getInfo.php?workbook=20_13.xlsx&amp;sheet=U0&amp;row=350&amp;col=6&amp;number=3.6&amp;sourceID=14","3.6")</f>
        <v>3.6</v>
      </c>
      <c r="G350" s="4" t="str">
        <f>HYPERLINK("http://141.218.60.56/~jnz1568/getInfo.php?workbook=20_13.xlsx&amp;sheet=U0&amp;row=350&amp;col=7&amp;number=0.058&amp;sourceID=14","0.058")</f>
        <v>0.058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HYPERLINK("http://141.218.60.56/~jnz1568/getInfo.php?workbook=20_13.xlsx&amp;sheet=U0&amp;row=351&amp;col=6&amp;number=3.7&amp;sourceID=14","3.7")</f>
        <v>3.7</v>
      </c>
      <c r="G351" s="4" t="str">
        <f>HYPERLINK("http://141.218.60.56/~jnz1568/getInfo.php?workbook=20_13.xlsx&amp;sheet=U0&amp;row=351&amp;col=7&amp;number=0.0579&amp;sourceID=14","0.0579")</f>
        <v>0.0579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HYPERLINK("http://141.218.60.56/~jnz1568/getInfo.php?workbook=20_13.xlsx&amp;sheet=U0&amp;row=352&amp;col=6&amp;number=3.8&amp;sourceID=14","3.8")</f>
        <v>3.8</v>
      </c>
      <c r="G352" s="4" t="str">
        <f>HYPERLINK("http://141.218.60.56/~jnz1568/getInfo.php?workbook=20_13.xlsx&amp;sheet=U0&amp;row=352&amp;col=7&amp;number=0.0577&amp;sourceID=14","0.0577")</f>
        <v>0.0577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HYPERLINK("http://141.218.60.56/~jnz1568/getInfo.php?workbook=20_13.xlsx&amp;sheet=U0&amp;row=353&amp;col=6&amp;number=3.9&amp;sourceID=14","3.9")</f>
        <v>3.9</v>
      </c>
      <c r="G353" s="4" t="str">
        <f>HYPERLINK("http://141.218.60.56/~jnz1568/getInfo.php?workbook=20_13.xlsx&amp;sheet=U0&amp;row=353&amp;col=7&amp;number=0.0575&amp;sourceID=14","0.0575")</f>
        <v>0.0575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HYPERLINK("http://141.218.60.56/~jnz1568/getInfo.php?workbook=20_13.xlsx&amp;sheet=U0&amp;row=354&amp;col=6&amp;number=4&amp;sourceID=14","4")</f>
        <v>4</v>
      </c>
      <c r="G354" s="4" t="str">
        <f>HYPERLINK("http://141.218.60.56/~jnz1568/getInfo.php?workbook=20_13.xlsx&amp;sheet=U0&amp;row=354&amp;col=7&amp;number=0.0573&amp;sourceID=14","0.0573")</f>
        <v>0.0573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HYPERLINK("http://141.218.60.56/~jnz1568/getInfo.php?workbook=20_13.xlsx&amp;sheet=U0&amp;row=355&amp;col=6&amp;number=4.1&amp;sourceID=14","4.1")</f>
        <v>4.1</v>
      </c>
      <c r="G355" s="4" t="str">
        <f>HYPERLINK("http://141.218.60.56/~jnz1568/getInfo.php?workbook=20_13.xlsx&amp;sheet=U0&amp;row=355&amp;col=7&amp;number=0.057&amp;sourceID=14","0.057")</f>
        <v>0.057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HYPERLINK("http://141.218.60.56/~jnz1568/getInfo.php?workbook=20_13.xlsx&amp;sheet=U0&amp;row=356&amp;col=6&amp;number=4.2&amp;sourceID=14","4.2")</f>
        <v>4.2</v>
      </c>
      <c r="G356" s="4" t="str">
        <f>HYPERLINK("http://141.218.60.56/~jnz1568/getInfo.php?workbook=20_13.xlsx&amp;sheet=U0&amp;row=356&amp;col=7&amp;number=0.0566&amp;sourceID=14","0.0566")</f>
        <v>0.0566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HYPERLINK("http://141.218.60.56/~jnz1568/getInfo.php?workbook=20_13.xlsx&amp;sheet=U0&amp;row=357&amp;col=6&amp;number=4.3&amp;sourceID=14","4.3")</f>
        <v>4.3</v>
      </c>
      <c r="G357" s="4" t="str">
        <f>HYPERLINK("http://141.218.60.56/~jnz1568/getInfo.php?workbook=20_13.xlsx&amp;sheet=U0&amp;row=357&amp;col=7&amp;number=0.0562&amp;sourceID=14","0.0562")</f>
        <v>0.0562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HYPERLINK("http://141.218.60.56/~jnz1568/getInfo.php?workbook=20_13.xlsx&amp;sheet=U0&amp;row=358&amp;col=6&amp;number=4.4&amp;sourceID=14","4.4")</f>
        <v>4.4</v>
      </c>
      <c r="G358" s="4" t="str">
        <f>HYPERLINK("http://141.218.60.56/~jnz1568/getInfo.php?workbook=20_13.xlsx&amp;sheet=U0&amp;row=358&amp;col=7&amp;number=0.0556&amp;sourceID=14","0.0556")</f>
        <v>0.0556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HYPERLINK("http://141.218.60.56/~jnz1568/getInfo.php?workbook=20_13.xlsx&amp;sheet=U0&amp;row=359&amp;col=6&amp;number=4.5&amp;sourceID=14","4.5")</f>
        <v>4.5</v>
      </c>
      <c r="G359" s="4" t="str">
        <f>HYPERLINK("http://141.218.60.56/~jnz1568/getInfo.php?workbook=20_13.xlsx&amp;sheet=U0&amp;row=359&amp;col=7&amp;number=0.0548&amp;sourceID=14","0.0548")</f>
        <v>0.0548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HYPERLINK("http://141.218.60.56/~jnz1568/getInfo.php?workbook=20_13.xlsx&amp;sheet=U0&amp;row=360&amp;col=6&amp;number=4.6&amp;sourceID=14","4.6")</f>
        <v>4.6</v>
      </c>
      <c r="G360" s="4" t="str">
        <f>HYPERLINK("http://141.218.60.56/~jnz1568/getInfo.php?workbook=20_13.xlsx&amp;sheet=U0&amp;row=360&amp;col=7&amp;number=0.054&amp;sourceID=14","0.054")</f>
        <v>0.054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HYPERLINK("http://141.218.60.56/~jnz1568/getInfo.php?workbook=20_13.xlsx&amp;sheet=U0&amp;row=361&amp;col=6&amp;number=4.7&amp;sourceID=14","4.7")</f>
        <v>4.7</v>
      </c>
      <c r="G361" s="4" t="str">
        <f>HYPERLINK("http://141.218.60.56/~jnz1568/getInfo.php?workbook=20_13.xlsx&amp;sheet=U0&amp;row=361&amp;col=7&amp;number=0.0529&amp;sourceID=14","0.0529")</f>
        <v>0.0529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HYPERLINK("http://141.218.60.56/~jnz1568/getInfo.php?workbook=20_13.xlsx&amp;sheet=U0&amp;row=362&amp;col=6&amp;number=4.8&amp;sourceID=14","4.8")</f>
        <v>4.8</v>
      </c>
      <c r="G362" s="4" t="str">
        <f>HYPERLINK("http://141.218.60.56/~jnz1568/getInfo.php?workbook=20_13.xlsx&amp;sheet=U0&amp;row=362&amp;col=7&amp;number=0.0516&amp;sourceID=14","0.0516")</f>
        <v>0.0516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HYPERLINK("http://141.218.60.56/~jnz1568/getInfo.php?workbook=20_13.xlsx&amp;sheet=U0&amp;row=363&amp;col=6&amp;number=4.9&amp;sourceID=14","4.9")</f>
        <v>4.9</v>
      </c>
      <c r="G363" s="4" t="str">
        <f>HYPERLINK("http://141.218.60.56/~jnz1568/getInfo.php?workbook=20_13.xlsx&amp;sheet=U0&amp;row=363&amp;col=7&amp;number=0.05&amp;sourceID=14","0.05")</f>
        <v>0.05</v>
      </c>
    </row>
    <row r="364" spans="1:7">
      <c r="A364" s="3">
        <v>20</v>
      </c>
      <c r="B364" s="3">
        <v>13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HYPERLINK("http://141.218.60.56/~jnz1568/getInfo.php?workbook=20_13.xlsx&amp;sheet=U0&amp;row=364&amp;col=6&amp;number=3&amp;sourceID=14","3")</f>
        <v>3</v>
      </c>
      <c r="G364" s="4" t="str">
        <f>HYPERLINK("http://141.218.60.56/~jnz1568/getInfo.php?workbook=20_13.xlsx&amp;sheet=U0&amp;row=364&amp;col=7&amp;number=0.0501&amp;sourceID=14","0.0501")</f>
        <v>0.0501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HYPERLINK("http://141.218.60.56/~jnz1568/getInfo.php?workbook=20_13.xlsx&amp;sheet=U0&amp;row=365&amp;col=6&amp;number=3.1&amp;sourceID=14","3.1")</f>
        <v>3.1</v>
      </c>
      <c r="G365" s="4" t="str">
        <f>HYPERLINK("http://141.218.60.56/~jnz1568/getInfo.php?workbook=20_13.xlsx&amp;sheet=U0&amp;row=365&amp;col=7&amp;number=0.05&amp;sourceID=14","0.05")</f>
        <v>0.05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HYPERLINK("http://141.218.60.56/~jnz1568/getInfo.php?workbook=20_13.xlsx&amp;sheet=U0&amp;row=366&amp;col=6&amp;number=3.2&amp;sourceID=14","3.2")</f>
        <v>3.2</v>
      </c>
      <c r="G366" s="4" t="str">
        <f>HYPERLINK("http://141.218.60.56/~jnz1568/getInfo.php?workbook=20_13.xlsx&amp;sheet=U0&amp;row=366&amp;col=7&amp;number=0.05&amp;sourceID=14","0.05")</f>
        <v>0.05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HYPERLINK("http://141.218.60.56/~jnz1568/getInfo.php?workbook=20_13.xlsx&amp;sheet=U0&amp;row=367&amp;col=6&amp;number=3.3&amp;sourceID=14","3.3")</f>
        <v>3.3</v>
      </c>
      <c r="G367" s="4" t="str">
        <f>HYPERLINK("http://141.218.60.56/~jnz1568/getInfo.php?workbook=20_13.xlsx&amp;sheet=U0&amp;row=367&amp;col=7&amp;number=0.0499&amp;sourceID=14","0.0499")</f>
        <v>0.0499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HYPERLINK("http://141.218.60.56/~jnz1568/getInfo.php?workbook=20_13.xlsx&amp;sheet=U0&amp;row=368&amp;col=6&amp;number=3.4&amp;sourceID=14","3.4")</f>
        <v>3.4</v>
      </c>
      <c r="G368" s="4" t="str">
        <f>HYPERLINK("http://141.218.60.56/~jnz1568/getInfo.php?workbook=20_13.xlsx&amp;sheet=U0&amp;row=368&amp;col=7&amp;number=0.0499&amp;sourceID=14","0.0499")</f>
        <v>0.0499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HYPERLINK("http://141.218.60.56/~jnz1568/getInfo.php?workbook=20_13.xlsx&amp;sheet=U0&amp;row=369&amp;col=6&amp;number=3.5&amp;sourceID=14","3.5")</f>
        <v>3.5</v>
      </c>
      <c r="G369" s="4" t="str">
        <f>HYPERLINK("http://141.218.60.56/~jnz1568/getInfo.php?workbook=20_13.xlsx&amp;sheet=U0&amp;row=369&amp;col=7&amp;number=0.0498&amp;sourceID=14","0.0498")</f>
        <v>0.0498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HYPERLINK("http://141.218.60.56/~jnz1568/getInfo.php?workbook=20_13.xlsx&amp;sheet=U0&amp;row=370&amp;col=6&amp;number=3.6&amp;sourceID=14","3.6")</f>
        <v>3.6</v>
      </c>
      <c r="G370" s="4" t="str">
        <f>HYPERLINK("http://141.218.60.56/~jnz1568/getInfo.php?workbook=20_13.xlsx&amp;sheet=U0&amp;row=370&amp;col=7&amp;number=0.0497&amp;sourceID=14","0.0497")</f>
        <v>0.0497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HYPERLINK("http://141.218.60.56/~jnz1568/getInfo.php?workbook=20_13.xlsx&amp;sheet=U0&amp;row=371&amp;col=6&amp;number=3.7&amp;sourceID=14","3.7")</f>
        <v>3.7</v>
      </c>
      <c r="G371" s="4" t="str">
        <f>HYPERLINK("http://141.218.60.56/~jnz1568/getInfo.php?workbook=20_13.xlsx&amp;sheet=U0&amp;row=371&amp;col=7&amp;number=0.0496&amp;sourceID=14","0.0496")</f>
        <v>0.0496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HYPERLINK("http://141.218.60.56/~jnz1568/getInfo.php?workbook=20_13.xlsx&amp;sheet=U0&amp;row=372&amp;col=6&amp;number=3.8&amp;sourceID=14","3.8")</f>
        <v>3.8</v>
      </c>
      <c r="G372" s="4" t="str">
        <f>HYPERLINK("http://141.218.60.56/~jnz1568/getInfo.php?workbook=20_13.xlsx&amp;sheet=U0&amp;row=372&amp;col=7&amp;number=0.0494&amp;sourceID=14","0.0494")</f>
        <v>0.0494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HYPERLINK("http://141.218.60.56/~jnz1568/getInfo.php?workbook=20_13.xlsx&amp;sheet=U0&amp;row=373&amp;col=6&amp;number=3.9&amp;sourceID=14","3.9")</f>
        <v>3.9</v>
      </c>
      <c r="G373" s="4" t="str">
        <f>HYPERLINK("http://141.218.60.56/~jnz1568/getInfo.php?workbook=20_13.xlsx&amp;sheet=U0&amp;row=373&amp;col=7&amp;number=0.0492&amp;sourceID=14","0.0492")</f>
        <v>0.0492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HYPERLINK("http://141.218.60.56/~jnz1568/getInfo.php?workbook=20_13.xlsx&amp;sheet=U0&amp;row=374&amp;col=6&amp;number=4&amp;sourceID=14","4")</f>
        <v>4</v>
      </c>
      <c r="G374" s="4" t="str">
        <f>HYPERLINK("http://141.218.60.56/~jnz1568/getInfo.php?workbook=20_13.xlsx&amp;sheet=U0&amp;row=374&amp;col=7&amp;number=0.0489&amp;sourceID=14","0.0489")</f>
        <v>0.0489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HYPERLINK("http://141.218.60.56/~jnz1568/getInfo.php?workbook=20_13.xlsx&amp;sheet=U0&amp;row=375&amp;col=6&amp;number=4.1&amp;sourceID=14","4.1")</f>
        <v>4.1</v>
      </c>
      <c r="G375" s="4" t="str">
        <f>HYPERLINK("http://141.218.60.56/~jnz1568/getInfo.php?workbook=20_13.xlsx&amp;sheet=U0&amp;row=375&amp;col=7&amp;number=0.0486&amp;sourceID=14","0.0486")</f>
        <v>0.0486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HYPERLINK("http://141.218.60.56/~jnz1568/getInfo.php?workbook=20_13.xlsx&amp;sheet=U0&amp;row=376&amp;col=6&amp;number=4.2&amp;sourceID=14","4.2")</f>
        <v>4.2</v>
      </c>
      <c r="G376" s="4" t="str">
        <f>HYPERLINK("http://141.218.60.56/~jnz1568/getInfo.php?workbook=20_13.xlsx&amp;sheet=U0&amp;row=376&amp;col=7&amp;number=0.0482&amp;sourceID=14","0.0482")</f>
        <v>0.0482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HYPERLINK("http://141.218.60.56/~jnz1568/getInfo.php?workbook=20_13.xlsx&amp;sheet=U0&amp;row=377&amp;col=6&amp;number=4.3&amp;sourceID=14","4.3")</f>
        <v>4.3</v>
      </c>
      <c r="G377" s="4" t="str">
        <f>HYPERLINK("http://141.218.60.56/~jnz1568/getInfo.php?workbook=20_13.xlsx&amp;sheet=U0&amp;row=377&amp;col=7&amp;number=0.0477&amp;sourceID=14","0.0477")</f>
        <v>0.0477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HYPERLINK("http://141.218.60.56/~jnz1568/getInfo.php?workbook=20_13.xlsx&amp;sheet=U0&amp;row=378&amp;col=6&amp;number=4.4&amp;sourceID=14","4.4")</f>
        <v>4.4</v>
      </c>
      <c r="G378" s="4" t="str">
        <f>HYPERLINK("http://141.218.60.56/~jnz1568/getInfo.php?workbook=20_13.xlsx&amp;sheet=U0&amp;row=378&amp;col=7&amp;number=0.0471&amp;sourceID=14","0.0471")</f>
        <v>0.0471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HYPERLINK("http://141.218.60.56/~jnz1568/getInfo.php?workbook=20_13.xlsx&amp;sheet=U0&amp;row=379&amp;col=6&amp;number=4.5&amp;sourceID=14","4.5")</f>
        <v>4.5</v>
      </c>
      <c r="G379" s="4" t="str">
        <f>HYPERLINK("http://141.218.60.56/~jnz1568/getInfo.php?workbook=20_13.xlsx&amp;sheet=U0&amp;row=379&amp;col=7&amp;number=0.0463&amp;sourceID=14","0.0463")</f>
        <v>0.0463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HYPERLINK("http://141.218.60.56/~jnz1568/getInfo.php?workbook=20_13.xlsx&amp;sheet=U0&amp;row=380&amp;col=6&amp;number=4.6&amp;sourceID=14","4.6")</f>
        <v>4.6</v>
      </c>
      <c r="G380" s="4" t="str">
        <f>HYPERLINK("http://141.218.60.56/~jnz1568/getInfo.php?workbook=20_13.xlsx&amp;sheet=U0&amp;row=380&amp;col=7&amp;number=0.0454&amp;sourceID=14","0.0454")</f>
        <v>0.0454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HYPERLINK("http://141.218.60.56/~jnz1568/getInfo.php?workbook=20_13.xlsx&amp;sheet=U0&amp;row=381&amp;col=6&amp;number=4.7&amp;sourceID=14","4.7")</f>
        <v>4.7</v>
      </c>
      <c r="G381" s="4" t="str">
        <f>HYPERLINK("http://141.218.60.56/~jnz1568/getInfo.php?workbook=20_13.xlsx&amp;sheet=U0&amp;row=381&amp;col=7&amp;number=0.0442&amp;sourceID=14","0.0442")</f>
        <v>0.0442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HYPERLINK("http://141.218.60.56/~jnz1568/getInfo.php?workbook=20_13.xlsx&amp;sheet=U0&amp;row=382&amp;col=6&amp;number=4.8&amp;sourceID=14","4.8")</f>
        <v>4.8</v>
      </c>
      <c r="G382" s="4" t="str">
        <f>HYPERLINK("http://141.218.60.56/~jnz1568/getInfo.php?workbook=20_13.xlsx&amp;sheet=U0&amp;row=382&amp;col=7&amp;number=0.0429&amp;sourceID=14","0.0429")</f>
        <v>0.0429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HYPERLINK("http://141.218.60.56/~jnz1568/getInfo.php?workbook=20_13.xlsx&amp;sheet=U0&amp;row=383&amp;col=6&amp;number=4.9&amp;sourceID=14","4.9")</f>
        <v>4.9</v>
      </c>
      <c r="G383" s="4" t="str">
        <f>HYPERLINK("http://141.218.60.56/~jnz1568/getInfo.php?workbook=20_13.xlsx&amp;sheet=U0&amp;row=383&amp;col=7&amp;number=0.0413&amp;sourceID=14","0.0413")</f>
        <v>0.0413</v>
      </c>
    </row>
    <row r="384" spans="1:7">
      <c r="A384" s="3">
        <v>20</v>
      </c>
      <c r="B384" s="3">
        <v>13</v>
      </c>
      <c r="C384" s="3">
        <v>1</v>
      </c>
      <c r="D384" s="3">
        <v>21</v>
      </c>
      <c r="E384" s="3">
        <v>1</v>
      </c>
      <c r="F384" s="4" t="str">
        <f>HYPERLINK("http://141.218.60.56/~jnz1568/getInfo.php?workbook=20_13.xlsx&amp;sheet=U0&amp;row=384&amp;col=6&amp;number=3&amp;sourceID=14","3")</f>
        <v>3</v>
      </c>
      <c r="G384" s="4" t="str">
        <f>HYPERLINK("http://141.218.60.56/~jnz1568/getInfo.php?workbook=20_13.xlsx&amp;sheet=U0&amp;row=384&amp;col=7&amp;number=0.02&amp;sourceID=14","0.02")</f>
        <v>0.02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HYPERLINK("http://141.218.60.56/~jnz1568/getInfo.php?workbook=20_13.xlsx&amp;sheet=U0&amp;row=385&amp;col=6&amp;number=3.1&amp;sourceID=14","3.1")</f>
        <v>3.1</v>
      </c>
      <c r="G385" s="4" t="str">
        <f>HYPERLINK("http://141.218.60.56/~jnz1568/getInfo.php?workbook=20_13.xlsx&amp;sheet=U0&amp;row=385&amp;col=7&amp;number=0.02&amp;sourceID=14","0.02")</f>
        <v>0.02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HYPERLINK("http://141.218.60.56/~jnz1568/getInfo.php?workbook=20_13.xlsx&amp;sheet=U0&amp;row=386&amp;col=6&amp;number=3.2&amp;sourceID=14","3.2")</f>
        <v>3.2</v>
      </c>
      <c r="G386" s="4" t="str">
        <f>HYPERLINK("http://141.218.60.56/~jnz1568/getInfo.php?workbook=20_13.xlsx&amp;sheet=U0&amp;row=386&amp;col=7&amp;number=0.0199&amp;sourceID=14","0.0199")</f>
        <v>0.0199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HYPERLINK("http://141.218.60.56/~jnz1568/getInfo.php?workbook=20_13.xlsx&amp;sheet=U0&amp;row=387&amp;col=6&amp;number=3.3&amp;sourceID=14","3.3")</f>
        <v>3.3</v>
      </c>
      <c r="G387" s="4" t="str">
        <f>HYPERLINK("http://141.218.60.56/~jnz1568/getInfo.php?workbook=20_13.xlsx&amp;sheet=U0&amp;row=387&amp;col=7&amp;number=0.0199&amp;sourceID=14","0.0199")</f>
        <v>0.0199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HYPERLINK("http://141.218.60.56/~jnz1568/getInfo.php?workbook=20_13.xlsx&amp;sheet=U0&amp;row=388&amp;col=6&amp;number=3.4&amp;sourceID=14","3.4")</f>
        <v>3.4</v>
      </c>
      <c r="G388" s="4" t="str">
        <f>HYPERLINK("http://141.218.60.56/~jnz1568/getInfo.php?workbook=20_13.xlsx&amp;sheet=U0&amp;row=388&amp;col=7&amp;number=0.0198&amp;sourceID=14","0.0198")</f>
        <v>0.0198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HYPERLINK("http://141.218.60.56/~jnz1568/getInfo.php?workbook=20_13.xlsx&amp;sheet=U0&amp;row=389&amp;col=6&amp;number=3.5&amp;sourceID=14","3.5")</f>
        <v>3.5</v>
      </c>
      <c r="G389" s="4" t="str">
        <f>HYPERLINK("http://141.218.60.56/~jnz1568/getInfo.php?workbook=20_13.xlsx&amp;sheet=U0&amp;row=389&amp;col=7&amp;number=0.0196&amp;sourceID=14","0.0196")</f>
        <v>0.0196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HYPERLINK("http://141.218.60.56/~jnz1568/getInfo.php?workbook=20_13.xlsx&amp;sheet=U0&amp;row=390&amp;col=6&amp;number=3.6&amp;sourceID=14","3.6")</f>
        <v>3.6</v>
      </c>
      <c r="G390" s="4" t="str">
        <f>HYPERLINK("http://141.218.60.56/~jnz1568/getInfo.php?workbook=20_13.xlsx&amp;sheet=U0&amp;row=390&amp;col=7&amp;number=0.0195&amp;sourceID=14","0.0195")</f>
        <v>0.0195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HYPERLINK("http://141.218.60.56/~jnz1568/getInfo.php?workbook=20_13.xlsx&amp;sheet=U0&amp;row=391&amp;col=6&amp;number=3.7&amp;sourceID=14","3.7")</f>
        <v>3.7</v>
      </c>
      <c r="G391" s="4" t="str">
        <f>HYPERLINK("http://141.218.60.56/~jnz1568/getInfo.php?workbook=20_13.xlsx&amp;sheet=U0&amp;row=391&amp;col=7&amp;number=0.0193&amp;sourceID=14","0.0193")</f>
        <v>0.0193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HYPERLINK("http://141.218.60.56/~jnz1568/getInfo.php?workbook=20_13.xlsx&amp;sheet=U0&amp;row=392&amp;col=6&amp;number=3.8&amp;sourceID=14","3.8")</f>
        <v>3.8</v>
      </c>
      <c r="G392" s="4" t="str">
        <f>HYPERLINK("http://141.218.60.56/~jnz1568/getInfo.php?workbook=20_13.xlsx&amp;sheet=U0&amp;row=392&amp;col=7&amp;number=0.019&amp;sourceID=14","0.019")</f>
        <v>0.019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HYPERLINK("http://141.218.60.56/~jnz1568/getInfo.php?workbook=20_13.xlsx&amp;sheet=U0&amp;row=393&amp;col=6&amp;number=3.9&amp;sourceID=14","3.9")</f>
        <v>3.9</v>
      </c>
      <c r="G393" s="4" t="str">
        <f>HYPERLINK("http://141.218.60.56/~jnz1568/getInfo.php?workbook=20_13.xlsx&amp;sheet=U0&amp;row=393&amp;col=7&amp;number=0.0187&amp;sourceID=14","0.0187")</f>
        <v>0.0187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HYPERLINK("http://141.218.60.56/~jnz1568/getInfo.php?workbook=20_13.xlsx&amp;sheet=U0&amp;row=394&amp;col=6&amp;number=4&amp;sourceID=14","4")</f>
        <v>4</v>
      </c>
      <c r="G394" s="4" t="str">
        <f>HYPERLINK("http://141.218.60.56/~jnz1568/getInfo.php?workbook=20_13.xlsx&amp;sheet=U0&amp;row=394&amp;col=7&amp;number=0.0184&amp;sourceID=14","0.0184")</f>
        <v>0.0184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HYPERLINK("http://141.218.60.56/~jnz1568/getInfo.php?workbook=20_13.xlsx&amp;sheet=U0&amp;row=395&amp;col=6&amp;number=4.1&amp;sourceID=14","4.1")</f>
        <v>4.1</v>
      </c>
      <c r="G395" s="4" t="str">
        <f>HYPERLINK("http://141.218.60.56/~jnz1568/getInfo.php?workbook=20_13.xlsx&amp;sheet=U0&amp;row=395&amp;col=7&amp;number=0.0179&amp;sourceID=14","0.0179")</f>
        <v>0.0179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HYPERLINK("http://141.218.60.56/~jnz1568/getInfo.php?workbook=20_13.xlsx&amp;sheet=U0&amp;row=396&amp;col=6&amp;number=4.2&amp;sourceID=14","4.2")</f>
        <v>4.2</v>
      </c>
      <c r="G396" s="4" t="str">
        <f>HYPERLINK("http://141.218.60.56/~jnz1568/getInfo.php?workbook=20_13.xlsx&amp;sheet=U0&amp;row=396&amp;col=7&amp;number=0.0173&amp;sourceID=14","0.0173")</f>
        <v>0.0173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HYPERLINK("http://141.218.60.56/~jnz1568/getInfo.php?workbook=20_13.xlsx&amp;sheet=U0&amp;row=397&amp;col=6&amp;number=4.3&amp;sourceID=14","4.3")</f>
        <v>4.3</v>
      </c>
      <c r="G397" s="4" t="str">
        <f>HYPERLINK("http://141.218.60.56/~jnz1568/getInfo.php?workbook=20_13.xlsx&amp;sheet=U0&amp;row=397&amp;col=7&amp;number=0.0166&amp;sourceID=14","0.0166")</f>
        <v>0.0166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HYPERLINK("http://141.218.60.56/~jnz1568/getInfo.php?workbook=20_13.xlsx&amp;sheet=U0&amp;row=398&amp;col=6&amp;number=4.4&amp;sourceID=14","4.4")</f>
        <v>4.4</v>
      </c>
      <c r="G398" s="4" t="str">
        <f>HYPERLINK("http://141.218.60.56/~jnz1568/getInfo.php?workbook=20_13.xlsx&amp;sheet=U0&amp;row=398&amp;col=7&amp;number=0.0158&amp;sourceID=14","0.0158")</f>
        <v>0.0158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HYPERLINK("http://141.218.60.56/~jnz1568/getInfo.php?workbook=20_13.xlsx&amp;sheet=U0&amp;row=399&amp;col=6&amp;number=4.5&amp;sourceID=14","4.5")</f>
        <v>4.5</v>
      </c>
      <c r="G399" s="4" t="str">
        <f>HYPERLINK("http://141.218.60.56/~jnz1568/getInfo.php?workbook=20_13.xlsx&amp;sheet=U0&amp;row=399&amp;col=7&amp;number=0.0148&amp;sourceID=14","0.0148")</f>
        <v>0.0148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HYPERLINK("http://141.218.60.56/~jnz1568/getInfo.php?workbook=20_13.xlsx&amp;sheet=U0&amp;row=400&amp;col=6&amp;number=4.6&amp;sourceID=14","4.6")</f>
        <v>4.6</v>
      </c>
      <c r="G400" s="4" t="str">
        <f>HYPERLINK("http://141.218.60.56/~jnz1568/getInfo.php?workbook=20_13.xlsx&amp;sheet=U0&amp;row=400&amp;col=7&amp;number=0.0137&amp;sourceID=14","0.0137")</f>
        <v>0.0137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HYPERLINK("http://141.218.60.56/~jnz1568/getInfo.php?workbook=20_13.xlsx&amp;sheet=U0&amp;row=401&amp;col=6&amp;number=4.7&amp;sourceID=14","4.7")</f>
        <v>4.7</v>
      </c>
      <c r="G401" s="4" t="str">
        <f>HYPERLINK("http://141.218.60.56/~jnz1568/getInfo.php?workbook=20_13.xlsx&amp;sheet=U0&amp;row=401&amp;col=7&amp;number=0.0124&amp;sourceID=14","0.0124")</f>
        <v>0.0124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HYPERLINK("http://141.218.60.56/~jnz1568/getInfo.php?workbook=20_13.xlsx&amp;sheet=U0&amp;row=402&amp;col=6&amp;number=4.8&amp;sourceID=14","4.8")</f>
        <v>4.8</v>
      </c>
      <c r="G402" s="4" t="str">
        <f>HYPERLINK("http://141.218.60.56/~jnz1568/getInfo.php?workbook=20_13.xlsx&amp;sheet=U0&amp;row=402&amp;col=7&amp;number=0.011&amp;sourceID=14","0.011")</f>
        <v>0.011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HYPERLINK("http://141.218.60.56/~jnz1568/getInfo.php?workbook=20_13.xlsx&amp;sheet=U0&amp;row=403&amp;col=6&amp;number=4.9&amp;sourceID=14","4.9")</f>
        <v>4.9</v>
      </c>
      <c r="G403" s="4" t="str">
        <f>HYPERLINK("http://141.218.60.56/~jnz1568/getInfo.php?workbook=20_13.xlsx&amp;sheet=U0&amp;row=403&amp;col=7&amp;number=0.00968&amp;sourceID=14","0.00968")</f>
        <v>0.00968</v>
      </c>
    </row>
    <row r="404" spans="1:7">
      <c r="A404" s="3">
        <v>20</v>
      </c>
      <c r="B404" s="3">
        <v>13</v>
      </c>
      <c r="C404" s="3">
        <v>1</v>
      </c>
      <c r="D404" s="3">
        <v>22</v>
      </c>
      <c r="E404" s="3">
        <v>1</v>
      </c>
      <c r="F404" s="4" t="str">
        <f>HYPERLINK("http://141.218.60.56/~jnz1568/getInfo.php?workbook=20_13.xlsx&amp;sheet=U0&amp;row=404&amp;col=6&amp;number=3&amp;sourceID=14","3")</f>
        <v>3</v>
      </c>
      <c r="G404" s="4" t="str">
        <f>HYPERLINK("http://141.218.60.56/~jnz1568/getInfo.php?workbook=20_13.xlsx&amp;sheet=U0&amp;row=404&amp;col=7&amp;number=0.051&amp;sourceID=14","0.051")</f>
        <v>0.051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HYPERLINK("http://141.218.60.56/~jnz1568/getInfo.php?workbook=20_13.xlsx&amp;sheet=U0&amp;row=405&amp;col=6&amp;number=3.1&amp;sourceID=14","3.1")</f>
        <v>3.1</v>
      </c>
      <c r="G405" s="4" t="str">
        <f>HYPERLINK("http://141.218.60.56/~jnz1568/getInfo.php?workbook=20_13.xlsx&amp;sheet=U0&amp;row=405&amp;col=7&amp;number=0.051&amp;sourceID=14","0.051")</f>
        <v>0.051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HYPERLINK("http://141.218.60.56/~jnz1568/getInfo.php?workbook=20_13.xlsx&amp;sheet=U0&amp;row=406&amp;col=6&amp;number=3.2&amp;sourceID=14","3.2")</f>
        <v>3.2</v>
      </c>
      <c r="G406" s="4" t="str">
        <f>HYPERLINK("http://141.218.60.56/~jnz1568/getInfo.php?workbook=20_13.xlsx&amp;sheet=U0&amp;row=406&amp;col=7&amp;number=0.051&amp;sourceID=14","0.051")</f>
        <v>0.051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HYPERLINK("http://141.218.60.56/~jnz1568/getInfo.php?workbook=20_13.xlsx&amp;sheet=U0&amp;row=407&amp;col=6&amp;number=3.3&amp;sourceID=14","3.3")</f>
        <v>3.3</v>
      </c>
      <c r="G407" s="4" t="str">
        <f>HYPERLINK("http://141.218.60.56/~jnz1568/getInfo.php?workbook=20_13.xlsx&amp;sheet=U0&amp;row=407&amp;col=7&amp;number=0.0509&amp;sourceID=14","0.0509")</f>
        <v>0.0509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HYPERLINK("http://141.218.60.56/~jnz1568/getInfo.php?workbook=20_13.xlsx&amp;sheet=U0&amp;row=408&amp;col=6&amp;number=3.4&amp;sourceID=14","3.4")</f>
        <v>3.4</v>
      </c>
      <c r="G408" s="4" t="str">
        <f>HYPERLINK("http://141.218.60.56/~jnz1568/getInfo.php?workbook=20_13.xlsx&amp;sheet=U0&amp;row=408&amp;col=7&amp;number=0.0509&amp;sourceID=14","0.0509")</f>
        <v>0.0509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HYPERLINK("http://141.218.60.56/~jnz1568/getInfo.php?workbook=20_13.xlsx&amp;sheet=U0&amp;row=409&amp;col=6&amp;number=3.5&amp;sourceID=14","3.5")</f>
        <v>3.5</v>
      </c>
      <c r="G409" s="4" t="str">
        <f>HYPERLINK("http://141.218.60.56/~jnz1568/getInfo.php?workbook=20_13.xlsx&amp;sheet=U0&amp;row=409&amp;col=7&amp;number=0.0509&amp;sourceID=14","0.0509")</f>
        <v>0.0509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HYPERLINK("http://141.218.60.56/~jnz1568/getInfo.php?workbook=20_13.xlsx&amp;sheet=U0&amp;row=410&amp;col=6&amp;number=3.6&amp;sourceID=14","3.6")</f>
        <v>3.6</v>
      </c>
      <c r="G410" s="4" t="str">
        <f>HYPERLINK("http://141.218.60.56/~jnz1568/getInfo.php?workbook=20_13.xlsx&amp;sheet=U0&amp;row=410&amp;col=7&amp;number=0.0508&amp;sourceID=14","0.0508")</f>
        <v>0.0508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HYPERLINK("http://141.218.60.56/~jnz1568/getInfo.php?workbook=20_13.xlsx&amp;sheet=U0&amp;row=411&amp;col=6&amp;number=3.7&amp;sourceID=14","3.7")</f>
        <v>3.7</v>
      </c>
      <c r="G411" s="4" t="str">
        <f>HYPERLINK("http://141.218.60.56/~jnz1568/getInfo.php?workbook=20_13.xlsx&amp;sheet=U0&amp;row=411&amp;col=7&amp;number=0.0508&amp;sourceID=14","0.0508")</f>
        <v>0.0508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HYPERLINK("http://141.218.60.56/~jnz1568/getInfo.php?workbook=20_13.xlsx&amp;sheet=U0&amp;row=412&amp;col=6&amp;number=3.8&amp;sourceID=14","3.8")</f>
        <v>3.8</v>
      </c>
      <c r="G412" s="4" t="str">
        <f>HYPERLINK("http://141.218.60.56/~jnz1568/getInfo.php?workbook=20_13.xlsx&amp;sheet=U0&amp;row=412&amp;col=7&amp;number=0.0507&amp;sourceID=14","0.0507")</f>
        <v>0.0507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HYPERLINK("http://141.218.60.56/~jnz1568/getInfo.php?workbook=20_13.xlsx&amp;sheet=U0&amp;row=413&amp;col=6&amp;number=3.9&amp;sourceID=14","3.9")</f>
        <v>3.9</v>
      </c>
      <c r="G413" s="4" t="str">
        <f>HYPERLINK("http://141.218.60.56/~jnz1568/getInfo.php?workbook=20_13.xlsx&amp;sheet=U0&amp;row=413&amp;col=7&amp;number=0.0506&amp;sourceID=14","0.0506")</f>
        <v>0.0506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HYPERLINK("http://141.218.60.56/~jnz1568/getInfo.php?workbook=20_13.xlsx&amp;sheet=U0&amp;row=414&amp;col=6&amp;number=4&amp;sourceID=14","4")</f>
        <v>4</v>
      </c>
      <c r="G414" s="4" t="str">
        <f>HYPERLINK("http://141.218.60.56/~jnz1568/getInfo.php?workbook=20_13.xlsx&amp;sheet=U0&amp;row=414&amp;col=7&amp;number=0.0505&amp;sourceID=14","0.0505")</f>
        <v>0.0505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HYPERLINK("http://141.218.60.56/~jnz1568/getInfo.php?workbook=20_13.xlsx&amp;sheet=U0&amp;row=415&amp;col=6&amp;number=4.1&amp;sourceID=14","4.1")</f>
        <v>4.1</v>
      </c>
      <c r="G415" s="4" t="str">
        <f>HYPERLINK("http://141.218.60.56/~jnz1568/getInfo.php?workbook=20_13.xlsx&amp;sheet=U0&amp;row=415&amp;col=7&amp;number=0.0503&amp;sourceID=14","0.0503")</f>
        <v>0.0503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HYPERLINK("http://141.218.60.56/~jnz1568/getInfo.php?workbook=20_13.xlsx&amp;sheet=U0&amp;row=416&amp;col=6&amp;number=4.2&amp;sourceID=14","4.2")</f>
        <v>4.2</v>
      </c>
      <c r="G416" s="4" t="str">
        <f>HYPERLINK("http://141.218.60.56/~jnz1568/getInfo.php?workbook=20_13.xlsx&amp;sheet=U0&amp;row=416&amp;col=7&amp;number=0.0501&amp;sourceID=14","0.0501")</f>
        <v>0.0501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HYPERLINK("http://141.218.60.56/~jnz1568/getInfo.php?workbook=20_13.xlsx&amp;sheet=U0&amp;row=417&amp;col=6&amp;number=4.3&amp;sourceID=14","4.3")</f>
        <v>4.3</v>
      </c>
      <c r="G417" s="4" t="str">
        <f>HYPERLINK("http://141.218.60.56/~jnz1568/getInfo.php?workbook=20_13.xlsx&amp;sheet=U0&amp;row=417&amp;col=7&amp;number=0.0498&amp;sourceID=14","0.0498")</f>
        <v>0.0498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HYPERLINK("http://141.218.60.56/~jnz1568/getInfo.php?workbook=20_13.xlsx&amp;sheet=U0&amp;row=418&amp;col=6&amp;number=4.4&amp;sourceID=14","4.4")</f>
        <v>4.4</v>
      </c>
      <c r="G418" s="4" t="str">
        <f>HYPERLINK("http://141.218.60.56/~jnz1568/getInfo.php?workbook=20_13.xlsx&amp;sheet=U0&amp;row=418&amp;col=7&amp;number=0.0495&amp;sourceID=14","0.0495")</f>
        <v>0.0495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HYPERLINK("http://141.218.60.56/~jnz1568/getInfo.php?workbook=20_13.xlsx&amp;sheet=U0&amp;row=419&amp;col=6&amp;number=4.5&amp;sourceID=14","4.5")</f>
        <v>4.5</v>
      </c>
      <c r="G419" s="4" t="str">
        <f>HYPERLINK("http://141.218.60.56/~jnz1568/getInfo.php?workbook=20_13.xlsx&amp;sheet=U0&amp;row=419&amp;col=7&amp;number=0.0492&amp;sourceID=14","0.0492")</f>
        <v>0.0492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HYPERLINK("http://141.218.60.56/~jnz1568/getInfo.php?workbook=20_13.xlsx&amp;sheet=U0&amp;row=420&amp;col=6&amp;number=4.6&amp;sourceID=14","4.6")</f>
        <v>4.6</v>
      </c>
      <c r="G420" s="4" t="str">
        <f>HYPERLINK("http://141.218.60.56/~jnz1568/getInfo.php?workbook=20_13.xlsx&amp;sheet=U0&amp;row=420&amp;col=7&amp;number=0.0487&amp;sourceID=14","0.0487")</f>
        <v>0.0487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HYPERLINK("http://141.218.60.56/~jnz1568/getInfo.php?workbook=20_13.xlsx&amp;sheet=U0&amp;row=421&amp;col=6&amp;number=4.7&amp;sourceID=14","4.7")</f>
        <v>4.7</v>
      </c>
      <c r="G421" s="4" t="str">
        <f>HYPERLINK("http://141.218.60.56/~jnz1568/getInfo.php?workbook=20_13.xlsx&amp;sheet=U0&amp;row=421&amp;col=7&amp;number=0.0481&amp;sourceID=14","0.0481")</f>
        <v>0.0481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HYPERLINK("http://141.218.60.56/~jnz1568/getInfo.php?workbook=20_13.xlsx&amp;sheet=U0&amp;row=422&amp;col=6&amp;number=4.8&amp;sourceID=14","4.8")</f>
        <v>4.8</v>
      </c>
      <c r="G422" s="4" t="str">
        <f>HYPERLINK("http://141.218.60.56/~jnz1568/getInfo.php?workbook=20_13.xlsx&amp;sheet=U0&amp;row=422&amp;col=7&amp;number=0.0474&amp;sourceID=14","0.0474")</f>
        <v>0.0474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HYPERLINK("http://141.218.60.56/~jnz1568/getInfo.php?workbook=20_13.xlsx&amp;sheet=U0&amp;row=423&amp;col=6&amp;number=4.9&amp;sourceID=14","4.9")</f>
        <v>4.9</v>
      </c>
      <c r="G423" s="4" t="str">
        <f>HYPERLINK("http://141.218.60.56/~jnz1568/getInfo.php?workbook=20_13.xlsx&amp;sheet=U0&amp;row=423&amp;col=7&amp;number=0.0465&amp;sourceID=14","0.0465")</f>
        <v>0.0465</v>
      </c>
    </row>
    <row r="424" spans="1:7">
      <c r="A424" s="3">
        <v>20</v>
      </c>
      <c r="B424" s="3">
        <v>13</v>
      </c>
      <c r="C424" s="3">
        <v>1</v>
      </c>
      <c r="D424" s="3">
        <v>23</v>
      </c>
      <c r="E424" s="3">
        <v>1</v>
      </c>
      <c r="F424" s="4" t="str">
        <f>HYPERLINK("http://141.218.60.56/~jnz1568/getInfo.php?workbook=20_13.xlsx&amp;sheet=U0&amp;row=424&amp;col=6&amp;number=3&amp;sourceID=14","3")</f>
        <v>3</v>
      </c>
      <c r="G424" s="4" t="str">
        <f>HYPERLINK("http://141.218.60.56/~jnz1568/getInfo.php?workbook=20_13.xlsx&amp;sheet=U0&amp;row=424&amp;col=7&amp;number=0.0238&amp;sourceID=14","0.0238")</f>
        <v>0.0238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HYPERLINK("http://141.218.60.56/~jnz1568/getInfo.php?workbook=20_13.xlsx&amp;sheet=U0&amp;row=425&amp;col=6&amp;number=3.1&amp;sourceID=14","3.1")</f>
        <v>3.1</v>
      </c>
      <c r="G425" s="4" t="str">
        <f>HYPERLINK("http://141.218.60.56/~jnz1568/getInfo.php?workbook=20_13.xlsx&amp;sheet=U0&amp;row=425&amp;col=7&amp;number=0.0238&amp;sourceID=14","0.0238")</f>
        <v>0.0238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HYPERLINK("http://141.218.60.56/~jnz1568/getInfo.php?workbook=20_13.xlsx&amp;sheet=U0&amp;row=426&amp;col=6&amp;number=3.2&amp;sourceID=14","3.2")</f>
        <v>3.2</v>
      </c>
      <c r="G426" s="4" t="str">
        <f>HYPERLINK("http://141.218.60.56/~jnz1568/getInfo.php?workbook=20_13.xlsx&amp;sheet=U0&amp;row=426&amp;col=7&amp;number=0.0238&amp;sourceID=14","0.0238")</f>
        <v>0.0238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HYPERLINK("http://141.218.60.56/~jnz1568/getInfo.php?workbook=20_13.xlsx&amp;sheet=U0&amp;row=427&amp;col=6&amp;number=3.3&amp;sourceID=14","3.3")</f>
        <v>3.3</v>
      </c>
      <c r="G427" s="4" t="str">
        <f>HYPERLINK("http://141.218.60.56/~jnz1568/getInfo.php?workbook=20_13.xlsx&amp;sheet=U0&amp;row=427&amp;col=7&amp;number=0.0238&amp;sourceID=14","0.0238")</f>
        <v>0.0238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HYPERLINK("http://141.218.60.56/~jnz1568/getInfo.php?workbook=20_13.xlsx&amp;sheet=U0&amp;row=428&amp;col=6&amp;number=3.4&amp;sourceID=14","3.4")</f>
        <v>3.4</v>
      </c>
      <c r="G428" s="4" t="str">
        <f>HYPERLINK("http://141.218.60.56/~jnz1568/getInfo.php?workbook=20_13.xlsx&amp;sheet=U0&amp;row=428&amp;col=7&amp;number=0.0237&amp;sourceID=14","0.0237")</f>
        <v>0.0237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HYPERLINK("http://141.218.60.56/~jnz1568/getInfo.php?workbook=20_13.xlsx&amp;sheet=U0&amp;row=429&amp;col=6&amp;number=3.5&amp;sourceID=14","3.5")</f>
        <v>3.5</v>
      </c>
      <c r="G429" s="4" t="str">
        <f>HYPERLINK("http://141.218.60.56/~jnz1568/getInfo.php?workbook=20_13.xlsx&amp;sheet=U0&amp;row=429&amp;col=7&amp;number=0.0237&amp;sourceID=14","0.0237")</f>
        <v>0.0237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HYPERLINK("http://141.218.60.56/~jnz1568/getInfo.php?workbook=20_13.xlsx&amp;sheet=U0&amp;row=430&amp;col=6&amp;number=3.6&amp;sourceID=14","3.6")</f>
        <v>3.6</v>
      </c>
      <c r="G430" s="4" t="str">
        <f>HYPERLINK("http://141.218.60.56/~jnz1568/getInfo.php?workbook=20_13.xlsx&amp;sheet=U0&amp;row=430&amp;col=7&amp;number=0.0237&amp;sourceID=14","0.0237")</f>
        <v>0.0237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HYPERLINK("http://141.218.60.56/~jnz1568/getInfo.php?workbook=20_13.xlsx&amp;sheet=U0&amp;row=431&amp;col=6&amp;number=3.7&amp;sourceID=14","3.7")</f>
        <v>3.7</v>
      </c>
      <c r="G431" s="4" t="str">
        <f>HYPERLINK("http://141.218.60.56/~jnz1568/getInfo.php?workbook=20_13.xlsx&amp;sheet=U0&amp;row=431&amp;col=7&amp;number=0.0236&amp;sourceID=14","0.0236")</f>
        <v>0.0236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HYPERLINK("http://141.218.60.56/~jnz1568/getInfo.php?workbook=20_13.xlsx&amp;sheet=U0&amp;row=432&amp;col=6&amp;number=3.8&amp;sourceID=14","3.8")</f>
        <v>3.8</v>
      </c>
      <c r="G432" s="4" t="str">
        <f>HYPERLINK("http://141.218.60.56/~jnz1568/getInfo.php?workbook=20_13.xlsx&amp;sheet=U0&amp;row=432&amp;col=7&amp;number=0.0236&amp;sourceID=14","0.0236")</f>
        <v>0.0236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HYPERLINK("http://141.218.60.56/~jnz1568/getInfo.php?workbook=20_13.xlsx&amp;sheet=U0&amp;row=433&amp;col=6&amp;number=3.9&amp;sourceID=14","3.9")</f>
        <v>3.9</v>
      </c>
      <c r="G433" s="4" t="str">
        <f>HYPERLINK("http://141.218.60.56/~jnz1568/getInfo.php?workbook=20_13.xlsx&amp;sheet=U0&amp;row=433&amp;col=7&amp;number=0.0235&amp;sourceID=14","0.0235")</f>
        <v>0.0235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HYPERLINK("http://141.218.60.56/~jnz1568/getInfo.php?workbook=20_13.xlsx&amp;sheet=U0&amp;row=434&amp;col=6&amp;number=4&amp;sourceID=14","4")</f>
        <v>4</v>
      </c>
      <c r="G434" s="4" t="str">
        <f>HYPERLINK("http://141.218.60.56/~jnz1568/getInfo.php?workbook=20_13.xlsx&amp;sheet=U0&amp;row=434&amp;col=7&amp;number=0.0235&amp;sourceID=14","0.0235")</f>
        <v>0.0235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HYPERLINK("http://141.218.60.56/~jnz1568/getInfo.php?workbook=20_13.xlsx&amp;sheet=U0&amp;row=435&amp;col=6&amp;number=4.1&amp;sourceID=14","4.1")</f>
        <v>4.1</v>
      </c>
      <c r="G435" s="4" t="str">
        <f>HYPERLINK("http://141.218.60.56/~jnz1568/getInfo.php?workbook=20_13.xlsx&amp;sheet=U0&amp;row=435&amp;col=7&amp;number=0.0234&amp;sourceID=14","0.0234")</f>
        <v>0.0234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HYPERLINK("http://141.218.60.56/~jnz1568/getInfo.php?workbook=20_13.xlsx&amp;sheet=U0&amp;row=436&amp;col=6&amp;number=4.2&amp;sourceID=14","4.2")</f>
        <v>4.2</v>
      </c>
      <c r="G436" s="4" t="str">
        <f>HYPERLINK("http://141.218.60.56/~jnz1568/getInfo.php?workbook=20_13.xlsx&amp;sheet=U0&amp;row=436&amp;col=7&amp;number=0.0233&amp;sourceID=14","0.0233")</f>
        <v>0.0233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HYPERLINK("http://141.218.60.56/~jnz1568/getInfo.php?workbook=20_13.xlsx&amp;sheet=U0&amp;row=437&amp;col=6&amp;number=4.3&amp;sourceID=14","4.3")</f>
        <v>4.3</v>
      </c>
      <c r="G437" s="4" t="str">
        <f>HYPERLINK("http://141.218.60.56/~jnz1568/getInfo.php?workbook=20_13.xlsx&amp;sheet=U0&amp;row=437&amp;col=7&amp;number=0.0231&amp;sourceID=14","0.0231")</f>
        <v>0.0231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HYPERLINK("http://141.218.60.56/~jnz1568/getInfo.php?workbook=20_13.xlsx&amp;sheet=U0&amp;row=438&amp;col=6&amp;number=4.4&amp;sourceID=14","4.4")</f>
        <v>4.4</v>
      </c>
      <c r="G438" s="4" t="str">
        <f>HYPERLINK("http://141.218.60.56/~jnz1568/getInfo.php?workbook=20_13.xlsx&amp;sheet=U0&amp;row=438&amp;col=7&amp;number=0.0229&amp;sourceID=14","0.0229")</f>
        <v>0.0229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HYPERLINK("http://141.218.60.56/~jnz1568/getInfo.php?workbook=20_13.xlsx&amp;sheet=U0&amp;row=439&amp;col=6&amp;number=4.5&amp;sourceID=14","4.5")</f>
        <v>4.5</v>
      </c>
      <c r="G439" s="4" t="str">
        <f>HYPERLINK("http://141.218.60.56/~jnz1568/getInfo.php?workbook=20_13.xlsx&amp;sheet=U0&amp;row=439&amp;col=7&amp;number=0.0227&amp;sourceID=14","0.0227")</f>
        <v>0.0227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HYPERLINK("http://141.218.60.56/~jnz1568/getInfo.php?workbook=20_13.xlsx&amp;sheet=U0&amp;row=440&amp;col=6&amp;number=4.6&amp;sourceID=14","4.6")</f>
        <v>4.6</v>
      </c>
      <c r="G440" s="4" t="str">
        <f>HYPERLINK("http://141.218.60.56/~jnz1568/getInfo.php?workbook=20_13.xlsx&amp;sheet=U0&amp;row=440&amp;col=7&amp;number=0.0224&amp;sourceID=14","0.0224")</f>
        <v>0.0224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HYPERLINK("http://141.218.60.56/~jnz1568/getInfo.php?workbook=20_13.xlsx&amp;sheet=U0&amp;row=441&amp;col=6&amp;number=4.7&amp;sourceID=14","4.7")</f>
        <v>4.7</v>
      </c>
      <c r="G441" s="4" t="str">
        <f>HYPERLINK("http://141.218.60.56/~jnz1568/getInfo.php?workbook=20_13.xlsx&amp;sheet=U0&amp;row=441&amp;col=7&amp;number=0.0221&amp;sourceID=14","0.0221")</f>
        <v>0.0221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HYPERLINK("http://141.218.60.56/~jnz1568/getInfo.php?workbook=20_13.xlsx&amp;sheet=U0&amp;row=442&amp;col=6&amp;number=4.8&amp;sourceID=14","4.8")</f>
        <v>4.8</v>
      </c>
      <c r="G442" s="4" t="str">
        <f>HYPERLINK("http://141.218.60.56/~jnz1568/getInfo.php?workbook=20_13.xlsx&amp;sheet=U0&amp;row=442&amp;col=7&amp;number=0.0217&amp;sourceID=14","0.0217")</f>
        <v>0.0217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HYPERLINK("http://141.218.60.56/~jnz1568/getInfo.php?workbook=20_13.xlsx&amp;sheet=U0&amp;row=443&amp;col=6&amp;number=4.9&amp;sourceID=14","4.9")</f>
        <v>4.9</v>
      </c>
      <c r="G443" s="4" t="str">
        <f>HYPERLINK("http://141.218.60.56/~jnz1568/getInfo.php?workbook=20_13.xlsx&amp;sheet=U0&amp;row=443&amp;col=7&amp;number=0.0212&amp;sourceID=14","0.0212")</f>
        <v>0.0212</v>
      </c>
    </row>
    <row r="444" spans="1:7">
      <c r="A444" s="3">
        <v>20</v>
      </c>
      <c r="B444" s="3">
        <v>13</v>
      </c>
      <c r="C444" s="3">
        <v>1</v>
      </c>
      <c r="D444" s="3">
        <v>24</v>
      </c>
      <c r="E444" s="3">
        <v>1</v>
      </c>
      <c r="F444" s="4" t="str">
        <f>HYPERLINK("http://141.218.60.56/~jnz1568/getInfo.php?workbook=20_13.xlsx&amp;sheet=U0&amp;row=444&amp;col=6&amp;number=3&amp;sourceID=14","3")</f>
        <v>3</v>
      </c>
      <c r="G444" s="4" t="str">
        <f>HYPERLINK("http://141.218.60.56/~jnz1568/getInfo.php?workbook=20_13.xlsx&amp;sheet=U0&amp;row=444&amp;col=7&amp;number=0.00709&amp;sourceID=14","0.00709")</f>
        <v>0.00709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HYPERLINK("http://141.218.60.56/~jnz1568/getInfo.php?workbook=20_13.xlsx&amp;sheet=U0&amp;row=445&amp;col=6&amp;number=3.1&amp;sourceID=14","3.1")</f>
        <v>3.1</v>
      </c>
      <c r="G445" s="4" t="str">
        <f>HYPERLINK("http://141.218.60.56/~jnz1568/getInfo.php?workbook=20_13.xlsx&amp;sheet=U0&amp;row=445&amp;col=7&amp;number=0.00708&amp;sourceID=14","0.00708")</f>
        <v>0.00708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HYPERLINK("http://141.218.60.56/~jnz1568/getInfo.php?workbook=20_13.xlsx&amp;sheet=U0&amp;row=446&amp;col=6&amp;number=3.2&amp;sourceID=14","3.2")</f>
        <v>3.2</v>
      </c>
      <c r="G446" s="4" t="str">
        <f>HYPERLINK("http://141.218.60.56/~jnz1568/getInfo.php?workbook=20_13.xlsx&amp;sheet=U0&amp;row=446&amp;col=7&amp;number=0.00708&amp;sourceID=14","0.00708")</f>
        <v>0.00708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HYPERLINK("http://141.218.60.56/~jnz1568/getInfo.php?workbook=20_13.xlsx&amp;sheet=U0&amp;row=447&amp;col=6&amp;number=3.3&amp;sourceID=14","3.3")</f>
        <v>3.3</v>
      </c>
      <c r="G447" s="4" t="str">
        <f>HYPERLINK("http://141.218.60.56/~jnz1568/getInfo.php?workbook=20_13.xlsx&amp;sheet=U0&amp;row=447&amp;col=7&amp;number=0.00707&amp;sourceID=14","0.00707")</f>
        <v>0.00707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HYPERLINK("http://141.218.60.56/~jnz1568/getInfo.php?workbook=20_13.xlsx&amp;sheet=U0&amp;row=448&amp;col=6&amp;number=3.4&amp;sourceID=14","3.4")</f>
        <v>3.4</v>
      </c>
      <c r="G448" s="4" t="str">
        <f>HYPERLINK("http://141.218.60.56/~jnz1568/getInfo.php?workbook=20_13.xlsx&amp;sheet=U0&amp;row=448&amp;col=7&amp;number=0.00706&amp;sourceID=14","0.00706")</f>
        <v>0.00706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HYPERLINK("http://141.218.60.56/~jnz1568/getInfo.php?workbook=20_13.xlsx&amp;sheet=U0&amp;row=449&amp;col=6&amp;number=3.5&amp;sourceID=14","3.5")</f>
        <v>3.5</v>
      </c>
      <c r="G449" s="4" t="str">
        <f>HYPERLINK("http://141.218.60.56/~jnz1568/getInfo.php?workbook=20_13.xlsx&amp;sheet=U0&amp;row=449&amp;col=7&amp;number=0.00704&amp;sourceID=14","0.00704")</f>
        <v>0.00704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HYPERLINK("http://141.218.60.56/~jnz1568/getInfo.php?workbook=20_13.xlsx&amp;sheet=U0&amp;row=450&amp;col=6&amp;number=3.6&amp;sourceID=14","3.6")</f>
        <v>3.6</v>
      </c>
      <c r="G450" s="4" t="str">
        <f>HYPERLINK("http://141.218.60.56/~jnz1568/getInfo.php?workbook=20_13.xlsx&amp;sheet=U0&amp;row=450&amp;col=7&amp;number=0.00703&amp;sourceID=14","0.00703")</f>
        <v>0.00703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HYPERLINK("http://141.218.60.56/~jnz1568/getInfo.php?workbook=20_13.xlsx&amp;sheet=U0&amp;row=451&amp;col=6&amp;number=3.7&amp;sourceID=14","3.7")</f>
        <v>3.7</v>
      </c>
      <c r="G451" s="4" t="str">
        <f>HYPERLINK("http://141.218.60.56/~jnz1568/getInfo.php?workbook=20_13.xlsx&amp;sheet=U0&amp;row=451&amp;col=7&amp;number=0.007&amp;sourceID=14","0.007")</f>
        <v>0.007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HYPERLINK("http://141.218.60.56/~jnz1568/getInfo.php?workbook=20_13.xlsx&amp;sheet=U0&amp;row=452&amp;col=6&amp;number=3.8&amp;sourceID=14","3.8")</f>
        <v>3.8</v>
      </c>
      <c r="G452" s="4" t="str">
        <f>HYPERLINK("http://141.218.60.56/~jnz1568/getInfo.php?workbook=20_13.xlsx&amp;sheet=U0&amp;row=452&amp;col=7&amp;number=0.00698&amp;sourceID=14","0.00698")</f>
        <v>0.00698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HYPERLINK("http://141.218.60.56/~jnz1568/getInfo.php?workbook=20_13.xlsx&amp;sheet=U0&amp;row=453&amp;col=6&amp;number=3.9&amp;sourceID=14","3.9")</f>
        <v>3.9</v>
      </c>
      <c r="G453" s="4" t="str">
        <f>HYPERLINK("http://141.218.60.56/~jnz1568/getInfo.php?workbook=20_13.xlsx&amp;sheet=U0&amp;row=453&amp;col=7&amp;number=0.00694&amp;sourceID=14","0.00694")</f>
        <v>0.00694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HYPERLINK("http://141.218.60.56/~jnz1568/getInfo.php?workbook=20_13.xlsx&amp;sheet=U0&amp;row=454&amp;col=6&amp;number=4&amp;sourceID=14","4")</f>
        <v>4</v>
      </c>
      <c r="G454" s="4" t="str">
        <f>HYPERLINK("http://141.218.60.56/~jnz1568/getInfo.php?workbook=20_13.xlsx&amp;sheet=U0&amp;row=454&amp;col=7&amp;number=0.0069&amp;sourceID=14","0.0069")</f>
        <v>0.0069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HYPERLINK("http://141.218.60.56/~jnz1568/getInfo.php?workbook=20_13.xlsx&amp;sheet=U0&amp;row=455&amp;col=6&amp;number=4.1&amp;sourceID=14","4.1")</f>
        <v>4.1</v>
      </c>
      <c r="G455" s="4" t="str">
        <f>HYPERLINK("http://141.218.60.56/~jnz1568/getInfo.php?workbook=20_13.xlsx&amp;sheet=U0&amp;row=455&amp;col=7&amp;number=0.00684&amp;sourceID=14","0.00684")</f>
        <v>0.00684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HYPERLINK("http://141.218.60.56/~jnz1568/getInfo.php?workbook=20_13.xlsx&amp;sheet=U0&amp;row=456&amp;col=6&amp;number=4.2&amp;sourceID=14","4.2")</f>
        <v>4.2</v>
      </c>
      <c r="G456" s="4" t="str">
        <f>HYPERLINK("http://141.218.60.56/~jnz1568/getInfo.php?workbook=20_13.xlsx&amp;sheet=U0&amp;row=456&amp;col=7&amp;number=0.00678&amp;sourceID=14","0.00678")</f>
        <v>0.00678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HYPERLINK("http://141.218.60.56/~jnz1568/getInfo.php?workbook=20_13.xlsx&amp;sheet=U0&amp;row=457&amp;col=6&amp;number=4.3&amp;sourceID=14","4.3")</f>
        <v>4.3</v>
      </c>
      <c r="G457" s="4" t="str">
        <f>HYPERLINK("http://141.218.60.56/~jnz1568/getInfo.php?workbook=20_13.xlsx&amp;sheet=U0&amp;row=457&amp;col=7&amp;number=0.00669&amp;sourceID=14","0.00669")</f>
        <v>0.00669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HYPERLINK("http://141.218.60.56/~jnz1568/getInfo.php?workbook=20_13.xlsx&amp;sheet=U0&amp;row=458&amp;col=6&amp;number=4.4&amp;sourceID=14","4.4")</f>
        <v>4.4</v>
      </c>
      <c r="G458" s="4" t="str">
        <f>HYPERLINK("http://141.218.60.56/~jnz1568/getInfo.php?workbook=20_13.xlsx&amp;sheet=U0&amp;row=458&amp;col=7&amp;number=0.00659&amp;sourceID=14","0.00659")</f>
        <v>0.00659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HYPERLINK("http://141.218.60.56/~jnz1568/getInfo.php?workbook=20_13.xlsx&amp;sheet=U0&amp;row=459&amp;col=6&amp;number=4.5&amp;sourceID=14","4.5")</f>
        <v>4.5</v>
      </c>
      <c r="G459" s="4" t="str">
        <f>HYPERLINK("http://141.218.60.56/~jnz1568/getInfo.php?workbook=20_13.xlsx&amp;sheet=U0&amp;row=459&amp;col=7&amp;number=0.00647&amp;sourceID=14","0.00647")</f>
        <v>0.00647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HYPERLINK("http://141.218.60.56/~jnz1568/getInfo.php?workbook=20_13.xlsx&amp;sheet=U0&amp;row=460&amp;col=6&amp;number=4.6&amp;sourceID=14","4.6")</f>
        <v>4.6</v>
      </c>
      <c r="G460" s="4" t="str">
        <f>HYPERLINK("http://141.218.60.56/~jnz1568/getInfo.php?workbook=20_13.xlsx&amp;sheet=U0&amp;row=460&amp;col=7&amp;number=0.00631&amp;sourceID=14","0.00631")</f>
        <v>0.00631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HYPERLINK("http://141.218.60.56/~jnz1568/getInfo.php?workbook=20_13.xlsx&amp;sheet=U0&amp;row=461&amp;col=6&amp;number=4.7&amp;sourceID=14","4.7")</f>
        <v>4.7</v>
      </c>
      <c r="G461" s="4" t="str">
        <f>HYPERLINK("http://141.218.60.56/~jnz1568/getInfo.php?workbook=20_13.xlsx&amp;sheet=U0&amp;row=461&amp;col=7&amp;number=0.00613&amp;sourceID=14","0.00613")</f>
        <v>0.00613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HYPERLINK("http://141.218.60.56/~jnz1568/getInfo.php?workbook=20_13.xlsx&amp;sheet=U0&amp;row=462&amp;col=6&amp;number=4.8&amp;sourceID=14","4.8")</f>
        <v>4.8</v>
      </c>
      <c r="G462" s="4" t="str">
        <f>HYPERLINK("http://141.218.60.56/~jnz1568/getInfo.php?workbook=20_13.xlsx&amp;sheet=U0&amp;row=462&amp;col=7&amp;number=0.00592&amp;sourceID=14","0.00592")</f>
        <v>0.00592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HYPERLINK("http://141.218.60.56/~jnz1568/getInfo.php?workbook=20_13.xlsx&amp;sheet=U0&amp;row=463&amp;col=6&amp;number=4.9&amp;sourceID=14","4.9")</f>
        <v>4.9</v>
      </c>
      <c r="G463" s="4" t="str">
        <f>HYPERLINK("http://141.218.60.56/~jnz1568/getInfo.php?workbook=20_13.xlsx&amp;sheet=U0&amp;row=463&amp;col=7&amp;number=0.00569&amp;sourceID=14","0.00569")</f>
        <v>0.00569</v>
      </c>
    </row>
    <row r="464" spans="1:7">
      <c r="A464" s="3">
        <v>20</v>
      </c>
      <c r="B464" s="3">
        <v>13</v>
      </c>
      <c r="C464" s="3">
        <v>1</v>
      </c>
      <c r="D464" s="3">
        <v>25</v>
      </c>
      <c r="E464" s="3">
        <v>1</v>
      </c>
      <c r="F464" s="4" t="str">
        <f>HYPERLINK("http://141.218.60.56/~jnz1568/getInfo.php?workbook=20_13.xlsx&amp;sheet=U0&amp;row=464&amp;col=6&amp;number=3&amp;sourceID=14","3")</f>
        <v>3</v>
      </c>
      <c r="G464" s="4" t="str">
        <f>HYPERLINK("http://141.218.60.56/~jnz1568/getInfo.php?workbook=20_13.xlsx&amp;sheet=U0&amp;row=464&amp;col=7&amp;number=0.0111&amp;sourceID=14","0.0111")</f>
        <v>0.0111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HYPERLINK("http://141.218.60.56/~jnz1568/getInfo.php?workbook=20_13.xlsx&amp;sheet=U0&amp;row=465&amp;col=6&amp;number=3.1&amp;sourceID=14","3.1")</f>
        <v>3.1</v>
      </c>
      <c r="G465" s="4" t="str">
        <f>HYPERLINK("http://141.218.60.56/~jnz1568/getInfo.php?workbook=20_13.xlsx&amp;sheet=U0&amp;row=465&amp;col=7&amp;number=0.011&amp;sourceID=14","0.011")</f>
        <v>0.011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HYPERLINK("http://141.218.60.56/~jnz1568/getInfo.php?workbook=20_13.xlsx&amp;sheet=U0&amp;row=466&amp;col=6&amp;number=3.2&amp;sourceID=14","3.2")</f>
        <v>3.2</v>
      </c>
      <c r="G466" s="4" t="str">
        <f>HYPERLINK("http://141.218.60.56/~jnz1568/getInfo.php?workbook=20_13.xlsx&amp;sheet=U0&amp;row=466&amp;col=7&amp;number=0.011&amp;sourceID=14","0.011")</f>
        <v>0.011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HYPERLINK("http://141.218.60.56/~jnz1568/getInfo.php?workbook=20_13.xlsx&amp;sheet=U0&amp;row=467&amp;col=6&amp;number=3.3&amp;sourceID=14","3.3")</f>
        <v>3.3</v>
      </c>
      <c r="G467" s="4" t="str">
        <f>HYPERLINK("http://141.218.60.56/~jnz1568/getInfo.php?workbook=20_13.xlsx&amp;sheet=U0&amp;row=467&amp;col=7&amp;number=0.011&amp;sourceID=14","0.011")</f>
        <v>0.011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HYPERLINK("http://141.218.60.56/~jnz1568/getInfo.php?workbook=20_13.xlsx&amp;sheet=U0&amp;row=468&amp;col=6&amp;number=3.4&amp;sourceID=14","3.4")</f>
        <v>3.4</v>
      </c>
      <c r="G468" s="4" t="str">
        <f>HYPERLINK("http://141.218.60.56/~jnz1568/getInfo.php?workbook=20_13.xlsx&amp;sheet=U0&amp;row=468&amp;col=7&amp;number=0.011&amp;sourceID=14","0.011")</f>
        <v>0.011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HYPERLINK("http://141.218.60.56/~jnz1568/getInfo.php?workbook=20_13.xlsx&amp;sheet=U0&amp;row=469&amp;col=6&amp;number=3.5&amp;sourceID=14","3.5")</f>
        <v>3.5</v>
      </c>
      <c r="G469" s="4" t="str">
        <f>HYPERLINK("http://141.218.60.56/~jnz1568/getInfo.php?workbook=20_13.xlsx&amp;sheet=U0&amp;row=469&amp;col=7&amp;number=0.011&amp;sourceID=14","0.011")</f>
        <v>0.011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HYPERLINK("http://141.218.60.56/~jnz1568/getInfo.php?workbook=20_13.xlsx&amp;sheet=U0&amp;row=470&amp;col=6&amp;number=3.6&amp;sourceID=14","3.6")</f>
        <v>3.6</v>
      </c>
      <c r="G470" s="4" t="str">
        <f>HYPERLINK("http://141.218.60.56/~jnz1568/getInfo.php?workbook=20_13.xlsx&amp;sheet=U0&amp;row=470&amp;col=7&amp;number=0.011&amp;sourceID=14","0.011")</f>
        <v>0.011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HYPERLINK("http://141.218.60.56/~jnz1568/getInfo.php?workbook=20_13.xlsx&amp;sheet=U0&amp;row=471&amp;col=6&amp;number=3.7&amp;sourceID=14","3.7")</f>
        <v>3.7</v>
      </c>
      <c r="G471" s="4" t="str">
        <f>HYPERLINK("http://141.218.60.56/~jnz1568/getInfo.php?workbook=20_13.xlsx&amp;sheet=U0&amp;row=471&amp;col=7&amp;number=0.0109&amp;sourceID=14","0.0109")</f>
        <v>0.0109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HYPERLINK("http://141.218.60.56/~jnz1568/getInfo.php?workbook=20_13.xlsx&amp;sheet=U0&amp;row=472&amp;col=6&amp;number=3.8&amp;sourceID=14","3.8")</f>
        <v>3.8</v>
      </c>
      <c r="G472" s="4" t="str">
        <f>HYPERLINK("http://141.218.60.56/~jnz1568/getInfo.php?workbook=20_13.xlsx&amp;sheet=U0&amp;row=472&amp;col=7&amp;number=0.0109&amp;sourceID=14","0.0109")</f>
        <v>0.0109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HYPERLINK("http://141.218.60.56/~jnz1568/getInfo.php?workbook=20_13.xlsx&amp;sheet=U0&amp;row=473&amp;col=6&amp;number=3.9&amp;sourceID=14","3.9")</f>
        <v>3.9</v>
      </c>
      <c r="G473" s="4" t="str">
        <f>HYPERLINK("http://141.218.60.56/~jnz1568/getInfo.php?workbook=20_13.xlsx&amp;sheet=U0&amp;row=473&amp;col=7&amp;number=0.0108&amp;sourceID=14","0.0108")</f>
        <v>0.0108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HYPERLINK("http://141.218.60.56/~jnz1568/getInfo.php?workbook=20_13.xlsx&amp;sheet=U0&amp;row=474&amp;col=6&amp;number=4&amp;sourceID=14","4")</f>
        <v>4</v>
      </c>
      <c r="G474" s="4" t="str">
        <f>HYPERLINK("http://141.218.60.56/~jnz1568/getInfo.php?workbook=20_13.xlsx&amp;sheet=U0&amp;row=474&amp;col=7&amp;number=0.0108&amp;sourceID=14","0.0108")</f>
        <v>0.0108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HYPERLINK("http://141.218.60.56/~jnz1568/getInfo.php?workbook=20_13.xlsx&amp;sheet=U0&amp;row=475&amp;col=6&amp;number=4.1&amp;sourceID=14","4.1")</f>
        <v>4.1</v>
      </c>
      <c r="G475" s="4" t="str">
        <f>HYPERLINK("http://141.218.60.56/~jnz1568/getInfo.php?workbook=20_13.xlsx&amp;sheet=U0&amp;row=475&amp;col=7&amp;number=0.0107&amp;sourceID=14","0.0107")</f>
        <v>0.0107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HYPERLINK("http://141.218.60.56/~jnz1568/getInfo.php?workbook=20_13.xlsx&amp;sheet=U0&amp;row=476&amp;col=6&amp;number=4.2&amp;sourceID=14","4.2")</f>
        <v>4.2</v>
      </c>
      <c r="G476" s="4" t="str">
        <f>HYPERLINK("http://141.218.60.56/~jnz1568/getInfo.php?workbook=20_13.xlsx&amp;sheet=U0&amp;row=476&amp;col=7&amp;number=0.0106&amp;sourceID=14","0.0106")</f>
        <v>0.0106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HYPERLINK("http://141.218.60.56/~jnz1568/getInfo.php?workbook=20_13.xlsx&amp;sheet=U0&amp;row=477&amp;col=6&amp;number=4.3&amp;sourceID=14","4.3")</f>
        <v>4.3</v>
      </c>
      <c r="G477" s="4" t="str">
        <f>HYPERLINK("http://141.218.60.56/~jnz1568/getInfo.php?workbook=20_13.xlsx&amp;sheet=U0&amp;row=477&amp;col=7&amp;number=0.0105&amp;sourceID=14","0.0105")</f>
        <v>0.0105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HYPERLINK("http://141.218.60.56/~jnz1568/getInfo.php?workbook=20_13.xlsx&amp;sheet=U0&amp;row=478&amp;col=6&amp;number=4.4&amp;sourceID=14","4.4")</f>
        <v>4.4</v>
      </c>
      <c r="G478" s="4" t="str">
        <f>HYPERLINK("http://141.218.60.56/~jnz1568/getInfo.php?workbook=20_13.xlsx&amp;sheet=U0&amp;row=478&amp;col=7&amp;number=0.0103&amp;sourceID=14","0.0103")</f>
        <v>0.0103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HYPERLINK("http://141.218.60.56/~jnz1568/getInfo.php?workbook=20_13.xlsx&amp;sheet=U0&amp;row=479&amp;col=6&amp;number=4.5&amp;sourceID=14","4.5")</f>
        <v>4.5</v>
      </c>
      <c r="G479" s="4" t="str">
        <f>HYPERLINK("http://141.218.60.56/~jnz1568/getInfo.php?workbook=20_13.xlsx&amp;sheet=U0&amp;row=479&amp;col=7&amp;number=0.0101&amp;sourceID=14","0.0101")</f>
        <v>0.0101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HYPERLINK("http://141.218.60.56/~jnz1568/getInfo.php?workbook=20_13.xlsx&amp;sheet=U0&amp;row=480&amp;col=6&amp;number=4.6&amp;sourceID=14","4.6")</f>
        <v>4.6</v>
      </c>
      <c r="G480" s="4" t="str">
        <f>HYPERLINK("http://141.218.60.56/~jnz1568/getInfo.php?workbook=20_13.xlsx&amp;sheet=U0&amp;row=480&amp;col=7&amp;number=0.00992&amp;sourceID=14","0.00992")</f>
        <v>0.00992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HYPERLINK("http://141.218.60.56/~jnz1568/getInfo.php?workbook=20_13.xlsx&amp;sheet=U0&amp;row=481&amp;col=6&amp;number=4.7&amp;sourceID=14","4.7")</f>
        <v>4.7</v>
      </c>
      <c r="G481" s="4" t="str">
        <f>HYPERLINK("http://141.218.60.56/~jnz1568/getInfo.php?workbook=20_13.xlsx&amp;sheet=U0&amp;row=481&amp;col=7&amp;number=0.00966&amp;sourceID=14","0.00966")</f>
        <v>0.00966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HYPERLINK("http://141.218.60.56/~jnz1568/getInfo.php?workbook=20_13.xlsx&amp;sheet=U0&amp;row=482&amp;col=6&amp;number=4.8&amp;sourceID=14","4.8")</f>
        <v>4.8</v>
      </c>
      <c r="G482" s="4" t="str">
        <f>HYPERLINK("http://141.218.60.56/~jnz1568/getInfo.php?workbook=20_13.xlsx&amp;sheet=U0&amp;row=482&amp;col=7&amp;number=0.00936&amp;sourceID=14","0.00936")</f>
        <v>0.00936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HYPERLINK("http://141.218.60.56/~jnz1568/getInfo.php?workbook=20_13.xlsx&amp;sheet=U0&amp;row=483&amp;col=6&amp;number=4.9&amp;sourceID=14","4.9")</f>
        <v>4.9</v>
      </c>
      <c r="G483" s="4" t="str">
        <f>HYPERLINK("http://141.218.60.56/~jnz1568/getInfo.php?workbook=20_13.xlsx&amp;sheet=U0&amp;row=483&amp;col=7&amp;number=0.00903&amp;sourceID=14","0.00903")</f>
        <v>0.00903</v>
      </c>
    </row>
    <row r="484" spans="1:7">
      <c r="A484" s="3">
        <v>20</v>
      </c>
      <c r="B484" s="3">
        <v>13</v>
      </c>
      <c r="C484" s="3">
        <v>1</v>
      </c>
      <c r="D484" s="3">
        <v>26</v>
      </c>
      <c r="E484" s="3">
        <v>1</v>
      </c>
      <c r="F484" s="4" t="str">
        <f>HYPERLINK("http://141.218.60.56/~jnz1568/getInfo.php?workbook=20_13.xlsx&amp;sheet=U0&amp;row=484&amp;col=6&amp;number=3&amp;sourceID=14","3")</f>
        <v>3</v>
      </c>
      <c r="G484" s="4" t="str">
        <f>HYPERLINK("http://141.218.60.56/~jnz1568/getInfo.php?workbook=20_13.xlsx&amp;sheet=U0&amp;row=484&amp;col=7&amp;number=0.0157&amp;sourceID=14","0.0157")</f>
        <v>0.0157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HYPERLINK("http://141.218.60.56/~jnz1568/getInfo.php?workbook=20_13.xlsx&amp;sheet=U0&amp;row=485&amp;col=6&amp;number=3.1&amp;sourceID=14","3.1")</f>
        <v>3.1</v>
      </c>
      <c r="G485" s="4" t="str">
        <f>HYPERLINK("http://141.218.60.56/~jnz1568/getInfo.php?workbook=20_13.xlsx&amp;sheet=U0&amp;row=485&amp;col=7&amp;number=0.0156&amp;sourceID=14","0.0156")</f>
        <v>0.0156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HYPERLINK("http://141.218.60.56/~jnz1568/getInfo.php?workbook=20_13.xlsx&amp;sheet=U0&amp;row=486&amp;col=6&amp;number=3.2&amp;sourceID=14","3.2")</f>
        <v>3.2</v>
      </c>
      <c r="G486" s="4" t="str">
        <f>HYPERLINK("http://141.218.60.56/~jnz1568/getInfo.php?workbook=20_13.xlsx&amp;sheet=U0&amp;row=486&amp;col=7&amp;number=0.0156&amp;sourceID=14","0.0156")</f>
        <v>0.0156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HYPERLINK("http://141.218.60.56/~jnz1568/getInfo.php?workbook=20_13.xlsx&amp;sheet=U0&amp;row=487&amp;col=6&amp;number=3.3&amp;sourceID=14","3.3")</f>
        <v>3.3</v>
      </c>
      <c r="G487" s="4" t="str">
        <f>HYPERLINK("http://141.218.60.56/~jnz1568/getInfo.php?workbook=20_13.xlsx&amp;sheet=U0&amp;row=487&amp;col=7&amp;number=0.0156&amp;sourceID=14","0.0156")</f>
        <v>0.0156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HYPERLINK("http://141.218.60.56/~jnz1568/getInfo.php?workbook=20_13.xlsx&amp;sheet=U0&amp;row=488&amp;col=6&amp;number=3.4&amp;sourceID=14","3.4")</f>
        <v>3.4</v>
      </c>
      <c r="G488" s="4" t="str">
        <f>HYPERLINK("http://141.218.60.56/~jnz1568/getInfo.php?workbook=20_13.xlsx&amp;sheet=U0&amp;row=488&amp;col=7&amp;number=0.0156&amp;sourceID=14","0.0156")</f>
        <v>0.0156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HYPERLINK("http://141.218.60.56/~jnz1568/getInfo.php?workbook=20_13.xlsx&amp;sheet=U0&amp;row=489&amp;col=6&amp;number=3.5&amp;sourceID=14","3.5")</f>
        <v>3.5</v>
      </c>
      <c r="G489" s="4" t="str">
        <f>HYPERLINK("http://141.218.60.56/~jnz1568/getInfo.php?workbook=20_13.xlsx&amp;sheet=U0&amp;row=489&amp;col=7&amp;number=0.0155&amp;sourceID=14","0.0155")</f>
        <v>0.0155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HYPERLINK("http://141.218.60.56/~jnz1568/getInfo.php?workbook=20_13.xlsx&amp;sheet=U0&amp;row=490&amp;col=6&amp;number=3.6&amp;sourceID=14","3.6")</f>
        <v>3.6</v>
      </c>
      <c r="G490" s="4" t="str">
        <f>HYPERLINK("http://141.218.60.56/~jnz1568/getInfo.php?workbook=20_13.xlsx&amp;sheet=U0&amp;row=490&amp;col=7&amp;number=0.0155&amp;sourceID=14","0.0155")</f>
        <v>0.0155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HYPERLINK("http://141.218.60.56/~jnz1568/getInfo.php?workbook=20_13.xlsx&amp;sheet=U0&amp;row=491&amp;col=6&amp;number=3.7&amp;sourceID=14","3.7")</f>
        <v>3.7</v>
      </c>
      <c r="G491" s="4" t="str">
        <f>HYPERLINK("http://141.218.60.56/~jnz1568/getInfo.php?workbook=20_13.xlsx&amp;sheet=U0&amp;row=491&amp;col=7&amp;number=0.0154&amp;sourceID=14","0.0154")</f>
        <v>0.0154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HYPERLINK("http://141.218.60.56/~jnz1568/getInfo.php?workbook=20_13.xlsx&amp;sheet=U0&amp;row=492&amp;col=6&amp;number=3.8&amp;sourceID=14","3.8")</f>
        <v>3.8</v>
      </c>
      <c r="G492" s="4" t="str">
        <f>HYPERLINK("http://141.218.60.56/~jnz1568/getInfo.php?workbook=20_13.xlsx&amp;sheet=U0&amp;row=492&amp;col=7&amp;number=0.0154&amp;sourceID=14","0.0154")</f>
        <v>0.0154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HYPERLINK("http://141.218.60.56/~jnz1568/getInfo.php?workbook=20_13.xlsx&amp;sheet=U0&amp;row=493&amp;col=6&amp;number=3.9&amp;sourceID=14","3.9")</f>
        <v>3.9</v>
      </c>
      <c r="G493" s="4" t="str">
        <f>HYPERLINK("http://141.218.60.56/~jnz1568/getInfo.php?workbook=20_13.xlsx&amp;sheet=U0&amp;row=493&amp;col=7&amp;number=0.0153&amp;sourceID=14","0.0153")</f>
        <v>0.0153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HYPERLINK("http://141.218.60.56/~jnz1568/getInfo.php?workbook=20_13.xlsx&amp;sheet=U0&amp;row=494&amp;col=6&amp;number=4&amp;sourceID=14","4")</f>
        <v>4</v>
      </c>
      <c r="G494" s="4" t="str">
        <f>HYPERLINK("http://141.218.60.56/~jnz1568/getInfo.php?workbook=20_13.xlsx&amp;sheet=U0&amp;row=494&amp;col=7&amp;number=0.0152&amp;sourceID=14","0.0152")</f>
        <v>0.0152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HYPERLINK("http://141.218.60.56/~jnz1568/getInfo.php?workbook=20_13.xlsx&amp;sheet=U0&amp;row=495&amp;col=6&amp;number=4.1&amp;sourceID=14","4.1")</f>
        <v>4.1</v>
      </c>
      <c r="G495" s="4" t="str">
        <f>HYPERLINK("http://141.218.60.56/~jnz1568/getInfo.php?workbook=20_13.xlsx&amp;sheet=U0&amp;row=495&amp;col=7&amp;number=0.015&amp;sourceID=14","0.015")</f>
        <v>0.015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HYPERLINK("http://141.218.60.56/~jnz1568/getInfo.php?workbook=20_13.xlsx&amp;sheet=U0&amp;row=496&amp;col=6&amp;number=4.2&amp;sourceID=14","4.2")</f>
        <v>4.2</v>
      </c>
      <c r="G496" s="4" t="str">
        <f>HYPERLINK("http://141.218.60.56/~jnz1568/getInfo.php?workbook=20_13.xlsx&amp;sheet=U0&amp;row=496&amp;col=7&amp;number=0.0149&amp;sourceID=14","0.0149")</f>
        <v>0.0149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HYPERLINK("http://141.218.60.56/~jnz1568/getInfo.php?workbook=20_13.xlsx&amp;sheet=U0&amp;row=497&amp;col=6&amp;number=4.3&amp;sourceID=14","4.3")</f>
        <v>4.3</v>
      </c>
      <c r="G497" s="4" t="str">
        <f>HYPERLINK("http://141.218.60.56/~jnz1568/getInfo.php?workbook=20_13.xlsx&amp;sheet=U0&amp;row=497&amp;col=7&amp;number=0.0147&amp;sourceID=14","0.0147")</f>
        <v>0.0147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HYPERLINK("http://141.218.60.56/~jnz1568/getInfo.php?workbook=20_13.xlsx&amp;sheet=U0&amp;row=498&amp;col=6&amp;number=4.4&amp;sourceID=14","4.4")</f>
        <v>4.4</v>
      </c>
      <c r="G498" s="4" t="str">
        <f>HYPERLINK("http://141.218.60.56/~jnz1568/getInfo.php?workbook=20_13.xlsx&amp;sheet=U0&amp;row=498&amp;col=7&amp;number=0.0144&amp;sourceID=14","0.0144")</f>
        <v>0.0144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HYPERLINK("http://141.218.60.56/~jnz1568/getInfo.php?workbook=20_13.xlsx&amp;sheet=U0&amp;row=499&amp;col=6&amp;number=4.5&amp;sourceID=14","4.5")</f>
        <v>4.5</v>
      </c>
      <c r="G499" s="4" t="str">
        <f>HYPERLINK("http://141.218.60.56/~jnz1568/getInfo.php?workbook=20_13.xlsx&amp;sheet=U0&amp;row=499&amp;col=7&amp;number=0.0141&amp;sourceID=14","0.0141")</f>
        <v>0.0141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HYPERLINK("http://141.218.60.56/~jnz1568/getInfo.php?workbook=20_13.xlsx&amp;sheet=U0&amp;row=500&amp;col=6&amp;number=4.6&amp;sourceID=14","4.6")</f>
        <v>4.6</v>
      </c>
      <c r="G500" s="4" t="str">
        <f>HYPERLINK("http://141.218.60.56/~jnz1568/getInfo.php?workbook=20_13.xlsx&amp;sheet=U0&amp;row=500&amp;col=7&amp;number=0.0137&amp;sourceID=14","0.0137")</f>
        <v>0.0137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HYPERLINK("http://141.218.60.56/~jnz1568/getInfo.php?workbook=20_13.xlsx&amp;sheet=U0&amp;row=501&amp;col=6&amp;number=4.7&amp;sourceID=14","4.7")</f>
        <v>4.7</v>
      </c>
      <c r="G501" s="4" t="str">
        <f>HYPERLINK("http://141.218.60.56/~jnz1568/getInfo.php?workbook=20_13.xlsx&amp;sheet=U0&amp;row=501&amp;col=7&amp;number=0.0132&amp;sourceID=14","0.0132")</f>
        <v>0.0132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HYPERLINK("http://141.218.60.56/~jnz1568/getInfo.php?workbook=20_13.xlsx&amp;sheet=U0&amp;row=502&amp;col=6&amp;number=4.8&amp;sourceID=14","4.8")</f>
        <v>4.8</v>
      </c>
      <c r="G502" s="4" t="str">
        <f>HYPERLINK("http://141.218.60.56/~jnz1568/getInfo.php?workbook=20_13.xlsx&amp;sheet=U0&amp;row=502&amp;col=7&amp;number=0.0127&amp;sourceID=14","0.0127")</f>
        <v>0.0127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HYPERLINK("http://141.218.60.56/~jnz1568/getInfo.php?workbook=20_13.xlsx&amp;sheet=U0&amp;row=503&amp;col=6&amp;number=4.9&amp;sourceID=14","4.9")</f>
        <v>4.9</v>
      </c>
      <c r="G503" s="4" t="str">
        <f>HYPERLINK("http://141.218.60.56/~jnz1568/getInfo.php?workbook=20_13.xlsx&amp;sheet=U0&amp;row=503&amp;col=7&amp;number=0.0122&amp;sourceID=14","0.0122")</f>
        <v>0.0122</v>
      </c>
    </row>
    <row r="504" spans="1:7">
      <c r="A504" s="3">
        <v>20</v>
      </c>
      <c r="B504" s="3">
        <v>13</v>
      </c>
      <c r="C504" s="3">
        <v>1</v>
      </c>
      <c r="D504" s="3">
        <v>27</v>
      </c>
      <c r="E504" s="3">
        <v>1</v>
      </c>
      <c r="F504" s="4" t="str">
        <f>HYPERLINK("http://141.218.60.56/~jnz1568/getInfo.php?workbook=20_13.xlsx&amp;sheet=U0&amp;row=504&amp;col=6&amp;number=3&amp;sourceID=14","3")</f>
        <v>3</v>
      </c>
      <c r="G504" s="4" t="str">
        <f>HYPERLINK("http://141.218.60.56/~jnz1568/getInfo.php?workbook=20_13.xlsx&amp;sheet=U0&amp;row=504&amp;col=7&amp;number=0.02&amp;sourceID=14","0.02")</f>
        <v>0.02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HYPERLINK("http://141.218.60.56/~jnz1568/getInfo.php?workbook=20_13.xlsx&amp;sheet=U0&amp;row=505&amp;col=6&amp;number=3.1&amp;sourceID=14","3.1")</f>
        <v>3.1</v>
      </c>
      <c r="G505" s="4" t="str">
        <f>HYPERLINK("http://141.218.60.56/~jnz1568/getInfo.php?workbook=20_13.xlsx&amp;sheet=U0&amp;row=505&amp;col=7&amp;number=0.02&amp;sourceID=14","0.02")</f>
        <v>0.02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HYPERLINK("http://141.218.60.56/~jnz1568/getInfo.php?workbook=20_13.xlsx&amp;sheet=U0&amp;row=506&amp;col=6&amp;number=3.2&amp;sourceID=14","3.2")</f>
        <v>3.2</v>
      </c>
      <c r="G506" s="4" t="str">
        <f>HYPERLINK("http://141.218.60.56/~jnz1568/getInfo.php?workbook=20_13.xlsx&amp;sheet=U0&amp;row=506&amp;col=7&amp;number=0.02&amp;sourceID=14","0.02")</f>
        <v>0.02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HYPERLINK("http://141.218.60.56/~jnz1568/getInfo.php?workbook=20_13.xlsx&amp;sheet=U0&amp;row=507&amp;col=6&amp;number=3.3&amp;sourceID=14","3.3")</f>
        <v>3.3</v>
      </c>
      <c r="G507" s="4" t="str">
        <f>HYPERLINK("http://141.218.60.56/~jnz1568/getInfo.php?workbook=20_13.xlsx&amp;sheet=U0&amp;row=507&amp;col=7&amp;number=0.0199&amp;sourceID=14","0.0199")</f>
        <v>0.0199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HYPERLINK("http://141.218.60.56/~jnz1568/getInfo.php?workbook=20_13.xlsx&amp;sheet=U0&amp;row=508&amp;col=6&amp;number=3.4&amp;sourceID=14","3.4")</f>
        <v>3.4</v>
      </c>
      <c r="G508" s="4" t="str">
        <f>HYPERLINK("http://141.218.60.56/~jnz1568/getInfo.php?workbook=20_13.xlsx&amp;sheet=U0&amp;row=508&amp;col=7&amp;number=0.0199&amp;sourceID=14","0.0199")</f>
        <v>0.0199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HYPERLINK("http://141.218.60.56/~jnz1568/getInfo.php?workbook=20_13.xlsx&amp;sheet=U0&amp;row=509&amp;col=6&amp;number=3.5&amp;sourceID=14","3.5")</f>
        <v>3.5</v>
      </c>
      <c r="G509" s="4" t="str">
        <f>HYPERLINK("http://141.218.60.56/~jnz1568/getInfo.php?workbook=20_13.xlsx&amp;sheet=U0&amp;row=509&amp;col=7&amp;number=0.0198&amp;sourceID=14","0.0198")</f>
        <v>0.0198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HYPERLINK("http://141.218.60.56/~jnz1568/getInfo.php?workbook=20_13.xlsx&amp;sheet=U0&amp;row=510&amp;col=6&amp;number=3.6&amp;sourceID=14","3.6")</f>
        <v>3.6</v>
      </c>
      <c r="G510" s="4" t="str">
        <f>HYPERLINK("http://141.218.60.56/~jnz1568/getInfo.php?workbook=20_13.xlsx&amp;sheet=U0&amp;row=510&amp;col=7&amp;number=0.0198&amp;sourceID=14","0.0198")</f>
        <v>0.0198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HYPERLINK("http://141.218.60.56/~jnz1568/getInfo.php?workbook=20_13.xlsx&amp;sheet=U0&amp;row=511&amp;col=6&amp;number=3.7&amp;sourceID=14","3.7")</f>
        <v>3.7</v>
      </c>
      <c r="G511" s="4" t="str">
        <f>HYPERLINK("http://141.218.60.56/~jnz1568/getInfo.php?workbook=20_13.xlsx&amp;sheet=U0&amp;row=511&amp;col=7&amp;number=0.0197&amp;sourceID=14","0.0197")</f>
        <v>0.0197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HYPERLINK("http://141.218.60.56/~jnz1568/getInfo.php?workbook=20_13.xlsx&amp;sheet=U0&amp;row=512&amp;col=6&amp;number=3.8&amp;sourceID=14","3.8")</f>
        <v>3.8</v>
      </c>
      <c r="G512" s="4" t="str">
        <f>HYPERLINK("http://141.218.60.56/~jnz1568/getInfo.php?workbook=20_13.xlsx&amp;sheet=U0&amp;row=512&amp;col=7&amp;number=0.0196&amp;sourceID=14","0.0196")</f>
        <v>0.0196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HYPERLINK("http://141.218.60.56/~jnz1568/getInfo.php?workbook=20_13.xlsx&amp;sheet=U0&amp;row=513&amp;col=6&amp;number=3.9&amp;sourceID=14","3.9")</f>
        <v>3.9</v>
      </c>
      <c r="G513" s="4" t="str">
        <f>HYPERLINK("http://141.218.60.56/~jnz1568/getInfo.php?workbook=20_13.xlsx&amp;sheet=U0&amp;row=513&amp;col=7&amp;number=0.0195&amp;sourceID=14","0.0195")</f>
        <v>0.0195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HYPERLINK("http://141.218.60.56/~jnz1568/getInfo.php?workbook=20_13.xlsx&amp;sheet=U0&amp;row=514&amp;col=6&amp;number=4&amp;sourceID=14","4")</f>
        <v>4</v>
      </c>
      <c r="G514" s="4" t="str">
        <f>HYPERLINK("http://141.218.60.56/~jnz1568/getInfo.php?workbook=20_13.xlsx&amp;sheet=U0&amp;row=514&amp;col=7&amp;number=0.0193&amp;sourceID=14","0.0193")</f>
        <v>0.0193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HYPERLINK("http://141.218.60.56/~jnz1568/getInfo.php?workbook=20_13.xlsx&amp;sheet=U0&amp;row=515&amp;col=6&amp;number=4.1&amp;sourceID=14","4.1")</f>
        <v>4.1</v>
      </c>
      <c r="G515" s="4" t="str">
        <f>HYPERLINK("http://141.218.60.56/~jnz1568/getInfo.php?workbook=20_13.xlsx&amp;sheet=U0&amp;row=515&amp;col=7&amp;number=0.0191&amp;sourceID=14","0.0191")</f>
        <v>0.0191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HYPERLINK("http://141.218.60.56/~jnz1568/getInfo.php?workbook=20_13.xlsx&amp;sheet=U0&amp;row=516&amp;col=6&amp;number=4.2&amp;sourceID=14","4.2")</f>
        <v>4.2</v>
      </c>
      <c r="G516" s="4" t="str">
        <f>HYPERLINK("http://141.218.60.56/~jnz1568/getInfo.php?workbook=20_13.xlsx&amp;sheet=U0&amp;row=516&amp;col=7&amp;number=0.0189&amp;sourceID=14","0.0189")</f>
        <v>0.0189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HYPERLINK("http://141.218.60.56/~jnz1568/getInfo.php?workbook=20_13.xlsx&amp;sheet=U0&amp;row=517&amp;col=6&amp;number=4.3&amp;sourceID=14","4.3")</f>
        <v>4.3</v>
      </c>
      <c r="G517" s="4" t="str">
        <f>HYPERLINK("http://141.218.60.56/~jnz1568/getInfo.php?workbook=20_13.xlsx&amp;sheet=U0&amp;row=517&amp;col=7&amp;number=0.0186&amp;sourceID=14","0.0186")</f>
        <v>0.0186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HYPERLINK("http://141.218.60.56/~jnz1568/getInfo.php?workbook=20_13.xlsx&amp;sheet=U0&amp;row=518&amp;col=6&amp;number=4.4&amp;sourceID=14","4.4")</f>
        <v>4.4</v>
      </c>
      <c r="G518" s="4" t="str">
        <f>HYPERLINK("http://141.218.60.56/~jnz1568/getInfo.php?workbook=20_13.xlsx&amp;sheet=U0&amp;row=518&amp;col=7&amp;number=0.0182&amp;sourceID=14","0.0182")</f>
        <v>0.0182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HYPERLINK("http://141.218.60.56/~jnz1568/getInfo.php?workbook=20_13.xlsx&amp;sheet=U0&amp;row=519&amp;col=6&amp;number=4.5&amp;sourceID=14","4.5")</f>
        <v>4.5</v>
      </c>
      <c r="G519" s="4" t="str">
        <f>HYPERLINK("http://141.218.60.56/~jnz1568/getInfo.php?workbook=20_13.xlsx&amp;sheet=U0&amp;row=519&amp;col=7&amp;number=0.0177&amp;sourceID=14","0.0177")</f>
        <v>0.0177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HYPERLINK("http://141.218.60.56/~jnz1568/getInfo.php?workbook=20_13.xlsx&amp;sheet=U0&amp;row=520&amp;col=6&amp;number=4.6&amp;sourceID=14","4.6")</f>
        <v>4.6</v>
      </c>
      <c r="G520" s="4" t="str">
        <f>HYPERLINK("http://141.218.60.56/~jnz1568/getInfo.php?workbook=20_13.xlsx&amp;sheet=U0&amp;row=520&amp;col=7&amp;number=0.0172&amp;sourceID=14","0.0172")</f>
        <v>0.0172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HYPERLINK("http://141.218.60.56/~jnz1568/getInfo.php?workbook=20_13.xlsx&amp;sheet=U0&amp;row=521&amp;col=6&amp;number=4.7&amp;sourceID=14","4.7")</f>
        <v>4.7</v>
      </c>
      <c r="G521" s="4" t="str">
        <f>HYPERLINK("http://141.218.60.56/~jnz1568/getInfo.php?workbook=20_13.xlsx&amp;sheet=U0&amp;row=521&amp;col=7&amp;number=0.0165&amp;sourceID=14","0.0165")</f>
        <v>0.0165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HYPERLINK("http://141.218.60.56/~jnz1568/getInfo.php?workbook=20_13.xlsx&amp;sheet=U0&amp;row=522&amp;col=6&amp;number=4.8&amp;sourceID=14","4.8")</f>
        <v>4.8</v>
      </c>
      <c r="G522" s="4" t="str">
        <f>HYPERLINK("http://141.218.60.56/~jnz1568/getInfo.php?workbook=20_13.xlsx&amp;sheet=U0&amp;row=522&amp;col=7&amp;number=0.0158&amp;sourceID=14","0.0158")</f>
        <v>0.0158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HYPERLINK("http://141.218.60.56/~jnz1568/getInfo.php?workbook=20_13.xlsx&amp;sheet=U0&amp;row=523&amp;col=6&amp;number=4.9&amp;sourceID=14","4.9")</f>
        <v>4.9</v>
      </c>
      <c r="G523" s="4" t="str">
        <f>HYPERLINK("http://141.218.60.56/~jnz1568/getInfo.php?workbook=20_13.xlsx&amp;sheet=U0&amp;row=523&amp;col=7&amp;number=0.015&amp;sourceID=14","0.015")</f>
        <v>0.015</v>
      </c>
    </row>
    <row r="524" spans="1:7">
      <c r="A524" s="3">
        <v>20</v>
      </c>
      <c r="B524" s="3">
        <v>13</v>
      </c>
      <c r="C524" s="3">
        <v>1</v>
      </c>
      <c r="D524" s="3">
        <v>28</v>
      </c>
      <c r="E524" s="3">
        <v>1</v>
      </c>
      <c r="F524" s="4" t="str">
        <f>HYPERLINK("http://141.218.60.56/~jnz1568/getInfo.php?workbook=20_13.xlsx&amp;sheet=U0&amp;row=524&amp;col=6&amp;number=3&amp;sourceID=14","3")</f>
        <v>3</v>
      </c>
      <c r="G524" s="4" t="str">
        <f>HYPERLINK("http://141.218.60.56/~jnz1568/getInfo.php?workbook=20_13.xlsx&amp;sheet=U0&amp;row=524&amp;col=7&amp;number=0.031&amp;sourceID=14","0.031")</f>
        <v>0.031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HYPERLINK("http://141.218.60.56/~jnz1568/getInfo.php?workbook=20_13.xlsx&amp;sheet=U0&amp;row=525&amp;col=6&amp;number=3.1&amp;sourceID=14","3.1")</f>
        <v>3.1</v>
      </c>
      <c r="G525" s="4" t="str">
        <f>HYPERLINK("http://141.218.60.56/~jnz1568/getInfo.php?workbook=20_13.xlsx&amp;sheet=U0&amp;row=525&amp;col=7&amp;number=0.031&amp;sourceID=14","0.031")</f>
        <v>0.031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HYPERLINK("http://141.218.60.56/~jnz1568/getInfo.php?workbook=20_13.xlsx&amp;sheet=U0&amp;row=526&amp;col=6&amp;number=3.2&amp;sourceID=14","3.2")</f>
        <v>3.2</v>
      </c>
      <c r="G526" s="4" t="str">
        <f>HYPERLINK("http://141.218.60.56/~jnz1568/getInfo.php?workbook=20_13.xlsx&amp;sheet=U0&amp;row=526&amp;col=7&amp;number=0.0309&amp;sourceID=14","0.0309")</f>
        <v>0.0309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HYPERLINK("http://141.218.60.56/~jnz1568/getInfo.php?workbook=20_13.xlsx&amp;sheet=U0&amp;row=527&amp;col=6&amp;number=3.3&amp;sourceID=14","3.3")</f>
        <v>3.3</v>
      </c>
      <c r="G527" s="4" t="str">
        <f>HYPERLINK("http://141.218.60.56/~jnz1568/getInfo.php?workbook=20_13.xlsx&amp;sheet=U0&amp;row=527&amp;col=7&amp;number=0.0309&amp;sourceID=14","0.0309")</f>
        <v>0.0309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HYPERLINK("http://141.218.60.56/~jnz1568/getInfo.php?workbook=20_13.xlsx&amp;sheet=U0&amp;row=528&amp;col=6&amp;number=3.4&amp;sourceID=14","3.4")</f>
        <v>3.4</v>
      </c>
      <c r="G528" s="4" t="str">
        <f>HYPERLINK("http://141.218.60.56/~jnz1568/getInfo.php?workbook=20_13.xlsx&amp;sheet=U0&amp;row=528&amp;col=7&amp;number=0.0308&amp;sourceID=14","0.0308")</f>
        <v>0.0308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HYPERLINK("http://141.218.60.56/~jnz1568/getInfo.php?workbook=20_13.xlsx&amp;sheet=U0&amp;row=529&amp;col=6&amp;number=3.5&amp;sourceID=14","3.5")</f>
        <v>3.5</v>
      </c>
      <c r="G529" s="4" t="str">
        <f>HYPERLINK("http://141.218.60.56/~jnz1568/getInfo.php?workbook=20_13.xlsx&amp;sheet=U0&amp;row=529&amp;col=7&amp;number=0.0307&amp;sourceID=14","0.0307")</f>
        <v>0.0307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HYPERLINK("http://141.218.60.56/~jnz1568/getInfo.php?workbook=20_13.xlsx&amp;sheet=U0&amp;row=530&amp;col=6&amp;number=3.6&amp;sourceID=14","3.6")</f>
        <v>3.6</v>
      </c>
      <c r="G530" s="4" t="str">
        <f>HYPERLINK("http://141.218.60.56/~jnz1568/getInfo.php?workbook=20_13.xlsx&amp;sheet=U0&amp;row=530&amp;col=7&amp;number=0.0306&amp;sourceID=14","0.0306")</f>
        <v>0.0306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HYPERLINK("http://141.218.60.56/~jnz1568/getInfo.php?workbook=20_13.xlsx&amp;sheet=U0&amp;row=531&amp;col=6&amp;number=3.7&amp;sourceID=14","3.7")</f>
        <v>3.7</v>
      </c>
      <c r="G531" s="4" t="str">
        <f>HYPERLINK("http://141.218.60.56/~jnz1568/getInfo.php?workbook=20_13.xlsx&amp;sheet=U0&amp;row=531&amp;col=7&amp;number=0.0305&amp;sourceID=14","0.0305")</f>
        <v>0.0305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HYPERLINK("http://141.218.60.56/~jnz1568/getInfo.php?workbook=20_13.xlsx&amp;sheet=U0&amp;row=532&amp;col=6&amp;number=3.8&amp;sourceID=14","3.8")</f>
        <v>3.8</v>
      </c>
      <c r="G532" s="4" t="str">
        <f>HYPERLINK("http://141.218.60.56/~jnz1568/getInfo.php?workbook=20_13.xlsx&amp;sheet=U0&amp;row=532&amp;col=7&amp;number=0.0304&amp;sourceID=14","0.0304")</f>
        <v>0.0304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HYPERLINK("http://141.218.60.56/~jnz1568/getInfo.php?workbook=20_13.xlsx&amp;sheet=U0&amp;row=533&amp;col=6&amp;number=3.9&amp;sourceID=14","3.9")</f>
        <v>3.9</v>
      </c>
      <c r="G533" s="4" t="str">
        <f>HYPERLINK("http://141.218.60.56/~jnz1568/getInfo.php?workbook=20_13.xlsx&amp;sheet=U0&amp;row=533&amp;col=7&amp;number=0.0302&amp;sourceID=14","0.0302")</f>
        <v>0.0302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HYPERLINK("http://141.218.60.56/~jnz1568/getInfo.php?workbook=20_13.xlsx&amp;sheet=U0&amp;row=534&amp;col=6&amp;number=4&amp;sourceID=14","4")</f>
        <v>4</v>
      </c>
      <c r="G534" s="4" t="str">
        <f>HYPERLINK("http://141.218.60.56/~jnz1568/getInfo.php?workbook=20_13.xlsx&amp;sheet=U0&amp;row=534&amp;col=7&amp;number=0.03&amp;sourceID=14","0.03")</f>
        <v>0.03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HYPERLINK("http://141.218.60.56/~jnz1568/getInfo.php?workbook=20_13.xlsx&amp;sheet=U0&amp;row=535&amp;col=6&amp;number=4.1&amp;sourceID=14","4.1")</f>
        <v>4.1</v>
      </c>
      <c r="G535" s="4" t="str">
        <f>HYPERLINK("http://141.218.60.56/~jnz1568/getInfo.php?workbook=20_13.xlsx&amp;sheet=U0&amp;row=535&amp;col=7&amp;number=0.0297&amp;sourceID=14","0.0297")</f>
        <v>0.0297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HYPERLINK("http://141.218.60.56/~jnz1568/getInfo.php?workbook=20_13.xlsx&amp;sheet=U0&amp;row=536&amp;col=6&amp;number=4.2&amp;sourceID=14","4.2")</f>
        <v>4.2</v>
      </c>
      <c r="G536" s="4" t="str">
        <f>HYPERLINK("http://141.218.60.56/~jnz1568/getInfo.php?workbook=20_13.xlsx&amp;sheet=U0&amp;row=536&amp;col=7&amp;number=0.0293&amp;sourceID=14","0.0293")</f>
        <v>0.0293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HYPERLINK("http://141.218.60.56/~jnz1568/getInfo.php?workbook=20_13.xlsx&amp;sheet=U0&amp;row=537&amp;col=6&amp;number=4.3&amp;sourceID=14","4.3")</f>
        <v>4.3</v>
      </c>
      <c r="G537" s="4" t="str">
        <f>HYPERLINK("http://141.218.60.56/~jnz1568/getInfo.php?workbook=20_13.xlsx&amp;sheet=U0&amp;row=537&amp;col=7&amp;number=0.0289&amp;sourceID=14","0.0289")</f>
        <v>0.0289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HYPERLINK("http://141.218.60.56/~jnz1568/getInfo.php?workbook=20_13.xlsx&amp;sheet=U0&amp;row=538&amp;col=6&amp;number=4.4&amp;sourceID=14","4.4")</f>
        <v>4.4</v>
      </c>
      <c r="G538" s="4" t="str">
        <f>HYPERLINK("http://141.218.60.56/~jnz1568/getInfo.php?workbook=20_13.xlsx&amp;sheet=U0&amp;row=538&amp;col=7&amp;number=0.0283&amp;sourceID=14","0.0283")</f>
        <v>0.0283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HYPERLINK("http://141.218.60.56/~jnz1568/getInfo.php?workbook=20_13.xlsx&amp;sheet=U0&amp;row=539&amp;col=6&amp;number=4.5&amp;sourceID=14","4.5")</f>
        <v>4.5</v>
      </c>
      <c r="G539" s="4" t="str">
        <f>HYPERLINK("http://141.218.60.56/~jnz1568/getInfo.php?workbook=20_13.xlsx&amp;sheet=U0&amp;row=539&amp;col=7&amp;number=0.0276&amp;sourceID=14","0.0276")</f>
        <v>0.0276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HYPERLINK("http://141.218.60.56/~jnz1568/getInfo.php?workbook=20_13.xlsx&amp;sheet=U0&amp;row=540&amp;col=6&amp;number=4.6&amp;sourceID=14","4.6")</f>
        <v>4.6</v>
      </c>
      <c r="G540" s="4" t="str">
        <f>HYPERLINK("http://141.218.60.56/~jnz1568/getInfo.php?workbook=20_13.xlsx&amp;sheet=U0&amp;row=540&amp;col=7&amp;number=0.0268&amp;sourceID=14","0.0268")</f>
        <v>0.0268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HYPERLINK("http://141.218.60.56/~jnz1568/getInfo.php?workbook=20_13.xlsx&amp;sheet=U0&amp;row=541&amp;col=6&amp;number=4.7&amp;sourceID=14","4.7")</f>
        <v>4.7</v>
      </c>
      <c r="G541" s="4" t="str">
        <f>HYPERLINK("http://141.218.60.56/~jnz1568/getInfo.php?workbook=20_13.xlsx&amp;sheet=U0&amp;row=541&amp;col=7&amp;number=0.0259&amp;sourceID=14","0.0259")</f>
        <v>0.0259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HYPERLINK("http://141.218.60.56/~jnz1568/getInfo.php?workbook=20_13.xlsx&amp;sheet=U0&amp;row=542&amp;col=6&amp;number=4.8&amp;sourceID=14","4.8")</f>
        <v>4.8</v>
      </c>
      <c r="G542" s="4" t="str">
        <f>HYPERLINK("http://141.218.60.56/~jnz1568/getInfo.php?workbook=20_13.xlsx&amp;sheet=U0&amp;row=542&amp;col=7&amp;number=0.0248&amp;sourceID=14","0.0248")</f>
        <v>0.0248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HYPERLINK("http://141.218.60.56/~jnz1568/getInfo.php?workbook=20_13.xlsx&amp;sheet=U0&amp;row=543&amp;col=6&amp;number=4.9&amp;sourceID=14","4.9")</f>
        <v>4.9</v>
      </c>
      <c r="G543" s="4" t="str">
        <f>HYPERLINK("http://141.218.60.56/~jnz1568/getInfo.php?workbook=20_13.xlsx&amp;sheet=U0&amp;row=543&amp;col=7&amp;number=0.0236&amp;sourceID=14","0.0236")</f>
        <v>0.0236</v>
      </c>
    </row>
    <row r="544" spans="1:7">
      <c r="A544" s="3">
        <v>20</v>
      </c>
      <c r="B544" s="3">
        <v>13</v>
      </c>
      <c r="C544" s="3">
        <v>1</v>
      </c>
      <c r="D544" s="3">
        <v>29</v>
      </c>
      <c r="E544" s="3">
        <v>1</v>
      </c>
      <c r="F544" s="4" t="str">
        <f>HYPERLINK("http://141.218.60.56/~jnz1568/getInfo.php?workbook=20_13.xlsx&amp;sheet=U0&amp;row=544&amp;col=6&amp;number=3&amp;sourceID=14","3")</f>
        <v>3</v>
      </c>
      <c r="G544" s="4" t="str">
        <f>HYPERLINK("http://141.218.60.56/~jnz1568/getInfo.php?workbook=20_13.xlsx&amp;sheet=U0&amp;row=544&amp;col=7&amp;number=0.0449&amp;sourceID=14","0.0449")</f>
        <v>0.0449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HYPERLINK("http://141.218.60.56/~jnz1568/getInfo.php?workbook=20_13.xlsx&amp;sheet=U0&amp;row=545&amp;col=6&amp;number=3.1&amp;sourceID=14","3.1")</f>
        <v>3.1</v>
      </c>
      <c r="G545" s="4" t="str">
        <f>HYPERLINK("http://141.218.60.56/~jnz1568/getInfo.php?workbook=20_13.xlsx&amp;sheet=U0&amp;row=545&amp;col=7&amp;number=0.0449&amp;sourceID=14","0.0449")</f>
        <v>0.0449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HYPERLINK("http://141.218.60.56/~jnz1568/getInfo.php?workbook=20_13.xlsx&amp;sheet=U0&amp;row=546&amp;col=6&amp;number=3.2&amp;sourceID=14","3.2")</f>
        <v>3.2</v>
      </c>
      <c r="G546" s="4" t="str">
        <f>HYPERLINK("http://141.218.60.56/~jnz1568/getInfo.php?workbook=20_13.xlsx&amp;sheet=U0&amp;row=546&amp;col=7&amp;number=0.0448&amp;sourceID=14","0.0448")</f>
        <v>0.0448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HYPERLINK("http://141.218.60.56/~jnz1568/getInfo.php?workbook=20_13.xlsx&amp;sheet=U0&amp;row=547&amp;col=6&amp;number=3.3&amp;sourceID=14","3.3")</f>
        <v>3.3</v>
      </c>
      <c r="G547" s="4" t="str">
        <f>HYPERLINK("http://141.218.60.56/~jnz1568/getInfo.php?workbook=20_13.xlsx&amp;sheet=U0&amp;row=547&amp;col=7&amp;number=0.0448&amp;sourceID=14","0.0448")</f>
        <v>0.0448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HYPERLINK("http://141.218.60.56/~jnz1568/getInfo.php?workbook=20_13.xlsx&amp;sheet=U0&amp;row=548&amp;col=6&amp;number=3.4&amp;sourceID=14","3.4")</f>
        <v>3.4</v>
      </c>
      <c r="G548" s="4" t="str">
        <f>HYPERLINK("http://141.218.60.56/~jnz1568/getInfo.php?workbook=20_13.xlsx&amp;sheet=U0&amp;row=548&amp;col=7&amp;number=0.0448&amp;sourceID=14","0.0448")</f>
        <v>0.0448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HYPERLINK("http://141.218.60.56/~jnz1568/getInfo.php?workbook=20_13.xlsx&amp;sheet=U0&amp;row=549&amp;col=6&amp;number=3.5&amp;sourceID=14","3.5")</f>
        <v>3.5</v>
      </c>
      <c r="G549" s="4" t="str">
        <f>HYPERLINK("http://141.218.60.56/~jnz1568/getInfo.php?workbook=20_13.xlsx&amp;sheet=U0&amp;row=549&amp;col=7&amp;number=0.0447&amp;sourceID=14","0.0447")</f>
        <v>0.0447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HYPERLINK("http://141.218.60.56/~jnz1568/getInfo.php?workbook=20_13.xlsx&amp;sheet=U0&amp;row=550&amp;col=6&amp;number=3.6&amp;sourceID=14","3.6")</f>
        <v>3.6</v>
      </c>
      <c r="G550" s="4" t="str">
        <f>HYPERLINK("http://141.218.60.56/~jnz1568/getInfo.php?workbook=20_13.xlsx&amp;sheet=U0&amp;row=550&amp;col=7&amp;number=0.0447&amp;sourceID=14","0.0447")</f>
        <v>0.0447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HYPERLINK("http://141.218.60.56/~jnz1568/getInfo.php?workbook=20_13.xlsx&amp;sheet=U0&amp;row=551&amp;col=6&amp;number=3.7&amp;sourceID=14","3.7")</f>
        <v>3.7</v>
      </c>
      <c r="G551" s="4" t="str">
        <f>HYPERLINK("http://141.218.60.56/~jnz1568/getInfo.php?workbook=20_13.xlsx&amp;sheet=U0&amp;row=551&amp;col=7&amp;number=0.0446&amp;sourceID=14","0.0446")</f>
        <v>0.0446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HYPERLINK("http://141.218.60.56/~jnz1568/getInfo.php?workbook=20_13.xlsx&amp;sheet=U0&amp;row=552&amp;col=6&amp;number=3.8&amp;sourceID=14","3.8")</f>
        <v>3.8</v>
      </c>
      <c r="G552" s="4" t="str">
        <f>HYPERLINK("http://141.218.60.56/~jnz1568/getInfo.php?workbook=20_13.xlsx&amp;sheet=U0&amp;row=552&amp;col=7&amp;number=0.0445&amp;sourceID=14","0.0445")</f>
        <v>0.0445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HYPERLINK("http://141.218.60.56/~jnz1568/getInfo.php?workbook=20_13.xlsx&amp;sheet=U0&amp;row=553&amp;col=6&amp;number=3.9&amp;sourceID=14","3.9")</f>
        <v>3.9</v>
      </c>
      <c r="G553" s="4" t="str">
        <f>HYPERLINK("http://141.218.60.56/~jnz1568/getInfo.php?workbook=20_13.xlsx&amp;sheet=U0&amp;row=553&amp;col=7&amp;number=0.0444&amp;sourceID=14","0.0444")</f>
        <v>0.0444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HYPERLINK("http://141.218.60.56/~jnz1568/getInfo.php?workbook=20_13.xlsx&amp;sheet=U0&amp;row=554&amp;col=6&amp;number=4&amp;sourceID=14","4")</f>
        <v>4</v>
      </c>
      <c r="G554" s="4" t="str">
        <f>HYPERLINK("http://141.218.60.56/~jnz1568/getInfo.php?workbook=20_13.xlsx&amp;sheet=U0&amp;row=554&amp;col=7&amp;number=0.0443&amp;sourceID=14","0.0443")</f>
        <v>0.0443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HYPERLINK("http://141.218.60.56/~jnz1568/getInfo.php?workbook=20_13.xlsx&amp;sheet=U0&amp;row=555&amp;col=6&amp;number=4.1&amp;sourceID=14","4.1")</f>
        <v>4.1</v>
      </c>
      <c r="G555" s="4" t="str">
        <f>HYPERLINK("http://141.218.60.56/~jnz1568/getInfo.php?workbook=20_13.xlsx&amp;sheet=U0&amp;row=555&amp;col=7&amp;number=0.0441&amp;sourceID=14","0.0441")</f>
        <v>0.0441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HYPERLINK("http://141.218.60.56/~jnz1568/getInfo.php?workbook=20_13.xlsx&amp;sheet=U0&amp;row=556&amp;col=6&amp;number=4.2&amp;sourceID=14","4.2")</f>
        <v>4.2</v>
      </c>
      <c r="G556" s="4" t="str">
        <f>HYPERLINK("http://141.218.60.56/~jnz1568/getInfo.php?workbook=20_13.xlsx&amp;sheet=U0&amp;row=556&amp;col=7&amp;number=0.0439&amp;sourceID=14","0.0439")</f>
        <v>0.0439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HYPERLINK("http://141.218.60.56/~jnz1568/getInfo.php?workbook=20_13.xlsx&amp;sheet=U0&amp;row=557&amp;col=6&amp;number=4.3&amp;sourceID=14","4.3")</f>
        <v>4.3</v>
      </c>
      <c r="G557" s="4" t="str">
        <f>HYPERLINK("http://141.218.60.56/~jnz1568/getInfo.php?workbook=20_13.xlsx&amp;sheet=U0&amp;row=557&amp;col=7&amp;number=0.0436&amp;sourceID=14","0.0436")</f>
        <v>0.0436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HYPERLINK("http://141.218.60.56/~jnz1568/getInfo.php?workbook=20_13.xlsx&amp;sheet=U0&amp;row=558&amp;col=6&amp;number=4.4&amp;sourceID=14","4.4")</f>
        <v>4.4</v>
      </c>
      <c r="G558" s="4" t="str">
        <f>HYPERLINK("http://141.218.60.56/~jnz1568/getInfo.php?workbook=20_13.xlsx&amp;sheet=U0&amp;row=558&amp;col=7&amp;number=0.0432&amp;sourceID=14","0.0432")</f>
        <v>0.0432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HYPERLINK("http://141.218.60.56/~jnz1568/getInfo.php?workbook=20_13.xlsx&amp;sheet=U0&amp;row=559&amp;col=6&amp;number=4.5&amp;sourceID=14","4.5")</f>
        <v>4.5</v>
      </c>
      <c r="G559" s="4" t="str">
        <f>HYPERLINK("http://141.218.60.56/~jnz1568/getInfo.php?workbook=20_13.xlsx&amp;sheet=U0&amp;row=559&amp;col=7&amp;number=0.0428&amp;sourceID=14","0.0428")</f>
        <v>0.0428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HYPERLINK("http://141.218.60.56/~jnz1568/getInfo.php?workbook=20_13.xlsx&amp;sheet=U0&amp;row=560&amp;col=6&amp;number=4.6&amp;sourceID=14","4.6")</f>
        <v>4.6</v>
      </c>
      <c r="G560" s="4" t="str">
        <f>HYPERLINK("http://141.218.60.56/~jnz1568/getInfo.php?workbook=20_13.xlsx&amp;sheet=U0&amp;row=560&amp;col=7&amp;number=0.0423&amp;sourceID=14","0.0423")</f>
        <v>0.0423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HYPERLINK("http://141.218.60.56/~jnz1568/getInfo.php?workbook=20_13.xlsx&amp;sheet=U0&amp;row=561&amp;col=6&amp;number=4.7&amp;sourceID=14","4.7")</f>
        <v>4.7</v>
      </c>
      <c r="G561" s="4" t="str">
        <f>HYPERLINK("http://141.218.60.56/~jnz1568/getInfo.php?workbook=20_13.xlsx&amp;sheet=U0&amp;row=561&amp;col=7&amp;number=0.0417&amp;sourceID=14","0.0417")</f>
        <v>0.0417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HYPERLINK("http://141.218.60.56/~jnz1568/getInfo.php?workbook=20_13.xlsx&amp;sheet=U0&amp;row=562&amp;col=6&amp;number=4.8&amp;sourceID=14","4.8")</f>
        <v>4.8</v>
      </c>
      <c r="G562" s="4" t="str">
        <f>HYPERLINK("http://141.218.60.56/~jnz1568/getInfo.php?workbook=20_13.xlsx&amp;sheet=U0&amp;row=562&amp;col=7&amp;number=0.041&amp;sourceID=14","0.041")</f>
        <v>0.041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HYPERLINK("http://141.218.60.56/~jnz1568/getInfo.php?workbook=20_13.xlsx&amp;sheet=U0&amp;row=563&amp;col=6&amp;number=4.9&amp;sourceID=14","4.9")</f>
        <v>4.9</v>
      </c>
      <c r="G563" s="4" t="str">
        <f>HYPERLINK("http://141.218.60.56/~jnz1568/getInfo.php?workbook=20_13.xlsx&amp;sheet=U0&amp;row=563&amp;col=7&amp;number=0.0402&amp;sourceID=14","0.0402")</f>
        <v>0.0402</v>
      </c>
    </row>
    <row r="564" spans="1:7">
      <c r="A564" s="3">
        <v>20</v>
      </c>
      <c r="B564" s="3">
        <v>13</v>
      </c>
      <c r="C564" s="3">
        <v>1</v>
      </c>
      <c r="D564" s="3">
        <v>30</v>
      </c>
      <c r="E564" s="3">
        <v>1</v>
      </c>
      <c r="F564" s="4" t="str">
        <f>HYPERLINK("http://141.218.60.56/~jnz1568/getInfo.php?workbook=20_13.xlsx&amp;sheet=U0&amp;row=564&amp;col=6&amp;number=3&amp;sourceID=14","3")</f>
        <v>3</v>
      </c>
      <c r="G564" s="4" t="str">
        <f>HYPERLINK("http://141.218.60.56/~jnz1568/getInfo.php?workbook=20_13.xlsx&amp;sheet=U0&amp;row=564&amp;col=7&amp;number=0.0416&amp;sourceID=14","0.0416")</f>
        <v>0.0416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HYPERLINK("http://141.218.60.56/~jnz1568/getInfo.php?workbook=20_13.xlsx&amp;sheet=U0&amp;row=565&amp;col=6&amp;number=3.1&amp;sourceID=14","3.1")</f>
        <v>3.1</v>
      </c>
      <c r="G565" s="4" t="str">
        <f>HYPERLINK("http://141.218.60.56/~jnz1568/getInfo.php?workbook=20_13.xlsx&amp;sheet=U0&amp;row=565&amp;col=7&amp;number=0.0415&amp;sourceID=14","0.0415")</f>
        <v>0.0415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HYPERLINK("http://141.218.60.56/~jnz1568/getInfo.php?workbook=20_13.xlsx&amp;sheet=U0&amp;row=566&amp;col=6&amp;number=3.2&amp;sourceID=14","3.2")</f>
        <v>3.2</v>
      </c>
      <c r="G566" s="4" t="str">
        <f>HYPERLINK("http://141.218.60.56/~jnz1568/getInfo.php?workbook=20_13.xlsx&amp;sheet=U0&amp;row=566&amp;col=7&amp;number=0.0415&amp;sourceID=14","0.0415")</f>
        <v>0.0415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HYPERLINK("http://141.218.60.56/~jnz1568/getInfo.php?workbook=20_13.xlsx&amp;sheet=U0&amp;row=567&amp;col=6&amp;number=3.3&amp;sourceID=14","3.3")</f>
        <v>3.3</v>
      </c>
      <c r="G567" s="4" t="str">
        <f>HYPERLINK("http://141.218.60.56/~jnz1568/getInfo.php?workbook=20_13.xlsx&amp;sheet=U0&amp;row=567&amp;col=7&amp;number=0.0415&amp;sourceID=14","0.0415")</f>
        <v>0.0415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HYPERLINK("http://141.218.60.56/~jnz1568/getInfo.php?workbook=20_13.xlsx&amp;sheet=U0&amp;row=568&amp;col=6&amp;number=3.4&amp;sourceID=14","3.4")</f>
        <v>3.4</v>
      </c>
      <c r="G568" s="4" t="str">
        <f>HYPERLINK("http://141.218.60.56/~jnz1568/getInfo.php?workbook=20_13.xlsx&amp;sheet=U0&amp;row=568&amp;col=7&amp;number=0.0415&amp;sourceID=14","0.0415")</f>
        <v>0.0415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HYPERLINK("http://141.218.60.56/~jnz1568/getInfo.php?workbook=20_13.xlsx&amp;sheet=U0&amp;row=569&amp;col=6&amp;number=3.5&amp;sourceID=14","3.5")</f>
        <v>3.5</v>
      </c>
      <c r="G569" s="4" t="str">
        <f>HYPERLINK("http://141.218.60.56/~jnz1568/getInfo.php?workbook=20_13.xlsx&amp;sheet=U0&amp;row=569&amp;col=7&amp;number=0.0415&amp;sourceID=14","0.0415")</f>
        <v>0.0415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HYPERLINK("http://141.218.60.56/~jnz1568/getInfo.php?workbook=20_13.xlsx&amp;sheet=U0&amp;row=570&amp;col=6&amp;number=3.6&amp;sourceID=14","3.6")</f>
        <v>3.6</v>
      </c>
      <c r="G570" s="4" t="str">
        <f>HYPERLINK("http://141.218.60.56/~jnz1568/getInfo.php?workbook=20_13.xlsx&amp;sheet=U0&amp;row=570&amp;col=7&amp;number=0.0414&amp;sourceID=14","0.0414")</f>
        <v>0.0414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HYPERLINK("http://141.218.60.56/~jnz1568/getInfo.php?workbook=20_13.xlsx&amp;sheet=U0&amp;row=571&amp;col=6&amp;number=3.7&amp;sourceID=14","3.7")</f>
        <v>3.7</v>
      </c>
      <c r="G571" s="4" t="str">
        <f>HYPERLINK("http://141.218.60.56/~jnz1568/getInfo.php?workbook=20_13.xlsx&amp;sheet=U0&amp;row=571&amp;col=7&amp;number=0.0414&amp;sourceID=14","0.0414")</f>
        <v>0.0414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HYPERLINK("http://141.218.60.56/~jnz1568/getInfo.php?workbook=20_13.xlsx&amp;sheet=U0&amp;row=572&amp;col=6&amp;number=3.8&amp;sourceID=14","3.8")</f>
        <v>3.8</v>
      </c>
      <c r="G572" s="4" t="str">
        <f>HYPERLINK("http://141.218.60.56/~jnz1568/getInfo.php?workbook=20_13.xlsx&amp;sheet=U0&amp;row=572&amp;col=7&amp;number=0.0413&amp;sourceID=14","0.0413")</f>
        <v>0.0413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HYPERLINK("http://141.218.60.56/~jnz1568/getInfo.php?workbook=20_13.xlsx&amp;sheet=U0&amp;row=573&amp;col=6&amp;number=3.9&amp;sourceID=14","3.9")</f>
        <v>3.9</v>
      </c>
      <c r="G573" s="4" t="str">
        <f>HYPERLINK("http://141.218.60.56/~jnz1568/getInfo.php?workbook=20_13.xlsx&amp;sheet=U0&amp;row=573&amp;col=7&amp;number=0.0412&amp;sourceID=14","0.0412")</f>
        <v>0.0412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HYPERLINK("http://141.218.60.56/~jnz1568/getInfo.php?workbook=20_13.xlsx&amp;sheet=U0&amp;row=574&amp;col=6&amp;number=4&amp;sourceID=14","4")</f>
        <v>4</v>
      </c>
      <c r="G574" s="4" t="str">
        <f>HYPERLINK("http://141.218.60.56/~jnz1568/getInfo.php?workbook=20_13.xlsx&amp;sheet=U0&amp;row=574&amp;col=7&amp;number=0.0412&amp;sourceID=14","0.0412")</f>
        <v>0.0412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HYPERLINK("http://141.218.60.56/~jnz1568/getInfo.php?workbook=20_13.xlsx&amp;sheet=U0&amp;row=575&amp;col=6&amp;number=4.1&amp;sourceID=14","4.1")</f>
        <v>4.1</v>
      </c>
      <c r="G575" s="4" t="str">
        <f>HYPERLINK("http://141.218.60.56/~jnz1568/getInfo.php?workbook=20_13.xlsx&amp;sheet=U0&amp;row=575&amp;col=7&amp;number=0.041&amp;sourceID=14","0.041")</f>
        <v>0.041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HYPERLINK("http://141.218.60.56/~jnz1568/getInfo.php?workbook=20_13.xlsx&amp;sheet=U0&amp;row=576&amp;col=6&amp;number=4.2&amp;sourceID=14","4.2")</f>
        <v>4.2</v>
      </c>
      <c r="G576" s="4" t="str">
        <f>HYPERLINK("http://141.218.60.56/~jnz1568/getInfo.php?workbook=20_13.xlsx&amp;sheet=U0&amp;row=576&amp;col=7&amp;number=0.0409&amp;sourceID=14","0.0409")</f>
        <v>0.0409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HYPERLINK("http://141.218.60.56/~jnz1568/getInfo.php?workbook=20_13.xlsx&amp;sheet=U0&amp;row=577&amp;col=6&amp;number=4.3&amp;sourceID=14","4.3")</f>
        <v>4.3</v>
      </c>
      <c r="G577" s="4" t="str">
        <f>HYPERLINK("http://141.218.60.56/~jnz1568/getInfo.php?workbook=20_13.xlsx&amp;sheet=U0&amp;row=577&amp;col=7&amp;number=0.0407&amp;sourceID=14","0.0407")</f>
        <v>0.0407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HYPERLINK("http://141.218.60.56/~jnz1568/getInfo.php?workbook=20_13.xlsx&amp;sheet=U0&amp;row=578&amp;col=6&amp;number=4.4&amp;sourceID=14","4.4")</f>
        <v>4.4</v>
      </c>
      <c r="G578" s="4" t="str">
        <f>HYPERLINK("http://141.218.60.56/~jnz1568/getInfo.php?workbook=20_13.xlsx&amp;sheet=U0&amp;row=578&amp;col=7&amp;number=0.0405&amp;sourceID=14","0.0405")</f>
        <v>0.0405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HYPERLINK("http://141.218.60.56/~jnz1568/getInfo.php?workbook=20_13.xlsx&amp;sheet=U0&amp;row=579&amp;col=6&amp;number=4.5&amp;sourceID=14","4.5")</f>
        <v>4.5</v>
      </c>
      <c r="G579" s="4" t="str">
        <f>HYPERLINK("http://141.218.60.56/~jnz1568/getInfo.php?workbook=20_13.xlsx&amp;sheet=U0&amp;row=579&amp;col=7&amp;number=0.0402&amp;sourceID=14","0.0402")</f>
        <v>0.0402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HYPERLINK("http://141.218.60.56/~jnz1568/getInfo.php?workbook=20_13.xlsx&amp;sheet=U0&amp;row=580&amp;col=6&amp;number=4.6&amp;sourceID=14","4.6")</f>
        <v>4.6</v>
      </c>
      <c r="G580" s="4" t="str">
        <f>HYPERLINK("http://141.218.60.56/~jnz1568/getInfo.php?workbook=20_13.xlsx&amp;sheet=U0&amp;row=580&amp;col=7&amp;number=0.0399&amp;sourceID=14","0.0399")</f>
        <v>0.0399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HYPERLINK("http://141.218.60.56/~jnz1568/getInfo.php?workbook=20_13.xlsx&amp;sheet=U0&amp;row=581&amp;col=6&amp;number=4.7&amp;sourceID=14","4.7")</f>
        <v>4.7</v>
      </c>
      <c r="G581" s="4" t="str">
        <f>HYPERLINK("http://141.218.60.56/~jnz1568/getInfo.php?workbook=20_13.xlsx&amp;sheet=U0&amp;row=581&amp;col=7&amp;number=0.0395&amp;sourceID=14","0.0395")</f>
        <v>0.0395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HYPERLINK("http://141.218.60.56/~jnz1568/getInfo.php?workbook=20_13.xlsx&amp;sheet=U0&amp;row=582&amp;col=6&amp;number=4.8&amp;sourceID=14","4.8")</f>
        <v>4.8</v>
      </c>
      <c r="G582" s="4" t="str">
        <f>HYPERLINK("http://141.218.60.56/~jnz1568/getInfo.php?workbook=20_13.xlsx&amp;sheet=U0&amp;row=582&amp;col=7&amp;number=0.0391&amp;sourceID=14","0.0391")</f>
        <v>0.0391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HYPERLINK("http://141.218.60.56/~jnz1568/getInfo.php?workbook=20_13.xlsx&amp;sheet=U0&amp;row=583&amp;col=6&amp;number=4.9&amp;sourceID=14","4.9")</f>
        <v>4.9</v>
      </c>
      <c r="G583" s="4" t="str">
        <f>HYPERLINK("http://141.218.60.56/~jnz1568/getInfo.php?workbook=20_13.xlsx&amp;sheet=U0&amp;row=583&amp;col=7&amp;number=0.0386&amp;sourceID=14","0.0386")</f>
        <v>0.0386</v>
      </c>
    </row>
    <row r="584" spans="1:7">
      <c r="A584" s="3">
        <v>20</v>
      </c>
      <c r="B584" s="3">
        <v>13</v>
      </c>
      <c r="C584" s="3">
        <v>1</v>
      </c>
      <c r="D584" s="3">
        <v>31</v>
      </c>
      <c r="E584" s="3">
        <v>1</v>
      </c>
      <c r="F584" s="4" t="str">
        <f>HYPERLINK("http://141.218.60.56/~jnz1568/getInfo.php?workbook=20_13.xlsx&amp;sheet=U0&amp;row=584&amp;col=6&amp;number=3&amp;sourceID=14","3")</f>
        <v>3</v>
      </c>
      <c r="G584" s="4" t="str">
        <f>HYPERLINK("http://141.218.60.56/~jnz1568/getInfo.php?workbook=20_13.xlsx&amp;sheet=U0&amp;row=584&amp;col=7&amp;number=0.417&amp;sourceID=14","0.417")</f>
        <v>0.417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HYPERLINK("http://141.218.60.56/~jnz1568/getInfo.php?workbook=20_13.xlsx&amp;sheet=U0&amp;row=585&amp;col=6&amp;number=3.1&amp;sourceID=14","3.1")</f>
        <v>3.1</v>
      </c>
      <c r="G585" s="4" t="str">
        <f>HYPERLINK("http://141.218.60.56/~jnz1568/getInfo.php?workbook=20_13.xlsx&amp;sheet=U0&amp;row=585&amp;col=7&amp;number=0.417&amp;sourceID=14","0.417")</f>
        <v>0.417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HYPERLINK("http://141.218.60.56/~jnz1568/getInfo.php?workbook=20_13.xlsx&amp;sheet=U0&amp;row=586&amp;col=6&amp;number=3.2&amp;sourceID=14","3.2")</f>
        <v>3.2</v>
      </c>
      <c r="G586" s="4" t="str">
        <f>HYPERLINK("http://141.218.60.56/~jnz1568/getInfo.php?workbook=20_13.xlsx&amp;sheet=U0&amp;row=586&amp;col=7&amp;number=0.417&amp;sourceID=14","0.417")</f>
        <v>0.417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HYPERLINK("http://141.218.60.56/~jnz1568/getInfo.php?workbook=20_13.xlsx&amp;sheet=U0&amp;row=587&amp;col=6&amp;number=3.3&amp;sourceID=14","3.3")</f>
        <v>3.3</v>
      </c>
      <c r="G587" s="4" t="str">
        <f>HYPERLINK("http://141.218.60.56/~jnz1568/getInfo.php?workbook=20_13.xlsx&amp;sheet=U0&amp;row=587&amp;col=7&amp;number=0.417&amp;sourceID=14","0.417")</f>
        <v>0.417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HYPERLINK("http://141.218.60.56/~jnz1568/getInfo.php?workbook=20_13.xlsx&amp;sheet=U0&amp;row=588&amp;col=6&amp;number=3.4&amp;sourceID=14","3.4")</f>
        <v>3.4</v>
      </c>
      <c r="G588" s="4" t="str">
        <f>HYPERLINK("http://141.218.60.56/~jnz1568/getInfo.php?workbook=20_13.xlsx&amp;sheet=U0&amp;row=588&amp;col=7&amp;number=0.417&amp;sourceID=14","0.417")</f>
        <v>0.417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HYPERLINK("http://141.218.60.56/~jnz1568/getInfo.php?workbook=20_13.xlsx&amp;sheet=U0&amp;row=589&amp;col=6&amp;number=3.5&amp;sourceID=14","3.5")</f>
        <v>3.5</v>
      </c>
      <c r="G589" s="4" t="str">
        <f>HYPERLINK("http://141.218.60.56/~jnz1568/getInfo.php?workbook=20_13.xlsx&amp;sheet=U0&amp;row=589&amp;col=7&amp;number=0.418&amp;sourceID=14","0.418")</f>
        <v>0.418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HYPERLINK("http://141.218.60.56/~jnz1568/getInfo.php?workbook=20_13.xlsx&amp;sheet=U0&amp;row=590&amp;col=6&amp;number=3.6&amp;sourceID=14","3.6")</f>
        <v>3.6</v>
      </c>
      <c r="G590" s="4" t="str">
        <f>HYPERLINK("http://141.218.60.56/~jnz1568/getInfo.php?workbook=20_13.xlsx&amp;sheet=U0&amp;row=590&amp;col=7&amp;number=0.418&amp;sourceID=14","0.418")</f>
        <v>0.418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HYPERLINK("http://141.218.60.56/~jnz1568/getInfo.php?workbook=20_13.xlsx&amp;sheet=U0&amp;row=591&amp;col=6&amp;number=3.7&amp;sourceID=14","3.7")</f>
        <v>3.7</v>
      </c>
      <c r="G591" s="4" t="str">
        <f>HYPERLINK("http://141.218.60.56/~jnz1568/getInfo.php?workbook=20_13.xlsx&amp;sheet=U0&amp;row=591&amp;col=7&amp;number=0.418&amp;sourceID=14","0.418")</f>
        <v>0.418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HYPERLINK("http://141.218.60.56/~jnz1568/getInfo.php?workbook=20_13.xlsx&amp;sheet=U0&amp;row=592&amp;col=6&amp;number=3.8&amp;sourceID=14","3.8")</f>
        <v>3.8</v>
      </c>
      <c r="G592" s="4" t="str">
        <f>HYPERLINK("http://141.218.60.56/~jnz1568/getInfo.php?workbook=20_13.xlsx&amp;sheet=U0&amp;row=592&amp;col=7&amp;number=0.418&amp;sourceID=14","0.418")</f>
        <v>0.418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HYPERLINK("http://141.218.60.56/~jnz1568/getInfo.php?workbook=20_13.xlsx&amp;sheet=U0&amp;row=593&amp;col=6&amp;number=3.9&amp;sourceID=14","3.9")</f>
        <v>3.9</v>
      </c>
      <c r="G593" s="4" t="str">
        <f>HYPERLINK("http://141.218.60.56/~jnz1568/getInfo.php?workbook=20_13.xlsx&amp;sheet=U0&amp;row=593&amp;col=7&amp;number=0.418&amp;sourceID=14","0.418")</f>
        <v>0.418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HYPERLINK("http://141.218.60.56/~jnz1568/getInfo.php?workbook=20_13.xlsx&amp;sheet=U0&amp;row=594&amp;col=6&amp;number=4&amp;sourceID=14","4")</f>
        <v>4</v>
      </c>
      <c r="G594" s="4" t="str">
        <f>HYPERLINK("http://141.218.60.56/~jnz1568/getInfo.php?workbook=20_13.xlsx&amp;sheet=U0&amp;row=594&amp;col=7&amp;number=0.419&amp;sourceID=14","0.419")</f>
        <v>0.419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HYPERLINK("http://141.218.60.56/~jnz1568/getInfo.php?workbook=20_13.xlsx&amp;sheet=U0&amp;row=595&amp;col=6&amp;number=4.1&amp;sourceID=14","4.1")</f>
        <v>4.1</v>
      </c>
      <c r="G595" s="4" t="str">
        <f>HYPERLINK("http://141.218.60.56/~jnz1568/getInfo.php?workbook=20_13.xlsx&amp;sheet=U0&amp;row=595&amp;col=7&amp;number=0.419&amp;sourceID=14","0.419")</f>
        <v>0.419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HYPERLINK("http://141.218.60.56/~jnz1568/getInfo.php?workbook=20_13.xlsx&amp;sheet=U0&amp;row=596&amp;col=6&amp;number=4.2&amp;sourceID=14","4.2")</f>
        <v>4.2</v>
      </c>
      <c r="G596" s="4" t="str">
        <f>HYPERLINK("http://141.218.60.56/~jnz1568/getInfo.php?workbook=20_13.xlsx&amp;sheet=U0&amp;row=596&amp;col=7&amp;number=0.42&amp;sourceID=14","0.42")</f>
        <v>0.42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HYPERLINK("http://141.218.60.56/~jnz1568/getInfo.php?workbook=20_13.xlsx&amp;sheet=U0&amp;row=597&amp;col=6&amp;number=4.3&amp;sourceID=14","4.3")</f>
        <v>4.3</v>
      </c>
      <c r="G597" s="4" t="str">
        <f>HYPERLINK("http://141.218.60.56/~jnz1568/getInfo.php?workbook=20_13.xlsx&amp;sheet=U0&amp;row=597&amp;col=7&amp;number=0.421&amp;sourceID=14","0.421")</f>
        <v>0.421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HYPERLINK("http://141.218.60.56/~jnz1568/getInfo.php?workbook=20_13.xlsx&amp;sheet=U0&amp;row=598&amp;col=6&amp;number=4.4&amp;sourceID=14","4.4")</f>
        <v>4.4</v>
      </c>
      <c r="G598" s="4" t="str">
        <f>HYPERLINK("http://141.218.60.56/~jnz1568/getInfo.php?workbook=20_13.xlsx&amp;sheet=U0&amp;row=598&amp;col=7&amp;number=0.422&amp;sourceID=14","0.422")</f>
        <v>0.422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HYPERLINK("http://141.218.60.56/~jnz1568/getInfo.php?workbook=20_13.xlsx&amp;sheet=U0&amp;row=599&amp;col=6&amp;number=4.5&amp;sourceID=14","4.5")</f>
        <v>4.5</v>
      </c>
      <c r="G599" s="4" t="str">
        <f>HYPERLINK("http://141.218.60.56/~jnz1568/getInfo.php?workbook=20_13.xlsx&amp;sheet=U0&amp;row=599&amp;col=7&amp;number=0.423&amp;sourceID=14","0.423")</f>
        <v>0.423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HYPERLINK("http://141.218.60.56/~jnz1568/getInfo.php?workbook=20_13.xlsx&amp;sheet=U0&amp;row=600&amp;col=6&amp;number=4.6&amp;sourceID=14","4.6")</f>
        <v>4.6</v>
      </c>
      <c r="G600" s="4" t="str">
        <f>HYPERLINK("http://141.218.60.56/~jnz1568/getInfo.php?workbook=20_13.xlsx&amp;sheet=U0&amp;row=600&amp;col=7&amp;number=0.424&amp;sourceID=14","0.424")</f>
        <v>0.424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HYPERLINK("http://141.218.60.56/~jnz1568/getInfo.php?workbook=20_13.xlsx&amp;sheet=U0&amp;row=601&amp;col=6&amp;number=4.7&amp;sourceID=14","4.7")</f>
        <v>4.7</v>
      </c>
      <c r="G601" s="4" t="str">
        <f>HYPERLINK("http://141.218.60.56/~jnz1568/getInfo.php?workbook=20_13.xlsx&amp;sheet=U0&amp;row=601&amp;col=7&amp;number=0.426&amp;sourceID=14","0.426")</f>
        <v>0.426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HYPERLINK("http://141.218.60.56/~jnz1568/getInfo.php?workbook=20_13.xlsx&amp;sheet=U0&amp;row=602&amp;col=6&amp;number=4.8&amp;sourceID=14","4.8")</f>
        <v>4.8</v>
      </c>
      <c r="G602" s="4" t="str">
        <f>HYPERLINK("http://141.218.60.56/~jnz1568/getInfo.php?workbook=20_13.xlsx&amp;sheet=U0&amp;row=602&amp;col=7&amp;number=0.429&amp;sourceID=14","0.429")</f>
        <v>0.429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HYPERLINK("http://141.218.60.56/~jnz1568/getInfo.php?workbook=20_13.xlsx&amp;sheet=U0&amp;row=603&amp;col=6&amp;number=4.9&amp;sourceID=14","4.9")</f>
        <v>4.9</v>
      </c>
      <c r="G603" s="4" t="str">
        <f>HYPERLINK("http://141.218.60.56/~jnz1568/getInfo.php?workbook=20_13.xlsx&amp;sheet=U0&amp;row=603&amp;col=7&amp;number=0.431&amp;sourceID=14","0.431")</f>
        <v>0.431</v>
      </c>
    </row>
    <row r="604" spans="1:7">
      <c r="A604" s="3">
        <v>20</v>
      </c>
      <c r="B604" s="3">
        <v>13</v>
      </c>
      <c r="C604" s="3">
        <v>1</v>
      </c>
      <c r="D604" s="3">
        <v>32</v>
      </c>
      <c r="E604" s="3">
        <v>1</v>
      </c>
      <c r="F604" s="4" t="str">
        <f>HYPERLINK("http://141.218.60.56/~jnz1568/getInfo.php?workbook=20_13.xlsx&amp;sheet=U0&amp;row=604&amp;col=6&amp;number=3&amp;sourceID=14","3")</f>
        <v>3</v>
      </c>
      <c r="G604" s="4" t="str">
        <f>HYPERLINK("http://141.218.60.56/~jnz1568/getInfo.php?workbook=20_13.xlsx&amp;sheet=U0&amp;row=604&amp;col=7&amp;number=0.0235&amp;sourceID=14","0.0235")</f>
        <v>0.0235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HYPERLINK("http://141.218.60.56/~jnz1568/getInfo.php?workbook=20_13.xlsx&amp;sheet=U0&amp;row=605&amp;col=6&amp;number=3.1&amp;sourceID=14","3.1")</f>
        <v>3.1</v>
      </c>
      <c r="G605" s="4" t="str">
        <f>HYPERLINK("http://141.218.60.56/~jnz1568/getInfo.php?workbook=20_13.xlsx&amp;sheet=U0&amp;row=605&amp;col=7&amp;number=0.0235&amp;sourceID=14","0.0235")</f>
        <v>0.0235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HYPERLINK("http://141.218.60.56/~jnz1568/getInfo.php?workbook=20_13.xlsx&amp;sheet=U0&amp;row=606&amp;col=6&amp;number=3.2&amp;sourceID=14","3.2")</f>
        <v>3.2</v>
      </c>
      <c r="G606" s="4" t="str">
        <f>HYPERLINK("http://141.218.60.56/~jnz1568/getInfo.php?workbook=20_13.xlsx&amp;sheet=U0&amp;row=606&amp;col=7&amp;number=0.0234&amp;sourceID=14","0.0234")</f>
        <v>0.0234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HYPERLINK("http://141.218.60.56/~jnz1568/getInfo.php?workbook=20_13.xlsx&amp;sheet=U0&amp;row=607&amp;col=6&amp;number=3.3&amp;sourceID=14","3.3")</f>
        <v>3.3</v>
      </c>
      <c r="G607" s="4" t="str">
        <f>HYPERLINK("http://141.218.60.56/~jnz1568/getInfo.php?workbook=20_13.xlsx&amp;sheet=U0&amp;row=607&amp;col=7&amp;number=0.0234&amp;sourceID=14","0.0234")</f>
        <v>0.0234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HYPERLINK("http://141.218.60.56/~jnz1568/getInfo.php?workbook=20_13.xlsx&amp;sheet=U0&amp;row=608&amp;col=6&amp;number=3.4&amp;sourceID=14","3.4")</f>
        <v>3.4</v>
      </c>
      <c r="G608" s="4" t="str">
        <f>HYPERLINK("http://141.218.60.56/~jnz1568/getInfo.php?workbook=20_13.xlsx&amp;sheet=U0&amp;row=608&amp;col=7&amp;number=0.0233&amp;sourceID=14","0.0233")</f>
        <v>0.0233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HYPERLINK("http://141.218.60.56/~jnz1568/getInfo.php?workbook=20_13.xlsx&amp;sheet=U0&amp;row=609&amp;col=6&amp;number=3.5&amp;sourceID=14","3.5")</f>
        <v>3.5</v>
      </c>
      <c r="G609" s="4" t="str">
        <f>HYPERLINK("http://141.218.60.56/~jnz1568/getInfo.php?workbook=20_13.xlsx&amp;sheet=U0&amp;row=609&amp;col=7&amp;number=0.0232&amp;sourceID=14","0.0232")</f>
        <v>0.0232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HYPERLINK("http://141.218.60.56/~jnz1568/getInfo.php?workbook=20_13.xlsx&amp;sheet=U0&amp;row=610&amp;col=6&amp;number=3.6&amp;sourceID=14","3.6")</f>
        <v>3.6</v>
      </c>
      <c r="G610" s="4" t="str">
        <f>HYPERLINK("http://141.218.60.56/~jnz1568/getInfo.php?workbook=20_13.xlsx&amp;sheet=U0&amp;row=610&amp;col=7&amp;number=0.023&amp;sourceID=14","0.023")</f>
        <v>0.023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HYPERLINK("http://141.218.60.56/~jnz1568/getInfo.php?workbook=20_13.xlsx&amp;sheet=U0&amp;row=611&amp;col=6&amp;number=3.7&amp;sourceID=14","3.7")</f>
        <v>3.7</v>
      </c>
      <c r="G611" s="4" t="str">
        <f>HYPERLINK("http://141.218.60.56/~jnz1568/getInfo.php?workbook=20_13.xlsx&amp;sheet=U0&amp;row=611&amp;col=7&amp;number=0.0228&amp;sourceID=14","0.0228")</f>
        <v>0.0228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HYPERLINK("http://141.218.60.56/~jnz1568/getInfo.php?workbook=20_13.xlsx&amp;sheet=U0&amp;row=612&amp;col=6&amp;number=3.8&amp;sourceID=14","3.8")</f>
        <v>3.8</v>
      </c>
      <c r="G612" s="4" t="str">
        <f>HYPERLINK("http://141.218.60.56/~jnz1568/getInfo.php?workbook=20_13.xlsx&amp;sheet=U0&amp;row=612&amp;col=7&amp;number=0.0226&amp;sourceID=14","0.0226")</f>
        <v>0.0226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HYPERLINK("http://141.218.60.56/~jnz1568/getInfo.php?workbook=20_13.xlsx&amp;sheet=U0&amp;row=613&amp;col=6&amp;number=3.9&amp;sourceID=14","3.9")</f>
        <v>3.9</v>
      </c>
      <c r="G613" s="4" t="str">
        <f>HYPERLINK("http://141.218.60.56/~jnz1568/getInfo.php?workbook=20_13.xlsx&amp;sheet=U0&amp;row=613&amp;col=7&amp;number=0.0223&amp;sourceID=14","0.0223")</f>
        <v>0.0223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HYPERLINK("http://141.218.60.56/~jnz1568/getInfo.php?workbook=20_13.xlsx&amp;sheet=U0&amp;row=614&amp;col=6&amp;number=4&amp;sourceID=14","4")</f>
        <v>4</v>
      </c>
      <c r="G614" s="4" t="str">
        <f>HYPERLINK("http://141.218.60.56/~jnz1568/getInfo.php?workbook=20_13.xlsx&amp;sheet=U0&amp;row=614&amp;col=7&amp;number=0.022&amp;sourceID=14","0.022")</f>
        <v>0.022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HYPERLINK("http://141.218.60.56/~jnz1568/getInfo.php?workbook=20_13.xlsx&amp;sheet=U0&amp;row=615&amp;col=6&amp;number=4.1&amp;sourceID=14","4.1")</f>
        <v>4.1</v>
      </c>
      <c r="G615" s="4" t="str">
        <f>HYPERLINK("http://141.218.60.56/~jnz1568/getInfo.php?workbook=20_13.xlsx&amp;sheet=U0&amp;row=615&amp;col=7&amp;number=0.0216&amp;sourceID=14","0.0216")</f>
        <v>0.0216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HYPERLINK("http://141.218.60.56/~jnz1568/getInfo.php?workbook=20_13.xlsx&amp;sheet=U0&amp;row=616&amp;col=6&amp;number=4.2&amp;sourceID=14","4.2")</f>
        <v>4.2</v>
      </c>
      <c r="G616" s="4" t="str">
        <f>HYPERLINK("http://141.218.60.56/~jnz1568/getInfo.php?workbook=20_13.xlsx&amp;sheet=U0&amp;row=616&amp;col=7&amp;number=0.021&amp;sourceID=14","0.021")</f>
        <v>0.021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HYPERLINK("http://141.218.60.56/~jnz1568/getInfo.php?workbook=20_13.xlsx&amp;sheet=U0&amp;row=617&amp;col=6&amp;number=4.3&amp;sourceID=14","4.3")</f>
        <v>4.3</v>
      </c>
      <c r="G617" s="4" t="str">
        <f>HYPERLINK("http://141.218.60.56/~jnz1568/getInfo.php?workbook=20_13.xlsx&amp;sheet=U0&amp;row=617&amp;col=7&amp;number=0.0204&amp;sourceID=14","0.0204")</f>
        <v>0.0204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HYPERLINK("http://141.218.60.56/~jnz1568/getInfo.php?workbook=20_13.xlsx&amp;sheet=U0&amp;row=618&amp;col=6&amp;number=4.4&amp;sourceID=14","4.4")</f>
        <v>4.4</v>
      </c>
      <c r="G618" s="4" t="str">
        <f>HYPERLINK("http://141.218.60.56/~jnz1568/getInfo.php?workbook=20_13.xlsx&amp;sheet=U0&amp;row=618&amp;col=7&amp;number=0.0196&amp;sourceID=14","0.0196")</f>
        <v>0.0196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HYPERLINK("http://141.218.60.56/~jnz1568/getInfo.php?workbook=20_13.xlsx&amp;sheet=U0&amp;row=619&amp;col=6&amp;number=4.5&amp;sourceID=14","4.5")</f>
        <v>4.5</v>
      </c>
      <c r="G619" s="4" t="str">
        <f>HYPERLINK("http://141.218.60.56/~jnz1568/getInfo.php?workbook=20_13.xlsx&amp;sheet=U0&amp;row=619&amp;col=7&amp;number=0.0186&amp;sourceID=14","0.0186")</f>
        <v>0.0186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HYPERLINK("http://141.218.60.56/~jnz1568/getInfo.php?workbook=20_13.xlsx&amp;sheet=U0&amp;row=620&amp;col=6&amp;number=4.6&amp;sourceID=14","4.6")</f>
        <v>4.6</v>
      </c>
      <c r="G620" s="4" t="str">
        <f>HYPERLINK("http://141.218.60.56/~jnz1568/getInfo.php?workbook=20_13.xlsx&amp;sheet=U0&amp;row=620&amp;col=7&amp;number=0.0175&amp;sourceID=14","0.0175")</f>
        <v>0.0175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HYPERLINK("http://141.218.60.56/~jnz1568/getInfo.php?workbook=20_13.xlsx&amp;sheet=U0&amp;row=621&amp;col=6&amp;number=4.7&amp;sourceID=14","4.7")</f>
        <v>4.7</v>
      </c>
      <c r="G621" s="4" t="str">
        <f>HYPERLINK("http://141.218.60.56/~jnz1568/getInfo.php?workbook=20_13.xlsx&amp;sheet=U0&amp;row=621&amp;col=7&amp;number=0.0161&amp;sourceID=14","0.0161")</f>
        <v>0.0161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HYPERLINK("http://141.218.60.56/~jnz1568/getInfo.php?workbook=20_13.xlsx&amp;sheet=U0&amp;row=622&amp;col=6&amp;number=4.8&amp;sourceID=14","4.8")</f>
        <v>4.8</v>
      </c>
      <c r="G622" s="4" t="str">
        <f>HYPERLINK("http://141.218.60.56/~jnz1568/getInfo.php?workbook=20_13.xlsx&amp;sheet=U0&amp;row=622&amp;col=7&amp;number=0.0147&amp;sourceID=14","0.0147")</f>
        <v>0.0147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HYPERLINK("http://141.218.60.56/~jnz1568/getInfo.php?workbook=20_13.xlsx&amp;sheet=U0&amp;row=623&amp;col=6&amp;number=4.9&amp;sourceID=14","4.9")</f>
        <v>4.9</v>
      </c>
      <c r="G623" s="4" t="str">
        <f>HYPERLINK("http://141.218.60.56/~jnz1568/getInfo.php?workbook=20_13.xlsx&amp;sheet=U0&amp;row=623&amp;col=7&amp;number=0.0132&amp;sourceID=14","0.0132")</f>
        <v>0.0132</v>
      </c>
    </row>
    <row r="624" spans="1:7">
      <c r="A624" s="3">
        <v>20</v>
      </c>
      <c r="B624" s="3">
        <v>13</v>
      </c>
      <c r="C624" s="3">
        <v>1</v>
      </c>
      <c r="D624" s="3">
        <v>33</v>
      </c>
      <c r="E624" s="3">
        <v>1</v>
      </c>
      <c r="F624" s="4" t="str">
        <f>HYPERLINK("http://141.218.60.56/~jnz1568/getInfo.php?workbook=20_13.xlsx&amp;sheet=U0&amp;row=624&amp;col=6&amp;number=3&amp;sourceID=14","3")</f>
        <v>3</v>
      </c>
      <c r="G624" s="4" t="str">
        <f>HYPERLINK("http://141.218.60.56/~jnz1568/getInfo.php?workbook=20_13.xlsx&amp;sheet=U0&amp;row=624&amp;col=7&amp;number=0.144&amp;sourceID=14","0.144")</f>
        <v>0.144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HYPERLINK("http://141.218.60.56/~jnz1568/getInfo.php?workbook=20_13.xlsx&amp;sheet=U0&amp;row=625&amp;col=6&amp;number=3.1&amp;sourceID=14","3.1")</f>
        <v>3.1</v>
      </c>
      <c r="G625" s="4" t="str">
        <f>HYPERLINK("http://141.218.60.56/~jnz1568/getInfo.php?workbook=20_13.xlsx&amp;sheet=U0&amp;row=625&amp;col=7&amp;number=0.144&amp;sourceID=14","0.144")</f>
        <v>0.144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HYPERLINK("http://141.218.60.56/~jnz1568/getInfo.php?workbook=20_13.xlsx&amp;sheet=U0&amp;row=626&amp;col=6&amp;number=3.2&amp;sourceID=14","3.2")</f>
        <v>3.2</v>
      </c>
      <c r="G626" s="4" t="str">
        <f>HYPERLINK("http://141.218.60.56/~jnz1568/getInfo.php?workbook=20_13.xlsx&amp;sheet=U0&amp;row=626&amp;col=7&amp;number=0.144&amp;sourceID=14","0.144")</f>
        <v>0.144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HYPERLINK("http://141.218.60.56/~jnz1568/getInfo.php?workbook=20_13.xlsx&amp;sheet=U0&amp;row=627&amp;col=6&amp;number=3.3&amp;sourceID=14","3.3")</f>
        <v>3.3</v>
      </c>
      <c r="G627" s="4" t="str">
        <f>HYPERLINK("http://141.218.60.56/~jnz1568/getInfo.php?workbook=20_13.xlsx&amp;sheet=U0&amp;row=627&amp;col=7&amp;number=0.144&amp;sourceID=14","0.144")</f>
        <v>0.144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HYPERLINK("http://141.218.60.56/~jnz1568/getInfo.php?workbook=20_13.xlsx&amp;sheet=U0&amp;row=628&amp;col=6&amp;number=3.4&amp;sourceID=14","3.4")</f>
        <v>3.4</v>
      </c>
      <c r="G628" s="4" t="str">
        <f>HYPERLINK("http://141.218.60.56/~jnz1568/getInfo.php?workbook=20_13.xlsx&amp;sheet=U0&amp;row=628&amp;col=7&amp;number=0.144&amp;sourceID=14","0.144")</f>
        <v>0.144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HYPERLINK("http://141.218.60.56/~jnz1568/getInfo.php?workbook=20_13.xlsx&amp;sheet=U0&amp;row=629&amp;col=6&amp;number=3.5&amp;sourceID=14","3.5")</f>
        <v>3.5</v>
      </c>
      <c r="G629" s="4" t="str">
        <f>HYPERLINK("http://141.218.60.56/~jnz1568/getInfo.php?workbook=20_13.xlsx&amp;sheet=U0&amp;row=629&amp;col=7&amp;number=0.145&amp;sourceID=14","0.145")</f>
        <v>0.145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HYPERLINK("http://141.218.60.56/~jnz1568/getInfo.php?workbook=20_13.xlsx&amp;sheet=U0&amp;row=630&amp;col=6&amp;number=3.6&amp;sourceID=14","3.6")</f>
        <v>3.6</v>
      </c>
      <c r="G630" s="4" t="str">
        <f>HYPERLINK("http://141.218.60.56/~jnz1568/getInfo.php?workbook=20_13.xlsx&amp;sheet=U0&amp;row=630&amp;col=7&amp;number=0.145&amp;sourceID=14","0.145")</f>
        <v>0.145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HYPERLINK("http://141.218.60.56/~jnz1568/getInfo.php?workbook=20_13.xlsx&amp;sheet=U0&amp;row=631&amp;col=6&amp;number=3.7&amp;sourceID=14","3.7")</f>
        <v>3.7</v>
      </c>
      <c r="G631" s="4" t="str">
        <f>HYPERLINK("http://141.218.60.56/~jnz1568/getInfo.php?workbook=20_13.xlsx&amp;sheet=U0&amp;row=631&amp;col=7&amp;number=0.145&amp;sourceID=14","0.145")</f>
        <v>0.145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HYPERLINK("http://141.218.60.56/~jnz1568/getInfo.php?workbook=20_13.xlsx&amp;sheet=U0&amp;row=632&amp;col=6&amp;number=3.8&amp;sourceID=14","3.8")</f>
        <v>3.8</v>
      </c>
      <c r="G632" s="4" t="str">
        <f>HYPERLINK("http://141.218.60.56/~jnz1568/getInfo.php?workbook=20_13.xlsx&amp;sheet=U0&amp;row=632&amp;col=7&amp;number=0.145&amp;sourceID=14","0.145")</f>
        <v>0.145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HYPERLINK("http://141.218.60.56/~jnz1568/getInfo.php?workbook=20_13.xlsx&amp;sheet=U0&amp;row=633&amp;col=6&amp;number=3.9&amp;sourceID=14","3.9")</f>
        <v>3.9</v>
      </c>
      <c r="G633" s="4" t="str">
        <f>HYPERLINK("http://141.218.60.56/~jnz1568/getInfo.php?workbook=20_13.xlsx&amp;sheet=U0&amp;row=633&amp;col=7&amp;number=0.145&amp;sourceID=14","0.145")</f>
        <v>0.145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HYPERLINK("http://141.218.60.56/~jnz1568/getInfo.php?workbook=20_13.xlsx&amp;sheet=U0&amp;row=634&amp;col=6&amp;number=4&amp;sourceID=14","4")</f>
        <v>4</v>
      </c>
      <c r="G634" s="4" t="str">
        <f>HYPERLINK("http://141.218.60.56/~jnz1568/getInfo.php?workbook=20_13.xlsx&amp;sheet=U0&amp;row=634&amp;col=7&amp;number=0.146&amp;sourceID=14","0.146")</f>
        <v>0.146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HYPERLINK("http://141.218.60.56/~jnz1568/getInfo.php?workbook=20_13.xlsx&amp;sheet=U0&amp;row=635&amp;col=6&amp;number=4.1&amp;sourceID=14","4.1")</f>
        <v>4.1</v>
      </c>
      <c r="G635" s="4" t="str">
        <f>HYPERLINK("http://141.218.60.56/~jnz1568/getInfo.php?workbook=20_13.xlsx&amp;sheet=U0&amp;row=635&amp;col=7&amp;number=0.146&amp;sourceID=14","0.146")</f>
        <v>0.146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HYPERLINK("http://141.218.60.56/~jnz1568/getInfo.php?workbook=20_13.xlsx&amp;sheet=U0&amp;row=636&amp;col=6&amp;number=4.2&amp;sourceID=14","4.2")</f>
        <v>4.2</v>
      </c>
      <c r="G636" s="4" t="str">
        <f>HYPERLINK("http://141.218.60.56/~jnz1568/getInfo.php?workbook=20_13.xlsx&amp;sheet=U0&amp;row=636&amp;col=7&amp;number=0.147&amp;sourceID=14","0.147")</f>
        <v>0.147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HYPERLINK("http://141.218.60.56/~jnz1568/getInfo.php?workbook=20_13.xlsx&amp;sheet=U0&amp;row=637&amp;col=6&amp;number=4.3&amp;sourceID=14","4.3")</f>
        <v>4.3</v>
      </c>
      <c r="G637" s="4" t="str">
        <f>HYPERLINK("http://141.218.60.56/~jnz1568/getInfo.php?workbook=20_13.xlsx&amp;sheet=U0&amp;row=637&amp;col=7&amp;number=0.147&amp;sourceID=14","0.147")</f>
        <v>0.147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HYPERLINK("http://141.218.60.56/~jnz1568/getInfo.php?workbook=20_13.xlsx&amp;sheet=U0&amp;row=638&amp;col=6&amp;number=4.4&amp;sourceID=14","4.4")</f>
        <v>4.4</v>
      </c>
      <c r="G638" s="4" t="str">
        <f>HYPERLINK("http://141.218.60.56/~jnz1568/getInfo.php?workbook=20_13.xlsx&amp;sheet=U0&amp;row=638&amp;col=7&amp;number=0.148&amp;sourceID=14","0.148")</f>
        <v>0.148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HYPERLINK("http://141.218.60.56/~jnz1568/getInfo.php?workbook=20_13.xlsx&amp;sheet=U0&amp;row=639&amp;col=6&amp;number=4.5&amp;sourceID=14","4.5")</f>
        <v>4.5</v>
      </c>
      <c r="G639" s="4" t="str">
        <f>HYPERLINK("http://141.218.60.56/~jnz1568/getInfo.php?workbook=20_13.xlsx&amp;sheet=U0&amp;row=639&amp;col=7&amp;number=0.149&amp;sourceID=14","0.149")</f>
        <v>0.149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HYPERLINK("http://141.218.60.56/~jnz1568/getInfo.php?workbook=20_13.xlsx&amp;sheet=U0&amp;row=640&amp;col=6&amp;number=4.6&amp;sourceID=14","4.6")</f>
        <v>4.6</v>
      </c>
      <c r="G640" s="4" t="str">
        <f>HYPERLINK("http://141.218.60.56/~jnz1568/getInfo.php?workbook=20_13.xlsx&amp;sheet=U0&amp;row=640&amp;col=7&amp;number=0.15&amp;sourceID=14","0.15")</f>
        <v>0.15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HYPERLINK("http://141.218.60.56/~jnz1568/getInfo.php?workbook=20_13.xlsx&amp;sheet=U0&amp;row=641&amp;col=6&amp;number=4.7&amp;sourceID=14","4.7")</f>
        <v>4.7</v>
      </c>
      <c r="G641" s="4" t="str">
        <f>HYPERLINK("http://141.218.60.56/~jnz1568/getInfo.php?workbook=20_13.xlsx&amp;sheet=U0&amp;row=641&amp;col=7&amp;number=0.152&amp;sourceID=14","0.152")</f>
        <v>0.152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HYPERLINK("http://141.218.60.56/~jnz1568/getInfo.php?workbook=20_13.xlsx&amp;sheet=U0&amp;row=642&amp;col=6&amp;number=4.8&amp;sourceID=14","4.8")</f>
        <v>4.8</v>
      </c>
      <c r="G642" s="4" t="str">
        <f>HYPERLINK("http://141.218.60.56/~jnz1568/getInfo.php?workbook=20_13.xlsx&amp;sheet=U0&amp;row=642&amp;col=7&amp;number=0.153&amp;sourceID=14","0.153")</f>
        <v>0.153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HYPERLINK("http://141.218.60.56/~jnz1568/getInfo.php?workbook=20_13.xlsx&amp;sheet=U0&amp;row=643&amp;col=6&amp;number=4.9&amp;sourceID=14","4.9")</f>
        <v>4.9</v>
      </c>
      <c r="G643" s="4" t="str">
        <f>HYPERLINK("http://141.218.60.56/~jnz1568/getInfo.php?workbook=20_13.xlsx&amp;sheet=U0&amp;row=643&amp;col=7&amp;number=0.155&amp;sourceID=14","0.155")</f>
        <v>0.155</v>
      </c>
    </row>
    <row r="644" spans="1:7">
      <c r="A644" s="3">
        <v>20</v>
      </c>
      <c r="B644" s="3">
        <v>13</v>
      </c>
      <c r="C644" s="3">
        <v>1</v>
      </c>
      <c r="D644" s="3">
        <v>34</v>
      </c>
      <c r="E644" s="3">
        <v>1</v>
      </c>
      <c r="F644" s="4" t="str">
        <f>HYPERLINK("http://141.218.60.56/~jnz1568/getInfo.php?workbook=20_13.xlsx&amp;sheet=U0&amp;row=644&amp;col=6&amp;number=3&amp;sourceID=14","3")</f>
        <v>3</v>
      </c>
      <c r="G644" s="4" t="str">
        <f>HYPERLINK("http://141.218.60.56/~jnz1568/getInfo.php?workbook=20_13.xlsx&amp;sheet=U0&amp;row=644&amp;col=7&amp;number=0.00453&amp;sourceID=14","0.00453")</f>
        <v>0.00453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HYPERLINK("http://141.218.60.56/~jnz1568/getInfo.php?workbook=20_13.xlsx&amp;sheet=U0&amp;row=645&amp;col=6&amp;number=3.1&amp;sourceID=14","3.1")</f>
        <v>3.1</v>
      </c>
      <c r="G645" s="4" t="str">
        <f>HYPERLINK("http://141.218.60.56/~jnz1568/getInfo.php?workbook=20_13.xlsx&amp;sheet=U0&amp;row=645&amp;col=7&amp;number=0.00452&amp;sourceID=14","0.00452")</f>
        <v>0.00452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HYPERLINK("http://141.218.60.56/~jnz1568/getInfo.php?workbook=20_13.xlsx&amp;sheet=U0&amp;row=646&amp;col=6&amp;number=3.2&amp;sourceID=14","3.2")</f>
        <v>3.2</v>
      </c>
      <c r="G646" s="4" t="str">
        <f>HYPERLINK("http://141.218.60.56/~jnz1568/getInfo.php?workbook=20_13.xlsx&amp;sheet=U0&amp;row=646&amp;col=7&amp;number=0.00451&amp;sourceID=14","0.00451")</f>
        <v>0.00451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HYPERLINK("http://141.218.60.56/~jnz1568/getInfo.php?workbook=20_13.xlsx&amp;sheet=U0&amp;row=647&amp;col=6&amp;number=3.3&amp;sourceID=14","3.3")</f>
        <v>3.3</v>
      </c>
      <c r="G647" s="4" t="str">
        <f>HYPERLINK("http://141.218.60.56/~jnz1568/getInfo.php?workbook=20_13.xlsx&amp;sheet=U0&amp;row=647&amp;col=7&amp;number=0.0045&amp;sourceID=14","0.0045")</f>
        <v>0.0045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HYPERLINK("http://141.218.60.56/~jnz1568/getInfo.php?workbook=20_13.xlsx&amp;sheet=U0&amp;row=648&amp;col=6&amp;number=3.4&amp;sourceID=14","3.4")</f>
        <v>3.4</v>
      </c>
      <c r="G648" s="4" t="str">
        <f>HYPERLINK("http://141.218.60.56/~jnz1568/getInfo.php?workbook=20_13.xlsx&amp;sheet=U0&amp;row=648&amp;col=7&amp;number=0.00448&amp;sourceID=14","0.00448")</f>
        <v>0.00448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HYPERLINK("http://141.218.60.56/~jnz1568/getInfo.php?workbook=20_13.xlsx&amp;sheet=U0&amp;row=649&amp;col=6&amp;number=3.5&amp;sourceID=14","3.5")</f>
        <v>3.5</v>
      </c>
      <c r="G649" s="4" t="str">
        <f>HYPERLINK("http://141.218.60.56/~jnz1568/getInfo.php?workbook=20_13.xlsx&amp;sheet=U0&amp;row=649&amp;col=7&amp;number=0.00446&amp;sourceID=14","0.00446")</f>
        <v>0.00446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HYPERLINK("http://141.218.60.56/~jnz1568/getInfo.php?workbook=20_13.xlsx&amp;sheet=U0&amp;row=650&amp;col=6&amp;number=3.6&amp;sourceID=14","3.6")</f>
        <v>3.6</v>
      </c>
      <c r="G650" s="4" t="str">
        <f>HYPERLINK("http://141.218.60.56/~jnz1568/getInfo.php?workbook=20_13.xlsx&amp;sheet=U0&amp;row=650&amp;col=7&amp;number=0.00443&amp;sourceID=14","0.00443")</f>
        <v>0.00443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HYPERLINK("http://141.218.60.56/~jnz1568/getInfo.php?workbook=20_13.xlsx&amp;sheet=U0&amp;row=651&amp;col=6&amp;number=3.7&amp;sourceID=14","3.7")</f>
        <v>3.7</v>
      </c>
      <c r="G651" s="4" t="str">
        <f>HYPERLINK("http://141.218.60.56/~jnz1568/getInfo.php?workbook=20_13.xlsx&amp;sheet=U0&amp;row=651&amp;col=7&amp;number=0.0044&amp;sourceID=14","0.0044")</f>
        <v>0.0044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HYPERLINK("http://141.218.60.56/~jnz1568/getInfo.php?workbook=20_13.xlsx&amp;sheet=U0&amp;row=652&amp;col=6&amp;number=3.8&amp;sourceID=14","3.8")</f>
        <v>3.8</v>
      </c>
      <c r="G652" s="4" t="str">
        <f>HYPERLINK("http://141.218.60.56/~jnz1568/getInfo.php?workbook=20_13.xlsx&amp;sheet=U0&amp;row=652&amp;col=7&amp;number=0.00435&amp;sourceID=14","0.00435")</f>
        <v>0.00435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HYPERLINK("http://141.218.60.56/~jnz1568/getInfo.php?workbook=20_13.xlsx&amp;sheet=U0&amp;row=653&amp;col=6&amp;number=3.9&amp;sourceID=14","3.9")</f>
        <v>3.9</v>
      </c>
      <c r="G653" s="4" t="str">
        <f>HYPERLINK("http://141.218.60.56/~jnz1568/getInfo.php?workbook=20_13.xlsx&amp;sheet=U0&amp;row=653&amp;col=7&amp;number=0.0043&amp;sourceID=14","0.0043")</f>
        <v>0.0043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HYPERLINK("http://141.218.60.56/~jnz1568/getInfo.php?workbook=20_13.xlsx&amp;sheet=U0&amp;row=654&amp;col=6&amp;number=4&amp;sourceID=14","4")</f>
        <v>4</v>
      </c>
      <c r="G654" s="4" t="str">
        <f>HYPERLINK("http://141.218.60.56/~jnz1568/getInfo.php?workbook=20_13.xlsx&amp;sheet=U0&amp;row=654&amp;col=7&amp;number=0.00423&amp;sourceID=14","0.00423")</f>
        <v>0.00423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HYPERLINK("http://141.218.60.56/~jnz1568/getInfo.php?workbook=20_13.xlsx&amp;sheet=U0&amp;row=655&amp;col=6&amp;number=4.1&amp;sourceID=14","4.1")</f>
        <v>4.1</v>
      </c>
      <c r="G655" s="4" t="str">
        <f>HYPERLINK("http://141.218.60.56/~jnz1568/getInfo.php?workbook=20_13.xlsx&amp;sheet=U0&amp;row=655&amp;col=7&amp;number=0.00415&amp;sourceID=14","0.00415")</f>
        <v>0.00415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HYPERLINK("http://141.218.60.56/~jnz1568/getInfo.php?workbook=20_13.xlsx&amp;sheet=U0&amp;row=656&amp;col=6&amp;number=4.2&amp;sourceID=14","4.2")</f>
        <v>4.2</v>
      </c>
      <c r="G656" s="4" t="str">
        <f>HYPERLINK("http://141.218.60.56/~jnz1568/getInfo.php?workbook=20_13.xlsx&amp;sheet=U0&amp;row=656&amp;col=7&amp;number=0.00405&amp;sourceID=14","0.00405")</f>
        <v>0.00405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HYPERLINK("http://141.218.60.56/~jnz1568/getInfo.php?workbook=20_13.xlsx&amp;sheet=U0&amp;row=657&amp;col=6&amp;number=4.3&amp;sourceID=14","4.3")</f>
        <v>4.3</v>
      </c>
      <c r="G657" s="4" t="str">
        <f>HYPERLINK("http://141.218.60.56/~jnz1568/getInfo.php?workbook=20_13.xlsx&amp;sheet=U0&amp;row=657&amp;col=7&amp;number=0.00392&amp;sourceID=14","0.00392")</f>
        <v>0.00392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HYPERLINK("http://141.218.60.56/~jnz1568/getInfo.php?workbook=20_13.xlsx&amp;sheet=U0&amp;row=658&amp;col=6&amp;number=4.4&amp;sourceID=14","4.4")</f>
        <v>4.4</v>
      </c>
      <c r="G658" s="4" t="str">
        <f>HYPERLINK("http://141.218.60.56/~jnz1568/getInfo.php?workbook=20_13.xlsx&amp;sheet=U0&amp;row=658&amp;col=7&amp;number=0.00377&amp;sourceID=14","0.00377")</f>
        <v>0.00377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HYPERLINK("http://141.218.60.56/~jnz1568/getInfo.php?workbook=20_13.xlsx&amp;sheet=U0&amp;row=659&amp;col=6&amp;number=4.5&amp;sourceID=14","4.5")</f>
        <v>4.5</v>
      </c>
      <c r="G659" s="4" t="str">
        <f>HYPERLINK("http://141.218.60.56/~jnz1568/getInfo.php?workbook=20_13.xlsx&amp;sheet=U0&amp;row=659&amp;col=7&amp;number=0.00359&amp;sourceID=14","0.00359")</f>
        <v>0.00359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HYPERLINK("http://141.218.60.56/~jnz1568/getInfo.php?workbook=20_13.xlsx&amp;sheet=U0&amp;row=660&amp;col=6&amp;number=4.6&amp;sourceID=14","4.6")</f>
        <v>4.6</v>
      </c>
      <c r="G660" s="4" t="str">
        <f>HYPERLINK("http://141.218.60.56/~jnz1568/getInfo.php?workbook=20_13.xlsx&amp;sheet=U0&amp;row=660&amp;col=7&amp;number=0.00337&amp;sourceID=14","0.00337")</f>
        <v>0.00337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HYPERLINK("http://141.218.60.56/~jnz1568/getInfo.php?workbook=20_13.xlsx&amp;sheet=U0&amp;row=661&amp;col=6&amp;number=4.7&amp;sourceID=14","4.7")</f>
        <v>4.7</v>
      </c>
      <c r="G661" s="4" t="str">
        <f>HYPERLINK("http://141.218.60.56/~jnz1568/getInfo.php?workbook=20_13.xlsx&amp;sheet=U0&amp;row=661&amp;col=7&amp;number=0.00313&amp;sourceID=14","0.00313")</f>
        <v>0.00313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HYPERLINK("http://141.218.60.56/~jnz1568/getInfo.php?workbook=20_13.xlsx&amp;sheet=U0&amp;row=662&amp;col=6&amp;number=4.8&amp;sourceID=14","4.8")</f>
        <v>4.8</v>
      </c>
      <c r="G662" s="4" t="str">
        <f>HYPERLINK("http://141.218.60.56/~jnz1568/getInfo.php?workbook=20_13.xlsx&amp;sheet=U0&amp;row=662&amp;col=7&amp;number=0.00288&amp;sourceID=14","0.00288")</f>
        <v>0.00288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HYPERLINK("http://141.218.60.56/~jnz1568/getInfo.php?workbook=20_13.xlsx&amp;sheet=U0&amp;row=663&amp;col=6&amp;number=4.9&amp;sourceID=14","4.9")</f>
        <v>4.9</v>
      </c>
      <c r="G663" s="4" t="str">
        <f>HYPERLINK("http://141.218.60.56/~jnz1568/getInfo.php?workbook=20_13.xlsx&amp;sheet=U0&amp;row=663&amp;col=7&amp;number=0.00264&amp;sourceID=14","0.00264")</f>
        <v>0.00264</v>
      </c>
    </row>
    <row r="664" spans="1:7">
      <c r="A664" s="3">
        <v>20</v>
      </c>
      <c r="B664" s="3">
        <v>13</v>
      </c>
      <c r="C664" s="3">
        <v>1</v>
      </c>
      <c r="D664" s="3">
        <v>35</v>
      </c>
      <c r="E664" s="3">
        <v>1</v>
      </c>
      <c r="F664" s="4" t="str">
        <f>HYPERLINK("http://141.218.60.56/~jnz1568/getInfo.php?workbook=20_13.xlsx&amp;sheet=U0&amp;row=664&amp;col=6&amp;number=3&amp;sourceID=14","3")</f>
        <v>3</v>
      </c>
      <c r="G664" s="4" t="str">
        <f>HYPERLINK("http://141.218.60.56/~jnz1568/getInfo.php?workbook=20_13.xlsx&amp;sheet=U0&amp;row=664&amp;col=7&amp;number=0.0377&amp;sourceID=14","0.0377")</f>
        <v>0.0377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HYPERLINK("http://141.218.60.56/~jnz1568/getInfo.php?workbook=20_13.xlsx&amp;sheet=U0&amp;row=665&amp;col=6&amp;number=3.1&amp;sourceID=14","3.1")</f>
        <v>3.1</v>
      </c>
      <c r="G665" s="4" t="str">
        <f>HYPERLINK("http://141.218.60.56/~jnz1568/getInfo.php?workbook=20_13.xlsx&amp;sheet=U0&amp;row=665&amp;col=7&amp;number=0.0377&amp;sourceID=14","0.0377")</f>
        <v>0.0377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HYPERLINK("http://141.218.60.56/~jnz1568/getInfo.php?workbook=20_13.xlsx&amp;sheet=U0&amp;row=666&amp;col=6&amp;number=3.2&amp;sourceID=14","3.2")</f>
        <v>3.2</v>
      </c>
      <c r="G666" s="4" t="str">
        <f>HYPERLINK("http://141.218.60.56/~jnz1568/getInfo.php?workbook=20_13.xlsx&amp;sheet=U0&amp;row=666&amp;col=7&amp;number=0.0377&amp;sourceID=14","0.0377")</f>
        <v>0.0377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HYPERLINK("http://141.218.60.56/~jnz1568/getInfo.php?workbook=20_13.xlsx&amp;sheet=U0&amp;row=667&amp;col=6&amp;number=3.3&amp;sourceID=14","3.3")</f>
        <v>3.3</v>
      </c>
      <c r="G667" s="4" t="str">
        <f>HYPERLINK("http://141.218.60.56/~jnz1568/getInfo.php?workbook=20_13.xlsx&amp;sheet=U0&amp;row=667&amp;col=7&amp;number=0.0376&amp;sourceID=14","0.0376")</f>
        <v>0.0376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HYPERLINK("http://141.218.60.56/~jnz1568/getInfo.php?workbook=20_13.xlsx&amp;sheet=U0&amp;row=668&amp;col=6&amp;number=3.4&amp;sourceID=14","3.4")</f>
        <v>3.4</v>
      </c>
      <c r="G668" s="4" t="str">
        <f>HYPERLINK("http://141.218.60.56/~jnz1568/getInfo.php?workbook=20_13.xlsx&amp;sheet=U0&amp;row=668&amp;col=7&amp;number=0.0376&amp;sourceID=14","0.0376")</f>
        <v>0.0376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HYPERLINK("http://141.218.60.56/~jnz1568/getInfo.php?workbook=20_13.xlsx&amp;sheet=U0&amp;row=669&amp;col=6&amp;number=3.5&amp;sourceID=14","3.5")</f>
        <v>3.5</v>
      </c>
      <c r="G669" s="4" t="str">
        <f>HYPERLINK("http://141.218.60.56/~jnz1568/getInfo.php?workbook=20_13.xlsx&amp;sheet=U0&amp;row=669&amp;col=7&amp;number=0.0375&amp;sourceID=14","0.0375")</f>
        <v>0.0375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HYPERLINK("http://141.218.60.56/~jnz1568/getInfo.php?workbook=20_13.xlsx&amp;sheet=U0&amp;row=670&amp;col=6&amp;number=3.6&amp;sourceID=14","3.6")</f>
        <v>3.6</v>
      </c>
      <c r="G670" s="4" t="str">
        <f>HYPERLINK("http://141.218.60.56/~jnz1568/getInfo.php?workbook=20_13.xlsx&amp;sheet=U0&amp;row=670&amp;col=7&amp;number=0.0375&amp;sourceID=14","0.0375")</f>
        <v>0.0375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HYPERLINK("http://141.218.60.56/~jnz1568/getInfo.php?workbook=20_13.xlsx&amp;sheet=U0&amp;row=671&amp;col=6&amp;number=3.7&amp;sourceID=14","3.7")</f>
        <v>3.7</v>
      </c>
      <c r="G671" s="4" t="str">
        <f>HYPERLINK("http://141.218.60.56/~jnz1568/getInfo.php?workbook=20_13.xlsx&amp;sheet=U0&amp;row=671&amp;col=7&amp;number=0.0374&amp;sourceID=14","0.0374")</f>
        <v>0.0374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HYPERLINK("http://141.218.60.56/~jnz1568/getInfo.php?workbook=20_13.xlsx&amp;sheet=U0&amp;row=672&amp;col=6&amp;number=3.8&amp;sourceID=14","3.8")</f>
        <v>3.8</v>
      </c>
      <c r="G672" s="4" t="str">
        <f>HYPERLINK("http://141.218.60.56/~jnz1568/getInfo.php?workbook=20_13.xlsx&amp;sheet=U0&amp;row=672&amp;col=7&amp;number=0.0373&amp;sourceID=14","0.0373")</f>
        <v>0.0373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HYPERLINK("http://141.218.60.56/~jnz1568/getInfo.php?workbook=20_13.xlsx&amp;sheet=U0&amp;row=673&amp;col=6&amp;number=3.9&amp;sourceID=14","3.9")</f>
        <v>3.9</v>
      </c>
      <c r="G673" s="4" t="str">
        <f>HYPERLINK("http://141.218.60.56/~jnz1568/getInfo.php?workbook=20_13.xlsx&amp;sheet=U0&amp;row=673&amp;col=7&amp;number=0.0372&amp;sourceID=14","0.0372")</f>
        <v>0.0372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HYPERLINK("http://141.218.60.56/~jnz1568/getInfo.php?workbook=20_13.xlsx&amp;sheet=U0&amp;row=674&amp;col=6&amp;number=4&amp;sourceID=14","4")</f>
        <v>4</v>
      </c>
      <c r="G674" s="4" t="str">
        <f>HYPERLINK("http://141.218.60.56/~jnz1568/getInfo.php?workbook=20_13.xlsx&amp;sheet=U0&amp;row=674&amp;col=7&amp;number=0.0371&amp;sourceID=14","0.0371")</f>
        <v>0.0371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HYPERLINK("http://141.218.60.56/~jnz1568/getInfo.php?workbook=20_13.xlsx&amp;sheet=U0&amp;row=675&amp;col=6&amp;number=4.1&amp;sourceID=14","4.1")</f>
        <v>4.1</v>
      </c>
      <c r="G675" s="4" t="str">
        <f>HYPERLINK("http://141.218.60.56/~jnz1568/getInfo.php?workbook=20_13.xlsx&amp;sheet=U0&amp;row=675&amp;col=7&amp;number=0.0369&amp;sourceID=14","0.0369")</f>
        <v>0.0369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HYPERLINK("http://141.218.60.56/~jnz1568/getInfo.php?workbook=20_13.xlsx&amp;sheet=U0&amp;row=676&amp;col=6&amp;number=4.2&amp;sourceID=14","4.2")</f>
        <v>4.2</v>
      </c>
      <c r="G676" s="4" t="str">
        <f>HYPERLINK("http://141.218.60.56/~jnz1568/getInfo.php?workbook=20_13.xlsx&amp;sheet=U0&amp;row=676&amp;col=7&amp;number=0.0366&amp;sourceID=14","0.0366")</f>
        <v>0.0366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HYPERLINK("http://141.218.60.56/~jnz1568/getInfo.php?workbook=20_13.xlsx&amp;sheet=U0&amp;row=677&amp;col=6&amp;number=4.3&amp;sourceID=14","4.3")</f>
        <v>4.3</v>
      </c>
      <c r="G677" s="4" t="str">
        <f>HYPERLINK("http://141.218.60.56/~jnz1568/getInfo.php?workbook=20_13.xlsx&amp;sheet=U0&amp;row=677&amp;col=7&amp;number=0.0364&amp;sourceID=14","0.0364")</f>
        <v>0.0364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HYPERLINK("http://141.218.60.56/~jnz1568/getInfo.php?workbook=20_13.xlsx&amp;sheet=U0&amp;row=678&amp;col=6&amp;number=4.4&amp;sourceID=14","4.4")</f>
        <v>4.4</v>
      </c>
      <c r="G678" s="4" t="str">
        <f>HYPERLINK("http://141.218.60.56/~jnz1568/getInfo.php?workbook=20_13.xlsx&amp;sheet=U0&amp;row=678&amp;col=7&amp;number=0.036&amp;sourceID=14","0.036")</f>
        <v>0.036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HYPERLINK("http://141.218.60.56/~jnz1568/getInfo.php?workbook=20_13.xlsx&amp;sheet=U0&amp;row=679&amp;col=6&amp;number=4.5&amp;sourceID=14","4.5")</f>
        <v>4.5</v>
      </c>
      <c r="G679" s="4" t="str">
        <f>HYPERLINK("http://141.218.60.56/~jnz1568/getInfo.php?workbook=20_13.xlsx&amp;sheet=U0&amp;row=679&amp;col=7&amp;number=0.0356&amp;sourceID=14","0.0356")</f>
        <v>0.0356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HYPERLINK("http://141.218.60.56/~jnz1568/getInfo.php?workbook=20_13.xlsx&amp;sheet=U0&amp;row=680&amp;col=6&amp;number=4.6&amp;sourceID=14","4.6")</f>
        <v>4.6</v>
      </c>
      <c r="G680" s="4" t="str">
        <f>HYPERLINK("http://141.218.60.56/~jnz1568/getInfo.php?workbook=20_13.xlsx&amp;sheet=U0&amp;row=680&amp;col=7&amp;number=0.0351&amp;sourceID=14","0.0351")</f>
        <v>0.0351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HYPERLINK("http://141.218.60.56/~jnz1568/getInfo.php?workbook=20_13.xlsx&amp;sheet=U0&amp;row=681&amp;col=6&amp;number=4.7&amp;sourceID=14","4.7")</f>
        <v>4.7</v>
      </c>
      <c r="G681" s="4" t="str">
        <f>HYPERLINK("http://141.218.60.56/~jnz1568/getInfo.php?workbook=20_13.xlsx&amp;sheet=U0&amp;row=681&amp;col=7&amp;number=0.0344&amp;sourceID=14","0.0344")</f>
        <v>0.0344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HYPERLINK("http://141.218.60.56/~jnz1568/getInfo.php?workbook=20_13.xlsx&amp;sheet=U0&amp;row=682&amp;col=6&amp;number=4.8&amp;sourceID=14","4.8")</f>
        <v>4.8</v>
      </c>
      <c r="G682" s="4" t="str">
        <f>HYPERLINK("http://141.218.60.56/~jnz1568/getInfo.php?workbook=20_13.xlsx&amp;sheet=U0&amp;row=682&amp;col=7&amp;number=0.0337&amp;sourceID=14","0.0337")</f>
        <v>0.0337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HYPERLINK("http://141.218.60.56/~jnz1568/getInfo.php?workbook=20_13.xlsx&amp;sheet=U0&amp;row=683&amp;col=6&amp;number=4.9&amp;sourceID=14","4.9")</f>
        <v>4.9</v>
      </c>
      <c r="G683" s="4" t="str">
        <f>HYPERLINK("http://141.218.60.56/~jnz1568/getInfo.php?workbook=20_13.xlsx&amp;sheet=U0&amp;row=683&amp;col=7&amp;number=0.0328&amp;sourceID=14","0.0328")</f>
        <v>0.0328</v>
      </c>
    </row>
    <row r="684" spans="1:7">
      <c r="A684" s="3">
        <v>20</v>
      </c>
      <c r="B684" s="3">
        <v>13</v>
      </c>
      <c r="C684" s="3">
        <v>1</v>
      </c>
      <c r="D684" s="3">
        <v>36</v>
      </c>
      <c r="E684" s="3">
        <v>1</v>
      </c>
      <c r="F684" s="4" t="str">
        <f>HYPERLINK("http://141.218.60.56/~jnz1568/getInfo.php?workbook=20_13.xlsx&amp;sheet=U0&amp;row=684&amp;col=6&amp;number=3&amp;sourceID=14","3")</f>
        <v>3</v>
      </c>
      <c r="G684" s="4" t="str">
        <f>HYPERLINK("http://141.218.60.56/~jnz1568/getInfo.php?workbook=20_13.xlsx&amp;sheet=U0&amp;row=684&amp;col=7&amp;number=0.138&amp;sourceID=14","0.138")</f>
        <v>0.138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HYPERLINK("http://141.218.60.56/~jnz1568/getInfo.php?workbook=20_13.xlsx&amp;sheet=U0&amp;row=685&amp;col=6&amp;number=3.1&amp;sourceID=14","3.1")</f>
        <v>3.1</v>
      </c>
      <c r="G685" s="4" t="str">
        <f>HYPERLINK("http://141.218.60.56/~jnz1568/getInfo.php?workbook=20_13.xlsx&amp;sheet=U0&amp;row=685&amp;col=7&amp;number=0.138&amp;sourceID=14","0.138")</f>
        <v>0.138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HYPERLINK("http://141.218.60.56/~jnz1568/getInfo.php?workbook=20_13.xlsx&amp;sheet=U0&amp;row=686&amp;col=6&amp;number=3.2&amp;sourceID=14","3.2")</f>
        <v>3.2</v>
      </c>
      <c r="G686" s="4" t="str">
        <f>HYPERLINK("http://141.218.60.56/~jnz1568/getInfo.php?workbook=20_13.xlsx&amp;sheet=U0&amp;row=686&amp;col=7&amp;number=0.138&amp;sourceID=14","0.138")</f>
        <v>0.138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HYPERLINK("http://141.218.60.56/~jnz1568/getInfo.php?workbook=20_13.xlsx&amp;sheet=U0&amp;row=687&amp;col=6&amp;number=3.3&amp;sourceID=14","3.3")</f>
        <v>3.3</v>
      </c>
      <c r="G687" s="4" t="str">
        <f>HYPERLINK("http://141.218.60.56/~jnz1568/getInfo.php?workbook=20_13.xlsx&amp;sheet=U0&amp;row=687&amp;col=7&amp;number=0.138&amp;sourceID=14","0.138")</f>
        <v>0.138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HYPERLINK("http://141.218.60.56/~jnz1568/getInfo.php?workbook=20_13.xlsx&amp;sheet=U0&amp;row=688&amp;col=6&amp;number=3.4&amp;sourceID=14","3.4")</f>
        <v>3.4</v>
      </c>
      <c r="G688" s="4" t="str">
        <f>HYPERLINK("http://141.218.60.56/~jnz1568/getInfo.php?workbook=20_13.xlsx&amp;sheet=U0&amp;row=688&amp;col=7&amp;number=0.138&amp;sourceID=14","0.138")</f>
        <v>0.138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HYPERLINK("http://141.218.60.56/~jnz1568/getInfo.php?workbook=20_13.xlsx&amp;sheet=U0&amp;row=689&amp;col=6&amp;number=3.5&amp;sourceID=14","3.5")</f>
        <v>3.5</v>
      </c>
      <c r="G689" s="4" t="str">
        <f>HYPERLINK("http://141.218.60.56/~jnz1568/getInfo.php?workbook=20_13.xlsx&amp;sheet=U0&amp;row=689&amp;col=7&amp;number=0.138&amp;sourceID=14","0.138")</f>
        <v>0.138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HYPERLINK("http://141.218.60.56/~jnz1568/getInfo.php?workbook=20_13.xlsx&amp;sheet=U0&amp;row=690&amp;col=6&amp;number=3.6&amp;sourceID=14","3.6")</f>
        <v>3.6</v>
      </c>
      <c r="G690" s="4" t="str">
        <f>HYPERLINK("http://141.218.60.56/~jnz1568/getInfo.php?workbook=20_13.xlsx&amp;sheet=U0&amp;row=690&amp;col=7&amp;number=0.138&amp;sourceID=14","0.138")</f>
        <v>0.138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HYPERLINK("http://141.218.60.56/~jnz1568/getInfo.php?workbook=20_13.xlsx&amp;sheet=U0&amp;row=691&amp;col=6&amp;number=3.7&amp;sourceID=14","3.7")</f>
        <v>3.7</v>
      </c>
      <c r="G691" s="4" t="str">
        <f>HYPERLINK("http://141.218.60.56/~jnz1568/getInfo.php?workbook=20_13.xlsx&amp;sheet=U0&amp;row=691&amp;col=7&amp;number=0.137&amp;sourceID=14","0.137")</f>
        <v>0.137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HYPERLINK("http://141.218.60.56/~jnz1568/getInfo.php?workbook=20_13.xlsx&amp;sheet=U0&amp;row=692&amp;col=6&amp;number=3.8&amp;sourceID=14","3.8")</f>
        <v>3.8</v>
      </c>
      <c r="G692" s="4" t="str">
        <f>HYPERLINK("http://141.218.60.56/~jnz1568/getInfo.php?workbook=20_13.xlsx&amp;sheet=U0&amp;row=692&amp;col=7&amp;number=0.137&amp;sourceID=14","0.137")</f>
        <v>0.137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HYPERLINK("http://141.218.60.56/~jnz1568/getInfo.php?workbook=20_13.xlsx&amp;sheet=U0&amp;row=693&amp;col=6&amp;number=3.9&amp;sourceID=14","3.9")</f>
        <v>3.9</v>
      </c>
      <c r="G693" s="4" t="str">
        <f>HYPERLINK("http://141.218.60.56/~jnz1568/getInfo.php?workbook=20_13.xlsx&amp;sheet=U0&amp;row=693&amp;col=7&amp;number=0.137&amp;sourceID=14","0.137")</f>
        <v>0.137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HYPERLINK("http://141.218.60.56/~jnz1568/getInfo.php?workbook=20_13.xlsx&amp;sheet=U0&amp;row=694&amp;col=6&amp;number=4&amp;sourceID=14","4")</f>
        <v>4</v>
      </c>
      <c r="G694" s="4" t="str">
        <f>HYPERLINK("http://141.218.60.56/~jnz1568/getInfo.php?workbook=20_13.xlsx&amp;sheet=U0&amp;row=694&amp;col=7&amp;number=0.137&amp;sourceID=14","0.137")</f>
        <v>0.137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HYPERLINK("http://141.218.60.56/~jnz1568/getInfo.php?workbook=20_13.xlsx&amp;sheet=U0&amp;row=695&amp;col=6&amp;number=4.1&amp;sourceID=14","4.1")</f>
        <v>4.1</v>
      </c>
      <c r="G695" s="4" t="str">
        <f>HYPERLINK("http://141.218.60.56/~jnz1568/getInfo.php?workbook=20_13.xlsx&amp;sheet=U0&amp;row=695&amp;col=7&amp;number=0.137&amp;sourceID=14","0.137")</f>
        <v>0.137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HYPERLINK("http://141.218.60.56/~jnz1568/getInfo.php?workbook=20_13.xlsx&amp;sheet=U0&amp;row=696&amp;col=6&amp;number=4.2&amp;sourceID=14","4.2")</f>
        <v>4.2</v>
      </c>
      <c r="G696" s="4" t="str">
        <f>HYPERLINK("http://141.218.60.56/~jnz1568/getInfo.php?workbook=20_13.xlsx&amp;sheet=U0&amp;row=696&amp;col=7&amp;number=0.137&amp;sourceID=14","0.137")</f>
        <v>0.137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HYPERLINK("http://141.218.60.56/~jnz1568/getInfo.php?workbook=20_13.xlsx&amp;sheet=U0&amp;row=697&amp;col=6&amp;number=4.3&amp;sourceID=14","4.3")</f>
        <v>4.3</v>
      </c>
      <c r="G697" s="4" t="str">
        <f>HYPERLINK("http://141.218.60.56/~jnz1568/getInfo.php?workbook=20_13.xlsx&amp;sheet=U0&amp;row=697&amp;col=7&amp;number=0.137&amp;sourceID=14","0.137")</f>
        <v>0.137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HYPERLINK("http://141.218.60.56/~jnz1568/getInfo.php?workbook=20_13.xlsx&amp;sheet=U0&amp;row=698&amp;col=6&amp;number=4.4&amp;sourceID=14","4.4")</f>
        <v>4.4</v>
      </c>
      <c r="G698" s="4" t="str">
        <f>HYPERLINK("http://141.218.60.56/~jnz1568/getInfo.php?workbook=20_13.xlsx&amp;sheet=U0&amp;row=698&amp;col=7&amp;number=0.136&amp;sourceID=14","0.136")</f>
        <v>0.136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HYPERLINK("http://141.218.60.56/~jnz1568/getInfo.php?workbook=20_13.xlsx&amp;sheet=U0&amp;row=699&amp;col=6&amp;number=4.5&amp;sourceID=14","4.5")</f>
        <v>4.5</v>
      </c>
      <c r="G699" s="4" t="str">
        <f>HYPERLINK("http://141.218.60.56/~jnz1568/getInfo.php?workbook=20_13.xlsx&amp;sheet=U0&amp;row=699&amp;col=7&amp;number=0.136&amp;sourceID=14","0.136")</f>
        <v>0.136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HYPERLINK("http://141.218.60.56/~jnz1568/getInfo.php?workbook=20_13.xlsx&amp;sheet=U0&amp;row=700&amp;col=6&amp;number=4.6&amp;sourceID=14","4.6")</f>
        <v>4.6</v>
      </c>
      <c r="G700" s="4" t="str">
        <f>HYPERLINK("http://141.218.60.56/~jnz1568/getInfo.php?workbook=20_13.xlsx&amp;sheet=U0&amp;row=700&amp;col=7&amp;number=0.135&amp;sourceID=14","0.135")</f>
        <v>0.135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HYPERLINK("http://141.218.60.56/~jnz1568/getInfo.php?workbook=20_13.xlsx&amp;sheet=U0&amp;row=701&amp;col=6&amp;number=4.7&amp;sourceID=14","4.7")</f>
        <v>4.7</v>
      </c>
      <c r="G701" s="4" t="str">
        <f>HYPERLINK("http://141.218.60.56/~jnz1568/getInfo.php?workbook=20_13.xlsx&amp;sheet=U0&amp;row=701&amp;col=7&amp;number=0.135&amp;sourceID=14","0.135")</f>
        <v>0.135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HYPERLINK("http://141.218.60.56/~jnz1568/getInfo.php?workbook=20_13.xlsx&amp;sheet=U0&amp;row=702&amp;col=6&amp;number=4.8&amp;sourceID=14","4.8")</f>
        <v>4.8</v>
      </c>
      <c r="G702" s="4" t="str">
        <f>HYPERLINK("http://141.218.60.56/~jnz1568/getInfo.php?workbook=20_13.xlsx&amp;sheet=U0&amp;row=702&amp;col=7&amp;number=0.134&amp;sourceID=14","0.134")</f>
        <v>0.134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HYPERLINK("http://141.218.60.56/~jnz1568/getInfo.php?workbook=20_13.xlsx&amp;sheet=U0&amp;row=703&amp;col=6&amp;number=4.9&amp;sourceID=14","4.9")</f>
        <v>4.9</v>
      </c>
      <c r="G703" s="4" t="str">
        <f>HYPERLINK("http://141.218.60.56/~jnz1568/getInfo.php?workbook=20_13.xlsx&amp;sheet=U0&amp;row=703&amp;col=7&amp;number=0.133&amp;sourceID=14","0.133")</f>
        <v>0.133</v>
      </c>
    </row>
    <row r="704" spans="1:7">
      <c r="A704" s="3">
        <v>20</v>
      </c>
      <c r="B704" s="3">
        <v>13</v>
      </c>
      <c r="C704" s="3">
        <v>1</v>
      </c>
      <c r="D704" s="3">
        <v>37</v>
      </c>
      <c r="E704" s="3">
        <v>1</v>
      </c>
      <c r="F704" s="4" t="str">
        <f>HYPERLINK("http://141.218.60.56/~jnz1568/getInfo.php?workbook=20_13.xlsx&amp;sheet=U0&amp;row=704&amp;col=6&amp;number=3&amp;sourceID=14","3")</f>
        <v>3</v>
      </c>
      <c r="G704" s="4" t="str">
        <f>HYPERLINK("http://141.218.60.56/~jnz1568/getInfo.php?workbook=20_13.xlsx&amp;sheet=U0&amp;row=704&amp;col=7&amp;number=0.0247&amp;sourceID=14","0.0247")</f>
        <v>0.0247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HYPERLINK("http://141.218.60.56/~jnz1568/getInfo.php?workbook=20_13.xlsx&amp;sheet=U0&amp;row=705&amp;col=6&amp;number=3.1&amp;sourceID=14","3.1")</f>
        <v>3.1</v>
      </c>
      <c r="G705" s="4" t="str">
        <f>HYPERLINK("http://141.218.60.56/~jnz1568/getInfo.php?workbook=20_13.xlsx&amp;sheet=U0&amp;row=705&amp;col=7&amp;number=0.0247&amp;sourceID=14","0.0247")</f>
        <v>0.0247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HYPERLINK("http://141.218.60.56/~jnz1568/getInfo.php?workbook=20_13.xlsx&amp;sheet=U0&amp;row=706&amp;col=6&amp;number=3.2&amp;sourceID=14","3.2")</f>
        <v>3.2</v>
      </c>
      <c r="G706" s="4" t="str">
        <f>HYPERLINK("http://141.218.60.56/~jnz1568/getInfo.php?workbook=20_13.xlsx&amp;sheet=U0&amp;row=706&amp;col=7&amp;number=0.0247&amp;sourceID=14","0.0247")</f>
        <v>0.0247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HYPERLINK("http://141.218.60.56/~jnz1568/getInfo.php?workbook=20_13.xlsx&amp;sheet=U0&amp;row=707&amp;col=6&amp;number=3.3&amp;sourceID=14","3.3")</f>
        <v>3.3</v>
      </c>
      <c r="G707" s="4" t="str">
        <f>HYPERLINK("http://141.218.60.56/~jnz1568/getInfo.php?workbook=20_13.xlsx&amp;sheet=U0&amp;row=707&amp;col=7&amp;number=0.0247&amp;sourceID=14","0.0247")</f>
        <v>0.0247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HYPERLINK("http://141.218.60.56/~jnz1568/getInfo.php?workbook=20_13.xlsx&amp;sheet=U0&amp;row=708&amp;col=6&amp;number=3.4&amp;sourceID=14","3.4")</f>
        <v>3.4</v>
      </c>
      <c r="G708" s="4" t="str">
        <f>HYPERLINK("http://141.218.60.56/~jnz1568/getInfo.php?workbook=20_13.xlsx&amp;sheet=U0&amp;row=708&amp;col=7&amp;number=0.0247&amp;sourceID=14","0.0247")</f>
        <v>0.0247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HYPERLINK("http://141.218.60.56/~jnz1568/getInfo.php?workbook=20_13.xlsx&amp;sheet=U0&amp;row=709&amp;col=6&amp;number=3.5&amp;sourceID=14","3.5")</f>
        <v>3.5</v>
      </c>
      <c r="G709" s="4" t="str">
        <f>HYPERLINK("http://141.218.60.56/~jnz1568/getInfo.php?workbook=20_13.xlsx&amp;sheet=U0&amp;row=709&amp;col=7&amp;number=0.0247&amp;sourceID=14","0.0247")</f>
        <v>0.0247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HYPERLINK("http://141.218.60.56/~jnz1568/getInfo.php?workbook=20_13.xlsx&amp;sheet=U0&amp;row=710&amp;col=6&amp;number=3.6&amp;sourceID=14","3.6")</f>
        <v>3.6</v>
      </c>
      <c r="G710" s="4" t="str">
        <f>HYPERLINK("http://141.218.60.56/~jnz1568/getInfo.php?workbook=20_13.xlsx&amp;sheet=U0&amp;row=710&amp;col=7&amp;number=0.0246&amp;sourceID=14","0.0246")</f>
        <v>0.0246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HYPERLINK("http://141.218.60.56/~jnz1568/getInfo.php?workbook=20_13.xlsx&amp;sheet=U0&amp;row=711&amp;col=6&amp;number=3.7&amp;sourceID=14","3.7")</f>
        <v>3.7</v>
      </c>
      <c r="G711" s="4" t="str">
        <f>HYPERLINK("http://141.218.60.56/~jnz1568/getInfo.php?workbook=20_13.xlsx&amp;sheet=U0&amp;row=711&amp;col=7&amp;number=0.0246&amp;sourceID=14","0.0246")</f>
        <v>0.0246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HYPERLINK("http://141.218.60.56/~jnz1568/getInfo.php?workbook=20_13.xlsx&amp;sheet=U0&amp;row=712&amp;col=6&amp;number=3.8&amp;sourceID=14","3.8")</f>
        <v>3.8</v>
      </c>
      <c r="G712" s="4" t="str">
        <f>HYPERLINK("http://141.218.60.56/~jnz1568/getInfo.php?workbook=20_13.xlsx&amp;sheet=U0&amp;row=712&amp;col=7&amp;number=0.0246&amp;sourceID=14","0.0246")</f>
        <v>0.0246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HYPERLINK("http://141.218.60.56/~jnz1568/getInfo.php?workbook=20_13.xlsx&amp;sheet=U0&amp;row=713&amp;col=6&amp;number=3.9&amp;sourceID=14","3.9")</f>
        <v>3.9</v>
      </c>
      <c r="G713" s="4" t="str">
        <f>HYPERLINK("http://141.218.60.56/~jnz1568/getInfo.php?workbook=20_13.xlsx&amp;sheet=U0&amp;row=713&amp;col=7&amp;number=0.0245&amp;sourceID=14","0.0245")</f>
        <v>0.0245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HYPERLINK("http://141.218.60.56/~jnz1568/getInfo.php?workbook=20_13.xlsx&amp;sheet=U0&amp;row=714&amp;col=6&amp;number=4&amp;sourceID=14","4")</f>
        <v>4</v>
      </c>
      <c r="G714" s="4" t="str">
        <f>HYPERLINK("http://141.218.60.56/~jnz1568/getInfo.php?workbook=20_13.xlsx&amp;sheet=U0&amp;row=714&amp;col=7&amp;number=0.0245&amp;sourceID=14","0.0245")</f>
        <v>0.0245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HYPERLINK("http://141.218.60.56/~jnz1568/getInfo.php?workbook=20_13.xlsx&amp;sheet=U0&amp;row=715&amp;col=6&amp;number=4.1&amp;sourceID=14","4.1")</f>
        <v>4.1</v>
      </c>
      <c r="G715" s="4" t="str">
        <f>HYPERLINK("http://141.218.60.56/~jnz1568/getInfo.php?workbook=20_13.xlsx&amp;sheet=U0&amp;row=715&amp;col=7&amp;number=0.0244&amp;sourceID=14","0.0244")</f>
        <v>0.0244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HYPERLINK("http://141.218.60.56/~jnz1568/getInfo.php?workbook=20_13.xlsx&amp;sheet=U0&amp;row=716&amp;col=6&amp;number=4.2&amp;sourceID=14","4.2")</f>
        <v>4.2</v>
      </c>
      <c r="G716" s="4" t="str">
        <f>HYPERLINK("http://141.218.60.56/~jnz1568/getInfo.php?workbook=20_13.xlsx&amp;sheet=U0&amp;row=716&amp;col=7&amp;number=0.0244&amp;sourceID=14","0.0244")</f>
        <v>0.0244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HYPERLINK("http://141.218.60.56/~jnz1568/getInfo.php?workbook=20_13.xlsx&amp;sheet=U0&amp;row=717&amp;col=6&amp;number=4.3&amp;sourceID=14","4.3")</f>
        <v>4.3</v>
      </c>
      <c r="G717" s="4" t="str">
        <f>HYPERLINK("http://141.218.60.56/~jnz1568/getInfo.php?workbook=20_13.xlsx&amp;sheet=U0&amp;row=717&amp;col=7&amp;number=0.0243&amp;sourceID=14","0.0243")</f>
        <v>0.0243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HYPERLINK("http://141.218.60.56/~jnz1568/getInfo.php?workbook=20_13.xlsx&amp;sheet=U0&amp;row=718&amp;col=6&amp;number=4.4&amp;sourceID=14","4.4")</f>
        <v>4.4</v>
      </c>
      <c r="G718" s="4" t="str">
        <f>HYPERLINK("http://141.218.60.56/~jnz1568/getInfo.php?workbook=20_13.xlsx&amp;sheet=U0&amp;row=718&amp;col=7&amp;number=0.0241&amp;sourceID=14","0.0241")</f>
        <v>0.0241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HYPERLINK("http://141.218.60.56/~jnz1568/getInfo.php?workbook=20_13.xlsx&amp;sheet=U0&amp;row=719&amp;col=6&amp;number=4.5&amp;sourceID=14","4.5")</f>
        <v>4.5</v>
      </c>
      <c r="G719" s="4" t="str">
        <f>HYPERLINK("http://141.218.60.56/~jnz1568/getInfo.php?workbook=20_13.xlsx&amp;sheet=U0&amp;row=719&amp;col=7&amp;number=0.024&amp;sourceID=14","0.024")</f>
        <v>0.024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HYPERLINK("http://141.218.60.56/~jnz1568/getInfo.php?workbook=20_13.xlsx&amp;sheet=U0&amp;row=720&amp;col=6&amp;number=4.6&amp;sourceID=14","4.6")</f>
        <v>4.6</v>
      </c>
      <c r="G720" s="4" t="str">
        <f>HYPERLINK("http://141.218.60.56/~jnz1568/getInfo.php?workbook=20_13.xlsx&amp;sheet=U0&amp;row=720&amp;col=7&amp;number=0.0238&amp;sourceID=14","0.0238")</f>
        <v>0.0238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HYPERLINK("http://141.218.60.56/~jnz1568/getInfo.php?workbook=20_13.xlsx&amp;sheet=U0&amp;row=721&amp;col=6&amp;number=4.7&amp;sourceID=14","4.7")</f>
        <v>4.7</v>
      </c>
      <c r="G721" s="4" t="str">
        <f>HYPERLINK("http://141.218.60.56/~jnz1568/getInfo.php?workbook=20_13.xlsx&amp;sheet=U0&amp;row=721&amp;col=7&amp;number=0.0236&amp;sourceID=14","0.0236")</f>
        <v>0.0236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HYPERLINK("http://141.218.60.56/~jnz1568/getInfo.php?workbook=20_13.xlsx&amp;sheet=U0&amp;row=722&amp;col=6&amp;number=4.8&amp;sourceID=14","4.8")</f>
        <v>4.8</v>
      </c>
      <c r="G722" s="4" t="str">
        <f>HYPERLINK("http://141.218.60.56/~jnz1568/getInfo.php?workbook=20_13.xlsx&amp;sheet=U0&amp;row=722&amp;col=7&amp;number=0.0234&amp;sourceID=14","0.0234")</f>
        <v>0.0234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HYPERLINK("http://141.218.60.56/~jnz1568/getInfo.php?workbook=20_13.xlsx&amp;sheet=U0&amp;row=723&amp;col=6&amp;number=4.9&amp;sourceID=14","4.9")</f>
        <v>4.9</v>
      </c>
      <c r="G723" s="4" t="str">
        <f>HYPERLINK("http://141.218.60.56/~jnz1568/getInfo.php?workbook=20_13.xlsx&amp;sheet=U0&amp;row=723&amp;col=7&amp;number=0.0231&amp;sourceID=14","0.0231")</f>
        <v>0.0231</v>
      </c>
    </row>
    <row r="724" spans="1:7">
      <c r="A724" s="3">
        <v>20</v>
      </c>
      <c r="B724" s="3">
        <v>13</v>
      </c>
      <c r="C724" s="3">
        <v>1</v>
      </c>
      <c r="D724" s="3">
        <v>38</v>
      </c>
      <c r="E724" s="3">
        <v>1</v>
      </c>
      <c r="F724" s="4" t="str">
        <f>HYPERLINK("http://141.218.60.56/~jnz1568/getInfo.php?workbook=20_13.xlsx&amp;sheet=U0&amp;row=724&amp;col=6&amp;number=3&amp;sourceID=14","3")</f>
        <v>3</v>
      </c>
      <c r="G724" s="4" t="str">
        <f>HYPERLINK("http://141.218.60.56/~jnz1568/getInfo.php?workbook=20_13.xlsx&amp;sheet=U0&amp;row=724&amp;col=7&amp;number=0.0352&amp;sourceID=14","0.0352")</f>
        <v>0.0352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HYPERLINK("http://141.218.60.56/~jnz1568/getInfo.php?workbook=20_13.xlsx&amp;sheet=U0&amp;row=725&amp;col=6&amp;number=3.1&amp;sourceID=14","3.1")</f>
        <v>3.1</v>
      </c>
      <c r="G725" s="4" t="str">
        <f>HYPERLINK("http://141.218.60.56/~jnz1568/getInfo.php?workbook=20_13.xlsx&amp;sheet=U0&amp;row=725&amp;col=7&amp;number=0.0352&amp;sourceID=14","0.0352")</f>
        <v>0.0352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HYPERLINK("http://141.218.60.56/~jnz1568/getInfo.php?workbook=20_13.xlsx&amp;sheet=U0&amp;row=726&amp;col=6&amp;number=3.2&amp;sourceID=14","3.2")</f>
        <v>3.2</v>
      </c>
      <c r="G726" s="4" t="str">
        <f>HYPERLINK("http://141.218.60.56/~jnz1568/getInfo.php?workbook=20_13.xlsx&amp;sheet=U0&amp;row=726&amp;col=7&amp;number=0.0352&amp;sourceID=14","0.0352")</f>
        <v>0.0352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HYPERLINK("http://141.218.60.56/~jnz1568/getInfo.php?workbook=20_13.xlsx&amp;sheet=U0&amp;row=727&amp;col=6&amp;number=3.3&amp;sourceID=14","3.3")</f>
        <v>3.3</v>
      </c>
      <c r="G727" s="4" t="str">
        <f>HYPERLINK("http://141.218.60.56/~jnz1568/getInfo.php?workbook=20_13.xlsx&amp;sheet=U0&amp;row=727&amp;col=7&amp;number=0.0352&amp;sourceID=14","0.0352")</f>
        <v>0.0352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HYPERLINK("http://141.218.60.56/~jnz1568/getInfo.php?workbook=20_13.xlsx&amp;sheet=U0&amp;row=728&amp;col=6&amp;number=3.4&amp;sourceID=14","3.4")</f>
        <v>3.4</v>
      </c>
      <c r="G728" s="4" t="str">
        <f>HYPERLINK("http://141.218.60.56/~jnz1568/getInfo.php?workbook=20_13.xlsx&amp;sheet=U0&amp;row=728&amp;col=7&amp;number=0.0352&amp;sourceID=14","0.0352")</f>
        <v>0.0352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HYPERLINK("http://141.218.60.56/~jnz1568/getInfo.php?workbook=20_13.xlsx&amp;sheet=U0&amp;row=729&amp;col=6&amp;number=3.5&amp;sourceID=14","3.5")</f>
        <v>3.5</v>
      </c>
      <c r="G729" s="4" t="str">
        <f>HYPERLINK("http://141.218.60.56/~jnz1568/getInfo.php?workbook=20_13.xlsx&amp;sheet=U0&amp;row=729&amp;col=7&amp;number=0.0353&amp;sourceID=14","0.0353")</f>
        <v>0.0353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HYPERLINK("http://141.218.60.56/~jnz1568/getInfo.php?workbook=20_13.xlsx&amp;sheet=U0&amp;row=730&amp;col=6&amp;number=3.6&amp;sourceID=14","3.6")</f>
        <v>3.6</v>
      </c>
      <c r="G730" s="4" t="str">
        <f>HYPERLINK("http://141.218.60.56/~jnz1568/getInfo.php?workbook=20_13.xlsx&amp;sheet=U0&amp;row=730&amp;col=7&amp;number=0.0353&amp;sourceID=14","0.0353")</f>
        <v>0.0353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HYPERLINK("http://141.218.60.56/~jnz1568/getInfo.php?workbook=20_13.xlsx&amp;sheet=U0&amp;row=731&amp;col=6&amp;number=3.7&amp;sourceID=14","3.7")</f>
        <v>3.7</v>
      </c>
      <c r="G731" s="4" t="str">
        <f>HYPERLINK("http://141.218.60.56/~jnz1568/getInfo.php?workbook=20_13.xlsx&amp;sheet=U0&amp;row=731&amp;col=7&amp;number=0.0353&amp;sourceID=14","0.0353")</f>
        <v>0.0353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HYPERLINK("http://141.218.60.56/~jnz1568/getInfo.php?workbook=20_13.xlsx&amp;sheet=U0&amp;row=732&amp;col=6&amp;number=3.8&amp;sourceID=14","3.8")</f>
        <v>3.8</v>
      </c>
      <c r="G732" s="4" t="str">
        <f>HYPERLINK("http://141.218.60.56/~jnz1568/getInfo.php?workbook=20_13.xlsx&amp;sheet=U0&amp;row=732&amp;col=7&amp;number=0.0354&amp;sourceID=14","0.0354")</f>
        <v>0.0354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HYPERLINK("http://141.218.60.56/~jnz1568/getInfo.php?workbook=20_13.xlsx&amp;sheet=U0&amp;row=733&amp;col=6&amp;number=3.9&amp;sourceID=14","3.9")</f>
        <v>3.9</v>
      </c>
      <c r="G733" s="4" t="str">
        <f>HYPERLINK("http://141.218.60.56/~jnz1568/getInfo.php?workbook=20_13.xlsx&amp;sheet=U0&amp;row=733&amp;col=7&amp;number=0.0355&amp;sourceID=14","0.0355")</f>
        <v>0.0355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HYPERLINK("http://141.218.60.56/~jnz1568/getInfo.php?workbook=20_13.xlsx&amp;sheet=U0&amp;row=734&amp;col=6&amp;number=4&amp;sourceID=14","4")</f>
        <v>4</v>
      </c>
      <c r="G734" s="4" t="str">
        <f>HYPERLINK("http://141.218.60.56/~jnz1568/getInfo.php?workbook=20_13.xlsx&amp;sheet=U0&amp;row=734&amp;col=7&amp;number=0.0356&amp;sourceID=14","0.0356")</f>
        <v>0.0356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HYPERLINK("http://141.218.60.56/~jnz1568/getInfo.php?workbook=20_13.xlsx&amp;sheet=U0&amp;row=735&amp;col=6&amp;number=4.1&amp;sourceID=14","4.1")</f>
        <v>4.1</v>
      </c>
      <c r="G735" s="4" t="str">
        <f>HYPERLINK("http://141.218.60.56/~jnz1568/getInfo.php?workbook=20_13.xlsx&amp;sheet=U0&amp;row=735&amp;col=7&amp;number=0.0357&amp;sourceID=14","0.0357")</f>
        <v>0.0357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HYPERLINK("http://141.218.60.56/~jnz1568/getInfo.php?workbook=20_13.xlsx&amp;sheet=U0&amp;row=736&amp;col=6&amp;number=4.2&amp;sourceID=14","4.2")</f>
        <v>4.2</v>
      </c>
      <c r="G736" s="4" t="str">
        <f>HYPERLINK("http://141.218.60.56/~jnz1568/getInfo.php?workbook=20_13.xlsx&amp;sheet=U0&amp;row=736&amp;col=7&amp;number=0.0358&amp;sourceID=14","0.0358")</f>
        <v>0.0358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HYPERLINK("http://141.218.60.56/~jnz1568/getInfo.php?workbook=20_13.xlsx&amp;sheet=U0&amp;row=737&amp;col=6&amp;number=4.3&amp;sourceID=14","4.3")</f>
        <v>4.3</v>
      </c>
      <c r="G737" s="4" t="str">
        <f>HYPERLINK("http://141.218.60.56/~jnz1568/getInfo.php?workbook=20_13.xlsx&amp;sheet=U0&amp;row=737&amp;col=7&amp;number=0.036&amp;sourceID=14","0.036")</f>
        <v>0.036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HYPERLINK("http://141.218.60.56/~jnz1568/getInfo.php?workbook=20_13.xlsx&amp;sheet=U0&amp;row=738&amp;col=6&amp;number=4.4&amp;sourceID=14","4.4")</f>
        <v>4.4</v>
      </c>
      <c r="G738" s="4" t="str">
        <f>HYPERLINK("http://141.218.60.56/~jnz1568/getInfo.php?workbook=20_13.xlsx&amp;sheet=U0&amp;row=738&amp;col=7&amp;number=0.0362&amp;sourceID=14","0.0362")</f>
        <v>0.0362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HYPERLINK("http://141.218.60.56/~jnz1568/getInfo.php?workbook=20_13.xlsx&amp;sheet=U0&amp;row=739&amp;col=6&amp;number=4.5&amp;sourceID=14","4.5")</f>
        <v>4.5</v>
      </c>
      <c r="G739" s="4" t="str">
        <f>HYPERLINK("http://141.218.60.56/~jnz1568/getInfo.php?workbook=20_13.xlsx&amp;sheet=U0&amp;row=739&amp;col=7&amp;number=0.0365&amp;sourceID=14","0.0365")</f>
        <v>0.0365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HYPERLINK("http://141.218.60.56/~jnz1568/getInfo.php?workbook=20_13.xlsx&amp;sheet=U0&amp;row=740&amp;col=6&amp;number=4.6&amp;sourceID=14","4.6")</f>
        <v>4.6</v>
      </c>
      <c r="G740" s="4" t="str">
        <f>HYPERLINK("http://141.218.60.56/~jnz1568/getInfo.php?workbook=20_13.xlsx&amp;sheet=U0&amp;row=740&amp;col=7&amp;number=0.0368&amp;sourceID=14","0.0368")</f>
        <v>0.0368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HYPERLINK("http://141.218.60.56/~jnz1568/getInfo.php?workbook=20_13.xlsx&amp;sheet=U0&amp;row=741&amp;col=6&amp;number=4.7&amp;sourceID=14","4.7")</f>
        <v>4.7</v>
      </c>
      <c r="G741" s="4" t="str">
        <f>HYPERLINK("http://141.218.60.56/~jnz1568/getInfo.php?workbook=20_13.xlsx&amp;sheet=U0&amp;row=741&amp;col=7&amp;number=0.0372&amp;sourceID=14","0.0372")</f>
        <v>0.0372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HYPERLINK("http://141.218.60.56/~jnz1568/getInfo.php?workbook=20_13.xlsx&amp;sheet=U0&amp;row=742&amp;col=6&amp;number=4.8&amp;sourceID=14","4.8")</f>
        <v>4.8</v>
      </c>
      <c r="G742" s="4" t="str">
        <f>HYPERLINK("http://141.218.60.56/~jnz1568/getInfo.php?workbook=20_13.xlsx&amp;sheet=U0&amp;row=742&amp;col=7&amp;number=0.0377&amp;sourceID=14","0.0377")</f>
        <v>0.0377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HYPERLINK("http://141.218.60.56/~jnz1568/getInfo.php?workbook=20_13.xlsx&amp;sheet=U0&amp;row=743&amp;col=6&amp;number=4.9&amp;sourceID=14","4.9")</f>
        <v>4.9</v>
      </c>
      <c r="G743" s="4" t="str">
        <f>HYPERLINK("http://141.218.60.56/~jnz1568/getInfo.php?workbook=20_13.xlsx&amp;sheet=U0&amp;row=743&amp;col=7&amp;number=0.0382&amp;sourceID=14","0.0382")</f>
        <v>0.0382</v>
      </c>
    </row>
    <row r="744" spans="1:7">
      <c r="A744" s="3">
        <v>20</v>
      </c>
      <c r="B744" s="3">
        <v>13</v>
      </c>
      <c r="C744" s="3">
        <v>1</v>
      </c>
      <c r="D744" s="3">
        <v>39</v>
      </c>
      <c r="E744" s="3">
        <v>1</v>
      </c>
      <c r="F744" s="4" t="str">
        <f>HYPERLINK("http://141.218.60.56/~jnz1568/getInfo.php?workbook=20_13.xlsx&amp;sheet=U0&amp;row=744&amp;col=6&amp;number=3&amp;sourceID=14","3")</f>
        <v>3</v>
      </c>
      <c r="G744" s="4" t="str">
        <f>HYPERLINK("http://141.218.60.56/~jnz1568/getInfo.php?workbook=20_13.xlsx&amp;sheet=U0&amp;row=744&amp;col=7&amp;number=0.122&amp;sourceID=14","0.122")</f>
        <v>0.122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HYPERLINK("http://141.218.60.56/~jnz1568/getInfo.php?workbook=20_13.xlsx&amp;sheet=U0&amp;row=745&amp;col=6&amp;number=3.1&amp;sourceID=14","3.1")</f>
        <v>3.1</v>
      </c>
      <c r="G745" s="4" t="str">
        <f>HYPERLINK("http://141.218.60.56/~jnz1568/getInfo.php?workbook=20_13.xlsx&amp;sheet=U0&amp;row=745&amp;col=7&amp;number=0.122&amp;sourceID=14","0.122")</f>
        <v>0.122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HYPERLINK("http://141.218.60.56/~jnz1568/getInfo.php?workbook=20_13.xlsx&amp;sheet=U0&amp;row=746&amp;col=6&amp;number=3.2&amp;sourceID=14","3.2")</f>
        <v>3.2</v>
      </c>
      <c r="G746" s="4" t="str">
        <f>HYPERLINK("http://141.218.60.56/~jnz1568/getInfo.php?workbook=20_13.xlsx&amp;sheet=U0&amp;row=746&amp;col=7&amp;number=0.122&amp;sourceID=14","0.122")</f>
        <v>0.122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HYPERLINK("http://141.218.60.56/~jnz1568/getInfo.php?workbook=20_13.xlsx&amp;sheet=U0&amp;row=747&amp;col=6&amp;number=3.3&amp;sourceID=14","3.3")</f>
        <v>3.3</v>
      </c>
      <c r="G747" s="4" t="str">
        <f>HYPERLINK("http://141.218.60.56/~jnz1568/getInfo.php?workbook=20_13.xlsx&amp;sheet=U0&amp;row=747&amp;col=7&amp;number=0.122&amp;sourceID=14","0.122")</f>
        <v>0.122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HYPERLINK("http://141.218.60.56/~jnz1568/getInfo.php?workbook=20_13.xlsx&amp;sheet=U0&amp;row=748&amp;col=6&amp;number=3.4&amp;sourceID=14","3.4")</f>
        <v>3.4</v>
      </c>
      <c r="G748" s="4" t="str">
        <f>HYPERLINK("http://141.218.60.56/~jnz1568/getInfo.php?workbook=20_13.xlsx&amp;sheet=U0&amp;row=748&amp;col=7&amp;number=0.122&amp;sourceID=14","0.122")</f>
        <v>0.122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HYPERLINK("http://141.218.60.56/~jnz1568/getInfo.php?workbook=20_13.xlsx&amp;sheet=U0&amp;row=749&amp;col=6&amp;number=3.5&amp;sourceID=14","3.5")</f>
        <v>3.5</v>
      </c>
      <c r="G749" s="4" t="str">
        <f>HYPERLINK("http://141.218.60.56/~jnz1568/getInfo.php?workbook=20_13.xlsx&amp;sheet=U0&amp;row=749&amp;col=7&amp;number=0.122&amp;sourceID=14","0.122")</f>
        <v>0.122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HYPERLINK("http://141.218.60.56/~jnz1568/getInfo.php?workbook=20_13.xlsx&amp;sheet=U0&amp;row=750&amp;col=6&amp;number=3.6&amp;sourceID=14","3.6")</f>
        <v>3.6</v>
      </c>
      <c r="G750" s="4" t="str">
        <f>HYPERLINK("http://141.218.60.56/~jnz1568/getInfo.php?workbook=20_13.xlsx&amp;sheet=U0&amp;row=750&amp;col=7&amp;number=0.122&amp;sourceID=14","0.122")</f>
        <v>0.122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HYPERLINK("http://141.218.60.56/~jnz1568/getInfo.php?workbook=20_13.xlsx&amp;sheet=U0&amp;row=751&amp;col=6&amp;number=3.7&amp;sourceID=14","3.7")</f>
        <v>3.7</v>
      </c>
      <c r="G751" s="4" t="str">
        <f>HYPERLINK("http://141.218.60.56/~jnz1568/getInfo.php?workbook=20_13.xlsx&amp;sheet=U0&amp;row=751&amp;col=7&amp;number=0.122&amp;sourceID=14","0.122")</f>
        <v>0.122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HYPERLINK("http://141.218.60.56/~jnz1568/getInfo.php?workbook=20_13.xlsx&amp;sheet=U0&amp;row=752&amp;col=6&amp;number=3.8&amp;sourceID=14","3.8")</f>
        <v>3.8</v>
      </c>
      <c r="G752" s="4" t="str">
        <f>HYPERLINK("http://141.218.60.56/~jnz1568/getInfo.php?workbook=20_13.xlsx&amp;sheet=U0&amp;row=752&amp;col=7&amp;number=0.122&amp;sourceID=14","0.122")</f>
        <v>0.122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HYPERLINK("http://141.218.60.56/~jnz1568/getInfo.php?workbook=20_13.xlsx&amp;sheet=U0&amp;row=753&amp;col=6&amp;number=3.9&amp;sourceID=14","3.9")</f>
        <v>3.9</v>
      </c>
      <c r="G753" s="4" t="str">
        <f>HYPERLINK("http://141.218.60.56/~jnz1568/getInfo.php?workbook=20_13.xlsx&amp;sheet=U0&amp;row=753&amp;col=7&amp;number=0.122&amp;sourceID=14","0.122")</f>
        <v>0.122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HYPERLINK("http://141.218.60.56/~jnz1568/getInfo.php?workbook=20_13.xlsx&amp;sheet=U0&amp;row=754&amp;col=6&amp;number=4&amp;sourceID=14","4")</f>
        <v>4</v>
      </c>
      <c r="G754" s="4" t="str">
        <f>HYPERLINK("http://141.218.60.56/~jnz1568/getInfo.php?workbook=20_13.xlsx&amp;sheet=U0&amp;row=754&amp;col=7&amp;number=0.122&amp;sourceID=14","0.122")</f>
        <v>0.122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HYPERLINK("http://141.218.60.56/~jnz1568/getInfo.php?workbook=20_13.xlsx&amp;sheet=U0&amp;row=755&amp;col=6&amp;number=4.1&amp;sourceID=14","4.1")</f>
        <v>4.1</v>
      </c>
      <c r="G755" s="4" t="str">
        <f>HYPERLINK("http://141.218.60.56/~jnz1568/getInfo.php?workbook=20_13.xlsx&amp;sheet=U0&amp;row=755&amp;col=7&amp;number=0.122&amp;sourceID=14","0.122")</f>
        <v>0.122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HYPERLINK("http://141.218.60.56/~jnz1568/getInfo.php?workbook=20_13.xlsx&amp;sheet=U0&amp;row=756&amp;col=6&amp;number=4.2&amp;sourceID=14","4.2")</f>
        <v>4.2</v>
      </c>
      <c r="G756" s="4" t="str">
        <f>HYPERLINK("http://141.218.60.56/~jnz1568/getInfo.php?workbook=20_13.xlsx&amp;sheet=U0&amp;row=756&amp;col=7&amp;number=0.122&amp;sourceID=14","0.122")</f>
        <v>0.122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HYPERLINK("http://141.218.60.56/~jnz1568/getInfo.php?workbook=20_13.xlsx&amp;sheet=U0&amp;row=757&amp;col=6&amp;number=4.3&amp;sourceID=14","4.3")</f>
        <v>4.3</v>
      </c>
      <c r="G757" s="4" t="str">
        <f>HYPERLINK("http://141.218.60.56/~jnz1568/getInfo.php?workbook=20_13.xlsx&amp;sheet=U0&amp;row=757&amp;col=7&amp;number=0.122&amp;sourceID=14","0.122")</f>
        <v>0.122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HYPERLINK("http://141.218.60.56/~jnz1568/getInfo.php?workbook=20_13.xlsx&amp;sheet=U0&amp;row=758&amp;col=6&amp;number=4.4&amp;sourceID=14","4.4")</f>
        <v>4.4</v>
      </c>
      <c r="G758" s="4" t="str">
        <f>HYPERLINK("http://141.218.60.56/~jnz1568/getInfo.php?workbook=20_13.xlsx&amp;sheet=U0&amp;row=758&amp;col=7&amp;number=0.122&amp;sourceID=14","0.122")</f>
        <v>0.122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HYPERLINK("http://141.218.60.56/~jnz1568/getInfo.php?workbook=20_13.xlsx&amp;sheet=U0&amp;row=759&amp;col=6&amp;number=4.5&amp;sourceID=14","4.5")</f>
        <v>4.5</v>
      </c>
      <c r="G759" s="4" t="str">
        <f>HYPERLINK("http://141.218.60.56/~jnz1568/getInfo.php?workbook=20_13.xlsx&amp;sheet=U0&amp;row=759&amp;col=7&amp;number=0.122&amp;sourceID=14","0.122")</f>
        <v>0.122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HYPERLINK("http://141.218.60.56/~jnz1568/getInfo.php?workbook=20_13.xlsx&amp;sheet=U0&amp;row=760&amp;col=6&amp;number=4.6&amp;sourceID=14","4.6")</f>
        <v>4.6</v>
      </c>
      <c r="G760" s="4" t="str">
        <f>HYPERLINK("http://141.218.60.56/~jnz1568/getInfo.php?workbook=20_13.xlsx&amp;sheet=U0&amp;row=760&amp;col=7&amp;number=0.122&amp;sourceID=14","0.122")</f>
        <v>0.122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HYPERLINK("http://141.218.60.56/~jnz1568/getInfo.php?workbook=20_13.xlsx&amp;sheet=U0&amp;row=761&amp;col=6&amp;number=4.7&amp;sourceID=14","4.7")</f>
        <v>4.7</v>
      </c>
      <c r="G761" s="4" t="str">
        <f>HYPERLINK("http://141.218.60.56/~jnz1568/getInfo.php?workbook=20_13.xlsx&amp;sheet=U0&amp;row=761&amp;col=7&amp;number=0.123&amp;sourceID=14","0.123")</f>
        <v>0.123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HYPERLINK("http://141.218.60.56/~jnz1568/getInfo.php?workbook=20_13.xlsx&amp;sheet=U0&amp;row=762&amp;col=6&amp;number=4.8&amp;sourceID=14","4.8")</f>
        <v>4.8</v>
      </c>
      <c r="G762" s="4" t="str">
        <f>HYPERLINK("http://141.218.60.56/~jnz1568/getInfo.php?workbook=20_13.xlsx&amp;sheet=U0&amp;row=762&amp;col=7&amp;number=0.123&amp;sourceID=14","0.123")</f>
        <v>0.123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HYPERLINK("http://141.218.60.56/~jnz1568/getInfo.php?workbook=20_13.xlsx&amp;sheet=U0&amp;row=763&amp;col=6&amp;number=4.9&amp;sourceID=14","4.9")</f>
        <v>4.9</v>
      </c>
      <c r="G763" s="4" t="str">
        <f>HYPERLINK("http://141.218.60.56/~jnz1568/getInfo.php?workbook=20_13.xlsx&amp;sheet=U0&amp;row=763&amp;col=7&amp;number=0.123&amp;sourceID=14","0.123")</f>
        <v>0.123</v>
      </c>
    </row>
    <row r="764" spans="1:7">
      <c r="A764" s="3">
        <v>20</v>
      </c>
      <c r="B764" s="3">
        <v>13</v>
      </c>
      <c r="C764" s="3">
        <v>1</v>
      </c>
      <c r="D764" s="3">
        <v>40</v>
      </c>
      <c r="E764" s="3">
        <v>1</v>
      </c>
      <c r="F764" s="4" t="str">
        <f>HYPERLINK("http://141.218.60.56/~jnz1568/getInfo.php?workbook=20_13.xlsx&amp;sheet=U0&amp;row=764&amp;col=6&amp;number=3&amp;sourceID=14","3")</f>
        <v>3</v>
      </c>
      <c r="G764" s="4" t="str">
        <f>HYPERLINK("http://141.218.60.56/~jnz1568/getInfo.php?workbook=20_13.xlsx&amp;sheet=U0&amp;row=764&amp;col=7&amp;number=0.102&amp;sourceID=14","0.102")</f>
        <v>0.102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HYPERLINK("http://141.218.60.56/~jnz1568/getInfo.php?workbook=20_13.xlsx&amp;sheet=U0&amp;row=765&amp;col=6&amp;number=3.1&amp;sourceID=14","3.1")</f>
        <v>3.1</v>
      </c>
      <c r="G765" s="4" t="str">
        <f>HYPERLINK("http://141.218.60.56/~jnz1568/getInfo.php?workbook=20_13.xlsx&amp;sheet=U0&amp;row=765&amp;col=7&amp;number=0.102&amp;sourceID=14","0.102")</f>
        <v>0.102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HYPERLINK("http://141.218.60.56/~jnz1568/getInfo.php?workbook=20_13.xlsx&amp;sheet=U0&amp;row=766&amp;col=6&amp;number=3.2&amp;sourceID=14","3.2")</f>
        <v>3.2</v>
      </c>
      <c r="G766" s="4" t="str">
        <f>HYPERLINK("http://141.218.60.56/~jnz1568/getInfo.php?workbook=20_13.xlsx&amp;sheet=U0&amp;row=766&amp;col=7&amp;number=0.102&amp;sourceID=14","0.102")</f>
        <v>0.102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HYPERLINK("http://141.218.60.56/~jnz1568/getInfo.php?workbook=20_13.xlsx&amp;sheet=U0&amp;row=767&amp;col=6&amp;number=3.3&amp;sourceID=14","3.3")</f>
        <v>3.3</v>
      </c>
      <c r="G767" s="4" t="str">
        <f>HYPERLINK("http://141.218.60.56/~jnz1568/getInfo.php?workbook=20_13.xlsx&amp;sheet=U0&amp;row=767&amp;col=7&amp;number=0.102&amp;sourceID=14","0.102")</f>
        <v>0.102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HYPERLINK("http://141.218.60.56/~jnz1568/getInfo.php?workbook=20_13.xlsx&amp;sheet=U0&amp;row=768&amp;col=6&amp;number=3.4&amp;sourceID=14","3.4")</f>
        <v>3.4</v>
      </c>
      <c r="G768" s="4" t="str">
        <f>HYPERLINK("http://141.218.60.56/~jnz1568/getInfo.php?workbook=20_13.xlsx&amp;sheet=U0&amp;row=768&amp;col=7&amp;number=0.102&amp;sourceID=14","0.102")</f>
        <v>0.102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HYPERLINK("http://141.218.60.56/~jnz1568/getInfo.php?workbook=20_13.xlsx&amp;sheet=U0&amp;row=769&amp;col=6&amp;number=3.5&amp;sourceID=14","3.5")</f>
        <v>3.5</v>
      </c>
      <c r="G769" s="4" t="str">
        <f>HYPERLINK("http://141.218.60.56/~jnz1568/getInfo.php?workbook=20_13.xlsx&amp;sheet=U0&amp;row=769&amp;col=7&amp;number=0.102&amp;sourceID=14","0.102")</f>
        <v>0.102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HYPERLINK("http://141.218.60.56/~jnz1568/getInfo.php?workbook=20_13.xlsx&amp;sheet=U0&amp;row=770&amp;col=6&amp;number=3.6&amp;sourceID=14","3.6")</f>
        <v>3.6</v>
      </c>
      <c r="G770" s="4" t="str">
        <f>HYPERLINK("http://141.218.60.56/~jnz1568/getInfo.php?workbook=20_13.xlsx&amp;sheet=U0&amp;row=770&amp;col=7&amp;number=0.102&amp;sourceID=14","0.102")</f>
        <v>0.102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HYPERLINK("http://141.218.60.56/~jnz1568/getInfo.php?workbook=20_13.xlsx&amp;sheet=U0&amp;row=771&amp;col=6&amp;number=3.7&amp;sourceID=14","3.7")</f>
        <v>3.7</v>
      </c>
      <c r="G771" s="4" t="str">
        <f>HYPERLINK("http://141.218.60.56/~jnz1568/getInfo.php?workbook=20_13.xlsx&amp;sheet=U0&amp;row=771&amp;col=7&amp;number=0.102&amp;sourceID=14","0.102")</f>
        <v>0.102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HYPERLINK("http://141.218.60.56/~jnz1568/getInfo.php?workbook=20_13.xlsx&amp;sheet=U0&amp;row=772&amp;col=6&amp;number=3.8&amp;sourceID=14","3.8")</f>
        <v>3.8</v>
      </c>
      <c r="G772" s="4" t="str">
        <f>HYPERLINK("http://141.218.60.56/~jnz1568/getInfo.php?workbook=20_13.xlsx&amp;sheet=U0&amp;row=772&amp;col=7&amp;number=0.102&amp;sourceID=14","0.102")</f>
        <v>0.102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HYPERLINK("http://141.218.60.56/~jnz1568/getInfo.php?workbook=20_13.xlsx&amp;sheet=U0&amp;row=773&amp;col=6&amp;number=3.9&amp;sourceID=14","3.9")</f>
        <v>3.9</v>
      </c>
      <c r="G773" s="4" t="str">
        <f>HYPERLINK("http://141.218.60.56/~jnz1568/getInfo.php?workbook=20_13.xlsx&amp;sheet=U0&amp;row=773&amp;col=7&amp;number=0.102&amp;sourceID=14","0.102")</f>
        <v>0.102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HYPERLINK("http://141.218.60.56/~jnz1568/getInfo.php?workbook=20_13.xlsx&amp;sheet=U0&amp;row=774&amp;col=6&amp;number=4&amp;sourceID=14","4")</f>
        <v>4</v>
      </c>
      <c r="G774" s="4" t="str">
        <f>HYPERLINK("http://141.218.60.56/~jnz1568/getInfo.php?workbook=20_13.xlsx&amp;sheet=U0&amp;row=774&amp;col=7&amp;number=0.102&amp;sourceID=14","0.102")</f>
        <v>0.102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HYPERLINK("http://141.218.60.56/~jnz1568/getInfo.php?workbook=20_13.xlsx&amp;sheet=U0&amp;row=775&amp;col=6&amp;number=4.1&amp;sourceID=14","4.1")</f>
        <v>4.1</v>
      </c>
      <c r="G775" s="4" t="str">
        <f>HYPERLINK("http://141.218.60.56/~jnz1568/getInfo.php?workbook=20_13.xlsx&amp;sheet=U0&amp;row=775&amp;col=7&amp;number=0.102&amp;sourceID=14","0.102")</f>
        <v>0.102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HYPERLINK("http://141.218.60.56/~jnz1568/getInfo.php?workbook=20_13.xlsx&amp;sheet=U0&amp;row=776&amp;col=6&amp;number=4.2&amp;sourceID=14","4.2")</f>
        <v>4.2</v>
      </c>
      <c r="G776" s="4" t="str">
        <f>HYPERLINK("http://141.218.60.56/~jnz1568/getInfo.php?workbook=20_13.xlsx&amp;sheet=U0&amp;row=776&amp;col=7&amp;number=0.103&amp;sourceID=14","0.103")</f>
        <v>0.103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HYPERLINK("http://141.218.60.56/~jnz1568/getInfo.php?workbook=20_13.xlsx&amp;sheet=U0&amp;row=777&amp;col=6&amp;number=4.3&amp;sourceID=14","4.3")</f>
        <v>4.3</v>
      </c>
      <c r="G777" s="4" t="str">
        <f>HYPERLINK("http://141.218.60.56/~jnz1568/getInfo.php?workbook=20_13.xlsx&amp;sheet=U0&amp;row=777&amp;col=7&amp;number=0.103&amp;sourceID=14","0.103")</f>
        <v>0.103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HYPERLINK("http://141.218.60.56/~jnz1568/getInfo.php?workbook=20_13.xlsx&amp;sheet=U0&amp;row=778&amp;col=6&amp;number=4.4&amp;sourceID=14","4.4")</f>
        <v>4.4</v>
      </c>
      <c r="G778" s="4" t="str">
        <f>HYPERLINK("http://141.218.60.56/~jnz1568/getInfo.php?workbook=20_13.xlsx&amp;sheet=U0&amp;row=778&amp;col=7&amp;number=0.103&amp;sourceID=14","0.103")</f>
        <v>0.103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HYPERLINK("http://141.218.60.56/~jnz1568/getInfo.php?workbook=20_13.xlsx&amp;sheet=U0&amp;row=779&amp;col=6&amp;number=4.5&amp;sourceID=14","4.5")</f>
        <v>4.5</v>
      </c>
      <c r="G779" s="4" t="str">
        <f>HYPERLINK("http://141.218.60.56/~jnz1568/getInfo.php?workbook=20_13.xlsx&amp;sheet=U0&amp;row=779&amp;col=7&amp;number=0.103&amp;sourceID=14","0.103")</f>
        <v>0.103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HYPERLINK("http://141.218.60.56/~jnz1568/getInfo.php?workbook=20_13.xlsx&amp;sheet=U0&amp;row=780&amp;col=6&amp;number=4.6&amp;sourceID=14","4.6")</f>
        <v>4.6</v>
      </c>
      <c r="G780" s="4" t="str">
        <f>HYPERLINK("http://141.218.60.56/~jnz1568/getInfo.php?workbook=20_13.xlsx&amp;sheet=U0&amp;row=780&amp;col=7&amp;number=0.103&amp;sourceID=14","0.103")</f>
        <v>0.103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HYPERLINK("http://141.218.60.56/~jnz1568/getInfo.php?workbook=20_13.xlsx&amp;sheet=U0&amp;row=781&amp;col=6&amp;number=4.7&amp;sourceID=14","4.7")</f>
        <v>4.7</v>
      </c>
      <c r="G781" s="4" t="str">
        <f>HYPERLINK("http://141.218.60.56/~jnz1568/getInfo.php?workbook=20_13.xlsx&amp;sheet=U0&amp;row=781&amp;col=7&amp;number=0.103&amp;sourceID=14","0.103")</f>
        <v>0.103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HYPERLINK("http://141.218.60.56/~jnz1568/getInfo.php?workbook=20_13.xlsx&amp;sheet=U0&amp;row=782&amp;col=6&amp;number=4.8&amp;sourceID=14","4.8")</f>
        <v>4.8</v>
      </c>
      <c r="G782" s="4" t="str">
        <f>HYPERLINK("http://141.218.60.56/~jnz1568/getInfo.php?workbook=20_13.xlsx&amp;sheet=U0&amp;row=782&amp;col=7&amp;number=0.103&amp;sourceID=14","0.103")</f>
        <v>0.103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HYPERLINK("http://141.218.60.56/~jnz1568/getInfo.php?workbook=20_13.xlsx&amp;sheet=U0&amp;row=783&amp;col=6&amp;number=4.9&amp;sourceID=14","4.9")</f>
        <v>4.9</v>
      </c>
      <c r="G783" s="4" t="str">
        <f>HYPERLINK("http://141.218.60.56/~jnz1568/getInfo.php?workbook=20_13.xlsx&amp;sheet=U0&amp;row=783&amp;col=7&amp;number=0.103&amp;sourceID=14","0.103")</f>
        <v>0.103</v>
      </c>
    </row>
    <row r="784" spans="1:7">
      <c r="A784" s="3">
        <v>20</v>
      </c>
      <c r="B784" s="3">
        <v>13</v>
      </c>
      <c r="C784" s="3">
        <v>2</v>
      </c>
      <c r="D784" s="3">
        <v>3</v>
      </c>
      <c r="E784" s="3">
        <v>1</v>
      </c>
      <c r="F784" s="4" t="str">
        <f>HYPERLINK("http://141.218.60.56/~jnz1568/getInfo.php?workbook=20_13.xlsx&amp;sheet=U0&amp;row=784&amp;col=6&amp;number=3&amp;sourceID=14","3")</f>
        <v>3</v>
      </c>
      <c r="G784" s="4" t="str">
        <f>HYPERLINK("http://141.218.60.56/~jnz1568/getInfo.php?workbook=20_13.xlsx&amp;sheet=U0&amp;row=784&amp;col=7&amp;number=0.23&amp;sourceID=14","0.23")</f>
        <v>0.23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HYPERLINK("http://141.218.60.56/~jnz1568/getInfo.php?workbook=20_13.xlsx&amp;sheet=U0&amp;row=785&amp;col=6&amp;number=3.1&amp;sourceID=14","3.1")</f>
        <v>3.1</v>
      </c>
      <c r="G785" s="4" t="str">
        <f>HYPERLINK("http://141.218.60.56/~jnz1568/getInfo.php?workbook=20_13.xlsx&amp;sheet=U0&amp;row=785&amp;col=7&amp;number=0.23&amp;sourceID=14","0.23")</f>
        <v>0.23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HYPERLINK("http://141.218.60.56/~jnz1568/getInfo.php?workbook=20_13.xlsx&amp;sheet=U0&amp;row=786&amp;col=6&amp;number=3.2&amp;sourceID=14","3.2")</f>
        <v>3.2</v>
      </c>
      <c r="G786" s="4" t="str">
        <f>HYPERLINK("http://141.218.60.56/~jnz1568/getInfo.php?workbook=20_13.xlsx&amp;sheet=U0&amp;row=786&amp;col=7&amp;number=0.23&amp;sourceID=14","0.23")</f>
        <v>0.23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HYPERLINK("http://141.218.60.56/~jnz1568/getInfo.php?workbook=20_13.xlsx&amp;sheet=U0&amp;row=787&amp;col=6&amp;number=3.3&amp;sourceID=14","3.3")</f>
        <v>3.3</v>
      </c>
      <c r="G787" s="4" t="str">
        <f>HYPERLINK("http://141.218.60.56/~jnz1568/getInfo.php?workbook=20_13.xlsx&amp;sheet=U0&amp;row=787&amp;col=7&amp;number=0.229&amp;sourceID=14","0.229")</f>
        <v>0.229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HYPERLINK("http://141.218.60.56/~jnz1568/getInfo.php?workbook=20_13.xlsx&amp;sheet=U0&amp;row=788&amp;col=6&amp;number=3.4&amp;sourceID=14","3.4")</f>
        <v>3.4</v>
      </c>
      <c r="G788" s="4" t="str">
        <f>HYPERLINK("http://141.218.60.56/~jnz1568/getInfo.php?workbook=20_13.xlsx&amp;sheet=U0&amp;row=788&amp;col=7&amp;number=0.229&amp;sourceID=14","0.229")</f>
        <v>0.229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HYPERLINK("http://141.218.60.56/~jnz1568/getInfo.php?workbook=20_13.xlsx&amp;sheet=U0&amp;row=789&amp;col=6&amp;number=3.5&amp;sourceID=14","3.5")</f>
        <v>3.5</v>
      </c>
      <c r="G789" s="4" t="str">
        <f>HYPERLINK("http://141.218.60.56/~jnz1568/getInfo.php?workbook=20_13.xlsx&amp;sheet=U0&amp;row=789&amp;col=7&amp;number=0.228&amp;sourceID=14","0.228")</f>
        <v>0.228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HYPERLINK("http://141.218.60.56/~jnz1568/getInfo.php?workbook=20_13.xlsx&amp;sheet=U0&amp;row=790&amp;col=6&amp;number=3.6&amp;sourceID=14","3.6")</f>
        <v>3.6</v>
      </c>
      <c r="G790" s="4" t="str">
        <f>HYPERLINK("http://141.218.60.56/~jnz1568/getInfo.php?workbook=20_13.xlsx&amp;sheet=U0&amp;row=790&amp;col=7&amp;number=0.227&amp;sourceID=14","0.227")</f>
        <v>0.227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HYPERLINK("http://141.218.60.56/~jnz1568/getInfo.php?workbook=20_13.xlsx&amp;sheet=U0&amp;row=791&amp;col=6&amp;number=3.7&amp;sourceID=14","3.7")</f>
        <v>3.7</v>
      </c>
      <c r="G791" s="4" t="str">
        <f>HYPERLINK("http://141.218.60.56/~jnz1568/getInfo.php?workbook=20_13.xlsx&amp;sheet=U0&amp;row=791&amp;col=7&amp;number=0.226&amp;sourceID=14","0.226")</f>
        <v>0.226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HYPERLINK("http://141.218.60.56/~jnz1568/getInfo.php?workbook=20_13.xlsx&amp;sheet=U0&amp;row=792&amp;col=6&amp;number=3.8&amp;sourceID=14","3.8")</f>
        <v>3.8</v>
      </c>
      <c r="G792" s="4" t="str">
        <f>HYPERLINK("http://141.218.60.56/~jnz1568/getInfo.php?workbook=20_13.xlsx&amp;sheet=U0&amp;row=792&amp;col=7&amp;number=0.225&amp;sourceID=14","0.225")</f>
        <v>0.225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HYPERLINK("http://141.218.60.56/~jnz1568/getInfo.php?workbook=20_13.xlsx&amp;sheet=U0&amp;row=793&amp;col=6&amp;number=3.9&amp;sourceID=14","3.9")</f>
        <v>3.9</v>
      </c>
      <c r="G793" s="4" t="str">
        <f>HYPERLINK("http://141.218.60.56/~jnz1568/getInfo.php?workbook=20_13.xlsx&amp;sheet=U0&amp;row=793&amp;col=7&amp;number=0.223&amp;sourceID=14","0.223")</f>
        <v>0.223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HYPERLINK("http://141.218.60.56/~jnz1568/getInfo.php?workbook=20_13.xlsx&amp;sheet=U0&amp;row=794&amp;col=6&amp;number=4&amp;sourceID=14","4")</f>
        <v>4</v>
      </c>
      <c r="G794" s="4" t="str">
        <f>HYPERLINK("http://141.218.60.56/~jnz1568/getInfo.php?workbook=20_13.xlsx&amp;sheet=U0&amp;row=794&amp;col=7&amp;number=0.222&amp;sourceID=14","0.222")</f>
        <v>0.222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HYPERLINK("http://141.218.60.56/~jnz1568/getInfo.php?workbook=20_13.xlsx&amp;sheet=U0&amp;row=795&amp;col=6&amp;number=4.1&amp;sourceID=14","4.1")</f>
        <v>4.1</v>
      </c>
      <c r="G795" s="4" t="str">
        <f>HYPERLINK("http://141.218.60.56/~jnz1568/getInfo.php?workbook=20_13.xlsx&amp;sheet=U0&amp;row=795&amp;col=7&amp;number=0.219&amp;sourceID=14","0.219")</f>
        <v>0.219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HYPERLINK("http://141.218.60.56/~jnz1568/getInfo.php?workbook=20_13.xlsx&amp;sheet=U0&amp;row=796&amp;col=6&amp;number=4.2&amp;sourceID=14","4.2")</f>
        <v>4.2</v>
      </c>
      <c r="G796" s="4" t="str">
        <f>HYPERLINK("http://141.218.60.56/~jnz1568/getInfo.php?workbook=20_13.xlsx&amp;sheet=U0&amp;row=796&amp;col=7&amp;number=0.216&amp;sourceID=14","0.216")</f>
        <v>0.216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HYPERLINK("http://141.218.60.56/~jnz1568/getInfo.php?workbook=20_13.xlsx&amp;sheet=U0&amp;row=797&amp;col=6&amp;number=4.3&amp;sourceID=14","4.3")</f>
        <v>4.3</v>
      </c>
      <c r="G797" s="4" t="str">
        <f>HYPERLINK("http://141.218.60.56/~jnz1568/getInfo.php?workbook=20_13.xlsx&amp;sheet=U0&amp;row=797&amp;col=7&amp;number=0.212&amp;sourceID=14","0.212")</f>
        <v>0.212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HYPERLINK("http://141.218.60.56/~jnz1568/getInfo.php?workbook=20_13.xlsx&amp;sheet=U0&amp;row=798&amp;col=6&amp;number=4.4&amp;sourceID=14","4.4")</f>
        <v>4.4</v>
      </c>
      <c r="G798" s="4" t="str">
        <f>HYPERLINK("http://141.218.60.56/~jnz1568/getInfo.php?workbook=20_13.xlsx&amp;sheet=U0&amp;row=798&amp;col=7&amp;number=0.208&amp;sourceID=14","0.208")</f>
        <v>0.208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HYPERLINK("http://141.218.60.56/~jnz1568/getInfo.php?workbook=20_13.xlsx&amp;sheet=U0&amp;row=799&amp;col=6&amp;number=4.5&amp;sourceID=14","4.5")</f>
        <v>4.5</v>
      </c>
      <c r="G799" s="4" t="str">
        <f>HYPERLINK("http://141.218.60.56/~jnz1568/getInfo.php?workbook=20_13.xlsx&amp;sheet=U0&amp;row=799&amp;col=7&amp;number=0.202&amp;sourceID=14","0.202")</f>
        <v>0.202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HYPERLINK("http://141.218.60.56/~jnz1568/getInfo.php?workbook=20_13.xlsx&amp;sheet=U0&amp;row=800&amp;col=6&amp;number=4.6&amp;sourceID=14","4.6")</f>
        <v>4.6</v>
      </c>
      <c r="G800" s="4" t="str">
        <f>HYPERLINK("http://141.218.60.56/~jnz1568/getInfo.php?workbook=20_13.xlsx&amp;sheet=U0&amp;row=800&amp;col=7&amp;number=0.195&amp;sourceID=14","0.195")</f>
        <v>0.195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HYPERLINK("http://141.218.60.56/~jnz1568/getInfo.php?workbook=20_13.xlsx&amp;sheet=U0&amp;row=801&amp;col=6&amp;number=4.7&amp;sourceID=14","4.7")</f>
        <v>4.7</v>
      </c>
      <c r="G801" s="4" t="str">
        <f>HYPERLINK("http://141.218.60.56/~jnz1568/getInfo.php?workbook=20_13.xlsx&amp;sheet=U0&amp;row=801&amp;col=7&amp;number=0.187&amp;sourceID=14","0.187")</f>
        <v>0.187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HYPERLINK("http://141.218.60.56/~jnz1568/getInfo.php?workbook=20_13.xlsx&amp;sheet=U0&amp;row=802&amp;col=6&amp;number=4.8&amp;sourceID=14","4.8")</f>
        <v>4.8</v>
      </c>
      <c r="G802" s="4" t="str">
        <f>HYPERLINK("http://141.218.60.56/~jnz1568/getInfo.php?workbook=20_13.xlsx&amp;sheet=U0&amp;row=802&amp;col=7&amp;number=0.177&amp;sourceID=14","0.177")</f>
        <v>0.177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HYPERLINK("http://141.218.60.56/~jnz1568/getInfo.php?workbook=20_13.xlsx&amp;sheet=U0&amp;row=803&amp;col=6&amp;number=4.9&amp;sourceID=14","4.9")</f>
        <v>4.9</v>
      </c>
      <c r="G803" s="4" t="str">
        <f>HYPERLINK("http://141.218.60.56/~jnz1568/getInfo.php?workbook=20_13.xlsx&amp;sheet=U0&amp;row=803&amp;col=7&amp;number=0.165&amp;sourceID=14","0.165")</f>
        <v>0.165</v>
      </c>
    </row>
    <row r="804" spans="1:7">
      <c r="A804" s="3">
        <v>20</v>
      </c>
      <c r="B804" s="3">
        <v>13</v>
      </c>
      <c r="C804" s="3">
        <v>2</v>
      </c>
      <c r="D804" s="3">
        <v>4</v>
      </c>
      <c r="E804" s="3">
        <v>1</v>
      </c>
      <c r="F804" s="4" t="str">
        <f>HYPERLINK("http://141.218.60.56/~jnz1568/getInfo.php?workbook=20_13.xlsx&amp;sheet=U0&amp;row=804&amp;col=6&amp;number=3&amp;sourceID=14","3")</f>
        <v>3</v>
      </c>
      <c r="G804" s="4" t="str">
        <f>HYPERLINK("http://141.218.60.56/~jnz1568/getInfo.php?workbook=20_13.xlsx&amp;sheet=U0&amp;row=804&amp;col=7&amp;number=0.51&amp;sourceID=14","0.51")</f>
        <v>0.51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HYPERLINK("http://141.218.60.56/~jnz1568/getInfo.php?workbook=20_13.xlsx&amp;sheet=U0&amp;row=805&amp;col=6&amp;number=3.1&amp;sourceID=14","3.1")</f>
        <v>3.1</v>
      </c>
      <c r="G805" s="4" t="str">
        <f>HYPERLINK("http://141.218.60.56/~jnz1568/getInfo.php?workbook=20_13.xlsx&amp;sheet=U0&amp;row=805&amp;col=7&amp;number=0.51&amp;sourceID=14","0.51")</f>
        <v>0.51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HYPERLINK("http://141.218.60.56/~jnz1568/getInfo.php?workbook=20_13.xlsx&amp;sheet=U0&amp;row=806&amp;col=6&amp;number=3.2&amp;sourceID=14","3.2")</f>
        <v>3.2</v>
      </c>
      <c r="G806" s="4" t="str">
        <f>HYPERLINK("http://141.218.60.56/~jnz1568/getInfo.php?workbook=20_13.xlsx&amp;sheet=U0&amp;row=806&amp;col=7&amp;number=0.509&amp;sourceID=14","0.509")</f>
        <v>0.509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HYPERLINK("http://141.218.60.56/~jnz1568/getInfo.php?workbook=20_13.xlsx&amp;sheet=U0&amp;row=807&amp;col=6&amp;number=3.3&amp;sourceID=14","3.3")</f>
        <v>3.3</v>
      </c>
      <c r="G807" s="4" t="str">
        <f>HYPERLINK("http://141.218.60.56/~jnz1568/getInfo.php?workbook=20_13.xlsx&amp;sheet=U0&amp;row=807&amp;col=7&amp;number=0.508&amp;sourceID=14","0.508")</f>
        <v>0.508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HYPERLINK("http://141.218.60.56/~jnz1568/getInfo.php?workbook=20_13.xlsx&amp;sheet=U0&amp;row=808&amp;col=6&amp;number=3.4&amp;sourceID=14","3.4")</f>
        <v>3.4</v>
      </c>
      <c r="G808" s="4" t="str">
        <f>HYPERLINK("http://141.218.60.56/~jnz1568/getInfo.php?workbook=20_13.xlsx&amp;sheet=U0&amp;row=808&amp;col=7&amp;number=0.507&amp;sourceID=14","0.507")</f>
        <v>0.507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HYPERLINK("http://141.218.60.56/~jnz1568/getInfo.php?workbook=20_13.xlsx&amp;sheet=U0&amp;row=809&amp;col=6&amp;number=3.5&amp;sourceID=14","3.5")</f>
        <v>3.5</v>
      </c>
      <c r="G809" s="4" t="str">
        <f>HYPERLINK("http://141.218.60.56/~jnz1568/getInfo.php?workbook=20_13.xlsx&amp;sheet=U0&amp;row=809&amp;col=7&amp;number=0.506&amp;sourceID=14","0.506")</f>
        <v>0.506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HYPERLINK("http://141.218.60.56/~jnz1568/getInfo.php?workbook=20_13.xlsx&amp;sheet=U0&amp;row=810&amp;col=6&amp;number=3.6&amp;sourceID=14","3.6")</f>
        <v>3.6</v>
      </c>
      <c r="G810" s="4" t="str">
        <f>HYPERLINK("http://141.218.60.56/~jnz1568/getInfo.php?workbook=20_13.xlsx&amp;sheet=U0&amp;row=810&amp;col=7&amp;number=0.504&amp;sourceID=14","0.504")</f>
        <v>0.504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HYPERLINK("http://141.218.60.56/~jnz1568/getInfo.php?workbook=20_13.xlsx&amp;sheet=U0&amp;row=811&amp;col=6&amp;number=3.7&amp;sourceID=14","3.7")</f>
        <v>3.7</v>
      </c>
      <c r="G811" s="4" t="str">
        <f>HYPERLINK("http://141.218.60.56/~jnz1568/getInfo.php?workbook=20_13.xlsx&amp;sheet=U0&amp;row=811&amp;col=7&amp;number=0.502&amp;sourceID=14","0.502")</f>
        <v>0.502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HYPERLINK("http://141.218.60.56/~jnz1568/getInfo.php?workbook=20_13.xlsx&amp;sheet=U0&amp;row=812&amp;col=6&amp;number=3.8&amp;sourceID=14","3.8")</f>
        <v>3.8</v>
      </c>
      <c r="G812" s="4" t="str">
        <f>HYPERLINK("http://141.218.60.56/~jnz1568/getInfo.php?workbook=20_13.xlsx&amp;sheet=U0&amp;row=812&amp;col=7&amp;number=0.499&amp;sourceID=14","0.499")</f>
        <v>0.499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HYPERLINK("http://141.218.60.56/~jnz1568/getInfo.php?workbook=20_13.xlsx&amp;sheet=U0&amp;row=813&amp;col=6&amp;number=3.9&amp;sourceID=14","3.9")</f>
        <v>3.9</v>
      </c>
      <c r="G813" s="4" t="str">
        <f>HYPERLINK("http://141.218.60.56/~jnz1568/getInfo.php?workbook=20_13.xlsx&amp;sheet=U0&amp;row=813&amp;col=7&amp;number=0.496&amp;sourceID=14","0.496")</f>
        <v>0.496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HYPERLINK("http://141.218.60.56/~jnz1568/getInfo.php?workbook=20_13.xlsx&amp;sheet=U0&amp;row=814&amp;col=6&amp;number=4&amp;sourceID=14","4")</f>
        <v>4</v>
      </c>
      <c r="G814" s="4" t="str">
        <f>HYPERLINK("http://141.218.60.56/~jnz1568/getInfo.php?workbook=20_13.xlsx&amp;sheet=U0&amp;row=814&amp;col=7&amp;number=0.491&amp;sourceID=14","0.491")</f>
        <v>0.491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HYPERLINK("http://141.218.60.56/~jnz1568/getInfo.php?workbook=20_13.xlsx&amp;sheet=U0&amp;row=815&amp;col=6&amp;number=4.1&amp;sourceID=14","4.1")</f>
        <v>4.1</v>
      </c>
      <c r="G815" s="4" t="str">
        <f>HYPERLINK("http://141.218.60.56/~jnz1568/getInfo.php?workbook=20_13.xlsx&amp;sheet=U0&amp;row=815&amp;col=7&amp;number=0.486&amp;sourceID=14","0.486")</f>
        <v>0.486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HYPERLINK("http://141.218.60.56/~jnz1568/getInfo.php?workbook=20_13.xlsx&amp;sheet=U0&amp;row=816&amp;col=6&amp;number=4.2&amp;sourceID=14","4.2")</f>
        <v>4.2</v>
      </c>
      <c r="G816" s="4" t="str">
        <f>HYPERLINK("http://141.218.60.56/~jnz1568/getInfo.php?workbook=20_13.xlsx&amp;sheet=U0&amp;row=816&amp;col=7&amp;number=0.479&amp;sourceID=14","0.479")</f>
        <v>0.479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HYPERLINK("http://141.218.60.56/~jnz1568/getInfo.php?workbook=20_13.xlsx&amp;sheet=U0&amp;row=817&amp;col=6&amp;number=4.3&amp;sourceID=14","4.3")</f>
        <v>4.3</v>
      </c>
      <c r="G817" s="4" t="str">
        <f>HYPERLINK("http://141.218.60.56/~jnz1568/getInfo.php?workbook=20_13.xlsx&amp;sheet=U0&amp;row=817&amp;col=7&amp;number=0.471&amp;sourceID=14","0.471")</f>
        <v>0.471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HYPERLINK("http://141.218.60.56/~jnz1568/getInfo.php?workbook=20_13.xlsx&amp;sheet=U0&amp;row=818&amp;col=6&amp;number=4.4&amp;sourceID=14","4.4")</f>
        <v>4.4</v>
      </c>
      <c r="G818" s="4" t="str">
        <f>HYPERLINK("http://141.218.60.56/~jnz1568/getInfo.php?workbook=20_13.xlsx&amp;sheet=U0&amp;row=818&amp;col=7&amp;number=0.461&amp;sourceID=14","0.461")</f>
        <v>0.461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HYPERLINK("http://141.218.60.56/~jnz1568/getInfo.php?workbook=20_13.xlsx&amp;sheet=U0&amp;row=819&amp;col=6&amp;number=4.5&amp;sourceID=14","4.5")</f>
        <v>4.5</v>
      </c>
      <c r="G819" s="4" t="str">
        <f>HYPERLINK("http://141.218.60.56/~jnz1568/getInfo.php?workbook=20_13.xlsx&amp;sheet=U0&amp;row=819&amp;col=7&amp;number=0.448&amp;sourceID=14","0.448")</f>
        <v>0.448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HYPERLINK("http://141.218.60.56/~jnz1568/getInfo.php?workbook=20_13.xlsx&amp;sheet=U0&amp;row=820&amp;col=6&amp;number=4.6&amp;sourceID=14","4.6")</f>
        <v>4.6</v>
      </c>
      <c r="G820" s="4" t="str">
        <f>HYPERLINK("http://141.218.60.56/~jnz1568/getInfo.php?workbook=20_13.xlsx&amp;sheet=U0&amp;row=820&amp;col=7&amp;number=0.433&amp;sourceID=14","0.433")</f>
        <v>0.433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HYPERLINK("http://141.218.60.56/~jnz1568/getInfo.php?workbook=20_13.xlsx&amp;sheet=U0&amp;row=821&amp;col=6&amp;number=4.7&amp;sourceID=14","4.7")</f>
        <v>4.7</v>
      </c>
      <c r="G821" s="4" t="str">
        <f>HYPERLINK("http://141.218.60.56/~jnz1568/getInfo.php?workbook=20_13.xlsx&amp;sheet=U0&amp;row=821&amp;col=7&amp;number=0.414&amp;sourceID=14","0.414")</f>
        <v>0.414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HYPERLINK("http://141.218.60.56/~jnz1568/getInfo.php?workbook=20_13.xlsx&amp;sheet=U0&amp;row=822&amp;col=6&amp;number=4.8&amp;sourceID=14","4.8")</f>
        <v>4.8</v>
      </c>
      <c r="G822" s="4" t="str">
        <f>HYPERLINK("http://141.218.60.56/~jnz1568/getInfo.php?workbook=20_13.xlsx&amp;sheet=U0&amp;row=822&amp;col=7&amp;number=0.393&amp;sourceID=14","0.393")</f>
        <v>0.393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HYPERLINK("http://141.218.60.56/~jnz1568/getInfo.php?workbook=20_13.xlsx&amp;sheet=U0&amp;row=823&amp;col=6&amp;number=4.9&amp;sourceID=14","4.9")</f>
        <v>4.9</v>
      </c>
      <c r="G823" s="4" t="str">
        <f>HYPERLINK("http://141.218.60.56/~jnz1568/getInfo.php?workbook=20_13.xlsx&amp;sheet=U0&amp;row=823&amp;col=7&amp;number=0.368&amp;sourceID=14","0.368")</f>
        <v>0.368</v>
      </c>
    </row>
    <row r="824" spans="1:7">
      <c r="A824" s="3">
        <v>20</v>
      </c>
      <c r="B824" s="3">
        <v>13</v>
      </c>
      <c r="C824" s="3">
        <v>2</v>
      </c>
      <c r="D824" s="3">
        <v>5</v>
      </c>
      <c r="E824" s="3">
        <v>1</v>
      </c>
      <c r="F824" s="4" t="str">
        <f>HYPERLINK("http://141.218.60.56/~jnz1568/getInfo.php?workbook=20_13.xlsx&amp;sheet=U0&amp;row=824&amp;col=6&amp;number=3&amp;sourceID=14","3")</f>
        <v>3</v>
      </c>
      <c r="G824" s="4" t="str">
        <f>HYPERLINK("http://141.218.60.56/~jnz1568/getInfo.php?workbook=20_13.xlsx&amp;sheet=U0&amp;row=824&amp;col=7&amp;number=0.91&amp;sourceID=14","0.91")</f>
        <v>0.91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HYPERLINK("http://141.218.60.56/~jnz1568/getInfo.php?workbook=20_13.xlsx&amp;sheet=U0&amp;row=825&amp;col=6&amp;number=3.1&amp;sourceID=14","3.1")</f>
        <v>3.1</v>
      </c>
      <c r="G825" s="4" t="str">
        <f>HYPERLINK("http://141.218.60.56/~jnz1568/getInfo.php?workbook=20_13.xlsx&amp;sheet=U0&amp;row=825&amp;col=7&amp;number=0.909&amp;sourceID=14","0.909")</f>
        <v>0.909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HYPERLINK("http://141.218.60.56/~jnz1568/getInfo.php?workbook=20_13.xlsx&amp;sheet=U0&amp;row=826&amp;col=6&amp;number=3.2&amp;sourceID=14","3.2")</f>
        <v>3.2</v>
      </c>
      <c r="G826" s="4" t="str">
        <f>HYPERLINK("http://141.218.60.56/~jnz1568/getInfo.php?workbook=20_13.xlsx&amp;sheet=U0&amp;row=826&amp;col=7&amp;number=0.908&amp;sourceID=14","0.908")</f>
        <v>0.908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HYPERLINK("http://141.218.60.56/~jnz1568/getInfo.php?workbook=20_13.xlsx&amp;sheet=U0&amp;row=827&amp;col=6&amp;number=3.3&amp;sourceID=14","3.3")</f>
        <v>3.3</v>
      </c>
      <c r="G827" s="4" t="str">
        <f>HYPERLINK("http://141.218.60.56/~jnz1568/getInfo.php?workbook=20_13.xlsx&amp;sheet=U0&amp;row=827&amp;col=7&amp;number=0.906&amp;sourceID=14","0.906")</f>
        <v>0.906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HYPERLINK("http://141.218.60.56/~jnz1568/getInfo.php?workbook=20_13.xlsx&amp;sheet=U0&amp;row=828&amp;col=6&amp;number=3.4&amp;sourceID=14","3.4")</f>
        <v>3.4</v>
      </c>
      <c r="G828" s="4" t="str">
        <f>HYPERLINK("http://141.218.60.56/~jnz1568/getInfo.php?workbook=20_13.xlsx&amp;sheet=U0&amp;row=828&amp;col=7&amp;number=0.904&amp;sourceID=14","0.904")</f>
        <v>0.904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HYPERLINK("http://141.218.60.56/~jnz1568/getInfo.php?workbook=20_13.xlsx&amp;sheet=U0&amp;row=829&amp;col=6&amp;number=3.5&amp;sourceID=14","3.5")</f>
        <v>3.5</v>
      </c>
      <c r="G829" s="4" t="str">
        <f>HYPERLINK("http://141.218.60.56/~jnz1568/getInfo.php?workbook=20_13.xlsx&amp;sheet=U0&amp;row=829&amp;col=7&amp;number=0.901&amp;sourceID=14","0.901")</f>
        <v>0.901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HYPERLINK("http://141.218.60.56/~jnz1568/getInfo.php?workbook=20_13.xlsx&amp;sheet=U0&amp;row=830&amp;col=6&amp;number=3.6&amp;sourceID=14","3.6")</f>
        <v>3.6</v>
      </c>
      <c r="G830" s="4" t="str">
        <f>HYPERLINK("http://141.218.60.56/~jnz1568/getInfo.php?workbook=20_13.xlsx&amp;sheet=U0&amp;row=830&amp;col=7&amp;number=0.898&amp;sourceID=14","0.898")</f>
        <v>0.898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HYPERLINK("http://141.218.60.56/~jnz1568/getInfo.php?workbook=20_13.xlsx&amp;sheet=U0&amp;row=831&amp;col=6&amp;number=3.7&amp;sourceID=14","3.7")</f>
        <v>3.7</v>
      </c>
      <c r="G831" s="4" t="str">
        <f>HYPERLINK("http://141.218.60.56/~jnz1568/getInfo.php?workbook=20_13.xlsx&amp;sheet=U0&amp;row=831&amp;col=7&amp;number=0.893&amp;sourceID=14","0.893")</f>
        <v>0.893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HYPERLINK("http://141.218.60.56/~jnz1568/getInfo.php?workbook=20_13.xlsx&amp;sheet=U0&amp;row=832&amp;col=6&amp;number=3.8&amp;sourceID=14","3.8")</f>
        <v>3.8</v>
      </c>
      <c r="G832" s="4" t="str">
        <f>HYPERLINK("http://141.218.60.56/~jnz1568/getInfo.php?workbook=20_13.xlsx&amp;sheet=U0&amp;row=832&amp;col=7&amp;number=0.888&amp;sourceID=14","0.888")</f>
        <v>0.888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HYPERLINK("http://141.218.60.56/~jnz1568/getInfo.php?workbook=20_13.xlsx&amp;sheet=U0&amp;row=833&amp;col=6&amp;number=3.9&amp;sourceID=14","3.9")</f>
        <v>3.9</v>
      </c>
      <c r="G833" s="4" t="str">
        <f>HYPERLINK("http://141.218.60.56/~jnz1568/getInfo.php?workbook=20_13.xlsx&amp;sheet=U0&amp;row=833&amp;col=7&amp;number=0.881&amp;sourceID=14","0.881")</f>
        <v>0.881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HYPERLINK("http://141.218.60.56/~jnz1568/getInfo.php?workbook=20_13.xlsx&amp;sheet=U0&amp;row=834&amp;col=6&amp;number=4&amp;sourceID=14","4")</f>
        <v>4</v>
      </c>
      <c r="G834" s="4" t="str">
        <f>HYPERLINK("http://141.218.60.56/~jnz1568/getInfo.php?workbook=20_13.xlsx&amp;sheet=U0&amp;row=834&amp;col=7&amp;number=0.873&amp;sourceID=14","0.873")</f>
        <v>0.873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HYPERLINK("http://141.218.60.56/~jnz1568/getInfo.php?workbook=20_13.xlsx&amp;sheet=U0&amp;row=835&amp;col=6&amp;number=4.1&amp;sourceID=14","4.1")</f>
        <v>4.1</v>
      </c>
      <c r="G835" s="4" t="str">
        <f>HYPERLINK("http://141.218.60.56/~jnz1568/getInfo.php?workbook=20_13.xlsx&amp;sheet=U0&amp;row=835&amp;col=7&amp;number=0.862&amp;sourceID=14","0.862")</f>
        <v>0.862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HYPERLINK("http://141.218.60.56/~jnz1568/getInfo.php?workbook=20_13.xlsx&amp;sheet=U0&amp;row=836&amp;col=6&amp;number=4.2&amp;sourceID=14","4.2")</f>
        <v>4.2</v>
      </c>
      <c r="G836" s="4" t="str">
        <f>HYPERLINK("http://141.218.60.56/~jnz1568/getInfo.php?workbook=20_13.xlsx&amp;sheet=U0&amp;row=836&amp;col=7&amp;number=0.849&amp;sourceID=14","0.849")</f>
        <v>0.849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HYPERLINK("http://141.218.60.56/~jnz1568/getInfo.php?workbook=20_13.xlsx&amp;sheet=U0&amp;row=837&amp;col=6&amp;number=4.3&amp;sourceID=14","4.3")</f>
        <v>4.3</v>
      </c>
      <c r="G837" s="4" t="str">
        <f>HYPERLINK("http://141.218.60.56/~jnz1568/getInfo.php?workbook=20_13.xlsx&amp;sheet=U0&amp;row=837&amp;col=7&amp;number=0.832&amp;sourceID=14","0.832")</f>
        <v>0.832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HYPERLINK("http://141.218.60.56/~jnz1568/getInfo.php?workbook=20_13.xlsx&amp;sheet=U0&amp;row=838&amp;col=6&amp;number=4.4&amp;sourceID=14","4.4")</f>
        <v>4.4</v>
      </c>
      <c r="G838" s="4" t="str">
        <f>HYPERLINK("http://141.218.60.56/~jnz1568/getInfo.php?workbook=20_13.xlsx&amp;sheet=U0&amp;row=838&amp;col=7&amp;number=0.812&amp;sourceID=14","0.812")</f>
        <v>0.812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HYPERLINK("http://141.218.60.56/~jnz1568/getInfo.php?workbook=20_13.xlsx&amp;sheet=U0&amp;row=839&amp;col=6&amp;number=4.5&amp;sourceID=14","4.5")</f>
        <v>4.5</v>
      </c>
      <c r="G839" s="4" t="str">
        <f>HYPERLINK("http://141.218.60.56/~jnz1568/getInfo.php?workbook=20_13.xlsx&amp;sheet=U0&amp;row=839&amp;col=7&amp;number=0.788&amp;sourceID=14","0.788")</f>
        <v>0.788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HYPERLINK("http://141.218.60.56/~jnz1568/getInfo.php?workbook=20_13.xlsx&amp;sheet=U0&amp;row=840&amp;col=6&amp;number=4.6&amp;sourceID=14","4.6")</f>
        <v>4.6</v>
      </c>
      <c r="G840" s="4" t="str">
        <f>HYPERLINK("http://141.218.60.56/~jnz1568/getInfo.php?workbook=20_13.xlsx&amp;sheet=U0&amp;row=840&amp;col=7&amp;number=0.759&amp;sourceID=14","0.759")</f>
        <v>0.759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HYPERLINK("http://141.218.60.56/~jnz1568/getInfo.php?workbook=20_13.xlsx&amp;sheet=U0&amp;row=841&amp;col=6&amp;number=4.7&amp;sourceID=14","4.7")</f>
        <v>4.7</v>
      </c>
      <c r="G841" s="4" t="str">
        <f>HYPERLINK("http://141.218.60.56/~jnz1568/getInfo.php?workbook=20_13.xlsx&amp;sheet=U0&amp;row=841&amp;col=7&amp;number=0.724&amp;sourceID=14","0.724")</f>
        <v>0.724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HYPERLINK("http://141.218.60.56/~jnz1568/getInfo.php?workbook=20_13.xlsx&amp;sheet=U0&amp;row=842&amp;col=6&amp;number=4.8&amp;sourceID=14","4.8")</f>
        <v>4.8</v>
      </c>
      <c r="G842" s="4" t="str">
        <f>HYPERLINK("http://141.218.60.56/~jnz1568/getInfo.php?workbook=20_13.xlsx&amp;sheet=U0&amp;row=842&amp;col=7&amp;number=0.684&amp;sourceID=14","0.684")</f>
        <v>0.684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HYPERLINK("http://141.218.60.56/~jnz1568/getInfo.php?workbook=20_13.xlsx&amp;sheet=U0&amp;row=843&amp;col=6&amp;number=4.9&amp;sourceID=14","4.9")</f>
        <v>4.9</v>
      </c>
      <c r="G843" s="4" t="str">
        <f>HYPERLINK("http://141.218.60.56/~jnz1568/getInfo.php?workbook=20_13.xlsx&amp;sheet=U0&amp;row=843&amp;col=7&amp;number=0.64&amp;sourceID=14","0.64")</f>
        <v>0.64</v>
      </c>
    </row>
    <row r="844" spans="1:7">
      <c r="A844" s="3">
        <v>20</v>
      </c>
      <c r="B844" s="3">
        <v>13</v>
      </c>
      <c r="C844" s="3">
        <v>2</v>
      </c>
      <c r="D844" s="3">
        <v>6</v>
      </c>
      <c r="E844" s="3">
        <v>1</v>
      </c>
      <c r="F844" s="4" t="str">
        <f>HYPERLINK("http://141.218.60.56/~jnz1568/getInfo.php?workbook=20_13.xlsx&amp;sheet=U0&amp;row=844&amp;col=6&amp;number=3&amp;sourceID=14","3")</f>
        <v>3</v>
      </c>
      <c r="G844" s="4" t="str">
        <f>HYPERLINK("http://141.218.60.56/~jnz1568/getInfo.php?workbook=20_13.xlsx&amp;sheet=U0&amp;row=844&amp;col=7&amp;number=1.41&amp;sourceID=14","1.41")</f>
        <v>1.41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HYPERLINK("http://141.218.60.56/~jnz1568/getInfo.php?workbook=20_13.xlsx&amp;sheet=U0&amp;row=845&amp;col=6&amp;number=3.1&amp;sourceID=14","3.1")</f>
        <v>3.1</v>
      </c>
      <c r="G845" s="4" t="str">
        <f>HYPERLINK("http://141.218.60.56/~jnz1568/getInfo.php?workbook=20_13.xlsx&amp;sheet=U0&amp;row=845&amp;col=7&amp;number=1.41&amp;sourceID=14","1.41")</f>
        <v>1.41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HYPERLINK("http://141.218.60.56/~jnz1568/getInfo.php?workbook=20_13.xlsx&amp;sheet=U0&amp;row=846&amp;col=6&amp;number=3.2&amp;sourceID=14","3.2")</f>
        <v>3.2</v>
      </c>
      <c r="G846" s="4" t="str">
        <f>HYPERLINK("http://141.218.60.56/~jnz1568/getInfo.php?workbook=20_13.xlsx&amp;sheet=U0&amp;row=846&amp;col=7&amp;number=1.41&amp;sourceID=14","1.41")</f>
        <v>1.41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HYPERLINK("http://141.218.60.56/~jnz1568/getInfo.php?workbook=20_13.xlsx&amp;sheet=U0&amp;row=847&amp;col=6&amp;number=3.3&amp;sourceID=14","3.3")</f>
        <v>3.3</v>
      </c>
      <c r="G847" s="4" t="str">
        <f>HYPERLINK("http://141.218.60.56/~jnz1568/getInfo.php?workbook=20_13.xlsx&amp;sheet=U0&amp;row=847&amp;col=7&amp;number=1.41&amp;sourceID=14","1.41")</f>
        <v>1.41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HYPERLINK("http://141.218.60.56/~jnz1568/getInfo.php?workbook=20_13.xlsx&amp;sheet=U0&amp;row=848&amp;col=6&amp;number=3.4&amp;sourceID=14","3.4")</f>
        <v>3.4</v>
      </c>
      <c r="G848" s="4" t="str">
        <f>HYPERLINK("http://141.218.60.56/~jnz1568/getInfo.php?workbook=20_13.xlsx&amp;sheet=U0&amp;row=848&amp;col=7&amp;number=1.4&amp;sourceID=14","1.4")</f>
        <v>1.4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HYPERLINK("http://141.218.60.56/~jnz1568/getInfo.php?workbook=20_13.xlsx&amp;sheet=U0&amp;row=849&amp;col=6&amp;number=3.5&amp;sourceID=14","3.5")</f>
        <v>3.5</v>
      </c>
      <c r="G849" s="4" t="str">
        <f>HYPERLINK("http://141.218.60.56/~jnz1568/getInfo.php?workbook=20_13.xlsx&amp;sheet=U0&amp;row=849&amp;col=7&amp;number=1.4&amp;sourceID=14","1.4")</f>
        <v>1.4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HYPERLINK("http://141.218.60.56/~jnz1568/getInfo.php?workbook=20_13.xlsx&amp;sheet=U0&amp;row=850&amp;col=6&amp;number=3.6&amp;sourceID=14","3.6")</f>
        <v>3.6</v>
      </c>
      <c r="G850" s="4" t="str">
        <f>HYPERLINK("http://141.218.60.56/~jnz1568/getInfo.php?workbook=20_13.xlsx&amp;sheet=U0&amp;row=850&amp;col=7&amp;number=1.4&amp;sourceID=14","1.4")</f>
        <v>1.4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HYPERLINK("http://141.218.60.56/~jnz1568/getInfo.php?workbook=20_13.xlsx&amp;sheet=U0&amp;row=851&amp;col=6&amp;number=3.7&amp;sourceID=14","3.7")</f>
        <v>3.7</v>
      </c>
      <c r="G851" s="4" t="str">
        <f>HYPERLINK("http://141.218.60.56/~jnz1568/getInfo.php?workbook=20_13.xlsx&amp;sheet=U0&amp;row=851&amp;col=7&amp;number=1.39&amp;sourceID=14","1.39")</f>
        <v>1.39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HYPERLINK("http://141.218.60.56/~jnz1568/getInfo.php?workbook=20_13.xlsx&amp;sheet=U0&amp;row=852&amp;col=6&amp;number=3.8&amp;sourceID=14","3.8")</f>
        <v>3.8</v>
      </c>
      <c r="G852" s="4" t="str">
        <f>HYPERLINK("http://141.218.60.56/~jnz1568/getInfo.php?workbook=20_13.xlsx&amp;sheet=U0&amp;row=852&amp;col=7&amp;number=1.38&amp;sourceID=14","1.38")</f>
        <v>1.38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HYPERLINK("http://141.218.60.56/~jnz1568/getInfo.php?workbook=20_13.xlsx&amp;sheet=U0&amp;row=853&amp;col=6&amp;number=3.9&amp;sourceID=14","3.9")</f>
        <v>3.9</v>
      </c>
      <c r="G853" s="4" t="str">
        <f>HYPERLINK("http://141.218.60.56/~jnz1568/getInfo.php?workbook=20_13.xlsx&amp;sheet=U0&amp;row=853&amp;col=7&amp;number=1.38&amp;sourceID=14","1.38")</f>
        <v>1.38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HYPERLINK("http://141.218.60.56/~jnz1568/getInfo.php?workbook=20_13.xlsx&amp;sheet=U0&amp;row=854&amp;col=6&amp;number=4&amp;sourceID=14","4")</f>
        <v>4</v>
      </c>
      <c r="G854" s="4" t="str">
        <f>HYPERLINK("http://141.218.60.56/~jnz1568/getInfo.php?workbook=20_13.xlsx&amp;sheet=U0&amp;row=854&amp;col=7&amp;number=1.37&amp;sourceID=14","1.37")</f>
        <v>1.37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HYPERLINK("http://141.218.60.56/~jnz1568/getInfo.php?workbook=20_13.xlsx&amp;sheet=U0&amp;row=855&amp;col=6&amp;number=4.1&amp;sourceID=14","4.1")</f>
        <v>4.1</v>
      </c>
      <c r="G855" s="4" t="str">
        <f>HYPERLINK("http://141.218.60.56/~jnz1568/getInfo.php?workbook=20_13.xlsx&amp;sheet=U0&amp;row=855&amp;col=7&amp;number=1.35&amp;sourceID=14","1.35")</f>
        <v>1.35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HYPERLINK("http://141.218.60.56/~jnz1568/getInfo.php?workbook=20_13.xlsx&amp;sheet=U0&amp;row=856&amp;col=6&amp;number=4.2&amp;sourceID=14","4.2")</f>
        <v>4.2</v>
      </c>
      <c r="G856" s="4" t="str">
        <f>HYPERLINK("http://141.218.60.56/~jnz1568/getInfo.php?workbook=20_13.xlsx&amp;sheet=U0&amp;row=856&amp;col=7&amp;number=1.34&amp;sourceID=14","1.34")</f>
        <v>1.34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HYPERLINK("http://141.218.60.56/~jnz1568/getInfo.php?workbook=20_13.xlsx&amp;sheet=U0&amp;row=857&amp;col=6&amp;number=4.3&amp;sourceID=14","4.3")</f>
        <v>4.3</v>
      </c>
      <c r="G857" s="4" t="str">
        <f>HYPERLINK("http://141.218.60.56/~jnz1568/getInfo.php?workbook=20_13.xlsx&amp;sheet=U0&amp;row=857&amp;col=7&amp;number=1.32&amp;sourceID=14","1.32")</f>
        <v>1.32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HYPERLINK("http://141.218.60.56/~jnz1568/getInfo.php?workbook=20_13.xlsx&amp;sheet=U0&amp;row=858&amp;col=6&amp;number=4.4&amp;sourceID=14","4.4")</f>
        <v>4.4</v>
      </c>
      <c r="G858" s="4" t="str">
        <f>HYPERLINK("http://141.218.60.56/~jnz1568/getInfo.php?workbook=20_13.xlsx&amp;sheet=U0&amp;row=858&amp;col=7&amp;number=1.3&amp;sourceID=14","1.3")</f>
        <v>1.3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HYPERLINK("http://141.218.60.56/~jnz1568/getInfo.php?workbook=20_13.xlsx&amp;sheet=U0&amp;row=859&amp;col=6&amp;number=4.5&amp;sourceID=14","4.5")</f>
        <v>4.5</v>
      </c>
      <c r="G859" s="4" t="str">
        <f>HYPERLINK("http://141.218.60.56/~jnz1568/getInfo.php?workbook=20_13.xlsx&amp;sheet=U0&amp;row=859&amp;col=7&amp;number=1.27&amp;sourceID=14","1.27")</f>
        <v>1.27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HYPERLINK("http://141.218.60.56/~jnz1568/getInfo.php?workbook=20_13.xlsx&amp;sheet=U0&amp;row=860&amp;col=6&amp;number=4.6&amp;sourceID=14","4.6")</f>
        <v>4.6</v>
      </c>
      <c r="G860" s="4" t="str">
        <f>HYPERLINK("http://141.218.60.56/~jnz1568/getInfo.php?workbook=20_13.xlsx&amp;sheet=U0&amp;row=860&amp;col=7&amp;number=1.24&amp;sourceID=14","1.24")</f>
        <v>1.24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HYPERLINK("http://141.218.60.56/~jnz1568/getInfo.php?workbook=20_13.xlsx&amp;sheet=U0&amp;row=861&amp;col=6&amp;number=4.7&amp;sourceID=14","4.7")</f>
        <v>4.7</v>
      </c>
      <c r="G861" s="4" t="str">
        <f>HYPERLINK("http://141.218.60.56/~jnz1568/getInfo.php?workbook=20_13.xlsx&amp;sheet=U0&amp;row=861&amp;col=7&amp;number=1.2&amp;sourceID=14","1.2")</f>
        <v>1.2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HYPERLINK("http://141.218.60.56/~jnz1568/getInfo.php?workbook=20_13.xlsx&amp;sheet=U0&amp;row=862&amp;col=6&amp;number=4.8&amp;sourceID=14","4.8")</f>
        <v>4.8</v>
      </c>
      <c r="G862" s="4" t="str">
        <f>HYPERLINK("http://141.218.60.56/~jnz1568/getInfo.php?workbook=20_13.xlsx&amp;sheet=U0&amp;row=862&amp;col=7&amp;number=1.15&amp;sourceID=14","1.15")</f>
        <v>1.15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HYPERLINK("http://141.218.60.56/~jnz1568/getInfo.php?workbook=20_13.xlsx&amp;sheet=U0&amp;row=863&amp;col=6&amp;number=4.9&amp;sourceID=14","4.9")</f>
        <v>4.9</v>
      </c>
      <c r="G863" s="4" t="str">
        <f>HYPERLINK("http://141.218.60.56/~jnz1568/getInfo.php?workbook=20_13.xlsx&amp;sheet=U0&amp;row=863&amp;col=7&amp;number=1.09&amp;sourceID=14","1.09")</f>
        <v>1.09</v>
      </c>
    </row>
    <row r="864" spans="1:7">
      <c r="A864" s="3">
        <v>20</v>
      </c>
      <c r="B864" s="3">
        <v>13</v>
      </c>
      <c r="C864" s="3">
        <v>2</v>
      </c>
      <c r="D864" s="3">
        <v>7</v>
      </c>
      <c r="E864" s="3">
        <v>1</v>
      </c>
      <c r="F864" s="4" t="str">
        <f>HYPERLINK("http://141.218.60.56/~jnz1568/getInfo.php?workbook=20_13.xlsx&amp;sheet=U0&amp;row=864&amp;col=6&amp;number=3&amp;sourceID=14","3")</f>
        <v>3</v>
      </c>
      <c r="G864" s="4" t="str">
        <f>HYPERLINK("http://141.218.60.56/~jnz1568/getInfo.php?workbook=20_13.xlsx&amp;sheet=U0&amp;row=864&amp;col=7&amp;number=3.41&amp;sourceID=14","3.41")</f>
        <v>3.41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HYPERLINK("http://141.218.60.56/~jnz1568/getInfo.php?workbook=20_13.xlsx&amp;sheet=U0&amp;row=865&amp;col=6&amp;number=3.1&amp;sourceID=14","3.1")</f>
        <v>3.1</v>
      </c>
      <c r="G865" s="4" t="str">
        <f>HYPERLINK("http://141.218.60.56/~jnz1568/getInfo.php?workbook=20_13.xlsx&amp;sheet=U0&amp;row=865&amp;col=7&amp;number=3.41&amp;sourceID=14","3.41")</f>
        <v>3.41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HYPERLINK("http://141.218.60.56/~jnz1568/getInfo.php?workbook=20_13.xlsx&amp;sheet=U0&amp;row=866&amp;col=6&amp;number=3.2&amp;sourceID=14","3.2")</f>
        <v>3.2</v>
      </c>
      <c r="G866" s="4" t="str">
        <f>HYPERLINK("http://141.218.60.56/~jnz1568/getInfo.php?workbook=20_13.xlsx&amp;sheet=U0&amp;row=866&amp;col=7&amp;number=3.41&amp;sourceID=14","3.41")</f>
        <v>3.41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HYPERLINK("http://141.218.60.56/~jnz1568/getInfo.php?workbook=20_13.xlsx&amp;sheet=U0&amp;row=867&amp;col=6&amp;number=3.3&amp;sourceID=14","3.3")</f>
        <v>3.3</v>
      </c>
      <c r="G867" s="4" t="str">
        <f>HYPERLINK("http://141.218.60.56/~jnz1568/getInfo.php?workbook=20_13.xlsx&amp;sheet=U0&amp;row=867&amp;col=7&amp;number=3.4&amp;sourceID=14","3.4")</f>
        <v>3.4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HYPERLINK("http://141.218.60.56/~jnz1568/getInfo.php?workbook=20_13.xlsx&amp;sheet=U0&amp;row=868&amp;col=6&amp;number=3.4&amp;sourceID=14","3.4")</f>
        <v>3.4</v>
      </c>
      <c r="G868" s="4" t="str">
        <f>HYPERLINK("http://141.218.60.56/~jnz1568/getInfo.php?workbook=20_13.xlsx&amp;sheet=U0&amp;row=868&amp;col=7&amp;number=3.4&amp;sourceID=14","3.4")</f>
        <v>3.4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HYPERLINK("http://141.218.60.56/~jnz1568/getInfo.php?workbook=20_13.xlsx&amp;sheet=U0&amp;row=869&amp;col=6&amp;number=3.5&amp;sourceID=14","3.5")</f>
        <v>3.5</v>
      </c>
      <c r="G869" s="4" t="str">
        <f>HYPERLINK("http://141.218.60.56/~jnz1568/getInfo.php?workbook=20_13.xlsx&amp;sheet=U0&amp;row=869&amp;col=7&amp;number=3.4&amp;sourceID=14","3.4")</f>
        <v>3.4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HYPERLINK("http://141.218.60.56/~jnz1568/getInfo.php?workbook=20_13.xlsx&amp;sheet=U0&amp;row=870&amp;col=6&amp;number=3.6&amp;sourceID=14","3.6")</f>
        <v>3.6</v>
      </c>
      <c r="G870" s="4" t="str">
        <f>HYPERLINK("http://141.218.60.56/~jnz1568/getInfo.php?workbook=20_13.xlsx&amp;sheet=U0&amp;row=870&amp;col=7&amp;number=3.39&amp;sourceID=14","3.39")</f>
        <v>3.39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HYPERLINK("http://141.218.60.56/~jnz1568/getInfo.php?workbook=20_13.xlsx&amp;sheet=U0&amp;row=871&amp;col=6&amp;number=3.7&amp;sourceID=14","3.7")</f>
        <v>3.7</v>
      </c>
      <c r="G871" s="4" t="str">
        <f>HYPERLINK("http://141.218.60.56/~jnz1568/getInfo.php?workbook=20_13.xlsx&amp;sheet=U0&amp;row=871&amp;col=7&amp;number=3.39&amp;sourceID=14","3.39")</f>
        <v>3.39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HYPERLINK("http://141.218.60.56/~jnz1568/getInfo.php?workbook=20_13.xlsx&amp;sheet=U0&amp;row=872&amp;col=6&amp;number=3.8&amp;sourceID=14","3.8")</f>
        <v>3.8</v>
      </c>
      <c r="G872" s="4" t="str">
        <f>HYPERLINK("http://141.218.60.56/~jnz1568/getInfo.php?workbook=20_13.xlsx&amp;sheet=U0&amp;row=872&amp;col=7&amp;number=3.38&amp;sourceID=14","3.38")</f>
        <v>3.38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HYPERLINK("http://141.218.60.56/~jnz1568/getInfo.php?workbook=20_13.xlsx&amp;sheet=U0&amp;row=873&amp;col=6&amp;number=3.9&amp;sourceID=14","3.9")</f>
        <v>3.9</v>
      </c>
      <c r="G873" s="4" t="str">
        <f>HYPERLINK("http://141.218.60.56/~jnz1568/getInfo.php?workbook=20_13.xlsx&amp;sheet=U0&amp;row=873&amp;col=7&amp;number=3.37&amp;sourceID=14","3.37")</f>
        <v>3.37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HYPERLINK("http://141.218.60.56/~jnz1568/getInfo.php?workbook=20_13.xlsx&amp;sheet=U0&amp;row=874&amp;col=6&amp;number=4&amp;sourceID=14","4")</f>
        <v>4</v>
      </c>
      <c r="G874" s="4" t="str">
        <f>HYPERLINK("http://141.218.60.56/~jnz1568/getInfo.php?workbook=20_13.xlsx&amp;sheet=U0&amp;row=874&amp;col=7&amp;number=3.36&amp;sourceID=14","3.36")</f>
        <v>3.36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HYPERLINK("http://141.218.60.56/~jnz1568/getInfo.php?workbook=20_13.xlsx&amp;sheet=U0&amp;row=875&amp;col=6&amp;number=4.1&amp;sourceID=14","4.1")</f>
        <v>4.1</v>
      </c>
      <c r="G875" s="4" t="str">
        <f>HYPERLINK("http://141.218.60.56/~jnz1568/getInfo.php?workbook=20_13.xlsx&amp;sheet=U0&amp;row=875&amp;col=7&amp;number=3.35&amp;sourceID=14","3.35")</f>
        <v>3.35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HYPERLINK("http://141.218.60.56/~jnz1568/getInfo.php?workbook=20_13.xlsx&amp;sheet=U0&amp;row=876&amp;col=6&amp;number=4.2&amp;sourceID=14","4.2")</f>
        <v>4.2</v>
      </c>
      <c r="G876" s="4" t="str">
        <f>HYPERLINK("http://141.218.60.56/~jnz1568/getInfo.php?workbook=20_13.xlsx&amp;sheet=U0&amp;row=876&amp;col=7&amp;number=3.34&amp;sourceID=14","3.34")</f>
        <v>3.34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HYPERLINK("http://141.218.60.56/~jnz1568/getInfo.php?workbook=20_13.xlsx&amp;sheet=U0&amp;row=877&amp;col=6&amp;number=4.3&amp;sourceID=14","4.3")</f>
        <v>4.3</v>
      </c>
      <c r="G877" s="4" t="str">
        <f>HYPERLINK("http://141.218.60.56/~jnz1568/getInfo.php?workbook=20_13.xlsx&amp;sheet=U0&amp;row=877&amp;col=7&amp;number=3.32&amp;sourceID=14","3.32")</f>
        <v>3.32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HYPERLINK("http://141.218.60.56/~jnz1568/getInfo.php?workbook=20_13.xlsx&amp;sheet=U0&amp;row=878&amp;col=6&amp;number=4.4&amp;sourceID=14","4.4")</f>
        <v>4.4</v>
      </c>
      <c r="G878" s="4" t="str">
        <f>HYPERLINK("http://141.218.60.56/~jnz1568/getInfo.php?workbook=20_13.xlsx&amp;sheet=U0&amp;row=878&amp;col=7&amp;number=3.3&amp;sourceID=14","3.3")</f>
        <v>3.3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HYPERLINK("http://141.218.60.56/~jnz1568/getInfo.php?workbook=20_13.xlsx&amp;sheet=U0&amp;row=879&amp;col=6&amp;number=4.5&amp;sourceID=14","4.5")</f>
        <v>4.5</v>
      </c>
      <c r="G879" s="4" t="str">
        <f>HYPERLINK("http://141.218.60.56/~jnz1568/getInfo.php?workbook=20_13.xlsx&amp;sheet=U0&amp;row=879&amp;col=7&amp;number=3.27&amp;sourceID=14","3.27")</f>
        <v>3.27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HYPERLINK("http://141.218.60.56/~jnz1568/getInfo.php?workbook=20_13.xlsx&amp;sheet=U0&amp;row=880&amp;col=6&amp;number=4.6&amp;sourceID=14","4.6")</f>
        <v>4.6</v>
      </c>
      <c r="G880" s="4" t="str">
        <f>HYPERLINK("http://141.218.60.56/~jnz1568/getInfo.php?workbook=20_13.xlsx&amp;sheet=U0&amp;row=880&amp;col=7&amp;number=3.23&amp;sourceID=14","3.23")</f>
        <v>3.23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HYPERLINK("http://141.218.60.56/~jnz1568/getInfo.php?workbook=20_13.xlsx&amp;sheet=U0&amp;row=881&amp;col=6&amp;number=4.7&amp;sourceID=14","4.7")</f>
        <v>4.7</v>
      </c>
      <c r="G881" s="4" t="str">
        <f>HYPERLINK("http://141.218.60.56/~jnz1568/getInfo.php?workbook=20_13.xlsx&amp;sheet=U0&amp;row=881&amp;col=7&amp;number=3.19&amp;sourceID=14","3.19")</f>
        <v>3.19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HYPERLINK("http://141.218.60.56/~jnz1568/getInfo.php?workbook=20_13.xlsx&amp;sheet=U0&amp;row=882&amp;col=6&amp;number=4.8&amp;sourceID=14","4.8")</f>
        <v>4.8</v>
      </c>
      <c r="G882" s="4" t="str">
        <f>HYPERLINK("http://141.218.60.56/~jnz1568/getInfo.php?workbook=20_13.xlsx&amp;sheet=U0&amp;row=882&amp;col=7&amp;number=3.14&amp;sourceID=14","3.14")</f>
        <v>3.14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HYPERLINK("http://141.218.60.56/~jnz1568/getInfo.php?workbook=20_13.xlsx&amp;sheet=U0&amp;row=883&amp;col=6&amp;number=4.9&amp;sourceID=14","4.9")</f>
        <v>4.9</v>
      </c>
      <c r="G883" s="4" t="str">
        <f>HYPERLINK("http://141.218.60.56/~jnz1568/getInfo.php?workbook=20_13.xlsx&amp;sheet=U0&amp;row=883&amp;col=7&amp;number=3.07&amp;sourceID=14","3.07")</f>
        <v>3.07</v>
      </c>
    </row>
    <row r="884" spans="1:7">
      <c r="A884" s="3">
        <v>20</v>
      </c>
      <c r="B884" s="3">
        <v>13</v>
      </c>
      <c r="C884" s="3">
        <v>2</v>
      </c>
      <c r="D884" s="3">
        <v>8</v>
      </c>
      <c r="E884" s="3">
        <v>1</v>
      </c>
      <c r="F884" s="4" t="str">
        <f>HYPERLINK("http://141.218.60.56/~jnz1568/getInfo.php?workbook=20_13.xlsx&amp;sheet=U0&amp;row=884&amp;col=6&amp;number=3&amp;sourceID=14","3")</f>
        <v>3</v>
      </c>
      <c r="G884" s="4" t="str">
        <f>HYPERLINK("http://141.218.60.56/~jnz1568/getInfo.php?workbook=20_13.xlsx&amp;sheet=U0&amp;row=884&amp;col=7&amp;number=1.44&amp;sourceID=14","1.44")</f>
        <v>1.44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HYPERLINK("http://141.218.60.56/~jnz1568/getInfo.php?workbook=20_13.xlsx&amp;sheet=U0&amp;row=885&amp;col=6&amp;number=3.1&amp;sourceID=14","3.1")</f>
        <v>3.1</v>
      </c>
      <c r="G885" s="4" t="str">
        <f>HYPERLINK("http://141.218.60.56/~jnz1568/getInfo.php?workbook=20_13.xlsx&amp;sheet=U0&amp;row=885&amp;col=7&amp;number=1.44&amp;sourceID=14","1.44")</f>
        <v>1.44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HYPERLINK("http://141.218.60.56/~jnz1568/getInfo.php?workbook=20_13.xlsx&amp;sheet=U0&amp;row=886&amp;col=6&amp;number=3.2&amp;sourceID=14","3.2")</f>
        <v>3.2</v>
      </c>
      <c r="G886" s="4" t="str">
        <f>HYPERLINK("http://141.218.60.56/~jnz1568/getInfo.php?workbook=20_13.xlsx&amp;sheet=U0&amp;row=886&amp;col=7&amp;number=1.44&amp;sourceID=14","1.44")</f>
        <v>1.44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HYPERLINK("http://141.218.60.56/~jnz1568/getInfo.php?workbook=20_13.xlsx&amp;sheet=U0&amp;row=887&amp;col=6&amp;number=3.3&amp;sourceID=14","3.3")</f>
        <v>3.3</v>
      </c>
      <c r="G887" s="4" t="str">
        <f>HYPERLINK("http://141.218.60.56/~jnz1568/getInfo.php?workbook=20_13.xlsx&amp;sheet=U0&amp;row=887&amp;col=7&amp;number=1.44&amp;sourceID=14","1.44")</f>
        <v>1.44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HYPERLINK("http://141.218.60.56/~jnz1568/getInfo.php?workbook=20_13.xlsx&amp;sheet=U0&amp;row=888&amp;col=6&amp;number=3.4&amp;sourceID=14","3.4")</f>
        <v>3.4</v>
      </c>
      <c r="G888" s="4" t="str">
        <f>HYPERLINK("http://141.218.60.56/~jnz1568/getInfo.php?workbook=20_13.xlsx&amp;sheet=U0&amp;row=888&amp;col=7&amp;number=1.43&amp;sourceID=14","1.43")</f>
        <v>1.43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HYPERLINK("http://141.218.60.56/~jnz1568/getInfo.php?workbook=20_13.xlsx&amp;sheet=U0&amp;row=889&amp;col=6&amp;number=3.5&amp;sourceID=14","3.5")</f>
        <v>3.5</v>
      </c>
      <c r="G889" s="4" t="str">
        <f>HYPERLINK("http://141.218.60.56/~jnz1568/getInfo.php?workbook=20_13.xlsx&amp;sheet=U0&amp;row=889&amp;col=7&amp;number=1.43&amp;sourceID=14","1.43")</f>
        <v>1.43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HYPERLINK("http://141.218.60.56/~jnz1568/getInfo.php?workbook=20_13.xlsx&amp;sheet=U0&amp;row=890&amp;col=6&amp;number=3.6&amp;sourceID=14","3.6")</f>
        <v>3.6</v>
      </c>
      <c r="G890" s="4" t="str">
        <f>HYPERLINK("http://141.218.60.56/~jnz1568/getInfo.php?workbook=20_13.xlsx&amp;sheet=U0&amp;row=890&amp;col=7&amp;number=1.42&amp;sourceID=14","1.42")</f>
        <v>1.42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HYPERLINK("http://141.218.60.56/~jnz1568/getInfo.php?workbook=20_13.xlsx&amp;sheet=U0&amp;row=891&amp;col=6&amp;number=3.7&amp;sourceID=14","3.7")</f>
        <v>3.7</v>
      </c>
      <c r="G891" s="4" t="str">
        <f>HYPERLINK("http://141.218.60.56/~jnz1568/getInfo.php?workbook=20_13.xlsx&amp;sheet=U0&amp;row=891&amp;col=7&amp;number=1.42&amp;sourceID=14","1.42")</f>
        <v>1.42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HYPERLINK("http://141.218.60.56/~jnz1568/getInfo.php?workbook=20_13.xlsx&amp;sheet=U0&amp;row=892&amp;col=6&amp;number=3.8&amp;sourceID=14","3.8")</f>
        <v>3.8</v>
      </c>
      <c r="G892" s="4" t="str">
        <f>HYPERLINK("http://141.218.60.56/~jnz1568/getInfo.php?workbook=20_13.xlsx&amp;sheet=U0&amp;row=892&amp;col=7&amp;number=1.41&amp;sourceID=14","1.41")</f>
        <v>1.41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HYPERLINK("http://141.218.60.56/~jnz1568/getInfo.php?workbook=20_13.xlsx&amp;sheet=U0&amp;row=893&amp;col=6&amp;number=3.9&amp;sourceID=14","3.9")</f>
        <v>3.9</v>
      </c>
      <c r="G893" s="4" t="str">
        <f>HYPERLINK("http://141.218.60.56/~jnz1568/getInfo.php?workbook=20_13.xlsx&amp;sheet=U0&amp;row=893&amp;col=7&amp;number=1.4&amp;sourceID=14","1.4")</f>
        <v>1.4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HYPERLINK("http://141.218.60.56/~jnz1568/getInfo.php?workbook=20_13.xlsx&amp;sheet=U0&amp;row=894&amp;col=6&amp;number=4&amp;sourceID=14","4")</f>
        <v>4</v>
      </c>
      <c r="G894" s="4" t="str">
        <f>HYPERLINK("http://141.218.60.56/~jnz1568/getInfo.php?workbook=20_13.xlsx&amp;sheet=U0&amp;row=894&amp;col=7&amp;number=1.39&amp;sourceID=14","1.39")</f>
        <v>1.39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HYPERLINK("http://141.218.60.56/~jnz1568/getInfo.php?workbook=20_13.xlsx&amp;sheet=U0&amp;row=895&amp;col=6&amp;number=4.1&amp;sourceID=14","4.1")</f>
        <v>4.1</v>
      </c>
      <c r="G895" s="4" t="str">
        <f>HYPERLINK("http://141.218.60.56/~jnz1568/getInfo.php?workbook=20_13.xlsx&amp;sheet=U0&amp;row=895&amp;col=7&amp;number=1.38&amp;sourceID=14","1.38")</f>
        <v>1.38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HYPERLINK("http://141.218.60.56/~jnz1568/getInfo.php?workbook=20_13.xlsx&amp;sheet=U0&amp;row=896&amp;col=6&amp;number=4.2&amp;sourceID=14","4.2")</f>
        <v>4.2</v>
      </c>
      <c r="G896" s="4" t="str">
        <f>HYPERLINK("http://141.218.60.56/~jnz1568/getInfo.php?workbook=20_13.xlsx&amp;sheet=U0&amp;row=896&amp;col=7&amp;number=1.37&amp;sourceID=14","1.37")</f>
        <v>1.37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HYPERLINK("http://141.218.60.56/~jnz1568/getInfo.php?workbook=20_13.xlsx&amp;sheet=U0&amp;row=897&amp;col=6&amp;number=4.3&amp;sourceID=14","4.3")</f>
        <v>4.3</v>
      </c>
      <c r="G897" s="4" t="str">
        <f>HYPERLINK("http://141.218.60.56/~jnz1568/getInfo.php?workbook=20_13.xlsx&amp;sheet=U0&amp;row=897&amp;col=7&amp;number=1.35&amp;sourceID=14","1.35")</f>
        <v>1.35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HYPERLINK("http://141.218.60.56/~jnz1568/getInfo.php?workbook=20_13.xlsx&amp;sheet=U0&amp;row=898&amp;col=6&amp;number=4.4&amp;sourceID=14","4.4")</f>
        <v>4.4</v>
      </c>
      <c r="G898" s="4" t="str">
        <f>HYPERLINK("http://141.218.60.56/~jnz1568/getInfo.php?workbook=20_13.xlsx&amp;sheet=U0&amp;row=898&amp;col=7&amp;number=1.32&amp;sourceID=14","1.32")</f>
        <v>1.32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HYPERLINK("http://141.218.60.56/~jnz1568/getInfo.php?workbook=20_13.xlsx&amp;sheet=U0&amp;row=899&amp;col=6&amp;number=4.5&amp;sourceID=14","4.5")</f>
        <v>4.5</v>
      </c>
      <c r="G899" s="4" t="str">
        <f>HYPERLINK("http://141.218.60.56/~jnz1568/getInfo.php?workbook=20_13.xlsx&amp;sheet=U0&amp;row=899&amp;col=7&amp;number=1.3&amp;sourceID=14","1.3")</f>
        <v>1.3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HYPERLINK("http://141.218.60.56/~jnz1568/getInfo.php?workbook=20_13.xlsx&amp;sheet=U0&amp;row=900&amp;col=6&amp;number=4.6&amp;sourceID=14","4.6")</f>
        <v>4.6</v>
      </c>
      <c r="G900" s="4" t="str">
        <f>HYPERLINK("http://141.218.60.56/~jnz1568/getInfo.php?workbook=20_13.xlsx&amp;sheet=U0&amp;row=900&amp;col=7&amp;number=1.27&amp;sourceID=14","1.27")</f>
        <v>1.27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HYPERLINK("http://141.218.60.56/~jnz1568/getInfo.php?workbook=20_13.xlsx&amp;sheet=U0&amp;row=901&amp;col=6&amp;number=4.7&amp;sourceID=14","4.7")</f>
        <v>4.7</v>
      </c>
      <c r="G901" s="4" t="str">
        <f>HYPERLINK("http://141.218.60.56/~jnz1568/getInfo.php?workbook=20_13.xlsx&amp;sheet=U0&amp;row=901&amp;col=7&amp;number=1.23&amp;sourceID=14","1.23")</f>
        <v>1.23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HYPERLINK("http://141.218.60.56/~jnz1568/getInfo.php?workbook=20_13.xlsx&amp;sheet=U0&amp;row=902&amp;col=6&amp;number=4.8&amp;sourceID=14","4.8")</f>
        <v>4.8</v>
      </c>
      <c r="G902" s="4" t="str">
        <f>HYPERLINK("http://141.218.60.56/~jnz1568/getInfo.php?workbook=20_13.xlsx&amp;sheet=U0&amp;row=902&amp;col=7&amp;number=1.2&amp;sourceID=14","1.2")</f>
        <v>1.2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HYPERLINK("http://141.218.60.56/~jnz1568/getInfo.php?workbook=20_13.xlsx&amp;sheet=U0&amp;row=903&amp;col=6&amp;number=4.9&amp;sourceID=14","4.9")</f>
        <v>4.9</v>
      </c>
      <c r="G903" s="4" t="str">
        <f>HYPERLINK("http://141.218.60.56/~jnz1568/getInfo.php?workbook=20_13.xlsx&amp;sheet=U0&amp;row=903&amp;col=7&amp;number=1.16&amp;sourceID=14","1.16")</f>
        <v>1.16</v>
      </c>
    </row>
    <row r="904" spans="1:7">
      <c r="A904" s="3">
        <v>20</v>
      </c>
      <c r="B904" s="3">
        <v>13</v>
      </c>
      <c r="C904" s="3">
        <v>2</v>
      </c>
      <c r="D904" s="3">
        <v>9</v>
      </c>
      <c r="E904" s="3">
        <v>1</v>
      </c>
      <c r="F904" s="4" t="str">
        <f>HYPERLINK("http://141.218.60.56/~jnz1568/getInfo.php?workbook=20_13.xlsx&amp;sheet=U0&amp;row=904&amp;col=6&amp;number=3&amp;sourceID=14","3")</f>
        <v>3</v>
      </c>
      <c r="G904" s="4" t="str">
        <f>HYPERLINK("http://141.218.60.56/~jnz1568/getInfo.php?workbook=20_13.xlsx&amp;sheet=U0&amp;row=904&amp;col=7&amp;number=1.89&amp;sourceID=14","1.89")</f>
        <v>1.89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HYPERLINK("http://141.218.60.56/~jnz1568/getInfo.php?workbook=20_13.xlsx&amp;sheet=U0&amp;row=905&amp;col=6&amp;number=3.1&amp;sourceID=14","3.1")</f>
        <v>3.1</v>
      </c>
      <c r="G905" s="4" t="str">
        <f>HYPERLINK("http://141.218.60.56/~jnz1568/getInfo.php?workbook=20_13.xlsx&amp;sheet=U0&amp;row=905&amp;col=7&amp;number=1.89&amp;sourceID=14","1.89")</f>
        <v>1.89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HYPERLINK("http://141.218.60.56/~jnz1568/getInfo.php?workbook=20_13.xlsx&amp;sheet=U0&amp;row=906&amp;col=6&amp;number=3.2&amp;sourceID=14","3.2")</f>
        <v>3.2</v>
      </c>
      <c r="G906" s="4" t="str">
        <f>HYPERLINK("http://141.218.60.56/~jnz1568/getInfo.php?workbook=20_13.xlsx&amp;sheet=U0&amp;row=906&amp;col=7&amp;number=1.89&amp;sourceID=14","1.89")</f>
        <v>1.89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HYPERLINK("http://141.218.60.56/~jnz1568/getInfo.php?workbook=20_13.xlsx&amp;sheet=U0&amp;row=907&amp;col=6&amp;number=3.3&amp;sourceID=14","3.3")</f>
        <v>3.3</v>
      </c>
      <c r="G907" s="4" t="str">
        <f>HYPERLINK("http://141.218.60.56/~jnz1568/getInfo.php?workbook=20_13.xlsx&amp;sheet=U0&amp;row=907&amp;col=7&amp;number=1.89&amp;sourceID=14","1.89")</f>
        <v>1.89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HYPERLINK("http://141.218.60.56/~jnz1568/getInfo.php?workbook=20_13.xlsx&amp;sheet=U0&amp;row=908&amp;col=6&amp;number=3.4&amp;sourceID=14","3.4")</f>
        <v>3.4</v>
      </c>
      <c r="G908" s="4" t="str">
        <f>HYPERLINK("http://141.218.60.56/~jnz1568/getInfo.php?workbook=20_13.xlsx&amp;sheet=U0&amp;row=908&amp;col=7&amp;number=1.89&amp;sourceID=14","1.89")</f>
        <v>1.89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HYPERLINK("http://141.218.60.56/~jnz1568/getInfo.php?workbook=20_13.xlsx&amp;sheet=U0&amp;row=909&amp;col=6&amp;number=3.5&amp;sourceID=14","3.5")</f>
        <v>3.5</v>
      </c>
      <c r="G909" s="4" t="str">
        <f>HYPERLINK("http://141.218.60.56/~jnz1568/getInfo.php?workbook=20_13.xlsx&amp;sheet=U0&amp;row=909&amp;col=7&amp;number=1.89&amp;sourceID=14","1.89")</f>
        <v>1.89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HYPERLINK("http://141.218.60.56/~jnz1568/getInfo.php?workbook=20_13.xlsx&amp;sheet=U0&amp;row=910&amp;col=6&amp;number=3.6&amp;sourceID=14","3.6")</f>
        <v>3.6</v>
      </c>
      <c r="G910" s="4" t="str">
        <f>HYPERLINK("http://141.218.60.56/~jnz1568/getInfo.php?workbook=20_13.xlsx&amp;sheet=U0&amp;row=910&amp;col=7&amp;number=1.89&amp;sourceID=14","1.89")</f>
        <v>1.89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HYPERLINK("http://141.218.60.56/~jnz1568/getInfo.php?workbook=20_13.xlsx&amp;sheet=U0&amp;row=911&amp;col=6&amp;number=3.7&amp;sourceID=14","3.7")</f>
        <v>3.7</v>
      </c>
      <c r="G911" s="4" t="str">
        <f>HYPERLINK("http://141.218.60.56/~jnz1568/getInfo.php?workbook=20_13.xlsx&amp;sheet=U0&amp;row=911&amp;col=7&amp;number=1.89&amp;sourceID=14","1.89")</f>
        <v>1.89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HYPERLINK("http://141.218.60.56/~jnz1568/getInfo.php?workbook=20_13.xlsx&amp;sheet=U0&amp;row=912&amp;col=6&amp;number=3.8&amp;sourceID=14","3.8")</f>
        <v>3.8</v>
      </c>
      <c r="G912" s="4" t="str">
        <f>HYPERLINK("http://141.218.60.56/~jnz1568/getInfo.php?workbook=20_13.xlsx&amp;sheet=U0&amp;row=912&amp;col=7&amp;number=1.89&amp;sourceID=14","1.89")</f>
        <v>1.89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HYPERLINK("http://141.218.60.56/~jnz1568/getInfo.php?workbook=20_13.xlsx&amp;sheet=U0&amp;row=913&amp;col=6&amp;number=3.9&amp;sourceID=14","3.9")</f>
        <v>3.9</v>
      </c>
      <c r="G913" s="4" t="str">
        <f>HYPERLINK("http://141.218.60.56/~jnz1568/getInfo.php?workbook=20_13.xlsx&amp;sheet=U0&amp;row=913&amp;col=7&amp;number=1.89&amp;sourceID=14","1.89")</f>
        <v>1.89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HYPERLINK("http://141.218.60.56/~jnz1568/getInfo.php?workbook=20_13.xlsx&amp;sheet=U0&amp;row=914&amp;col=6&amp;number=4&amp;sourceID=14","4")</f>
        <v>4</v>
      </c>
      <c r="G914" s="4" t="str">
        <f>HYPERLINK("http://141.218.60.56/~jnz1568/getInfo.php?workbook=20_13.xlsx&amp;sheet=U0&amp;row=914&amp;col=7&amp;number=1.89&amp;sourceID=14","1.89")</f>
        <v>1.89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HYPERLINK("http://141.218.60.56/~jnz1568/getInfo.php?workbook=20_13.xlsx&amp;sheet=U0&amp;row=915&amp;col=6&amp;number=4.1&amp;sourceID=14","4.1")</f>
        <v>4.1</v>
      </c>
      <c r="G915" s="4" t="str">
        <f>HYPERLINK("http://141.218.60.56/~jnz1568/getInfo.php?workbook=20_13.xlsx&amp;sheet=U0&amp;row=915&amp;col=7&amp;number=1.89&amp;sourceID=14","1.89")</f>
        <v>1.89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HYPERLINK("http://141.218.60.56/~jnz1568/getInfo.php?workbook=20_13.xlsx&amp;sheet=U0&amp;row=916&amp;col=6&amp;number=4.2&amp;sourceID=14","4.2")</f>
        <v>4.2</v>
      </c>
      <c r="G916" s="4" t="str">
        <f>HYPERLINK("http://141.218.60.56/~jnz1568/getInfo.php?workbook=20_13.xlsx&amp;sheet=U0&amp;row=916&amp;col=7&amp;number=1.89&amp;sourceID=14","1.89")</f>
        <v>1.89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HYPERLINK("http://141.218.60.56/~jnz1568/getInfo.php?workbook=20_13.xlsx&amp;sheet=U0&amp;row=917&amp;col=6&amp;number=4.3&amp;sourceID=14","4.3")</f>
        <v>4.3</v>
      </c>
      <c r="G917" s="4" t="str">
        <f>HYPERLINK("http://141.218.60.56/~jnz1568/getInfo.php?workbook=20_13.xlsx&amp;sheet=U0&amp;row=917&amp;col=7&amp;number=1.89&amp;sourceID=14","1.89")</f>
        <v>1.89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HYPERLINK("http://141.218.60.56/~jnz1568/getInfo.php?workbook=20_13.xlsx&amp;sheet=U0&amp;row=918&amp;col=6&amp;number=4.4&amp;sourceID=14","4.4")</f>
        <v>4.4</v>
      </c>
      <c r="G918" s="4" t="str">
        <f>HYPERLINK("http://141.218.60.56/~jnz1568/getInfo.php?workbook=20_13.xlsx&amp;sheet=U0&amp;row=918&amp;col=7&amp;number=1.89&amp;sourceID=14","1.89")</f>
        <v>1.89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HYPERLINK("http://141.218.60.56/~jnz1568/getInfo.php?workbook=20_13.xlsx&amp;sheet=U0&amp;row=919&amp;col=6&amp;number=4.5&amp;sourceID=14","4.5")</f>
        <v>4.5</v>
      </c>
      <c r="G919" s="4" t="str">
        <f>HYPERLINK("http://141.218.60.56/~jnz1568/getInfo.php?workbook=20_13.xlsx&amp;sheet=U0&amp;row=919&amp;col=7&amp;number=1.89&amp;sourceID=14","1.89")</f>
        <v>1.89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HYPERLINK("http://141.218.60.56/~jnz1568/getInfo.php?workbook=20_13.xlsx&amp;sheet=U0&amp;row=920&amp;col=6&amp;number=4.6&amp;sourceID=14","4.6")</f>
        <v>4.6</v>
      </c>
      <c r="G920" s="4" t="str">
        <f>HYPERLINK("http://141.218.60.56/~jnz1568/getInfo.php?workbook=20_13.xlsx&amp;sheet=U0&amp;row=920&amp;col=7&amp;number=1.9&amp;sourceID=14","1.9")</f>
        <v>1.9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HYPERLINK("http://141.218.60.56/~jnz1568/getInfo.php?workbook=20_13.xlsx&amp;sheet=U0&amp;row=921&amp;col=6&amp;number=4.7&amp;sourceID=14","4.7")</f>
        <v>4.7</v>
      </c>
      <c r="G921" s="4" t="str">
        <f>HYPERLINK("http://141.218.60.56/~jnz1568/getInfo.php?workbook=20_13.xlsx&amp;sheet=U0&amp;row=921&amp;col=7&amp;number=1.9&amp;sourceID=14","1.9")</f>
        <v>1.9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HYPERLINK("http://141.218.60.56/~jnz1568/getInfo.php?workbook=20_13.xlsx&amp;sheet=U0&amp;row=922&amp;col=6&amp;number=4.8&amp;sourceID=14","4.8")</f>
        <v>4.8</v>
      </c>
      <c r="G922" s="4" t="str">
        <f>HYPERLINK("http://141.218.60.56/~jnz1568/getInfo.php?workbook=20_13.xlsx&amp;sheet=U0&amp;row=922&amp;col=7&amp;number=1.9&amp;sourceID=14","1.9")</f>
        <v>1.9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HYPERLINK("http://141.218.60.56/~jnz1568/getInfo.php?workbook=20_13.xlsx&amp;sheet=U0&amp;row=923&amp;col=6&amp;number=4.9&amp;sourceID=14","4.9")</f>
        <v>4.9</v>
      </c>
      <c r="G923" s="4" t="str">
        <f>HYPERLINK("http://141.218.60.56/~jnz1568/getInfo.php?workbook=20_13.xlsx&amp;sheet=U0&amp;row=923&amp;col=7&amp;number=1.9&amp;sourceID=14","1.9")</f>
        <v>1.9</v>
      </c>
    </row>
    <row r="924" spans="1:7">
      <c r="A924" s="3">
        <v>20</v>
      </c>
      <c r="B924" s="3">
        <v>13</v>
      </c>
      <c r="C924" s="3">
        <v>2</v>
      </c>
      <c r="D924" s="3">
        <v>10</v>
      </c>
      <c r="E924" s="3">
        <v>1</v>
      </c>
      <c r="F924" s="4" t="str">
        <f>HYPERLINK("http://141.218.60.56/~jnz1568/getInfo.php?workbook=20_13.xlsx&amp;sheet=U0&amp;row=924&amp;col=6&amp;number=3&amp;sourceID=14","3")</f>
        <v>3</v>
      </c>
      <c r="G924" s="4" t="str">
        <f>HYPERLINK("http://141.218.60.56/~jnz1568/getInfo.php?workbook=20_13.xlsx&amp;sheet=U0&amp;row=924&amp;col=7&amp;number=7.23&amp;sourceID=14","7.23")</f>
        <v>7.23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HYPERLINK("http://141.218.60.56/~jnz1568/getInfo.php?workbook=20_13.xlsx&amp;sheet=U0&amp;row=925&amp;col=6&amp;number=3.1&amp;sourceID=14","3.1")</f>
        <v>3.1</v>
      </c>
      <c r="G925" s="4" t="str">
        <f>HYPERLINK("http://141.218.60.56/~jnz1568/getInfo.php?workbook=20_13.xlsx&amp;sheet=U0&amp;row=925&amp;col=7&amp;number=7.23&amp;sourceID=14","7.23")</f>
        <v>7.23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HYPERLINK("http://141.218.60.56/~jnz1568/getInfo.php?workbook=20_13.xlsx&amp;sheet=U0&amp;row=926&amp;col=6&amp;number=3.2&amp;sourceID=14","3.2")</f>
        <v>3.2</v>
      </c>
      <c r="G926" s="4" t="str">
        <f>HYPERLINK("http://141.218.60.56/~jnz1568/getInfo.php?workbook=20_13.xlsx&amp;sheet=U0&amp;row=926&amp;col=7&amp;number=7.23&amp;sourceID=14","7.23")</f>
        <v>7.23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HYPERLINK("http://141.218.60.56/~jnz1568/getInfo.php?workbook=20_13.xlsx&amp;sheet=U0&amp;row=927&amp;col=6&amp;number=3.3&amp;sourceID=14","3.3")</f>
        <v>3.3</v>
      </c>
      <c r="G927" s="4" t="str">
        <f>HYPERLINK("http://141.218.60.56/~jnz1568/getInfo.php?workbook=20_13.xlsx&amp;sheet=U0&amp;row=927&amp;col=7&amp;number=7.23&amp;sourceID=14","7.23")</f>
        <v>7.23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HYPERLINK("http://141.218.60.56/~jnz1568/getInfo.php?workbook=20_13.xlsx&amp;sheet=U0&amp;row=928&amp;col=6&amp;number=3.4&amp;sourceID=14","3.4")</f>
        <v>3.4</v>
      </c>
      <c r="G928" s="4" t="str">
        <f>HYPERLINK("http://141.218.60.56/~jnz1568/getInfo.php?workbook=20_13.xlsx&amp;sheet=U0&amp;row=928&amp;col=7&amp;number=7.23&amp;sourceID=14","7.23")</f>
        <v>7.23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HYPERLINK("http://141.218.60.56/~jnz1568/getInfo.php?workbook=20_13.xlsx&amp;sheet=U0&amp;row=929&amp;col=6&amp;number=3.5&amp;sourceID=14","3.5")</f>
        <v>3.5</v>
      </c>
      <c r="G929" s="4" t="str">
        <f>HYPERLINK("http://141.218.60.56/~jnz1568/getInfo.php?workbook=20_13.xlsx&amp;sheet=U0&amp;row=929&amp;col=7&amp;number=7.23&amp;sourceID=14","7.23")</f>
        <v>7.23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HYPERLINK("http://141.218.60.56/~jnz1568/getInfo.php?workbook=20_13.xlsx&amp;sheet=U0&amp;row=930&amp;col=6&amp;number=3.6&amp;sourceID=14","3.6")</f>
        <v>3.6</v>
      </c>
      <c r="G930" s="4" t="str">
        <f>HYPERLINK("http://141.218.60.56/~jnz1568/getInfo.php?workbook=20_13.xlsx&amp;sheet=U0&amp;row=930&amp;col=7&amp;number=7.22&amp;sourceID=14","7.22")</f>
        <v>7.22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HYPERLINK("http://141.218.60.56/~jnz1568/getInfo.php?workbook=20_13.xlsx&amp;sheet=U0&amp;row=931&amp;col=6&amp;number=3.7&amp;sourceID=14","3.7")</f>
        <v>3.7</v>
      </c>
      <c r="G931" s="4" t="str">
        <f>HYPERLINK("http://141.218.60.56/~jnz1568/getInfo.php?workbook=20_13.xlsx&amp;sheet=U0&amp;row=931&amp;col=7&amp;number=7.22&amp;sourceID=14","7.22")</f>
        <v>7.22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HYPERLINK("http://141.218.60.56/~jnz1568/getInfo.php?workbook=20_13.xlsx&amp;sheet=U0&amp;row=932&amp;col=6&amp;number=3.8&amp;sourceID=14","3.8")</f>
        <v>3.8</v>
      </c>
      <c r="G932" s="4" t="str">
        <f>HYPERLINK("http://141.218.60.56/~jnz1568/getInfo.php?workbook=20_13.xlsx&amp;sheet=U0&amp;row=932&amp;col=7&amp;number=7.22&amp;sourceID=14","7.22")</f>
        <v>7.22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HYPERLINK("http://141.218.60.56/~jnz1568/getInfo.php?workbook=20_13.xlsx&amp;sheet=U0&amp;row=933&amp;col=6&amp;number=3.9&amp;sourceID=14","3.9")</f>
        <v>3.9</v>
      </c>
      <c r="G933" s="4" t="str">
        <f>HYPERLINK("http://141.218.60.56/~jnz1568/getInfo.php?workbook=20_13.xlsx&amp;sheet=U0&amp;row=933&amp;col=7&amp;number=7.21&amp;sourceID=14","7.21")</f>
        <v>7.21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HYPERLINK("http://141.218.60.56/~jnz1568/getInfo.php?workbook=20_13.xlsx&amp;sheet=U0&amp;row=934&amp;col=6&amp;number=4&amp;sourceID=14","4")</f>
        <v>4</v>
      </c>
      <c r="G934" s="4" t="str">
        <f>HYPERLINK("http://141.218.60.56/~jnz1568/getInfo.php?workbook=20_13.xlsx&amp;sheet=U0&amp;row=934&amp;col=7&amp;number=7.21&amp;sourceID=14","7.21")</f>
        <v>7.21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HYPERLINK("http://141.218.60.56/~jnz1568/getInfo.php?workbook=20_13.xlsx&amp;sheet=U0&amp;row=935&amp;col=6&amp;number=4.1&amp;sourceID=14","4.1")</f>
        <v>4.1</v>
      </c>
      <c r="G935" s="4" t="str">
        <f>HYPERLINK("http://141.218.60.56/~jnz1568/getInfo.php?workbook=20_13.xlsx&amp;sheet=U0&amp;row=935&amp;col=7&amp;number=7.2&amp;sourceID=14","7.2")</f>
        <v>7.2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HYPERLINK("http://141.218.60.56/~jnz1568/getInfo.php?workbook=20_13.xlsx&amp;sheet=U0&amp;row=936&amp;col=6&amp;number=4.2&amp;sourceID=14","4.2")</f>
        <v>4.2</v>
      </c>
      <c r="G936" s="4" t="str">
        <f>HYPERLINK("http://141.218.60.56/~jnz1568/getInfo.php?workbook=20_13.xlsx&amp;sheet=U0&amp;row=936&amp;col=7&amp;number=7.19&amp;sourceID=14","7.19")</f>
        <v>7.19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HYPERLINK("http://141.218.60.56/~jnz1568/getInfo.php?workbook=20_13.xlsx&amp;sheet=U0&amp;row=937&amp;col=6&amp;number=4.3&amp;sourceID=14","4.3")</f>
        <v>4.3</v>
      </c>
      <c r="G937" s="4" t="str">
        <f>HYPERLINK("http://141.218.60.56/~jnz1568/getInfo.php?workbook=20_13.xlsx&amp;sheet=U0&amp;row=937&amp;col=7&amp;number=7.18&amp;sourceID=14","7.18")</f>
        <v>7.18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HYPERLINK("http://141.218.60.56/~jnz1568/getInfo.php?workbook=20_13.xlsx&amp;sheet=U0&amp;row=938&amp;col=6&amp;number=4.4&amp;sourceID=14","4.4")</f>
        <v>4.4</v>
      </c>
      <c r="G938" s="4" t="str">
        <f>HYPERLINK("http://141.218.60.56/~jnz1568/getInfo.php?workbook=20_13.xlsx&amp;sheet=U0&amp;row=938&amp;col=7&amp;number=7.17&amp;sourceID=14","7.17")</f>
        <v>7.17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HYPERLINK("http://141.218.60.56/~jnz1568/getInfo.php?workbook=20_13.xlsx&amp;sheet=U0&amp;row=939&amp;col=6&amp;number=4.5&amp;sourceID=14","4.5")</f>
        <v>4.5</v>
      </c>
      <c r="G939" s="4" t="str">
        <f>HYPERLINK("http://141.218.60.56/~jnz1568/getInfo.php?workbook=20_13.xlsx&amp;sheet=U0&amp;row=939&amp;col=7&amp;number=7.16&amp;sourceID=14","7.16")</f>
        <v>7.16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HYPERLINK("http://141.218.60.56/~jnz1568/getInfo.php?workbook=20_13.xlsx&amp;sheet=U0&amp;row=940&amp;col=6&amp;number=4.6&amp;sourceID=14","4.6")</f>
        <v>4.6</v>
      </c>
      <c r="G940" s="4" t="str">
        <f>HYPERLINK("http://141.218.60.56/~jnz1568/getInfo.php?workbook=20_13.xlsx&amp;sheet=U0&amp;row=940&amp;col=7&amp;number=7.15&amp;sourceID=14","7.15")</f>
        <v>7.15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HYPERLINK("http://141.218.60.56/~jnz1568/getInfo.php?workbook=20_13.xlsx&amp;sheet=U0&amp;row=941&amp;col=6&amp;number=4.7&amp;sourceID=14","4.7")</f>
        <v>4.7</v>
      </c>
      <c r="G941" s="4" t="str">
        <f>HYPERLINK("http://141.218.60.56/~jnz1568/getInfo.php?workbook=20_13.xlsx&amp;sheet=U0&amp;row=941&amp;col=7&amp;number=7.14&amp;sourceID=14","7.14")</f>
        <v>7.14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HYPERLINK("http://141.218.60.56/~jnz1568/getInfo.php?workbook=20_13.xlsx&amp;sheet=U0&amp;row=942&amp;col=6&amp;number=4.8&amp;sourceID=14","4.8")</f>
        <v>4.8</v>
      </c>
      <c r="G942" s="4" t="str">
        <f>HYPERLINK("http://141.218.60.56/~jnz1568/getInfo.php?workbook=20_13.xlsx&amp;sheet=U0&amp;row=942&amp;col=7&amp;number=7.13&amp;sourceID=14","7.13")</f>
        <v>7.13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HYPERLINK("http://141.218.60.56/~jnz1568/getInfo.php?workbook=20_13.xlsx&amp;sheet=U0&amp;row=943&amp;col=6&amp;number=4.9&amp;sourceID=14","4.9")</f>
        <v>4.9</v>
      </c>
      <c r="G943" s="4" t="str">
        <f>HYPERLINK("http://141.218.60.56/~jnz1568/getInfo.php?workbook=20_13.xlsx&amp;sheet=U0&amp;row=943&amp;col=7&amp;number=7.14&amp;sourceID=14","7.14")</f>
        <v>7.14</v>
      </c>
    </row>
    <row r="944" spans="1:7">
      <c r="A944" s="3">
        <v>20</v>
      </c>
      <c r="B944" s="3">
        <v>13</v>
      </c>
      <c r="C944" s="3">
        <v>2</v>
      </c>
      <c r="D944" s="3">
        <v>11</v>
      </c>
      <c r="E944" s="3">
        <v>1</v>
      </c>
      <c r="F944" s="4" t="str">
        <f>HYPERLINK("http://141.218.60.56/~jnz1568/getInfo.php?workbook=20_13.xlsx&amp;sheet=U0&amp;row=944&amp;col=6&amp;number=3&amp;sourceID=14","3")</f>
        <v>3</v>
      </c>
      <c r="G944" s="4" t="str">
        <f>HYPERLINK("http://141.218.60.56/~jnz1568/getInfo.php?workbook=20_13.xlsx&amp;sheet=U0&amp;row=944&amp;col=7&amp;number=1.32&amp;sourceID=14","1.32")</f>
        <v>1.32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HYPERLINK("http://141.218.60.56/~jnz1568/getInfo.php?workbook=20_13.xlsx&amp;sheet=U0&amp;row=945&amp;col=6&amp;number=3.1&amp;sourceID=14","3.1")</f>
        <v>3.1</v>
      </c>
      <c r="G945" s="4" t="str">
        <f>HYPERLINK("http://141.218.60.56/~jnz1568/getInfo.php?workbook=20_13.xlsx&amp;sheet=U0&amp;row=945&amp;col=7&amp;number=1.32&amp;sourceID=14","1.32")</f>
        <v>1.32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HYPERLINK("http://141.218.60.56/~jnz1568/getInfo.php?workbook=20_13.xlsx&amp;sheet=U0&amp;row=946&amp;col=6&amp;number=3.2&amp;sourceID=14","3.2")</f>
        <v>3.2</v>
      </c>
      <c r="G946" s="4" t="str">
        <f>HYPERLINK("http://141.218.60.56/~jnz1568/getInfo.php?workbook=20_13.xlsx&amp;sheet=U0&amp;row=946&amp;col=7&amp;number=1.32&amp;sourceID=14","1.32")</f>
        <v>1.32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HYPERLINK("http://141.218.60.56/~jnz1568/getInfo.php?workbook=20_13.xlsx&amp;sheet=U0&amp;row=947&amp;col=6&amp;number=3.3&amp;sourceID=14","3.3")</f>
        <v>3.3</v>
      </c>
      <c r="G947" s="4" t="str">
        <f>HYPERLINK("http://141.218.60.56/~jnz1568/getInfo.php?workbook=20_13.xlsx&amp;sheet=U0&amp;row=947&amp;col=7&amp;number=1.32&amp;sourceID=14","1.32")</f>
        <v>1.32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HYPERLINK("http://141.218.60.56/~jnz1568/getInfo.php?workbook=20_13.xlsx&amp;sheet=U0&amp;row=948&amp;col=6&amp;number=3.4&amp;sourceID=14","3.4")</f>
        <v>3.4</v>
      </c>
      <c r="G948" s="4" t="str">
        <f>HYPERLINK("http://141.218.60.56/~jnz1568/getInfo.php?workbook=20_13.xlsx&amp;sheet=U0&amp;row=948&amp;col=7&amp;number=1.32&amp;sourceID=14","1.32")</f>
        <v>1.32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HYPERLINK("http://141.218.60.56/~jnz1568/getInfo.php?workbook=20_13.xlsx&amp;sheet=U0&amp;row=949&amp;col=6&amp;number=3.5&amp;sourceID=14","3.5")</f>
        <v>3.5</v>
      </c>
      <c r="G949" s="4" t="str">
        <f>HYPERLINK("http://141.218.60.56/~jnz1568/getInfo.php?workbook=20_13.xlsx&amp;sheet=U0&amp;row=949&amp;col=7&amp;number=1.32&amp;sourceID=14","1.32")</f>
        <v>1.32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HYPERLINK("http://141.218.60.56/~jnz1568/getInfo.php?workbook=20_13.xlsx&amp;sheet=U0&amp;row=950&amp;col=6&amp;number=3.6&amp;sourceID=14","3.6")</f>
        <v>3.6</v>
      </c>
      <c r="G950" s="4" t="str">
        <f>HYPERLINK("http://141.218.60.56/~jnz1568/getInfo.php?workbook=20_13.xlsx&amp;sheet=U0&amp;row=950&amp;col=7&amp;number=1.32&amp;sourceID=14","1.32")</f>
        <v>1.32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HYPERLINK("http://141.218.60.56/~jnz1568/getInfo.php?workbook=20_13.xlsx&amp;sheet=U0&amp;row=951&amp;col=6&amp;number=3.7&amp;sourceID=14","3.7")</f>
        <v>3.7</v>
      </c>
      <c r="G951" s="4" t="str">
        <f>HYPERLINK("http://141.218.60.56/~jnz1568/getInfo.php?workbook=20_13.xlsx&amp;sheet=U0&amp;row=951&amp;col=7&amp;number=1.32&amp;sourceID=14","1.32")</f>
        <v>1.32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HYPERLINK("http://141.218.60.56/~jnz1568/getInfo.php?workbook=20_13.xlsx&amp;sheet=U0&amp;row=952&amp;col=6&amp;number=3.8&amp;sourceID=14","3.8")</f>
        <v>3.8</v>
      </c>
      <c r="G952" s="4" t="str">
        <f>HYPERLINK("http://141.218.60.56/~jnz1568/getInfo.php?workbook=20_13.xlsx&amp;sheet=U0&amp;row=952&amp;col=7&amp;number=1.32&amp;sourceID=14","1.32")</f>
        <v>1.32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HYPERLINK("http://141.218.60.56/~jnz1568/getInfo.php?workbook=20_13.xlsx&amp;sheet=U0&amp;row=953&amp;col=6&amp;number=3.9&amp;sourceID=14","3.9")</f>
        <v>3.9</v>
      </c>
      <c r="G953" s="4" t="str">
        <f>HYPERLINK("http://141.218.60.56/~jnz1568/getInfo.php?workbook=20_13.xlsx&amp;sheet=U0&amp;row=953&amp;col=7&amp;number=1.32&amp;sourceID=14","1.32")</f>
        <v>1.32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HYPERLINK("http://141.218.60.56/~jnz1568/getInfo.php?workbook=20_13.xlsx&amp;sheet=U0&amp;row=954&amp;col=6&amp;number=4&amp;sourceID=14","4")</f>
        <v>4</v>
      </c>
      <c r="G954" s="4" t="str">
        <f>HYPERLINK("http://141.218.60.56/~jnz1568/getInfo.php?workbook=20_13.xlsx&amp;sheet=U0&amp;row=954&amp;col=7&amp;number=1.32&amp;sourceID=14","1.32")</f>
        <v>1.32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HYPERLINK("http://141.218.60.56/~jnz1568/getInfo.php?workbook=20_13.xlsx&amp;sheet=U0&amp;row=955&amp;col=6&amp;number=4.1&amp;sourceID=14","4.1")</f>
        <v>4.1</v>
      </c>
      <c r="G955" s="4" t="str">
        <f>HYPERLINK("http://141.218.60.56/~jnz1568/getInfo.php?workbook=20_13.xlsx&amp;sheet=U0&amp;row=955&amp;col=7&amp;number=1.32&amp;sourceID=14","1.32")</f>
        <v>1.32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HYPERLINK("http://141.218.60.56/~jnz1568/getInfo.php?workbook=20_13.xlsx&amp;sheet=U0&amp;row=956&amp;col=6&amp;number=4.2&amp;sourceID=14","4.2")</f>
        <v>4.2</v>
      </c>
      <c r="G956" s="4" t="str">
        <f>HYPERLINK("http://141.218.60.56/~jnz1568/getInfo.php?workbook=20_13.xlsx&amp;sheet=U0&amp;row=956&amp;col=7&amp;number=1.32&amp;sourceID=14","1.32")</f>
        <v>1.32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HYPERLINK("http://141.218.60.56/~jnz1568/getInfo.php?workbook=20_13.xlsx&amp;sheet=U0&amp;row=957&amp;col=6&amp;number=4.3&amp;sourceID=14","4.3")</f>
        <v>4.3</v>
      </c>
      <c r="G957" s="4" t="str">
        <f>HYPERLINK("http://141.218.60.56/~jnz1568/getInfo.php?workbook=20_13.xlsx&amp;sheet=U0&amp;row=957&amp;col=7&amp;number=1.32&amp;sourceID=14","1.32")</f>
        <v>1.32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HYPERLINK("http://141.218.60.56/~jnz1568/getInfo.php?workbook=20_13.xlsx&amp;sheet=U0&amp;row=958&amp;col=6&amp;number=4.4&amp;sourceID=14","4.4")</f>
        <v>4.4</v>
      </c>
      <c r="G958" s="4" t="str">
        <f>HYPERLINK("http://141.218.60.56/~jnz1568/getInfo.php?workbook=20_13.xlsx&amp;sheet=U0&amp;row=958&amp;col=7&amp;number=1.31&amp;sourceID=14","1.31")</f>
        <v>1.31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HYPERLINK("http://141.218.60.56/~jnz1568/getInfo.php?workbook=20_13.xlsx&amp;sheet=U0&amp;row=959&amp;col=6&amp;number=4.5&amp;sourceID=14","4.5")</f>
        <v>4.5</v>
      </c>
      <c r="G959" s="4" t="str">
        <f>HYPERLINK("http://141.218.60.56/~jnz1568/getInfo.php?workbook=20_13.xlsx&amp;sheet=U0&amp;row=959&amp;col=7&amp;number=1.31&amp;sourceID=14","1.31")</f>
        <v>1.31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HYPERLINK("http://141.218.60.56/~jnz1568/getInfo.php?workbook=20_13.xlsx&amp;sheet=U0&amp;row=960&amp;col=6&amp;number=4.6&amp;sourceID=14","4.6")</f>
        <v>4.6</v>
      </c>
      <c r="G960" s="4" t="str">
        <f>HYPERLINK("http://141.218.60.56/~jnz1568/getInfo.php?workbook=20_13.xlsx&amp;sheet=U0&amp;row=960&amp;col=7&amp;number=1.31&amp;sourceID=14","1.31")</f>
        <v>1.31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HYPERLINK("http://141.218.60.56/~jnz1568/getInfo.php?workbook=20_13.xlsx&amp;sheet=U0&amp;row=961&amp;col=6&amp;number=4.7&amp;sourceID=14","4.7")</f>
        <v>4.7</v>
      </c>
      <c r="G961" s="4" t="str">
        <f>HYPERLINK("http://141.218.60.56/~jnz1568/getInfo.php?workbook=20_13.xlsx&amp;sheet=U0&amp;row=961&amp;col=7&amp;number=1.31&amp;sourceID=14","1.31")</f>
        <v>1.31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HYPERLINK("http://141.218.60.56/~jnz1568/getInfo.php?workbook=20_13.xlsx&amp;sheet=U0&amp;row=962&amp;col=6&amp;number=4.8&amp;sourceID=14","4.8")</f>
        <v>4.8</v>
      </c>
      <c r="G962" s="4" t="str">
        <f>HYPERLINK("http://141.218.60.56/~jnz1568/getInfo.php?workbook=20_13.xlsx&amp;sheet=U0&amp;row=962&amp;col=7&amp;number=1.3&amp;sourceID=14","1.3")</f>
        <v>1.3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HYPERLINK("http://141.218.60.56/~jnz1568/getInfo.php?workbook=20_13.xlsx&amp;sheet=U0&amp;row=963&amp;col=6&amp;number=4.9&amp;sourceID=14","4.9")</f>
        <v>4.9</v>
      </c>
      <c r="G963" s="4" t="str">
        <f>HYPERLINK("http://141.218.60.56/~jnz1568/getInfo.php?workbook=20_13.xlsx&amp;sheet=U0&amp;row=963&amp;col=7&amp;number=1.3&amp;sourceID=14","1.3")</f>
        <v>1.3</v>
      </c>
    </row>
    <row r="964" spans="1:7">
      <c r="A964" s="3">
        <v>20</v>
      </c>
      <c r="B964" s="3">
        <v>13</v>
      </c>
      <c r="C964" s="3">
        <v>2</v>
      </c>
      <c r="D964" s="3">
        <v>12</v>
      </c>
      <c r="E964" s="3">
        <v>1</v>
      </c>
      <c r="F964" s="4" t="str">
        <f>HYPERLINK("http://141.218.60.56/~jnz1568/getInfo.php?workbook=20_13.xlsx&amp;sheet=U0&amp;row=964&amp;col=6&amp;number=3&amp;sourceID=14","3")</f>
        <v>3</v>
      </c>
      <c r="G964" s="4" t="str">
        <f>HYPERLINK("http://141.218.60.56/~jnz1568/getInfo.php?workbook=20_13.xlsx&amp;sheet=U0&amp;row=964&amp;col=7&amp;number=7.34&amp;sourceID=14","7.34")</f>
        <v>7.34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HYPERLINK("http://141.218.60.56/~jnz1568/getInfo.php?workbook=20_13.xlsx&amp;sheet=U0&amp;row=965&amp;col=6&amp;number=3.1&amp;sourceID=14","3.1")</f>
        <v>3.1</v>
      </c>
      <c r="G965" s="4" t="str">
        <f>HYPERLINK("http://141.218.60.56/~jnz1568/getInfo.php?workbook=20_13.xlsx&amp;sheet=U0&amp;row=965&amp;col=7&amp;number=7.34&amp;sourceID=14","7.34")</f>
        <v>7.34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HYPERLINK("http://141.218.60.56/~jnz1568/getInfo.php?workbook=20_13.xlsx&amp;sheet=U0&amp;row=966&amp;col=6&amp;number=3.2&amp;sourceID=14","3.2")</f>
        <v>3.2</v>
      </c>
      <c r="G966" s="4" t="str">
        <f>HYPERLINK("http://141.218.60.56/~jnz1568/getInfo.php?workbook=20_13.xlsx&amp;sheet=U0&amp;row=966&amp;col=7&amp;number=7.35&amp;sourceID=14","7.35")</f>
        <v>7.35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HYPERLINK("http://141.218.60.56/~jnz1568/getInfo.php?workbook=20_13.xlsx&amp;sheet=U0&amp;row=967&amp;col=6&amp;number=3.3&amp;sourceID=14","3.3")</f>
        <v>3.3</v>
      </c>
      <c r="G967" s="4" t="str">
        <f>HYPERLINK("http://141.218.60.56/~jnz1568/getInfo.php?workbook=20_13.xlsx&amp;sheet=U0&amp;row=967&amp;col=7&amp;number=7.35&amp;sourceID=14","7.35")</f>
        <v>7.35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HYPERLINK("http://141.218.60.56/~jnz1568/getInfo.php?workbook=20_13.xlsx&amp;sheet=U0&amp;row=968&amp;col=6&amp;number=3.4&amp;sourceID=14","3.4")</f>
        <v>3.4</v>
      </c>
      <c r="G968" s="4" t="str">
        <f>HYPERLINK("http://141.218.60.56/~jnz1568/getInfo.php?workbook=20_13.xlsx&amp;sheet=U0&amp;row=968&amp;col=7&amp;number=7.35&amp;sourceID=14","7.35")</f>
        <v>7.35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HYPERLINK("http://141.218.60.56/~jnz1568/getInfo.php?workbook=20_13.xlsx&amp;sheet=U0&amp;row=969&amp;col=6&amp;number=3.5&amp;sourceID=14","3.5")</f>
        <v>3.5</v>
      </c>
      <c r="G969" s="4" t="str">
        <f>HYPERLINK("http://141.218.60.56/~jnz1568/getInfo.php?workbook=20_13.xlsx&amp;sheet=U0&amp;row=969&amp;col=7&amp;number=7.36&amp;sourceID=14","7.36")</f>
        <v>7.36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HYPERLINK("http://141.218.60.56/~jnz1568/getInfo.php?workbook=20_13.xlsx&amp;sheet=U0&amp;row=970&amp;col=6&amp;number=3.6&amp;sourceID=14","3.6")</f>
        <v>3.6</v>
      </c>
      <c r="G970" s="4" t="str">
        <f>HYPERLINK("http://141.218.60.56/~jnz1568/getInfo.php?workbook=20_13.xlsx&amp;sheet=U0&amp;row=970&amp;col=7&amp;number=7.36&amp;sourceID=14","7.36")</f>
        <v>7.36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HYPERLINK("http://141.218.60.56/~jnz1568/getInfo.php?workbook=20_13.xlsx&amp;sheet=U0&amp;row=971&amp;col=6&amp;number=3.7&amp;sourceID=14","3.7")</f>
        <v>3.7</v>
      </c>
      <c r="G971" s="4" t="str">
        <f>HYPERLINK("http://141.218.60.56/~jnz1568/getInfo.php?workbook=20_13.xlsx&amp;sheet=U0&amp;row=971&amp;col=7&amp;number=7.37&amp;sourceID=14","7.37")</f>
        <v>7.37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HYPERLINK("http://141.218.60.56/~jnz1568/getInfo.php?workbook=20_13.xlsx&amp;sheet=U0&amp;row=972&amp;col=6&amp;number=3.8&amp;sourceID=14","3.8")</f>
        <v>3.8</v>
      </c>
      <c r="G972" s="4" t="str">
        <f>HYPERLINK("http://141.218.60.56/~jnz1568/getInfo.php?workbook=20_13.xlsx&amp;sheet=U0&amp;row=972&amp;col=7&amp;number=7.38&amp;sourceID=14","7.38")</f>
        <v>7.38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HYPERLINK("http://141.218.60.56/~jnz1568/getInfo.php?workbook=20_13.xlsx&amp;sheet=U0&amp;row=973&amp;col=6&amp;number=3.9&amp;sourceID=14","3.9")</f>
        <v>3.9</v>
      </c>
      <c r="G973" s="4" t="str">
        <f>HYPERLINK("http://141.218.60.56/~jnz1568/getInfo.php?workbook=20_13.xlsx&amp;sheet=U0&amp;row=973&amp;col=7&amp;number=7.39&amp;sourceID=14","7.39")</f>
        <v>7.39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HYPERLINK("http://141.218.60.56/~jnz1568/getInfo.php?workbook=20_13.xlsx&amp;sheet=U0&amp;row=974&amp;col=6&amp;number=4&amp;sourceID=14","4")</f>
        <v>4</v>
      </c>
      <c r="G974" s="4" t="str">
        <f>HYPERLINK("http://141.218.60.56/~jnz1568/getInfo.php?workbook=20_13.xlsx&amp;sheet=U0&amp;row=974&amp;col=7&amp;number=7.41&amp;sourceID=14","7.41")</f>
        <v>7.41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HYPERLINK("http://141.218.60.56/~jnz1568/getInfo.php?workbook=20_13.xlsx&amp;sheet=U0&amp;row=975&amp;col=6&amp;number=4.1&amp;sourceID=14","4.1")</f>
        <v>4.1</v>
      </c>
      <c r="G975" s="4" t="str">
        <f>HYPERLINK("http://141.218.60.56/~jnz1568/getInfo.php?workbook=20_13.xlsx&amp;sheet=U0&amp;row=975&amp;col=7&amp;number=7.43&amp;sourceID=14","7.43")</f>
        <v>7.43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HYPERLINK("http://141.218.60.56/~jnz1568/getInfo.php?workbook=20_13.xlsx&amp;sheet=U0&amp;row=976&amp;col=6&amp;number=4.2&amp;sourceID=14","4.2")</f>
        <v>4.2</v>
      </c>
      <c r="G976" s="4" t="str">
        <f>HYPERLINK("http://141.218.60.56/~jnz1568/getInfo.php?workbook=20_13.xlsx&amp;sheet=U0&amp;row=976&amp;col=7&amp;number=7.45&amp;sourceID=14","7.45")</f>
        <v>7.45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HYPERLINK("http://141.218.60.56/~jnz1568/getInfo.php?workbook=20_13.xlsx&amp;sheet=U0&amp;row=977&amp;col=6&amp;number=4.3&amp;sourceID=14","4.3")</f>
        <v>4.3</v>
      </c>
      <c r="G977" s="4" t="str">
        <f>HYPERLINK("http://141.218.60.56/~jnz1568/getInfo.php?workbook=20_13.xlsx&amp;sheet=U0&amp;row=977&amp;col=7&amp;number=7.48&amp;sourceID=14","7.48")</f>
        <v>7.48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HYPERLINK("http://141.218.60.56/~jnz1568/getInfo.php?workbook=20_13.xlsx&amp;sheet=U0&amp;row=978&amp;col=6&amp;number=4.4&amp;sourceID=14","4.4")</f>
        <v>4.4</v>
      </c>
      <c r="G978" s="4" t="str">
        <f>HYPERLINK("http://141.218.60.56/~jnz1568/getInfo.php?workbook=20_13.xlsx&amp;sheet=U0&amp;row=978&amp;col=7&amp;number=7.51&amp;sourceID=14","7.51")</f>
        <v>7.51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HYPERLINK("http://141.218.60.56/~jnz1568/getInfo.php?workbook=20_13.xlsx&amp;sheet=U0&amp;row=979&amp;col=6&amp;number=4.5&amp;sourceID=14","4.5")</f>
        <v>4.5</v>
      </c>
      <c r="G979" s="4" t="str">
        <f>HYPERLINK("http://141.218.60.56/~jnz1568/getInfo.php?workbook=20_13.xlsx&amp;sheet=U0&amp;row=979&amp;col=7&amp;number=7.55&amp;sourceID=14","7.55")</f>
        <v>7.55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HYPERLINK("http://141.218.60.56/~jnz1568/getInfo.php?workbook=20_13.xlsx&amp;sheet=U0&amp;row=980&amp;col=6&amp;number=4.6&amp;sourceID=14","4.6")</f>
        <v>4.6</v>
      </c>
      <c r="G980" s="4" t="str">
        <f>HYPERLINK("http://141.218.60.56/~jnz1568/getInfo.php?workbook=20_13.xlsx&amp;sheet=U0&amp;row=980&amp;col=7&amp;number=7.6&amp;sourceID=14","7.6")</f>
        <v>7.6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HYPERLINK("http://141.218.60.56/~jnz1568/getInfo.php?workbook=20_13.xlsx&amp;sheet=U0&amp;row=981&amp;col=6&amp;number=4.7&amp;sourceID=14","4.7")</f>
        <v>4.7</v>
      </c>
      <c r="G981" s="4" t="str">
        <f>HYPERLINK("http://141.218.60.56/~jnz1568/getInfo.php?workbook=20_13.xlsx&amp;sheet=U0&amp;row=981&amp;col=7&amp;number=7.65&amp;sourceID=14","7.65")</f>
        <v>7.65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HYPERLINK("http://141.218.60.56/~jnz1568/getInfo.php?workbook=20_13.xlsx&amp;sheet=U0&amp;row=982&amp;col=6&amp;number=4.8&amp;sourceID=14","4.8")</f>
        <v>4.8</v>
      </c>
      <c r="G982" s="4" t="str">
        <f>HYPERLINK("http://141.218.60.56/~jnz1568/getInfo.php?workbook=20_13.xlsx&amp;sheet=U0&amp;row=982&amp;col=7&amp;number=7.7&amp;sourceID=14","7.7")</f>
        <v>7.7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HYPERLINK("http://141.218.60.56/~jnz1568/getInfo.php?workbook=20_13.xlsx&amp;sheet=U0&amp;row=983&amp;col=6&amp;number=4.9&amp;sourceID=14","4.9")</f>
        <v>4.9</v>
      </c>
      <c r="G983" s="4" t="str">
        <f>HYPERLINK("http://141.218.60.56/~jnz1568/getInfo.php?workbook=20_13.xlsx&amp;sheet=U0&amp;row=983&amp;col=7&amp;number=7.75&amp;sourceID=14","7.75")</f>
        <v>7.75</v>
      </c>
    </row>
    <row r="984" spans="1:7">
      <c r="A984" s="3">
        <v>20</v>
      </c>
      <c r="B984" s="3">
        <v>13</v>
      </c>
      <c r="C984" s="3">
        <v>2</v>
      </c>
      <c r="D984" s="3">
        <v>13</v>
      </c>
      <c r="E984" s="3">
        <v>1</v>
      </c>
      <c r="F984" s="4" t="str">
        <f>HYPERLINK("http://141.218.60.56/~jnz1568/getInfo.php?workbook=20_13.xlsx&amp;sheet=U0&amp;row=984&amp;col=6&amp;number=3&amp;sourceID=14","3")</f>
        <v>3</v>
      </c>
      <c r="G984" s="4" t="str">
        <f>HYPERLINK("http://141.218.60.56/~jnz1568/getInfo.php?workbook=20_13.xlsx&amp;sheet=U0&amp;row=984&amp;col=7&amp;number=0.16&amp;sourceID=14","0.16")</f>
        <v>0.16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HYPERLINK("http://141.218.60.56/~jnz1568/getInfo.php?workbook=20_13.xlsx&amp;sheet=U0&amp;row=985&amp;col=6&amp;number=3.1&amp;sourceID=14","3.1")</f>
        <v>3.1</v>
      </c>
      <c r="G985" s="4" t="str">
        <f>HYPERLINK("http://141.218.60.56/~jnz1568/getInfo.php?workbook=20_13.xlsx&amp;sheet=U0&amp;row=985&amp;col=7&amp;number=0.159&amp;sourceID=14","0.159")</f>
        <v>0.159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HYPERLINK("http://141.218.60.56/~jnz1568/getInfo.php?workbook=20_13.xlsx&amp;sheet=U0&amp;row=986&amp;col=6&amp;number=3.2&amp;sourceID=14","3.2")</f>
        <v>3.2</v>
      </c>
      <c r="G986" s="4" t="str">
        <f>HYPERLINK("http://141.218.60.56/~jnz1568/getInfo.php?workbook=20_13.xlsx&amp;sheet=U0&amp;row=986&amp;col=7&amp;number=0.159&amp;sourceID=14","0.159")</f>
        <v>0.159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HYPERLINK("http://141.218.60.56/~jnz1568/getInfo.php?workbook=20_13.xlsx&amp;sheet=U0&amp;row=987&amp;col=6&amp;number=3.3&amp;sourceID=14","3.3")</f>
        <v>3.3</v>
      </c>
      <c r="G987" s="4" t="str">
        <f>HYPERLINK("http://141.218.60.56/~jnz1568/getInfo.php?workbook=20_13.xlsx&amp;sheet=U0&amp;row=987&amp;col=7&amp;number=0.159&amp;sourceID=14","0.159")</f>
        <v>0.159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HYPERLINK("http://141.218.60.56/~jnz1568/getInfo.php?workbook=20_13.xlsx&amp;sheet=U0&amp;row=988&amp;col=6&amp;number=3.4&amp;sourceID=14","3.4")</f>
        <v>3.4</v>
      </c>
      <c r="G988" s="4" t="str">
        <f>HYPERLINK("http://141.218.60.56/~jnz1568/getInfo.php?workbook=20_13.xlsx&amp;sheet=U0&amp;row=988&amp;col=7&amp;number=0.159&amp;sourceID=14","0.159")</f>
        <v>0.159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HYPERLINK("http://141.218.60.56/~jnz1568/getInfo.php?workbook=20_13.xlsx&amp;sheet=U0&amp;row=989&amp;col=6&amp;number=3.5&amp;sourceID=14","3.5")</f>
        <v>3.5</v>
      </c>
      <c r="G989" s="4" t="str">
        <f>HYPERLINK("http://141.218.60.56/~jnz1568/getInfo.php?workbook=20_13.xlsx&amp;sheet=U0&amp;row=989&amp;col=7&amp;number=0.159&amp;sourceID=14","0.159")</f>
        <v>0.159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HYPERLINK("http://141.218.60.56/~jnz1568/getInfo.php?workbook=20_13.xlsx&amp;sheet=U0&amp;row=990&amp;col=6&amp;number=3.6&amp;sourceID=14","3.6")</f>
        <v>3.6</v>
      </c>
      <c r="G990" s="4" t="str">
        <f>HYPERLINK("http://141.218.60.56/~jnz1568/getInfo.php?workbook=20_13.xlsx&amp;sheet=U0&amp;row=990&amp;col=7&amp;number=0.159&amp;sourceID=14","0.159")</f>
        <v>0.159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HYPERLINK("http://141.218.60.56/~jnz1568/getInfo.php?workbook=20_13.xlsx&amp;sheet=U0&amp;row=991&amp;col=6&amp;number=3.7&amp;sourceID=14","3.7")</f>
        <v>3.7</v>
      </c>
      <c r="G991" s="4" t="str">
        <f>HYPERLINK("http://141.218.60.56/~jnz1568/getInfo.php?workbook=20_13.xlsx&amp;sheet=U0&amp;row=991&amp;col=7&amp;number=0.159&amp;sourceID=14","0.159")</f>
        <v>0.159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HYPERLINK("http://141.218.60.56/~jnz1568/getInfo.php?workbook=20_13.xlsx&amp;sheet=U0&amp;row=992&amp;col=6&amp;number=3.8&amp;sourceID=14","3.8")</f>
        <v>3.8</v>
      </c>
      <c r="G992" s="4" t="str">
        <f>HYPERLINK("http://141.218.60.56/~jnz1568/getInfo.php?workbook=20_13.xlsx&amp;sheet=U0&amp;row=992&amp;col=7&amp;number=0.158&amp;sourceID=14","0.158")</f>
        <v>0.158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HYPERLINK("http://141.218.60.56/~jnz1568/getInfo.php?workbook=20_13.xlsx&amp;sheet=U0&amp;row=993&amp;col=6&amp;number=3.9&amp;sourceID=14","3.9")</f>
        <v>3.9</v>
      </c>
      <c r="G993" s="4" t="str">
        <f>HYPERLINK("http://141.218.60.56/~jnz1568/getInfo.php?workbook=20_13.xlsx&amp;sheet=U0&amp;row=993&amp;col=7&amp;number=0.158&amp;sourceID=14","0.158")</f>
        <v>0.158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HYPERLINK("http://141.218.60.56/~jnz1568/getInfo.php?workbook=20_13.xlsx&amp;sheet=U0&amp;row=994&amp;col=6&amp;number=4&amp;sourceID=14","4")</f>
        <v>4</v>
      </c>
      <c r="G994" s="4" t="str">
        <f>HYPERLINK("http://141.218.60.56/~jnz1568/getInfo.php?workbook=20_13.xlsx&amp;sheet=U0&amp;row=994&amp;col=7&amp;number=0.157&amp;sourceID=14","0.157")</f>
        <v>0.157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HYPERLINK("http://141.218.60.56/~jnz1568/getInfo.php?workbook=20_13.xlsx&amp;sheet=U0&amp;row=995&amp;col=6&amp;number=4.1&amp;sourceID=14","4.1")</f>
        <v>4.1</v>
      </c>
      <c r="G995" s="4" t="str">
        <f>HYPERLINK("http://141.218.60.56/~jnz1568/getInfo.php?workbook=20_13.xlsx&amp;sheet=U0&amp;row=995&amp;col=7&amp;number=0.157&amp;sourceID=14","0.157")</f>
        <v>0.157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HYPERLINK("http://141.218.60.56/~jnz1568/getInfo.php?workbook=20_13.xlsx&amp;sheet=U0&amp;row=996&amp;col=6&amp;number=4.2&amp;sourceID=14","4.2")</f>
        <v>4.2</v>
      </c>
      <c r="G996" s="4" t="str">
        <f>HYPERLINK("http://141.218.60.56/~jnz1568/getInfo.php?workbook=20_13.xlsx&amp;sheet=U0&amp;row=996&amp;col=7&amp;number=0.156&amp;sourceID=14","0.156")</f>
        <v>0.156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HYPERLINK("http://141.218.60.56/~jnz1568/getInfo.php?workbook=20_13.xlsx&amp;sheet=U0&amp;row=997&amp;col=6&amp;number=4.3&amp;sourceID=14","4.3")</f>
        <v>4.3</v>
      </c>
      <c r="G997" s="4" t="str">
        <f>HYPERLINK("http://141.218.60.56/~jnz1568/getInfo.php?workbook=20_13.xlsx&amp;sheet=U0&amp;row=997&amp;col=7&amp;number=0.155&amp;sourceID=14","0.155")</f>
        <v>0.155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HYPERLINK("http://141.218.60.56/~jnz1568/getInfo.php?workbook=20_13.xlsx&amp;sheet=U0&amp;row=998&amp;col=6&amp;number=4.4&amp;sourceID=14","4.4")</f>
        <v>4.4</v>
      </c>
      <c r="G998" s="4" t="str">
        <f>HYPERLINK("http://141.218.60.56/~jnz1568/getInfo.php?workbook=20_13.xlsx&amp;sheet=U0&amp;row=998&amp;col=7&amp;number=0.154&amp;sourceID=14","0.154")</f>
        <v>0.154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HYPERLINK("http://141.218.60.56/~jnz1568/getInfo.php?workbook=20_13.xlsx&amp;sheet=U0&amp;row=999&amp;col=6&amp;number=4.5&amp;sourceID=14","4.5")</f>
        <v>4.5</v>
      </c>
      <c r="G999" s="4" t="str">
        <f>HYPERLINK("http://141.218.60.56/~jnz1568/getInfo.php?workbook=20_13.xlsx&amp;sheet=U0&amp;row=999&amp;col=7&amp;number=0.153&amp;sourceID=14","0.153")</f>
        <v>0.153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HYPERLINK("http://141.218.60.56/~jnz1568/getInfo.php?workbook=20_13.xlsx&amp;sheet=U0&amp;row=1000&amp;col=6&amp;number=4.6&amp;sourceID=14","4.6")</f>
        <v>4.6</v>
      </c>
      <c r="G1000" s="4" t="str">
        <f>HYPERLINK("http://141.218.60.56/~jnz1568/getInfo.php?workbook=20_13.xlsx&amp;sheet=U0&amp;row=1000&amp;col=7&amp;number=0.151&amp;sourceID=14","0.151")</f>
        <v>0.151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HYPERLINK("http://141.218.60.56/~jnz1568/getInfo.php?workbook=20_13.xlsx&amp;sheet=U0&amp;row=1001&amp;col=6&amp;number=4.7&amp;sourceID=14","4.7")</f>
        <v>4.7</v>
      </c>
      <c r="G1001" s="4" t="str">
        <f>HYPERLINK("http://141.218.60.56/~jnz1568/getInfo.php?workbook=20_13.xlsx&amp;sheet=U0&amp;row=1001&amp;col=7&amp;number=0.149&amp;sourceID=14","0.149")</f>
        <v>0.149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HYPERLINK("http://141.218.60.56/~jnz1568/getInfo.php?workbook=20_13.xlsx&amp;sheet=U0&amp;row=1002&amp;col=6&amp;number=4.8&amp;sourceID=14","4.8")</f>
        <v>4.8</v>
      </c>
      <c r="G1002" s="4" t="str">
        <f>HYPERLINK("http://141.218.60.56/~jnz1568/getInfo.php?workbook=20_13.xlsx&amp;sheet=U0&amp;row=1002&amp;col=7&amp;number=0.147&amp;sourceID=14","0.147")</f>
        <v>0.147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HYPERLINK("http://141.218.60.56/~jnz1568/getInfo.php?workbook=20_13.xlsx&amp;sheet=U0&amp;row=1003&amp;col=6&amp;number=4.9&amp;sourceID=14","4.9")</f>
        <v>4.9</v>
      </c>
      <c r="G1003" s="4" t="str">
        <f>HYPERLINK("http://141.218.60.56/~jnz1568/getInfo.php?workbook=20_13.xlsx&amp;sheet=U0&amp;row=1003&amp;col=7&amp;number=0.144&amp;sourceID=14","0.144")</f>
        <v>0.144</v>
      </c>
    </row>
    <row r="1004" spans="1:7">
      <c r="A1004" s="3">
        <v>20</v>
      </c>
      <c r="B1004" s="3">
        <v>13</v>
      </c>
      <c r="C1004" s="3">
        <v>2</v>
      </c>
      <c r="D1004" s="3">
        <v>14</v>
      </c>
      <c r="E1004" s="3">
        <v>1</v>
      </c>
      <c r="F1004" s="4" t="str">
        <f>HYPERLINK("http://141.218.60.56/~jnz1568/getInfo.php?workbook=20_13.xlsx&amp;sheet=U0&amp;row=1004&amp;col=6&amp;number=3&amp;sourceID=14","3")</f>
        <v>3</v>
      </c>
      <c r="G1004" s="4" t="str">
        <f>HYPERLINK("http://141.218.60.56/~jnz1568/getInfo.php?workbook=20_13.xlsx&amp;sheet=U0&amp;row=1004&amp;col=7&amp;number=0.344&amp;sourceID=14","0.344")</f>
        <v>0.344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HYPERLINK("http://141.218.60.56/~jnz1568/getInfo.php?workbook=20_13.xlsx&amp;sheet=U0&amp;row=1005&amp;col=6&amp;number=3.1&amp;sourceID=14","3.1")</f>
        <v>3.1</v>
      </c>
      <c r="G1005" s="4" t="str">
        <f>HYPERLINK("http://141.218.60.56/~jnz1568/getInfo.php?workbook=20_13.xlsx&amp;sheet=U0&amp;row=1005&amp;col=7&amp;number=0.344&amp;sourceID=14","0.344")</f>
        <v>0.344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HYPERLINK("http://141.218.60.56/~jnz1568/getInfo.php?workbook=20_13.xlsx&amp;sheet=U0&amp;row=1006&amp;col=6&amp;number=3.2&amp;sourceID=14","3.2")</f>
        <v>3.2</v>
      </c>
      <c r="G1006" s="4" t="str">
        <f>HYPERLINK("http://141.218.60.56/~jnz1568/getInfo.php?workbook=20_13.xlsx&amp;sheet=U0&amp;row=1006&amp;col=7&amp;number=0.343&amp;sourceID=14","0.343")</f>
        <v>0.343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HYPERLINK("http://141.218.60.56/~jnz1568/getInfo.php?workbook=20_13.xlsx&amp;sheet=U0&amp;row=1007&amp;col=6&amp;number=3.3&amp;sourceID=14","3.3")</f>
        <v>3.3</v>
      </c>
      <c r="G1007" s="4" t="str">
        <f>HYPERLINK("http://141.218.60.56/~jnz1568/getInfo.php?workbook=20_13.xlsx&amp;sheet=U0&amp;row=1007&amp;col=7&amp;number=0.343&amp;sourceID=14","0.343")</f>
        <v>0.343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HYPERLINK("http://141.218.60.56/~jnz1568/getInfo.php?workbook=20_13.xlsx&amp;sheet=U0&amp;row=1008&amp;col=6&amp;number=3.4&amp;sourceID=14","3.4")</f>
        <v>3.4</v>
      </c>
      <c r="G1008" s="4" t="str">
        <f>HYPERLINK("http://141.218.60.56/~jnz1568/getInfo.php?workbook=20_13.xlsx&amp;sheet=U0&amp;row=1008&amp;col=7&amp;number=0.343&amp;sourceID=14","0.343")</f>
        <v>0.343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HYPERLINK("http://141.218.60.56/~jnz1568/getInfo.php?workbook=20_13.xlsx&amp;sheet=U0&amp;row=1009&amp;col=6&amp;number=3.5&amp;sourceID=14","3.5")</f>
        <v>3.5</v>
      </c>
      <c r="G1009" s="4" t="str">
        <f>HYPERLINK("http://141.218.60.56/~jnz1568/getInfo.php?workbook=20_13.xlsx&amp;sheet=U0&amp;row=1009&amp;col=7&amp;number=0.343&amp;sourceID=14","0.343")</f>
        <v>0.343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HYPERLINK("http://141.218.60.56/~jnz1568/getInfo.php?workbook=20_13.xlsx&amp;sheet=U0&amp;row=1010&amp;col=6&amp;number=3.6&amp;sourceID=14","3.6")</f>
        <v>3.6</v>
      </c>
      <c r="G1010" s="4" t="str">
        <f>HYPERLINK("http://141.218.60.56/~jnz1568/getInfo.php?workbook=20_13.xlsx&amp;sheet=U0&amp;row=1010&amp;col=7&amp;number=0.343&amp;sourceID=14","0.343")</f>
        <v>0.343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HYPERLINK("http://141.218.60.56/~jnz1568/getInfo.php?workbook=20_13.xlsx&amp;sheet=U0&amp;row=1011&amp;col=6&amp;number=3.7&amp;sourceID=14","3.7")</f>
        <v>3.7</v>
      </c>
      <c r="G1011" s="4" t="str">
        <f>HYPERLINK("http://141.218.60.56/~jnz1568/getInfo.php?workbook=20_13.xlsx&amp;sheet=U0&amp;row=1011&amp;col=7&amp;number=0.343&amp;sourceID=14","0.343")</f>
        <v>0.343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HYPERLINK("http://141.218.60.56/~jnz1568/getInfo.php?workbook=20_13.xlsx&amp;sheet=U0&amp;row=1012&amp;col=6&amp;number=3.8&amp;sourceID=14","3.8")</f>
        <v>3.8</v>
      </c>
      <c r="G1012" s="4" t="str">
        <f>HYPERLINK("http://141.218.60.56/~jnz1568/getInfo.php?workbook=20_13.xlsx&amp;sheet=U0&amp;row=1012&amp;col=7&amp;number=0.343&amp;sourceID=14","0.343")</f>
        <v>0.343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HYPERLINK("http://141.218.60.56/~jnz1568/getInfo.php?workbook=20_13.xlsx&amp;sheet=U0&amp;row=1013&amp;col=6&amp;number=3.9&amp;sourceID=14","3.9")</f>
        <v>3.9</v>
      </c>
      <c r="G1013" s="4" t="str">
        <f>HYPERLINK("http://141.218.60.56/~jnz1568/getInfo.php?workbook=20_13.xlsx&amp;sheet=U0&amp;row=1013&amp;col=7&amp;number=0.343&amp;sourceID=14","0.343")</f>
        <v>0.343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HYPERLINK("http://141.218.60.56/~jnz1568/getInfo.php?workbook=20_13.xlsx&amp;sheet=U0&amp;row=1014&amp;col=6&amp;number=4&amp;sourceID=14","4")</f>
        <v>4</v>
      </c>
      <c r="G1014" s="4" t="str">
        <f>HYPERLINK("http://141.218.60.56/~jnz1568/getInfo.php?workbook=20_13.xlsx&amp;sheet=U0&amp;row=1014&amp;col=7&amp;number=0.342&amp;sourceID=14","0.342")</f>
        <v>0.342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HYPERLINK("http://141.218.60.56/~jnz1568/getInfo.php?workbook=20_13.xlsx&amp;sheet=U0&amp;row=1015&amp;col=6&amp;number=4.1&amp;sourceID=14","4.1")</f>
        <v>4.1</v>
      </c>
      <c r="G1015" s="4" t="str">
        <f>HYPERLINK("http://141.218.60.56/~jnz1568/getInfo.php?workbook=20_13.xlsx&amp;sheet=U0&amp;row=1015&amp;col=7&amp;number=0.342&amp;sourceID=14","0.342")</f>
        <v>0.342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HYPERLINK("http://141.218.60.56/~jnz1568/getInfo.php?workbook=20_13.xlsx&amp;sheet=U0&amp;row=1016&amp;col=6&amp;number=4.2&amp;sourceID=14","4.2")</f>
        <v>4.2</v>
      </c>
      <c r="G1016" s="4" t="str">
        <f>HYPERLINK("http://141.218.60.56/~jnz1568/getInfo.php?workbook=20_13.xlsx&amp;sheet=U0&amp;row=1016&amp;col=7&amp;number=0.342&amp;sourceID=14","0.342")</f>
        <v>0.342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HYPERLINK("http://141.218.60.56/~jnz1568/getInfo.php?workbook=20_13.xlsx&amp;sheet=U0&amp;row=1017&amp;col=6&amp;number=4.3&amp;sourceID=14","4.3")</f>
        <v>4.3</v>
      </c>
      <c r="G1017" s="4" t="str">
        <f>HYPERLINK("http://141.218.60.56/~jnz1568/getInfo.php?workbook=20_13.xlsx&amp;sheet=U0&amp;row=1017&amp;col=7&amp;number=0.341&amp;sourceID=14","0.341")</f>
        <v>0.341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HYPERLINK("http://141.218.60.56/~jnz1568/getInfo.php?workbook=20_13.xlsx&amp;sheet=U0&amp;row=1018&amp;col=6&amp;number=4.4&amp;sourceID=14","4.4")</f>
        <v>4.4</v>
      </c>
      <c r="G1018" s="4" t="str">
        <f>HYPERLINK("http://141.218.60.56/~jnz1568/getInfo.php?workbook=20_13.xlsx&amp;sheet=U0&amp;row=1018&amp;col=7&amp;number=0.34&amp;sourceID=14","0.34")</f>
        <v>0.34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HYPERLINK("http://141.218.60.56/~jnz1568/getInfo.php?workbook=20_13.xlsx&amp;sheet=U0&amp;row=1019&amp;col=6&amp;number=4.5&amp;sourceID=14","4.5")</f>
        <v>4.5</v>
      </c>
      <c r="G1019" s="4" t="str">
        <f>HYPERLINK("http://141.218.60.56/~jnz1568/getInfo.php?workbook=20_13.xlsx&amp;sheet=U0&amp;row=1019&amp;col=7&amp;number=0.34&amp;sourceID=14","0.34")</f>
        <v>0.34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HYPERLINK("http://141.218.60.56/~jnz1568/getInfo.php?workbook=20_13.xlsx&amp;sheet=U0&amp;row=1020&amp;col=6&amp;number=4.6&amp;sourceID=14","4.6")</f>
        <v>4.6</v>
      </c>
      <c r="G1020" s="4" t="str">
        <f>HYPERLINK("http://141.218.60.56/~jnz1568/getInfo.php?workbook=20_13.xlsx&amp;sheet=U0&amp;row=1020&amp;col=7&amp;number=0.339&amp;sourceID=14","0.339")</f>
        <v>0.339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HYPERLINK("http://141.218.60.56/~jnz1568/getInfo.php?workbook=20_13.xlsx&amp;sheet=U0&amp;row=1021&amp;col=6&amp;number=4.7&amp;sourceID=14","4.7")</f>
        <v>4.7</v>
      </c>
      <c r="G1021" s="4" t="str">
        <f>HYPERLINK("http://141.218.60.56/~jnz1568/getInfo.php?workbook=20_13.xlsx&amp;sheet=U0&amp;row=1021&amp;col=7&amp;number=0.338&amp;sourceID=14","0.338")</f>
        <v>0.338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HYPERLINK("http://141.218.60.56/~jnz1568/getInfo.php?workbook=20_13.xlsx&amp;sheet=U0&amp;row=1022&amp;col=6&amp;number=4.8&amp;sourceID=14","4.8")</f>
        <v>4.8</v>
      </c>
      <c r="G1022" s="4" t="str">
        <f>HYPERLINK("http://141.218.60.56/~jnz1568/getInfo.php?workbook=20_13.xlsx&amp;sheet=U0&amp;row=1022&amp;col=7&amp;number=0.336&amp;sourceID=14","0.336")</f>
        <v>0.336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HYPERLINK("http://141.218.60.56/~jnz1568/getInfo.php?workbook=20_13.xlsx&amp;sheet=U0&amp;row=1023&amp;col=6&amp;number=4.9&amp;sourceID=14","4.9")</f>
        <v>4.9</v>
      </c>
      <c r="G1023" s="4" t="str">
        <f>HYPERLINK("http://141.218.60.56/~jnz1568/getInfo.php?workbook=20_13.xlsx&amp;sheet=U0&amp;row=1023&amp;col=7&amp;number=0.335&amp;sourceID=14","0.335")</f>
        <v>0.335</v>
      </c>
    </row>
    <row r="1024" spans="1:7">
      <c r="A1024" s="3">
        <v>20</v>
      </c>
      <c r="B1024" s="3">
        <v>13</v>
      </c>
      <c r="C1024" s="3">
        <v>2</v>
      </c>
      <c r="D1024" s="3">
        <v>15</v>
      </c>
      <c r="E1024" s="3">
        <v>1</v>
      </c>
      <c r="F1024" s="4" t="str">
        <f>HYPERLINK("http://141.218.60.56/~jnz1568/getInfo.php?workbook=20_13.xlsx&amp;sheet=U0&amp;row=1024&amp;col=6&amp;number=3&amp;sourceID=14","3")</f>
        <v>3</v>
      </c>
      <c r="G1024" s="4" t="str">
        <f>HYPERLINK("http://141.218.60.56/~jnz1568/getInfo.php?workbook=20_13.xlsx&amp;sheet=U0&amp;row=1024&amp;col=7&amp;number=0.00963&amp;sourceID=14","0.00963")</f>
        <v>0.00963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HYPERLINK("http://141.218.60.56/~jnz1568/getInfo.php?workbook=20_13.xlsx&amp;sheet=U0&amp;row=1025&amp;col=6&amp;number=3.1&amp;sourceID=14","3.1")</f>
        <v>3.1</v>
      </c>
      <c r="G1025" s="4" t="str">
        <f>HYPERLINK("http://141.218.60.56/~jnz1568/getInfo.php?workbook=20_13.xlsx&amp;sheet=U0&amp;row=1025&amp;col=7&amp;number=0.00962&amp;sourceID=14","0.00962")</f>
        <v>0.00962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HYPERLINK("http://141.218.60.56/~jnz1568/getInfo.php?workbook=20_13.xlsx&amp;sheet=U0&amp;row=1026&amp;col=6&amp;number=3.2&amp;sourceID=14","3.2")</f>
        <v>3.2</v>
      </c>
      <c r="G1026" s="4" t="str">
        <f>HYPERLINK("http://141.218.60.56/~jnz1568/getInfo.php?workbook=20_13.xlsx&amp;sheet=U0&amp;row=1026&amp;col=7&amp;number=0.00961&amp;sourceID=14","0.00961")</f>
        <v>0.00961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HYPERLINK("http://141.218.60.56/~jnz1568/getInfo.php?workbook=20_13.xlsx&amp;sheet=U0&amp;row=1027&amp;col=6&amp;number=3.3&amp;sourceID=14","3.3")</f>
        <v>3.3</v>
      </c>
      <c r="G1027" s="4" t="str">
        <f>HYPERLINK("http://141.218.60.56/~jnz1568/getInfo.php?workbook=20_13.xlsx&amp;sheet=U0&amp;row=1027&amp;col=7&amp;number=0.00959&amp;sourceID=14","0.00959")</f>
        <v>0.00959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HYPERLINK("http://141.218.60.56/~jnz1568/getInfo.php?workbook=20_13.xlsx&amp;sheet=U0&amp;row=1028&amp;col=6&amp;number=3.4&amp;sourceID=14","3.4")</f>
        <v>3.4</v>
      </c>
      <c r="G1028" s="4" t="str">
        <f>HYPERLINK("http://141.218.60.56/~jnz1568/getInfo.php?workbook=20_13.xlsx&amp;sheet=U0&amp;row=1028&amp;col=7&amp;number=0.00957&amp;sourceID=14","0.00957")</f>
        <v>0.00957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HYPERLINK("http://141.218.60.56/~jnz1568/getInfo.php?workbook=20_13.xlsx&amp;sheet=U0&amp;row=1029&amp;col=6&amp;number=3.5&amp;sourceID=14","3.5")</f>
        <v>3.5</v>
      </c>
      <c r="G1029" s="4" t="str">
        <f>HYPERLINK("http://141.218.60.56/~jnz1568/getInfo.php?workbook=20_13.xlsx&amp;sheet=U0&amp;row=1029&amp;col=7&amp;number=0.00954&amp;sourceID=14","0.00954")</f>
        <v>0.00954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HYPERLINK("http://141.218.60.56/~jnz1568/getInfo.php?workbook=20_13.xlsx&amp;sheet=U0&amp;row=1030&amp;col=6&amp;number=3.6&amp;sourceID=14","3.6")</f>
        <v>3.6</v>
      </c>
      <c r="G1030" s="4" t="str">
        <f>HYPERLINK("http://141.218.60.56/~jnz1568/getInfo.php?workbook=20_13.xlsx&amp;sheet=U0&amp;row=1030&amp;col=7&amp;number=0.00951&amp;sourceID=14","0.00951")</f>
        <v>0.00951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HYPERLINK("http://141.218.60.56/~jnz1568/getInfo.php?workbook=20_13.xlsx&amp;sheet=U0&amp;row=1031&amp;col=6&amp;number=3.7&amp;sourceID=14","3.7")</f>
        <v>3.7</v>
      </c>
      <c r="G1031" s="4" t="str">
        <f>HYPERLINK("http://141.218.60.56/~jnz1568/getInfo.php?workbook=20_13.xlsx&amp;sheet=U0&amp;row=1031&amp;col=7&amp;number=0.00947&amp;sourceID=14","0.00947")</f>
        <v>0.00947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HYPERLINK("http://141.218.60.56/~jnz1568/getInfo.php?workbook=20_13.xlsx&amp;sheet=U0&amp;row=1032&amp;col=6&amp;number=3.8&amp;sourceID=14","3.8")</f>
        <v>3.8</v>
      </c>
      <c r="G1032" s="4" t="str">
        <f>HYPERLINK("http://141.218.60.56/~jnz1568/getInfo.php?workbook=20_13.xlsx&amp;sheet=U0&amp;row=1032&amp;col=7&amp;number=0.00942&amp;sourceID=14","0.00942")</f>
        <v>0.00942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HYPERLINK("http://141.218.60.56/~jnz1568/getInfo.php?workbook=20_13.xlsx&amp;sheet=U0&amp;row=1033&amp;col=6&amp;number=3.9&amp;sourceID=14","3.9")</f>
        <v>3.9</v>
      </c>
      <c r="G1033" s="4" t="str">
        <f>HYPERLINK("http://141.218.60.56/~jnz1568/getInfo.php?workbook=20_13.xlsx&amp;sheet=U0&amp;row=1033&amp;col=7&amp;number=0.00935&amp;sourceID=14","0.00935")</f>
        <v>0.00935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HYPERLINK("http://141.218.60.56/~jnz1568/getInfo.php?workbook=20_13.xlsx&amp;sheet=U0&amp;row=1034&amp;col=6&amp;number=4&amp;sourceID=14","4")</f>
        <v>4</v>
      </c>
      <c r="G1034" s="4" t="str">
        <f>HYPERLINK("http://141.218.60.56/~jnz1568/getInfo.php?workbook=20_13.xlsx&amp;sheet=U0&amp;row=1034&amp;col=7&amp;number=0.00927&amp;sourceID=14","0.00927")</f>
        <v>0.00927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HYPERLINK("http://141.218.60.56/~jnz1568/getInfo.php?workbook=20_13.xlsx&amp;sheet=U0&amp;row=1035&amp;col=6&amp;number=4.1&amp;sourceID=14","4.1")</f>
        <v>4.1</v>
      </c>
      <c r="G1035" s="4" t="str">
        <f>HYPERLINK("http://141.218.60.56/~jnz1568/getInfo.php?workbook=20_13.xlsx&amp;sheet=U0&amp;row=1035&amp;col=7&amp;number=0.00917&amp;sourceID=14","0.00917")</f>
        <v>0.00917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HYPERLINK("http://141.218.60.56/~jnz1568/getInfo.php?workbook=20_13.xlsx&amp;sheet=U0&amp;row=1036&amp;col=6&amp;number=4.2&amp;sourceID=14","4.2")</f>
        <v>4.2</v>
      </c>
      <c r="G1036" s="4" t="str">
        <f>HYPERLINK("http://141.218.60.56/~jnz1568/getInfo.php?workbook=20_13.xlsx&amp;sheet=U0&amp;row=1036&amp;col=7&amp;number=0.00905&amp;sourceID=14","0.00905")</f>
        <v>0.00905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HYPERLINK("http://141.218.60.56/~jnz1568/getInfo.php?workbook=20_13.xlsx&amp;sheet=U0&amp;row=1037&amp;col=6&amp;number=4.3&amp;sourceID=14","4.3")</f>
        <v>4.3</v>
      </c>
      <c r="G1037" s="4" t="str">
        <f>HYPERLINK("http://141.218.60.56/~jnz1568/getInfo.php?workbook=20_13.xlsx&amp;sheet=U0&amp;row=1037&amp;col=7&amp;number=0.00889&amp;sourceID=14","0.00889")</f>
        <v>0.00889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HYPERLINK("http://141.218.60.56/~jnz1568/getInfo.php?workbook=20_13.xlsx&amp;sheet=U0&amp;row=1038&amp;col=6&amp;number=4.4&amp;sourceID=14","4.4")</f>
        <v>4.4</v>
      </c>
      <c r="G1038" s="4" t="str">
        <f>HYPERLINK("http://141.218.60.56/~jnz1568/getInfo.php?workbook=20_13.xlsx&amp;sheet=U0&amp;row=1038&amp;col=7&amp;number=0.0087&amp;sourceID=14","0.0087")</f>
        <v>0.0087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HYPERLINK("http://141.218.60.56/~jnz1568/getInfo.php?workbook=20_13.xlsx&amp;sheet=U0&amp;row=1039&amp;col=6&amp;number=4.5&amp;sourceID=14","4.5")</f>
        <v>4.5</v>
      </c>
      <c r="G1039" s="4" t="str">
        <f>HYPERLINK("http://141.218.60.56/~jnz1568/getInfo.php?workbook=20_13.xlsx&amp;sheet=U0&amp;row=1039&amp;col=7&amp;number=0.00846&amp;sourceID=14","0.00846")</f>
        <v>0.00846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HYPERLINK("http://141.218.60.56/~jnz1568/getInfo.php?workbook=20_13.xlsx&amp;sheet=U0&amp;row=1040&amp;col=6&amp;number=4.6&amp;sourceID=14","4.6")</f>
        <v>4.6</v>
      </c>
      <c r="G1040" s="4" t="str">
        <f>HYPERLINK("http://141.218.60.56/~jnz1568/getInfo.php?workbook=20_13.xlsx&amp;sheet=U0&amp;row=1040&amp;col=7&amp;number=0.00817&amp;sourceID=14","0.00817")</f>
        <v>0.00817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HYPERLINK("http://141.218.60.56/~jnz1568/getInfo.php?workbook=20_13.xlsx&amp;sheet=U0&amp;row=1041&amp;col=6&amp;number=4.7&amp;sourceID=14","4.7")</f>
        <v>4.7</v>
      </c>
      <c r="G1041" s="4" t="str">
        <f>HYPERLINK("http://141.218.60.56/~jnz1568/getInfo.php?workbook=20_13.xlsx&amp;sheet=U0&amp;row=1041&amp;col=7&amp;number=0.00782&amp;sourceID=14","0.00782")</f>
        <v>0.00782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HYPERLINK("http://141.218.60.56/~jnz1568/getInfo.php?workbook=20_13.xlsx&amp;sheet=U0&amp;row=1042&amp;col=6&amp;number=4.8&amp;sourceID=14","4.8")</f>
        <v>4.8</v>
      </c>
      <c r="G1042" s="4" t="str">
        <f>HYPERLINK("http://141.218.60.56/~jnz1568/getInfo.php?workbook=20_13.xlsx&amp;sheet=U0&amp;row=1042&amp;col=7&amp;number=0.0074&amp;sourceID=14","0.0074")</f>
        <v>0.0074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HYPERLINK("http://141.218.60.56/~jnz1568/getInfo.php?workbook=20_13.xlsx&amp;sheet=U0&amp;row=1043&amp;col=6&amp;number=4.9&amp;sourceID=14","4.9")</f>
        <v>4.9</v>
      </c>
      <c r="G1043" s="4" t="str">
        <f>HYPERLINK("http://141.218.60.56/~jnz1568/getInfo.php?workbook=20_13.xlsx&amp;sheet=U0&amp;row=1043&amp;col=7&amp;number=0.00691&amp;sourceID=14","0.00691")</f>
        <v>0.00691</v>
      </c>
    </row>
    <row r="1044" spans="1:7">
      <c r="A1044" s="3">
        <v>20</v>
      </c>
      <c r="B1044" s="3">
        <v>13</v>
      </c>
      <c r="C1044" s="3">
        <v>2</v>
      </c>
      <c r="D1044" s="3">
        <v>16</v>
      </c>
      <c r="E1044" s="3">
        <v>1</v>
      </c>
      <c r="F1044" s="4" t="str">
        <f>HYPERLINK("http://141.218.60.56/~jnz1568/getInfo.php?workbook=20_13.xlsx&amp;sheet=U0&amp;row=1044&amp;col=6&amp;number=3&amp;sourceID=14","3")</f>
        <v>3</v>
      </c>
      <c r="G1044" s="4" t="str">
        <f>HYPERLINK("http://141.218.60.56/~jnz1568/getInfo.php?workbook=20_13.xlsx&amp;sheet=U0&amp;row=1044&amp;col=7&amp;number=0.0962&amp;sourceID=14","0.0962")</f>
        <v>0.0962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HYPERLINK("http://141.218.60.56/~jnz1568/getInfo.php?workbook=20_13.xlsx&amp;sheet=U0&amp;row=1045&amp;col=6&amp;number=3.1&amp;sourceID=14","3.1")</f>
        <v>3.1</v>
      </c>
      <c r="G1045" s="4" t="str">
        <f>HYPERLINK("http://141.218.60.56/~jnz1568/getInfo.php?workbook=20_13.xlsx&amp;sheet=U0&amp;row=1045&amp;col=7&amp;number=0.0962&amp;sourceID=14","0.0962")</f>
        <v>0.0962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HYPERLINK("http://141.218.60.56/~jnz1568/getInfo.php?workbook=20_13.xlsx&amp;sheet=U0&amp;row=1046&amp;col=6&amp;number=3.2&amp;sourceID=14","3.2")</f>
        <v>3.2</v>
      </c>
      <c r="G1046" s="4" t="str">
        <f>HYPERLINK("http://141.218.60.56/~jnz1568/getInfo.php?workbook=20_13.xlsx&amp;sheet=U0&amp;row=1046&amp;col=7&amp;number=0.0961&amp;sourceID=14","0.0961")</f>
        <v>0.0961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HYPERLINK("http://141.218.60.56/~jnz1568/getInfo.php?workbook=20_13.xlsx&amp;sheet=U0&amp;row=1047&amp;col=6&amp;number=3.3&amp;sourceID=14","3.3")</f>
        <v>3.3</v>
      </c>
      <c r="G1047" s="4" t="str">
        <f>HYPERLINK("http://141.218.60.56/~jnz1568/getInfo.php?workbook=20_13.xlsx&amp;sheet=U0&amp;row=1047&amp;col=7&amp;number=0.0961&amp;sourceID=14","0.0961")</f>
        <v>0.0961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HYPERLINK("http://141.218.60.56/~jnz1568/getInfo.php?workbook=20_13.xlsx&amp;sheet=U0&amp;row=1048&amp;col=6&amp;number=3.4&amp;sourceID=14","3.4")</f>
        <v>3.4</v>
      </c>
      <c r="G1048" s="4" t="str">
        <f>HYPERLINK("http://141.218.60.56/~jnz1568/getInfo.php?workbook=20_13.xlsx&amp;sheet=U0&amp;row=1048&amp;col=7&amp;number=0.0961&amp;sourceID=14","0.0961")</f>
        <v>0.0961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HYPERLINK("http://141.218.60.56/~jnz1568/getInfo.php?workbook=20_13.xlsx&amp;sheet=U0&amp;row=1049&amp;col=6&amp;number=3.5&amp;sourceID=14","3.5")</f>
        <v>3.5</v>
      </c>
      <c r="G1049" s="4" t="str">
        <f>HYPERLINK("http://141.218.60.56/~jnz1568/getInfo.php?workbook=20_13.xlsx&amp;sheet=U0&amp;row=1049&amp;col=7&amp;number=0.096&amp;sourceID=14","0.096")</f>
        <v>0.096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HYPERLINK("http://141.218.60.56/~jnz1568/getInfo.php?workbook=20_13.xlsx&amp;sheet=U0&amp;row=1050&amp;col=6&amp;number=3.6&amp;sourceID=14","3.6")</f>
        <v>3.6</v>
      </c>
      <c r="G1050" s="4" t="str">
        <f>HYPERLINK("http://141.218.60.56/~jnz1568/getInfo.php?workbook=20_13.xlsx&amp;sheet=U0&amp;row=1050&amp;col=7&amp;number=0.096&amp;sourceID=14","0.096")</f>
        <v>0.096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HYPERLINK("http://141.218.60.56/~jnz1568/getInfo.php?workbook=20_13.xlsx&amp;sheet=U0&amp;row=1051&amp;col=6&amp;number=3.7&amp;sourceID=14","3.7")</f>
        <v>3.7</v>
      </c>
      <c r="G1051" s="4" t="str">
        <f>HYPERLINK("http://141.218.60.56/~jnz1568/getInfo.php?workbook=20_13.xlsx&amp;sheet=U0&amp;row=1051&amp;col=7&amp;number=0.0959&amp;sourceID=14","0.0959")</f>
        <v>0.0959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HYPERLINK("http://141.218.60.56/~jnz1568/getInfo.php?workbook=20_13.xlsx&amp;sheet=U0&amp;row=1052&amp;col=6&amp;number=3.8&amp;sourceID=14","3.8")</f>
        <v>3.8</v>
      </c>
      <c r="G1052" s="4" t="str">
        <f>HYPERLINK("http://141.218.60.56/~jnz1568/getInfo.php?workbook=20_13.xlsx&amp;sheet=U0&amp;row=1052&amp;col=7&amp;number=0.0958&amp;sourceID=14","0.0958")</f>
        <v>0.0958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HYPERLINK("http://141.218.60.56/~jnz1568/getInfo.php?workbook=20_13.xlsx&amp;sheet=U0&amp;row=1053&amp;col=6&amp;number=3.9&amp;sourceID=14","3.9")</f>
        <v>3.9</v>
      </c>
      <c r="G1053" s="4" t="str">
        <f>HYPERLINK("http://141.218.60.56/~jnz1568/getInfo.php?workbook=20_13.xlsx&amp;sheet=U0&amp;row=1053&amp;col=7&amp;number=0.0957&amp;sourceID=14","0.0957")</f>
        <v>0.0957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HYPERLINK("http://141.218.60.56/~jnz1568/getInfo.php?workbook=20_13.xlsx&amp;sheet=U0&amp;row=1054&amp;col=6&amp;number=4&amp;sourceID=14","4")</f>
        <v>4</v>
      </c>
      <c r="G1054" s="4" t="str">
        <f>HYPERLINK("http://141.218.60.56/~jnz1568/getInfo.php?workbook=20_13.xlsx&amp;sheet=U0&amp;row=1054&amp;col=7&amp;number=0.0956&amp;sourceID=14","0.0956")</f>
        <v>0.0956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HYPERLINK("http://141.218.60.56/~jnz1568/getInfo.php?workbook=20_13.xlsx&amp;sheet=U0&amp;row=1055&amp;col=6&amp;number=4.1&amp;sourceID=14","4.1")</f>
        <v>4.1</v>
      </c>
      <c r="G1055" s="4" t="str">
        <f>HYPERLINK("http://141.218.60.56/~jnz1568/getInfo.php?workbook=20_13.xlsx&amp;sheet=U0&amp;row=1055&amp;col=7&amp;number=0.0954&amp;sourceID=14","0.0954")</f>
        <v>0.0954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HYPERLINK("http://141.218.60.56/~jnz1568/getInfo.php?workbook=20_13.xlsx&amp;sheet=U0&amp;row=1056&amp;col=6&amp;number=4.2&amp;sourceID=14","4.2")</f>
        <v>4.2</v>
      </c>
      <c r="G1056" s="4" t="str">
        <f>HYPERLINK("http://141.218.60.56/~jnz1568/getInfo.php?workbook=20_13.xlsx&amp;sheet=U0&amp;row=1056&amp;col=7&amp;number=0.0952&amp;sourceID=14","0.0952")</f>
        <v>0.0952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HYPERLINK("http://141.218.60.56/~jnz1568/getInfo.php?workbook=20_13.xlsx&amp;sheet=U0&amp;row=1057&amp;col=6&amp;number=4.3&amp;sourceID=14","4.3")</f>
        <v>4.3</v>
      </c>
      <c r="G1057" s="4" t="str">
        <f>HYPERLINK("http://141.218.60.56/~jnz1568/getInfo.php?workbook=20_13.xlsx&amp;sheet=U0&amp;row=1057&amp;col=7&amp;number=0.095&amp;sourceID=14","0.095")</f>
        <v>0.095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HYPERLINK("http://141.218.60.56/~jnz1568/getInfo.php?workbook=20_13.xlsx&amp;sheet=U0&amp;row=1058&amp;col=6&amp;number=4.4&amp;sourceID=14","4.4")</f>
        <v>4.4</v>
      </c>
      <c r="G1058" s="4" t="str">
        <f>HYPERLINK("http://141.218.60.56/~jnz1568/getInfo.php?workbook=20_13.xlsx&amp;sheet=U0&amp;row=1058&amp;col=7&amp;number=0.0947&amp;sourceID=14","0.0947")</f>
        <v>0.0947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HYPERLINK("http://141.218.60.56/~jnz1568/getInfo.php?workbook=20_13.xlsx&amp;sheet=U0&amp;row=1059&amp;col=6&amp;number=4.5&amp;sourceID=14","4.5")</f>
        <v>4.5</v>
      </c>
      <c r="G1059" s="4" t="str">
        <f>HYPERLINK("http://141.218.60.56/~jnz1568/getInfo.php?workbook=20_13.xlsx&amp;sheet=U0&amp;row=1059&amp;col=7&amp;number=0.0943&amp;sourceID=14","0.0943")</f>
        <v>0.0943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HYPERLINK("http://141.218.60.56/~jnz1568/getInfo.php?workbook=20_13.xlsx&amp;sheet=U0&amp;row=1060&amp;col=6&amp;number=4.6&amp;sourceID=14","4.6")</f>
        <v>4.6</v>
      </c>
      <c r="G1060" s="4" t="str">
        <f>HYPERLINK("http://141.218.60.56/~jnz1568/getInfo.php?workbook=20_13.xlsx&amp;sheet=U0&amp;row=1060&amp;col=7&amp;number=0.0938&amp;sourceID=14","0.0938")</f>
        <v>0.0938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HYPERLINK("http://141.218.60.56/~jnz1568/getInfo.php?workbook=20_13.xlsx&amp;sheet=U0&amp;row=1061&amp;col=6&amp;number=4.7&amp;sourceID=14","4.7")</f>
        <v>4.7</v>
      </c>
      <c r="G1061" s="4" t="str">
        <f>HYPERLINK("http://141.218.60.56/~jnz1568/getInfo.php?workbook=20_13.xlsx&amp;sheet=U0&amp;row=1061&amp;col=7&amp;number=0.0932&amp;sourceID=14","0.0932")</f>
        <v>0.0932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HYPERLINK("http://141.218.60.56/~jnz1568/getInfo.php?workbook=20_13.xlsx&amp;sheet=U0&amp;row=1062&amp;col=6&amp;number=4.8&amp;sourceID=14","4.8")</f>
        <v>4.8</v>
      </c>
      <c r="G1062" s="4" t="str">
        <f>HYPERLINK("http://141.218.60.56/~jnz1568/getInfo.php?workbook=20_13.xlsx&amp;sheet=U0&amp;row=1062&amp;col=7&amp;number=0.0925&amp;sourceID=14","0.0925")</f>
        <v>0.0925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HYPERLINK("http://141.218.60.56/~jnz1568/getInfo.php?workbook=20_13.xlsx&amp;sheet=U0&amp;row=1063&amp;col=6&amp;number=4.9&amp;sourceID=14","4.9")</f>
        <v>4.9</v>
      </c>
      <c r="G1063" s="4" t="str">
        <f>HYPERLINK("http://141.218.60.56/~jnz1568/getInfo.php?workbook=20_13.xlsx&amp;sheet=U0&amp;row=1063&amp;col=7&amp;number=0.0917&amp;sourceID=14","0.0917")</f>
        <v>0.0917</v>
      </c>
    </row>
    <row r="1064" spans="1:7">
      <c r="A1064" s="3">
        <v>20</v>
      </c>
      <c r="B1064" s="3">
        <v>13</v>
      </c>
      <c r="C1064" s="3">
        <v>2</v>
      </c>
      <c r="D1064" s="3">
        <v>17</v>
      </c>
      <c r="E1064" s="3">
        <v>1</v>
      </c>
      <c r="F1064" s="4" t="str">
        <f>HYPERLINK("http://141.218.60.56/~jnz1568/getInfo.php?workbook=20_13.xlsx&amp;sheet=U0&amp;row=1064&amp;col=6&amp;number=3&amp;sourceID=14","3")</f>
        <v>3</v>
      </c>
      <c r="G1064" s="4" t="str">
        <f>HYPERLINK("http://141.218.60.56/~jnz1568/getInfo.php?workbook=20_13.xlsx&amp;sheet=U0&amp;row=1064&amp;col=7&amp;number=0.0264&amp;sourceID=14","0.0264")</f>
        <v>0.0264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HYPERLINK("http://141.218.60.56/~jnz1568/getInfo.php?workbook=20_13.xlsx&amp;sheet=U0&amp;row=1065&amp;col=6&amp;number=3.1&amp;sourceID=14","3.1")</f>
        <v>3.1</v>
      </c>
      <c r="G1065" s="4" t="str">
        <f>HYPERLINK("http://141.218.60.56/~jnz1568/getInfo.php?workbook=20_13.xlsx&amp;sheet=U0&amp;row=1065&amp;col=7&amp;number=0.0264&amp;sourceID=14","0.0264")</f>
        <v>0.0264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HYPERLINK("http://141.218.60.56/~jnz1568/getInfo.php?workbook=20_13.xlsx&amp;sheet=U0&amp;row=1066&amp;col=6&amp;number=3.2&amp;sourceID=14","3.2")</f>
        <v>3.2</v>
      </c>
      <c r="G1066" s="4" t="str">
        <f>HYPERLINK("http://141.218.60.56/~jnz1568/getInfo.php?workbook=20_13.xlsx&amp;sheet=U0&amp;row=1066&amp;col=7&amp;number=0.0263&amp;sourceID=14","0.0263")</f>
        <v>0.0263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HYPERLINK("http://141.218.60.56/~jnz1568/getInfo.php?workbook=20_13.xlsx&amp;sheet=U0&amp;row=1067&amp;col=6&amp;number=3.3&amp;sourceID=14","3.3")</f>
        <v>3.3</v>
      </c>
      <c r="G1067" s="4" t="str">
        <f>HYPERLINK("http://141.218.60.56/~jnz1568/getInfo.php?workbook=20_13.xlsx&amp;sheet=U0&amp;row=1067&amp;col=7&amp;number=0.0263&amp;sourceID=14","0.0263")</f>
        <v>0.0263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HYPERLINK("http://141.218.60.56/~jnz1568/getInfo.php?workbook=20_13.xlsx&amp;sheet=U0&amp;row=1068&amp;col=6&amp;number=3.4&amp;sourceID=14","3.4")</f>
        <v>3.4</v>
      </c>
      <c r="G1068" s="4" t="str">
        <f>HYPERLINK("http://141.218.60.56/~jnz1568/getInfo.php?workbook=20_13.xlsx&amp;sheet=U0&amp;row=1068&amp;col=7&amp;number=0.0262&amp;sourceID=14","0.0262")</f>
        <v>0.0262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HYPERLINK("http://141.218.60.56/~jnz1568/getInfo.php?workbook=20_13.xlsx&amp;sheet=U0&amp;row=1069&amp;col=6&amp;number=3.5&amp;sourceID=14","3.5")</f>
        <v>3.5</v>
      </c>
      <c r="G1069" s="4" t="str">
        <f>HYPERLINK("http://141.218.60.56/~jnz1568/getInfo.php?workbook=20_13.xlsx&amp;sheet=U0&amp;row=1069&amp;col=7&amp;number=0.0261&amp;sourceID=14","0.0261")</f>
        <v>0.0261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HYPERLINK("http://141.218.60.56/~jnz1568/getInfo.php?workbook=20_13.xlsx&amp;sheet=U0&amp;row=1070&amp;col=6&amp;number=3.6&amp;sourceID=14","3.6")</f>
        <v>3.6</v>
      </c>
      <c r="G1070" s="4" t="str">
        <f>HYPERLINK("http://141.218.60.56/~jnz1568/getInfo.php?workbook=20_13.xlsx&amp;sheet=U0&amp;row=1070&amp;col=7&amp;number=0.026&amp;sourceID=14","0.026")</f>
        <v>0.026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HYPERLINK("http://141.218.60.56/~jnz1568/getInfo.php?workbook=20_13.xlsx&amp;sheet=U0&amp;row=1071&amp;col=6&amp;number=3.7&amp;sourceID=14","3.7")</f>
        <v>3.7</v>
      </c>
      <c r="G1071" s="4" t="str">
        <f>HYPERLINK("http://141.218.60.56/~jnz1568/getInfo.php?workbook=20_13.xlsx&amp;sheet=U0&amp;row=1071&amp;col=7&amp;number=0.0259&amp;sourceID=14","0.0259")</f>
        <v>0.0259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HYPERLINK("http://141.218.60.56/~jnz1568/getInfo.php?workbook=20_13.xlsx&amp;sheet=U0&amp;row=1072&amp;col=6&amp;number=3.8&amp;sourceID=14","3.8")</f>
        <v>3.8</v>
      </c>
      <c r="G1072" s="4" t="str">
        <f>HYPERLINK("http://141.218.60.56/~jnz1568/getInfo.php?workbook=20_13.xlsx&amp;sheet=U0&amp;row=1072&amp;col=7&amp;number=0.0258&amp;sourceID=14","0.0258")</f>
        <v>0.0258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HYPERLINK("http://141.218.60.56/~jnz1568/getInfo.php?workbook=20_13.xlsx&amp;sheet=U0&amp;row=1073&amp;col=6&amp;number=3.9&amp;sourceID=14","3.9")</f>
        <v>3.9</v>
      </c>
      <c r="G1073" s="4" t="str">
        <f>HYPERLINK("http://141.218.60.56/~jnz1568/getInfo.php?workbook=20_13.xlsx&amp;sheet=U0&amp;row=1073&amp;col=7&amp;number=0.0256&amp;sourceID=14","0.0256")</f>
        <v>0.0256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HYPERLINK("http://141.218.60.56/~jnz1568/getInfo.php?workbook=20_13.xlsx&amp;sheet=U0&amp;row=1074&amp;col=6&amp;number=4&amp;sourceID=14","4")</f>
        <v>4</v>
      </c>
      <c r="G1074" s="4" t="str">
        <f>HYPERLINK("http://141.218.60.56/~jnz1568/getInfo.php?workbook=20_13.xlsx&amp;sheet=U0&amp;row=1074&amp;col=7&amp;number=0.0253&amp;sourceID=14","0.0253")</f>
        <v>0.0253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HYPERLINK("http://141.218.60.56/~jnz1568/getInfo.php?workbook=20_13.xlsx&amp;sheet=U0&amp;row=1075&amp;col=6&amp;number=4.1&amp;sourceID=14","4.1")</f>
        <v>4.1</v>
      </c>
      <c r="G1075" s="4" t="str">
        <f>HYPERLINK("http://141.218.60.56/~jnz1568/getInfo.php?workbook=20_13.xlsx&amp;sheet=U0&amp;row=1075&amp;col=7&amp;number=0.025&amp;sourceID=14","0.025")</f>
        <v>0.025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HYPERLINK("http://141.218.60.56/~jnz1568/getInfo.php?workbook=20_13.xlsx&amp;sheet=U0&amp;row=1076&amp;col=6&amp;number=4.2&amp;sourceID=14","4.2")</f>
        <v>4.2</v>
      </c>
      <c r="G1076" s="4" t="str">
        <f>HYPERLINK("http://141.218.60.56/~jnz1568/getInfo.php?workbook=20_13.xlsx&amp;sheet=U0&amp;row=1076&amp;col=7&amp;number=0.0247&amp;sourceID=14","0.0247")</f>
        <v>0.0247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HYPERLINK("http://141.218.60.56/~jnz1568/getInfo.php?workbook=20_13.xlsx&amp;sheet=U0&amp;row=1077&amp;col=6&amp;number=4.3&amp;sourceID=14","4.3")</f>
        <v>4.3</v>
      </c>
      <c r="G1077" s="4" t="str">
        <f>HYPERLINK("http://141.218.60.56/~jnz1568/getInfo.php?workbook=20_13.xlsx&amp;sheet=U0&amp;row=1077&amp;col=7&amp;number=0.0242&amp;sourceID=14","0.0242")</f>
        <v>0.0242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HYPERLINK("http://141.218.60.56/~jnz1568/getInfo.php?workbook=20_13.xlsx&amp;sheet=U0&amp;row=1078&amp;col=6&amp;number=4.4&amp;sourceID=14","4.4")</f>
        <v>4.4</v>
      </c>
      <c r="G1078" s="4" t="str">
        <f>HYPERLINK("http://141.218.60.56/~jnz1568/getInfo.php?workbook=20_13.xlsx&amp;sheet=U0&amp;row=1078&amp;col=7&amp;number=0.0236&amp;sourceID=14","0.0236")</f>
        <v>0.0236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HYPERLINK("http://141.218.60.56/~jnz1568/getInfo.php?workbook=20_13.xlsx&amp;sheet=U0&amp;row=1079&amp;col=6&amp;number=4.5&amp;sourceID=14","4.5")</f>
        <v>4.5</v>
      </c>
      <c r="G1079" s="4" t="str">
        <f>HYPERLINK("http://141.218.60.56/~jnz1568/getInfo.php?workbook=20_13.xlsx&amp;sheet=U0&amp;row=1079&amp;col=7&amp;number=0.0229&amp;sourceID=14","0.0229")</f>
        <v>0.0229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HYPERLINK("http://141.218.60.56/~jnz1568/getInfo.php?workbook=20_13.xlsx&amp;sheet=U0&amp;row=1080&amp;col=6&amp;number=4.6&amp;sourceID=14","4.6")</f>
        <v>4.6</v>
      </c>
      <c r="G1080" s="4" t="str">
        <f>HYPERLINK("http://141.218.60.56/~jnz1568/getInfo.php?workbook=20_13.xlsx&amp;sheet=U0&amp;row=1080&amp;col=7&amp;number=0.0221&amp;sourceID=14","0.0221")</f>
        <v>0.0221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HYPERLINK("http://141.218.60.56/~jnz1568/getInfo.php?workbook=20_13.xlsx&amp;sheet=U0&amp;row=1081&amp;col=6&amp;number=4.7&amp;sourceID=14","4.7")</f>
        <v>4.7</v>
      </c>
      <c r="G1081" s="4" t="str">
        <f>HYPERLINK("http://141.218.60.56/~jnz1568/getInfo.php?workbook=20_13.xlsx&amp;sheet=U0&amp;row=1081&amp;col=7&amp;number=0.0211&amp;sourceID=14","0.0211")</f>
        <v>0.0211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HYPERLINK("http://141.218.60.56/~jnz1568/getInfo.php?workbook=20_13.xlsx&amp;sheet=U0&amp;row=1082&amp;col=6&amp;number=4.8&amp;sourceID=14","4.8")</f>
        <v>4.8</v>
      </c>
      <c r="G1082" s="4" t="str">
        <f>HYPERLINK("http://141.218.60.56/~jnz1568/getInfo.php?workbook=20_13.xlsx&amp;sheet=U0&amp;row=1082&amp;col=7&amp;number=0.0199&amp;sourceID=14","0.0199")</f>
        <v>0.0199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HYPERLINK("http://141.218.60.56/~jnz1568/getInfo.php?workbook=20_13.xlsx&amp;sheet=U0&amp;row=1083&amp;col=6&amp;number=4.9&amp;sourceID=14","4.9")</f>
        <v>4.9</v>
      </c>
      <c r="G1083" s="4" t="str">
        <f>HYPERLINK("http://141.218.60.56/~jnz1568/getInfo.php?workbook=20_13.xlsx&amp;sheet=U0&amp;row=1083&amp;col=7&amp;number=0.0185&amp;sourceID=14","0.0185")</f>
        <v>0.0185</v>
      </c>
    </row>
    <row r="1084" spans="1:7">
      <c r="A1084" s="3">
        <v>20</v>
      </c>
      <c r="B1084" s="3">
        <v>13</v>
      </c>
      <c r="C1084" s="3">
        <v>2</v>
      </c>
      <c r="D1084" s="3">
        <v>18</v>
      </c>
      <c r="E1084" s="3">
        <v>1</v>
      </c>
      <c r="F1084" s="4" t="str">
        <f>HYPERLINK("http://141.218.60.56/~jnz1568/getInfo.php?workbook=20_13.xlsx&amp;sheet=U0&amp;row=1084&amp;col=6&amp;number=3&amp;sourceID=14","3")</f>
        <v>3</v>
      </c>
      <c r="G1084" s="4" t="str">
        <f>HYPERLINK("http://141.218.60.56/~jnz1568/getInfo.php?workbook=20_13.xlsx&amp;sheet=U0&amp;row=1084&amp;col=7&amp;number=0.136&amp;sourceID=14","0.136")</f>
        <v>0.136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HYPERLINK("http://141.218.60.56/~jnz1568/getInfo.php?workbook=20_13.xlsx&amp;sheet=U0&amp;row=1085&amp;col=6&amp;number=3.1&amp;sourceID=14","3.1")</f>
        <v>3.1</v>
      </c>
      <c r="G1085" s="4" t="str">
        <f>HYPERLINK("http://141.218.60.56/~jnz1568/getInfo.php?workbook=20_13.xlsx&amp;sheet=U0&amp;row=1085&amp;col=7&amp;number=0.136&amp;sourceID=14","0.136")</f>
        <v>0.136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HYPERLINK("http://141.218.60.56/~jnz1568/getInfo.php?workbook=20_13.xlsx&amp;sheet=U0&amp;row=1086&amp;col=6&amp;number=3.2&amp;sourceID=14","3.2")</f>
        <v>3.2</v>
      </c>
      <c r="G1086" s="4" t="str">
        <f>HYPERLINK("http://141.218.60.56/~jnz1568/getInfo.php?workbook=20_13.xlsx&amp;sheet=U0&amp;row=1086&amp;col=7&amp;number=0.136&amp;sourceID=14","0.136")</f>
        <v>0.136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HYPERLINK("http://141.218.60.56/~jnz1568/getInfo.php?workbook=20_13.xlsx&amp;sheet=U0&amp;row=1087&amp;col=6&amp;number=3.3&amp;sourceID=14","3.3")</f>
        <v>3.3</v>
      </c>
      <c r="G1087" s="4" t="str">
        <f>HYPERLINK("http://141.218.60.56/~jnz1568/getInfo.php?workbook=20_13.xlsx&amp;sheet=U0&amp;row=1087&amp;col=7&amp;number=0.136&amp;sourceID=14","0.136")</f>
        <v>0.136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HYPERLINK("http://141.218.60.56/~jnz1568/getInfo.php?workbook=20_13.xlsx&amp;sheet=U0&amp;row=1088&amp;col=6&amp;number=3.4&amp;sourceID=14","3.4")</f>
        <v>3.4</v>
      </c>
      <c r="G1088" s="4" t="str">
        <f>HYPERLINK("http://141.218.60.56/~jnz1568/getInfo.php?workbook=20_13.xlsx&amp;sheet=U0&amp;row=1088&amp;col=7&amp;number=0.136&amp;sourceID=14","0.136")</f>
        <v>0.136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HYPERLINK("http://141.218.60.56/~jnz1568/getInfo.php?workbook=20_13.xlsx&amp;sheet=U0&amp;row=1089&amp;col=6&amp;number=3.5&amp;sourceID=14","3.5")</f>
        <v>3.5</v>
      </c>
      <c r="G1089" s="4" t="str">
        <f>HYPERLINK("http://141.218.60.56/~jnz1568/getInfo.php?workbook=20_13.xlsx&amp;sheet=U0&amp;row=1089&amp;col=7&amp;number=0.136&amp;sourceID=14","0.136")</f>
        <v>0.136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HYPERLINK("http://141.218.60.56/~jnz1568/getInfo.php?workbook=20_13.xlsx&amp;sheet=U0&amp;row=1090&amp;col=6&amp;number=3.6&amp;sourceID=14","3.6")</f>
        <v>3.6</v>
      </c>
      <c r="G1090" s="4" t="str">
        <f>HYPERLINK("http://141.218.60.56/~jnz1568/getInfo.php?workbook=20_13.xlsx&amp;sheet=U0&amp;row=1090&amp;col=7&amp;number=0.136&amp;sourceID=14","0.136")</f>
        <v>0.136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HYPERLINK("http://141.218.60.56/~jnz1568/getInfo.php?workbook=20_13.xlsx&amp;sheet=U0&amp;row=1091&amp;col=6&amp;number=3.7&amp;sourceID=14","3.7")</f>
        <v>3.7</v>
      </c>
      <c r="G1091" s="4" t="str">
        <f>HYPERLINK("http://141.218.60.56/~jnz1568/getInfo.php?workbook=20_13.xlsx&amp;sheet=U0&amp;row=1091&amp;col=7&amp;number=0.136&amp;sourceID=14","0.136")</f>
        <v>0.136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HYPERLINK("http://141.218.60.56/~jnz1568/getInfo.php?workbook=20_13.xlsx&amp;sheet=U0&amp;row=1092&amp;col=6&amp;number=3.8&amp;sourceID=14","3.8")</f>
        <v>3.8</v>
      </c>
      <c r="G1092" s="4" t="str">
        <f>HYPERLINK("http://141.218.60.56/~jnz1568/getInfo.php?workbook=20_13.xlsx&amp;sheet=U0&amp;row=1092&amp;col=7&amp;number=0.136&amp;sourceID=14","0.136")</f>
        <v>0.136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HYPERLINK("http://141.218.60.56/~jnz1568/getInfo.php?workbook=20_13.xlsx&amp;sheet=U0&amp;row=1093&amp;col=6&amp;number=3.9&amp;sourceID=14","3.9")</f>
        <v>3.9</v>
      </c>
      <c r="G1093" s="4" t="str">
        <f>HYPERLINK("http://141.218.60.56/~jnz1568/getInfo.php?workbook=20_13.xlsx&amp;sheet=U0&amp;row=1093&amp;col=7&amp;number=0.135&amp;sourceID=14","0.135")</f>
        <v>0.135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HYPERLINK("http://141.218.60.56/~jnz1568/getInfo.php?workbook=20_13.xlsx&amp;sheet=U0&amp;row=1094&amp;col=6&amp;number=4&amp;sourceID=14","4")</f>
        <v>4</v>
      </c>
      <c r="G1094" s="4" t="str">
        <f>HYPERLINK("http://141.218.60.56/~jnz1568/getInfo.php?workbook=20_13.xlsx&amp;sheet=U0&amp;row=1094&amp;col=7&amp;number=0.135&amp;sourceID=14","0.135")</f>
        <v>0.135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HYPERLINK("http://141.218.60.56/~jnz1568/getInfo.php?workbook=20_13.xlsx&amp;sheet=U0&amp;row=1095&amp;col=6&amp;number=4.1&amp;sourceID=14","4.1")</f>
        <v>4.1</v>
      </c>
      <c r="G1095" s="4" t="str">
        <f>HYPERLINK("http://141.218.60.56/~jnz1568/getInfo.php?workbook=20_13.xlsx&amp;sheet=U0&amp;row=1095&amp;col=7&amp;number=0.135&amp;sourceID=14","0.135")</f>
        <v>0.135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HYPERLINK("http://141.218.60.56/~jnz1568/getInfo.php?workbook=20_13.xlsx&amp;sheet=U0&amp;row=1096&amp;col=6&amp;number=4.2&amp;sourceID=14","4.2")</f>
        <v>4.2</v>
      </c>
      <c r="G1096" s="4" t="str">
        <f>HYPERLINK("http://141.218.60.56/~jnz1568/getInfo.php?workbook=20_13.xlsx&amp;sheet=U0&amp;row=1096&amp;col=7&amp;number=0.135&amp;sourceID=14","0.135")</f>
        <v>0.135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HYPERLINK("http://141.218.60.56/~jnz1568/getInfo.php?workbook=20_13.xlsx&amp;sheet=U0&amp;row=1097&amp;col=6&amp;number=4.3&amp;sourceID=14","4.3")</f>
        <v>4.3</v>
      </c>
      <c r="G1097" s="4" t="str">
        <f>HYPERLINK("http://141.218.60.56/~jnz1568/getInfo.php?workbook=20_13.xlsx&amp;sheet=U0&amp;row=1097&amp;col=7&amp;number=0.134&amp;sourceID=14","0.134")</f>
        <v>0.134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HYPERLINK("http://141.218.60.56/~jnz1568/getInfo.php?workbook=20_13.xlsx&amp;sheet=U0&amp;row=1098&amp;col=6&amp;number=4.4&amp;sourceID=14","4.4")</f>
        <v>4.4</v>
      </c>
      <c r="G1098" s="4" t="str">
        <f>HYPERLINK("http://141.218.60.56/~jnz1568/getInfo.php?workbook=20_13.xlsx&amp;sheet=U0&amp;row=1098&amp;col=7&amp;number=0.133&amp;sourceID=14","0.133")</f>
        <v>0.133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HYPERLINK("http://141.218.60.56/~jnz1568/getInfo.php?workbook=20_13.xlsx&amp;sheet=U0&amp;row=1099&amp;col=6&amp;number=4.5&amp;sourceID=14","4.5")</f>
        <v>4.5</v>
      </c>
      <c r="G1099" s="4" t="str">
        <f>HYPERLINK("http://141.218.60.56/~jnz1568/getInfo.php?workbook=20_13.xlsx&amp;sheet=U0&amp;row=1099&amp;col=7&amp;number=0.133&amp;sourceID=14","0.133")</f>
        <v>0.133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HYPERLINK("http://141.218.60.56/~jnz1568/getInfo.php?workbook=20_13.xlsx&amp;sheet=U0&amp;row=1100&amp;col=6&amp;number=4.6&amp;sourceID=14","4.6")</f>
        <v>4.6</v>
      </c>
      <c r="G1100" s="4" t="str">
        <f>HYPERLINK("http://141.218.60.56/~jnz1568/getInfo.php?workbook=20_13.xlsx&amp;sheet=U0&amp;row=1100&amp;col=7&amp;number=0.132&amp;sourceID=14","0.132")</f>
        <v>0.132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HYPERLINK("http://141.218.60.56/~jnz1568/getInfo.php?workbook=20_13.xlsx&amp;sheet=U0&amp;row=1101&amp;col=6&amp;number=4.7&amp;sourceID=14","4.7")</f>
        <v>4.7</v>
      </c>
      <c r="G1101" s="4" t="str">
        <f>HYPERLINK("http://141.218.60.56/~jnz1568/getInfo.php?workbook=20_13.xlsx&amp;sheet=U0&amp;row=1101&amp;col=7&amp;number=0.131&amp;sourceID=14","0.131")</f>
        <v>0.131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HYPERLINK("http://141.218.60.56/~jnz1568/getInfo.php?workbook=20_13.xlsx&amp;sheet=U0&amp;row=1102&amp;col=6&amp;number=4.8&amp;sourceID=14","4.8")</f>
        <v>4.8</v>
      </c>
      <c r="G1102" s="4" t="str">
        <f>HYPERLINK("http://141.218.60.56/~jnz1568/getInfo.php?workbook=20_13.xlsx&amp;sheet=U0&amp;row=1102&amp;col=7&amp;number=0.129&amp;sourceID=14","0.129")</f>
        <v>0.129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HYPERLINK("http://141.218.60.56/~jnz1568/getInfo.php?workbook=20_13.xlsx&amp;sheet=U0&amp;row=1103&amp;col=6&amp;number=4.9&amp;sourceID=14","4.9")</f>
        <v>4.9</v>
      </c>
      <c r="G1103" s="4" t="str">
        <f>HYPERLINK("http://141.218.60.56/~jnz1568/getInfo.php?workbook=20_13.xlsx&amp;sheet=U0&amp;row=1103&amp;col=7&amp;number=0.128&amp;sourceID=14","0.128")</f>
        <v>0.128</v>
      </c>
    </row>
    <row r="1104" spans="1:7">
      <c r="A1104" s="3">
        <v>20</v>
      </c>
      <c r="B1104" s="3">
        <v>13</v>
      </c>
      <c r="C1104" s="3">
        <v>2</v>
      </c>
      <c r="D1104" s="3">
        <v>19</v>
      </c>
      <c r="E1104" s="3">
        <v>1</v>
      </c>
      <c r="F1104" s="4" t="str">
        <f>HYPERLINK("http://141.218.60.56/~jnz1568/getInfo.php?workbook=20_13.xlsx&amp;sheet=U0&amp;row=1104&amp;col=6&amp;number=3&amp;sourceID=14","3")</f>
        <v>3</v>
      </c>
      <c r="G1104" s="4" t="str">
        <f>HYPERLINK("http://141.218.60.56/~jnz1568/getInfo.php?workbook=20_13.xlsx&amp;sheet=U0&amp;row=1104&amp;col=7&amp;number=0.0547&amp;sourceID=14","0.0547")</f>
        <v>0.0547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HYPERLINK("http://141.218.60.56/~jnz1568/getInfo.php?workbook=20_13.xlsx&amp;sheet=U0&amp;row=1105&amp;col=6&amp;number=3.1&amp;sourceID=14","3.1")</f>
        <v>3.1</v>
      </c>
      <c r="G1105" s="4" t="str">
        <f>HYPERLINK("http://141.218.60.56/~jnz1568/getInfo.php?workbook=20_13.xlsx&amp;sheet=U0&amp;row=1105&amp;col=7&amp;number=0.0547&amp;sourceID=14","0.0547")</f>
        <v>0.0547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HYPERLINK("http://141.218.60.56/~jnz1568/getInfo.php?workbook=20_13.xlsx&amp;sheet=U0&amp;row=1106&amp;col=6&amp;number=3.2&amp;sourceID=14","3.2")</f>
        <v>3.2</v>
      </c>
      <c r="G1106" s="4" t="str">
        <f>HYPERLINK("http://141.218.60.56/~jnz1568/getInfo.php?workbook=20_13.xlsx&amp;sheet=U0&amp;row=1106&amp;col=7&amp;number=0.0546&amp;sourceID=14","0.0546")</f>
        <v>0.0546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HYPERLINK("http://141.218.60.56/~jnz1568/getInfo.php?workbook=20_13.xlsx&amp;sheet=U0&amp;row=1107&amp;col=6&amp;number=3.3&amp;sourceID=14","3.3")</f>
        <v>3.3</v>
      </c>
      <c r="G1107" s="4" t="str">
        <f>HYPERLINK("http://141.218.60.56/~jnz1568/getInfo.php?workbook=20_13.xlsx&amp;sheet=U0&amp;row=1107&amp;col=7&amp;number=0.0545&amp;sourceID=14","0.0545")</f>
        <v>0.0545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HYPERLINK("http://141.218.60.56/~jnz1568/getInfo.php?workbook=20_13.xlsx&amp;sheet=U0&amp;row=1108&amp;col=6&amp;number=3.4&amp;sourceID=14","3.4")</f>
        <v>3.4</v>
      </c>
      <c r="G1108" s="4" t="str">
        <f>HYPERLINK("http://141.218.60.56/~jnz1568/getInfo.php?workbook=20_13.xlsx&amp;sheet=U0&amp;row=1108&amp;col=7&amp;number=0.0544&amp;sourceID=14","0.0544")</f>
        <v>0.0544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HYPERLINK("http://141.218.60.56/~jnz1568/getInfo.php?workbook=20_13.xlsx&amp;sheet=U0&amp;row=1109&amp;col=6&amp;number=3.5&amp;sourceID=14","3.5")</f>
        <v>3.5</v>
      </c>
      <c r="G1109" s="4" t="str">
        <f>HYPERLINK("http://141.218.60.56/~jnz1568/getInfo.php?workbook=20_13.xlsx&amp;sheet=U0&amp;row=1109&amp;col=7&amp;number=0.0543&amp;sourceID=14","0.0543")</f>
        <v>0.0543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HYPERLINK("http://141.218.60.56/~jnz1568/getInfo.php?workbook=20_13.xlsx&amp;sheet=U0&amp;row=1110&amp;col=6&amp;number=3.6&amp;sourceID=14","3.6")</f>
        <v>3.6</v>
      </c>
      <c r="G1110" s="4" t="str">
        <f>HYPERLINK("http://141.218.60.56/~jnz1568/getInfo.php?workbook=20_13.xlsx&amp;sheet=U0&amp;row=1110&amp;col=7&amp;number=0.0541&amp;sourceID=14","0.0541")</f>
        <v>0.0541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HYPERLINK("http://141.218.60.56/~jnz1568/getInfo.php?workbook=20_13.xlsx&amp;sheet=U0&amp;row=1111&amp;col=6&amp;number=3.7&amp;sourceID=14","3.7")</f>
        <v>3.7</v>
      </c>
      <c r="G1111" s="4" t="str">
        <f>HYPERLINK("http://141.218.60.56/~jnz1568/getInfo.php?workbook=20_13.xlsx&amp;sheet=U0&amp;row=1111&amp;col=7&amp;number=0.0539&amp;sourceID=14","0.0539")</f>
        <v>0.0539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HYPERLINK("http://141.218.60.56/~jnz1568/getInfo.php?workbook=20_13.xlsx&amp;sheet=U0&amp;row=1112&amp;col=6&amp;number=3.8&amp;sourceID=14","3.8")</f>
        <v>3.8</v>
      </c>
      <c r="G1112" s="4" t="str">
        <f>HYPERLINK("http://141.218.60.56/~jnz1568/getInfo.php?workbook=20_13.xlsx&amp;sheet=U0&amp;row=1112&amp;col=7&amp;number=0.0536&amp;sourceID=14","0.0536")</f>
        <v>0.0536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HYPERLINK("http://141.218.60.56/~jnz1568/getInfo.php?workbook=20_13.xlsx&amp;sheet=U0&amp;row=1113&amp;col=6&amp;number=3.9&amp;sourceID=14","3.9")</f>
        <v>3.9</v>
      </c>
      <c r="G1113" s="4" t="str">
        <f>HYPERLINK("http://141.218.60.56/~jnz1568/getInfo.php?workbook=20_13.xlsx&amp;sheet=U0&amp;row=1113&amp;col=7&amp;number=0.0533&amp;sourceID=14","0.0533")</f>
        <v>0.0533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HYPERLINK("http://141.218.60.56/~jnz1568/getInfo.php?workbook=20_13.xlsx&amp;sheet=U0&amp;row=1114&amp;col=6&amp;number=4&amp;sourceID=14","4")</f>
        <v>4</v>
      </c>
      <c r="G1114" s="4" t="str">
        <f>HYPERLINK("http://141.218.60.56/~jnz1568/getInfo.php?workbook=20_13.xlsx&amp;sheet=U0&amp;row=1114&amp;col=7&amp;number=0.0529&amp;sourceID=14","0.0529")</f>
        <v>0.0529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HYPERLINK("http://141.218.60.56/~jnz1568/getInfo.php?workbook=20_13.xlsx&amp;sheet=U0&amp;row=1115&amp;col=6&amp;number=4.1&amp;sourceID=14","4.1")</f>
        <v>4.1</v>
      </c>
      <c r="G1115" s="4" t="str">
        <f>HYPERLINK("http://141.218.60.56/~jnz1568/getInfo.php?workbook=20_13.xlsx&amp;sheet=U0&amp;row=1115&amp;col=7&amp;number=0.0523&amp;sourceID=14","0.0523")</f>
        <v>0.0523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HYPERLINK("http://141.218.60.56/~jnz1568/getInfo.php?workbook=20_13.xlsx&amp;sheet=U0&amp;row=1116&amp;col=6&amp;number=4.2&amp;sourceID=14","4.2")</f>
        <v>4.2</v>
      </c>
      <c r="G1116" s="4" t="str">
        <f>HYPERLINK("http://141.218.60.56/~jnz1568/getInfo.php?workbook=20_13.xlsx&amp;sheet=U0&amp;row=1116&amp;col=7&amp;number=0.0517&amp;sourceID=14","0.0517")</f>
        <v>0.0517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HYPERLINK("http://141.218.60.56/~jnz1568/getInfo.php?workbook=20_13.xlsx&amp;sheet=U0&amp;row=1117&amp;col=6&amp;number=4.3&amp;sourceID=14","4.3")</f>
        <v>4.3</v>
      </c>
      <c r="G1117" s="4" t="str">
        <f>HYPERLINK("http://141.218.60.56/~jnz1568/getInfo.php?workbook=20_13.xlsx&amp;sheet=U0&amp;row=1117&amp;col=7&amp;number=0.0509&amp;sourceID=14","0.0509")</f>
        <v>0.0509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HYPERLINK("http://141.218.60.56/~jnz1568/getInfo.php?workbook=20_13.xlsx&amp;sheet=U0&amp;row=1118&amp;col=6&amp;number=4.4&amp;sourceID=14","4.4")</f>
        <v>4.4</v>
      </c>
      <c r="G1118" s="4" t="str">
        <f>HYPERLINK("http://141.218.60.56/~jnz1568/getInfo.php?workbook=20_13.xlsx&amp;sheet=U0&amp;row=1118&amp;col=7&amp;number=0.0499&amp;sourceID=14","0.0499")</f>
        <v>0.0499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HYPERLINK("http://141.218.60.56/~jnz1568/getInfo.php?workbook=20_13.xlsx&amp;sheet=U0&amp;row=1119&amp;col=6&amp;number=4.5&amp;sourceID=14","4.5")</f>
        <v>4.5</v>
      </c>
      <c r="G1119" s="4" t="str">
        <f>HYPERLINK("http://141.218.60.56/~jnz1568/getInfo.php?workbook=20_13.xlsx&amp;sheet=U0&amp;row=1119&amp;col=7&amp;number=0.0487&amp;sourceID=14","0.0487")</f>
        <v>0.0487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HYPERLINK("http://141.218.60.56/~jnz1568/getInfo.php?workbook=20_13.xlsx&amp;sheet=U0&amp;row=1120&amp;col=6&amp;number=4.6&amp;sourceID=14","4.6")</f>
        <v>4.6</v>
      </c>
      <c r="G1120" s="4" t="str">
        <f>HYPERLINK("http://141.218.60.56/~jnz1568/getInfo.php?workbook=20_13.xlsx&amp;sheet=U0&amp;row=1120&amp;col=7&amp;number=0.0472&amp;sourceID=14","0.0472")</f>
        <v>0.0472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HYPERLINK("http://141.218.60.56/~jnz1568/getInfo.php?workbook=20_13.xlsx&amp;sheet=U0&amp;row=1121&amp;col=6&amp;number=4.7&amp;sourceID=14","4.7")</f>
        <v>4.7</v>
      </c>
      <c r="G1121" s="4" t="str">
        <f>HYPERLINK("http://141.218.60.56/~jnz1568/getInfo.php?workbook=20_13.xlsx&amp;sheet=U0&amp;row=1121&amp;col=7&amp;number=0.0454&amp;sourceID=14","0.0454")</f>
        <v>0.0454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HYPERLINK("http://141.218.60.56/~jnz1568/getInfo.php?workbook=20_13.xlsx&amp;sheet=U0&amp;row=1122&amp;col=6&amp;number=4.8&amp;sourceID=14","4.8")</f>
        <v>4.8</v>
      </c>
      <c r="G1122" s="4" t="str">
        <f>HYPERLINK("http://141.218.60.56/~jnz1568/getInfo.php?workbook=20_13.xlsx&amp;sheet=U0&amp;row=1122&amp;col=7&amp;number=0.0433&amp;sourceID=14","0.0433")</f>
        <v>0.0433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HYPERLINK("http://141.218.60.56/~jnz1568/getInfo.php?workbook=20_13.xlsx&amp;sheet=U0&amp;row=1123&amp;col=6&amp;number=4.9&amp;sourceID=14","4.9")</f>
        <v>4.9</v>
      </c>
      <c r="G1123" s="4" t="str">
        <f>HYPERLINK("http://141.218.60.56/~jnz1568/getInfo.php?workbook=20_13.xlsx&amp;sheet=U0&amp;row=1123&amp;col=7&amp;number=0.0409&amp;sourceID=14","0.0409")</f>
        <v>0.0409</v>
      </c>
    </row>
    <row r="1124" spans="1:7">
      <c r="A1124" s="3">
        <v>20</v>
      </c>
      <c r="B1124" s="3">
        <v>13</v>
      </c>
      <c r="C1124" s="3">
        <v>2</v>
      </c>
      <c r="D1124" s="3">
        <v>20</v>
      </c>
      <c r="E1124" s="3">
        <v>1</v>
      </c>
      <c r="F1124" s="4" t="str">
        <f>HYPERLINK("http://141.218.60.56/~jnz1568/getInfo.php?workbook=20_13.xlsx&amp;sheet=U0&amp;row=1124&amp;col=6&amp;number=3&amp;sourceID=14","3")</f>
        <v>3</v>
      </c>
      <c r="G1124" s="4" t="str">
        <f>HYPERLINK("http://141.218.60.56/~jnz1568/getInfo.php?workbook=20_13.xlsx&amp;sheet=U0&amp;row=1124&amp;col=7&amp;number=0.1&amp;sourceID=14","0.1")</f>
        <v>0.1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HYPERLINK("http://141.218.60.56/~jnz1568/getInfo.php?workbook=20_13.xlsx&amp;sheet=U0&amp;row=1125&amp;col=6&amp;number=3.1&amp;sourceID=14","3.1")</f>
        <v>3.1</v>
      </c>
      <c r="G1125" s="4" t="str">
        <f>HYPERLINK("http://141.218.60.56/~jnz1568/getInfo.php?workbook=20_13.xlsx&amp;sheet=U0&amp;row=1125&amp;col=7&amp;number=0.1&amp;sourceID=14","0.1")</f>
        <v>0.1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HYPERLINK("http://141.218.60.56/~jnz1568/getInfo.php?workbook=20_13.xlsx&amp;sheet=U0&amp;row=1126&amp;col=6&amp;number=3.2&amp;sourceID=14","3.2")</f>
        <v>3.2</v>
      </c>
      <c r="G1126" s="4" t="str">
        <f>HYPERLINK("http://141.218.60.56/~jnz1568/getInfo.php?workbook=20_13.xlsx&amp;sheet=U0&amp;row=1126&amp;col=7&amp;number=0.1&amp;sourceID=14","0.1")</f>
        <v>0.1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HYPERLINK("http://141.218.60.56/~jnz1568/getInfo.php?workbook=20_13.xlsx&amp;sheet=U0&amp;row=1127&amp;col=6&amp;number=3.3&amp;sourceID=14","3.3")</f>
        <v>3.3</v>
      </c>
      <c r="G1127" s="4" t="str">
        <f>HYPERLINK("http://141.218.60.56/~jnz1568/getInfo.php?workbook=20_13.xlsx&amp;sheet=U0&amp;row=1127&amp;col=7&amp;number=0.1&amp;sourceID=14","0.1")</f>
        <v>0.1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HYPERLINK("http://141.218.60.56/~jnz1568/getInfo.php?workbook=20_13.xlsx&amp;sheet=U0&amp;row=1128&amp;col=6&amp;number=3.4&amp;sourceID=14","3.4")</f>
        <v>3.4</v>
      </c>
      <c r="G1128" s="4" t="str">
        <f>HYPERLINK("http://141.218.60.56/~jnz1568/getInfo.php?workbook=20_13.xlsx&amp;sheet=U0&amp;row=1128&amp;col=7&amp;number=0.1&amp;sourceID=14","0.1")</f>
        <v>0.1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HYPERLINK("http://141.218.60.56/~jnz1568/getInfo.php?workbook=20_13.xlsx&amp;sheet=U0&amp;row=1129&amp;col=6&amp;number=3.5&amp;sourceID=14","3.5")</f>
        <v>3.5</v>
      </c>
      <c r="G1129" s="4" t="str">
        <f>HYPERLINK("http://141.218.60.56/~jnz1568/getInfo.php?workbook=20_13.xlsx&amp;sheet=U0&amp;row=1129&amp;col=7&amp;number=0.0998&amp;sourceID=14","0.0998")</f>
        <v>0.0998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HYPERLINK("http://141.218.60.56/~jnz1568/getInfo.php?workbook=20_13.xlsx&amp;sheet=U0&amp;row=1130&amp;col=6&amp;number=3.6&amp;sourceID=14","3.6")</f>
        <v>3.6</v>
      </c>
      <c r="G1130" s="4" t="str">
        <f>HYPERLINK("http://141.218.60.56/~jnz1568/getInfo.php?workbook=20_13.xlsx&amp;sheet=U0&amp;row=1130&amp;col=7&amp;number=0.0996&amp;sourceID=14","0.0996")</f>
        <v>0.0996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HYPERLINK("http://141.218.60.56/~jnz1568/getInfo.php?workbook=20_13.xlsx&amp;sheet=U0&amp;row=1131&amp;col=6&amp;number=3.7&amp;sourceID=14","3.7")</f>
        <v>3.7</v>
      </c>
      <c r="G1131" s="4" t="str">
        <f>HYPERLINK("http://141.218.60.56/~jnz1568/getInfo.php?workbook=20_13.xlsx&amp;sheet=U0&amp;row=1131&amp;col=7&amp;number=0.0993&amp;sourceID=14","0.0993")</f>
        <v>0.0993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HYPERLINK("http://141.218.60.56/~jnz1568/getInfo.php?workbook=20_13.xlsx&amp;sheet=U0&amp;row=1132&amp;col=6&amp;number=3.8&amp;sourceID=14","3.8")</f>
        <v>3.8</v>
      </c>
      <c r="G1132" s="4" t="str">
        <f>HYPERLINK("http://141.218.60.56/~jnz1568/getInfo.php?workbook=20_13.xlsx&amp;sheet=U0&amp;row=1132&amp;col=7&amp;number=0.0989&amp;sourceID=14","0.0989")</f>
        <v>0.0989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HYPERLINK("http://141.218.60.56/~jnz1568/getInfo.php?workbook=20_13.xlsx&amp;sheet=U0&amp;row=1133&amp;col=6&amp;number=3.9&amp;sourceID=14","3.9")</f>
        <v>3.9</v>
      </c>
      <c r="G1133" s="4" t="str">
        <f>HYPERLINK("http://141.218.60.56/~jnz1568/getInfo.php?workbook=20_13.xlsx&amp;sheet=U0&amp;row=1133&amp;col=7&amp;number=0.0984&amp;sourceID=14","0.0984")</f>
        <v>0.0984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HYPERLINK("http://141.218.60.56/~jnz1568/getInfo.php?workbook=20_13.xlsx&amp;sheet=U0&amp;row=1134&amp;col=6&amp;number=4&amp;sourceID=14","4")</f>
        <v>4</v>
      </c>
      <c r="G1134" s="4" t="str">
        <f>HYPERLINK("http://141.218.60.56/~jnz1568/getInfo.php?workbook=20_13.xlsx&amp;sheet=U0&amp;row=1134&amp;col=7&amp;number=0.0978&amp;sourceID=14","0.0978")</f>
        <v>0.0978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HYPERLINK("http://141.218.60.56/~jnz1568/getInfo.php?workbook=20_13.xlsx&amp;sheet=U0&amp;row=1135&amp;col=6&amp;number=4.1&amp;sourceID=14","4.1")</f>
        <v>4.1</v>
      </c>
      <c r="G1135" s="4" t="str">
        <f>HYPERLINK("http://141.218.60.56/~jnz1568/getInfo.php?workbook=20_13.xlsx&amp;sheet=U0&amp;row=1135&amp;col=7&amp;number=0.097&amp;sourceID=14","0.097")</f>
        <v>0.097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HYPERLINK("http://141.218.60.56/~jnz1568/getInfo.php?workbook=20_13.xlsx&amp;sheet=U0&amp;row=1136&amp;col=6&amp;number=4.2&amp;sourceID=14","4.2")</f>
        <v>4.2</v>
      </c>
      <c r="G1136" s="4" t="str">
        <f>HYPERLINK("http://141.218.60.56/~jnz1568/getInfo.php?workbook=20_13.xlsx&amp;sheet=U0&amp;row=1136&amp;col=7&amp;number=0.0961&amp;sourceID=14","0.0961")</f>
        <v>0.0961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HYPERLINK("http://141.218.60.56/~jnz1568/getInfo.php?workbook=20_13.xlsx&amp;sheet=U0&amp;row=1137&amp;col=6&amp;number=4.3&amp;sourceID=14","4.3")</f>
        <v>4.3</v>
      </c>
      <c r="G1137" s="4" t="str">
        <f>HYPERLINK("http://141.218.60.56/~jnz1568/getInfo.php?workbook=20_13.xlsx&amp;sheet=U0&amp;row=1137&amp;col=7&amp;number=0.0949&amp;sourceID=14","0.0949")</f>
        <v>0.0949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HYPERLINK("http://141.218.60.56/~jnz1568/getInfo.php?workbook=20_13.xlsx&amp;sheet=U0&amp;row=1138&amp;col=6&amp;number=4.4&amp;sourceID=14","4.4")</f>
        <v>4.4</v>
      </c>
      <c r="G1138" s="4" t="str">
        <f>HYPERLINK("http://141.218.60.56/~jnz1568/getInfo.php?workbook=20_13.xlsx&amp;sheet=U0&amp;row=1138&amp;col=7&amp;number=0.0934&amp;sourceID=14","0.0934")</f>
        <v>0.0934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HYPERLINK("http://141.218.60.56/~jnz1568/getInfo.php?workbook=20_13.xlsx&amp;sheet=U0&amp;row=1139&amp;col=6&amp;number=4.5&amp;sourceID=14","4.5")</f>
        <v>4.5</v>
      </c>
      <c r="G1139" s="4" t="str">
        <f>HYPERLINK("http://141.218.60.56/~jnz1568/getInfo.php?workbook=20_13.xlsx&amp;sheet=U0&amp;row=1139&amp;col=7&amp;number=0.0916&amp;sourceID=14","0.0916")</f>
        <v>0.0916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HYPERLINK("http://141.218.60.56/~jnz1568/getInfo.php?workbook=20_13.xlsx&amp;sheet=U0&amp;row=1140&amp;col=6&amp;number=4.6&amp;sourceID=14","4.6")</f>
        <v>4.6</v>
      </c>
      <c r="G1140" s="4" t="str">
        <f>HYPERLINK("http://141.218.60.56/~jnz1568/getInfo.php?workbook=20_13.xlsx&amp;sheet=U0&amp;row=1140&amp;col=7&amp;number=0.0894&amp;sourceID=14","0.0894")</f>
        <v>0.0894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HYPERLINK("http://141.218.60.56/~jnz1568/getInfo.php?workbook=20_13.xlsx&amp;sheet=U0&amp;row=1141&amp;col=6&amp;number=4.7&amp;sourceID=14","4.7")</f>
        <v>4.7</v>
      </c>
      <c r="G1141" s="4" t="str">
        <f>HYPERLINK("http://141.218.60.56/~jnz1568/getInfo.php?workbook=20_13.xlsx&amp;sheet=U0&amp;row=1141&amp;col=7&amp;number=0.0868&amp;sourceID=14","0.0868")</f>
        <v>0.0868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HYPERLINK("http://141.218.60.56/~jnz1568/getInfo.php?workbook=20_13.xlsx&amp;sheet=U0&amp;row=1142&amp;col=6&amp;number=4.8&amp;sourceID=14","4.8")</f>
        <v>4.8</v>
      </c>
      <c r="G1142" s="4" t="str">
        <f>HYPERLINK("http://141.218.60.56/~jnz1568/getInfo.php?workbook=20_13.xlsx&amp;sheet=U0&amp;row=1142&amp;col=7&amp;number=0.0836&amp;sourceID=14","0.0836")</f>
        <v>0.0836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HYPERLINK("http://141.218.60.56/~jnz1568/getInfo.php?workbook=20_13.xlsx&amp;sheet=U0&amp;row=1143&amp;col=6&amp;number=4.9&amp;sourceID=14","4.9")</f>
        <v>4.9</v>
      </c>
      <c r="G1143" s="4" t="str">
        <f>HYPERLINK("http://141.218.60.56/~jnz1568/getInfo.php?workbook=20_13.xlsx&amp;sheet=U0&amp;row=1143&amp;col=7&amp;number=0.08&amp;sourceID=14","0.08")</f>
        <v>0.08</v>
      </c>
    </row>
    <row r="1144" spans="1:7">
      <c r="A1144" s="3">
        <v>20</v>
      </c>
      <c r="B1144" s="3">
        <v>13</v>
      </c>
      <c r="C1144" s="3">
        <v>2</v>
      </c>
      <c r="D1144" s="3">
        <v>21</v>
      </c>
      <c r="E1144" s="3">
        <v>1</v>
      </c>
      <c r="F1144" s="4" t="str">
        <f>HYPERLINK("http://141.218.60.56/~jnz1568/getInfo.php?workbook=20_13.xlsx&amp;sheet=U0&amp;row=1144&amp;col=6&amp;number=3&amp;sourceID=14","3")</f>
        <v>3</v>
      </c>
      <c r="G1144" s="4" t="str">
        <f>HYPERLINK("http://141.218.60.56/~jnz1568/getInfo.php?workbook=20_13.xlsx&amp;sheet=U0&amp;row=1144&amp;col=7&amp;number=0.169&amp;sourceID=14","0.169")</f>
        <v>0.169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HYPERLINK("http://141.218.60.56/~jnz1568/getInfo.php?workbook=20_13.xlsx&amp;sheet=U0&amp;row=1145&amp;col=6&amp;number=3.1&amp;sourceID=14","3.1")</f>
        <v>3.1</v>
      </c>
      <c r="G1145" s="4" t="str">
        <f>HYPERLINK("http://141.218.60.56/~jnz1568/getInfo.php?workbook=20_13.xlsx&amp;sheet=U0&amp;row=1145&amp;col=7&amp;number=0.169&amp;sourceID=14","0.169")</f>
        <v>0.169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HYPERLINK("http://141.218.60.56/~jnz1568/getInfo.php?workbook=20_13.xlsx&amp;sheet=U0&amp;row=1146&amp;col=6&amp;number=3.2&amp;sourceID=14","3.2")</f>
        <v>3.2</v>
      </c>
      <c r="G1146" s="4" t="str">
        <f>HYPERLINK("http://141.218.60.56/~jnz1568/getInfo.php?workbook=20_13.xlsx&amp;sheet=U0&amp;row=1146&amp;col=7&amp;number=0.169&amp;sourceID=14","0.169")</f>
        <v>0.169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HYPERLINK("http://141.218.60.56/~jnz1568/getInfo.php?workbook=20_13.xlsx&amp;sheet=U0&amp;row=1147&amp;col=6&amp;number=3.3&amp;sourceID=14","3.3")</f>
        <v>3.3</v>
      </c>
      <c r="G1147" s="4" t="str">
        <f>HYPERLINK("http://141.218.60.56/~jnz1568/getInfo.php?workbook=20_13.xlsx&amp;sheet=U0&amp;row=1147&amp;col=7&amp;number=0.169&amp;sourceID=14","0.169")</f>
        <v>0.169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HYPERLINK("http://141.218.60.56/~jnz1568/getInfo.php?workbook=20_13.xlsx&amp;sheet=U0&amp;row=1148&amp;col=6&amp;number=3.4&amp;sourceID=14","3.4")</f>
        <v>3.4</v>
      </c>
      <c r="G1148" s="4" t="str">
        <f>HYPERLINK("http://141.218.60.56/~jnz1568/getInfo.php?workbook=20_13.xlsx&amp;sheet=U0&amp;row=1148&amp;col=7&amp;number=0.169&amp;sourceID=14","0.169")</f>
        <v>0.169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HYPERLINK("http://141.218.60.56/~jnz1568/getInfo.php?workbook=20_13.xlsx&amp;sheet=U0&amp;row=1149&amp;col=6&amp;number=3.5&amp;sourceID=14","3.5")</f>
        <v>3.5</v>
      </c>
      <c r="G1149" s="4" t="str">
        <f>HYPERLINK("http://141.218.60.56/~jnz1568/getInfo.php?workbook=20_13.xlsx&amp;sheet=U0&amp;row=1149&amp;col=7&amp;number=0.169&amp;sourceID=14","0.169")</f>
        <v>0.169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HYPERLINK("http://141.218.60.56/~jnz1568/getInfo.php?workbook=20_13.xlsx&amp;sheet=U0&amp;row=1150&amp;col=6&amp;number=3.6&amp;sourceID=14","3.6")</f>
        <v>3.6</v>
      </c>
      <c r="G1150" s="4" t="str">
        <f>HYPERLINK("http://141.218.60.56/~jnz1568/getInfo.php?workbook=20_13.xlsx&amp;sheet=U0&amp;row=1150&amp;col=7&amp;number=0.168&amp;sourceID=14","0.168")</f>
        <v>0.168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HYPERLINK("http://141.218.60.56/~jnz1568/getInfo.php?workbook=20_13.xlsx&amp;sheet=U0&amp;row=1151&amp;col=6&amp;number=3.7&amp;sourceID=14","3.7")</f>
        <v>3.7</v>
      </c>
      <c r="G1151" s="4" t="str">
        <f>HYPERLINK("http://141.218.60.56/~jnz1568/getInfo.php?workbook=20_13.xlsx&amp;sheet=U0&amp;row=1151&amp;col=7&amp;number=0.168&amp;sourceID=14","0.168")</f>
        <v>0.168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HYPERLINK("http://141.218.60.56/~jnz1568/getInfo.php?workbook=20_13.xlsx&amp;sheet=U0&amp;row=1152&amp;col=6&amp;number=3.8&amp;sourceID=14","3.8")</f>
        <v>3.8</v>
      </c>
      <c r="G1152" s="4" t="str">
        <f>HYPERLINK("http://141.218.60.56/~jnz1568/getInfo.php?workbook=20_13.xlsx&amp;sheet=U0&amp;row=1152&amp;col=7&amp;number=0.167&amp;sourceID=14","0.167")</f>
        <v>0.167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HYPERLINK("http://141.218.60.56/~jnz1568/getInfo.php?workbook=20_13.xlsx&amp;sheet=U0&amp;row=1153&amp;col=6&amp;number=3.9&amp;sourceID=14","3.9")</f>
        <v>3.9</v>
      </c>
      <c r="G1153" s="4" t="str">
        <f>HYPERLINK("http://141.218.60.56/~jnz1568/getInfo.php?workbook=20_13.xlsx&amp;sheet=U0&amp;row=1153&amp;col=7&amp;number=0.167&amp;sourceID=14","0.167")</f>
        <v>0.167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HYPERLINK("http://141.218.60.56/~jnz1568/getInfo.php?workbook=20_13.xlsx&amp;sheet=U0&amp;row=1154&amp;col=6&amp;number=4&amp;sourceID=14","4")</f>
        <v>4</v>
      </c>
      <c r="G1154" s="4" t="str">
        <f>HYPERLINK("http://141.218.60.56/~jnz1568/getInfo.php?workbook=20_13.xlsx&amp;sheet=U0&amp;row=1154&amp;col=7&amp;number=0.166&amp;sourceID=14","0.166")</f>
        <v>0.166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HYPERLINK("http://141.218.60.56/~jnz1568/getInfo.php?workbook=20_13.xlsx&amp;sheet=U0&amp;row=1155&amp;col=6&amp;number=4.1&amp;sourceID=14","4.1")</f>
        <v>4.1</v>
      </c>
      <c r="G1155" s="4" t="str">
        <f>HYPERLINK("http://141.218.60.56/~jnz1568/getInfo.php?workbook=20_13.xlsx&amp;sheet=U0&amp;row=1155&amp;col=7&amp;number=0.165&amp;sourceID=14","0.165")</f>
        <v>0.165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HYPERLINK("http://141.218.60.56/~jnz1568/getInfo.php?workbook=20_13.xlsx&amp;sheet=U0&amp;row=1156&amp;col=6&amp;number=4.2&amp;sourceID=14","4.2")</f>
        <v>4.2</v>
      </c>
      <c r="G1156" s="4" t="str">
        <f>HYPERLINK("http://141.218.60.56/~jnz1568/getInfo.php?workbook=20_13.xlsx&amp;sheet=U0&amp;row=1156&amp;col=7&amp;number=0.164&amp;sourceID=14","0.164")</f>
        <v>0.164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HYPERLINK("http://141.218.60.56/~jnz1568/getInfo.php?workbook=20_13.xlsx&amp;sheet=U0&amp;row=1157&amp;col=6&amp;number=4.3&amp;sourceID=14","4.3")</f>
        <v>4.3</v>
      </c>
      <c r="G1157" s="4" t="str">
        <f>HYPERLINK("http://141.218.60.56/~jnz1568/getInfo.php?workbook=20_13.xlsx&amp;sheet=U0&amp;row=1157&amp;col=7&amp;number=0.162&amp;sourceID=14","0.162")</f>
        <v>0.162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HYPERLINK("http://141.218.60.56/~jnz1568/getInfo.php?workbook=20_13.xlsx&amp;sheet=U0&amp;row=1158&amp;col=6&amp;number=4.4&amp;sourceID=14","4.4")</f>
        <v>4.4</v>
      </c>
      <c r="G1158" s="4" t="str">
        <f>HYPERLINK("http://141.218.60.56/~jnz1568/getInfo.php?workbook=20_13.xlsx&amp;sheet=U0&amp;row=1158&amp;col=7&amp;number=0.16&amp;sourceID=14","0.16")</f>
        <v>0.16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HYPERLINK("http://141.218.60.56/~jnz1568/getInfo.php?workbook=20_13.xlsx&amp;sheet=U0&amp;row=1159&amp;col=6&amp;number=4.5&amp;sourceID=14","4.5")</f>
        <v>4.5</v>
      </c>
      <c r="G1159" s="4" t="str">
        <f>HYPERLINK("http://141.218.60.56/~jnz1568/getInfo.php?workbook=20_13.xlsx&amp;sheet=U0&amp;row=1159&amp;col=7&amp;number=0.158&amp;sourceID=14","0.158")</f>
        <v>0.158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HYPERLINK("http://141.218.60.56/~jnz1568/getInfo.php?workbook=20_13.xlsx&amp;sheet=U0&amp;row=1160&amp;col=6&amp;number=4.6&amp;sourceID=14","4.6")</f>
        <v>4.6</v>
      </c>
      <c r="G1160" s="4" t="str">
        <f>HYPERLINK("http://141.218.60.56/~jnz1568/getInfo.php?workbook=20_13.xlsx&amp;sheet=U0&amp;row=1160&amp;col=7&amp;number=0.155&amp;sourceID=14","0.155")</f>
        <v>0.155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HYPERLINK("http://141.218.60.56/~jnz1568/getInfo.php?workbook=20_13.xlsx&amp;sheet=U0&amp;row=1161&amp;col=6&amp;number=4.7&amp;sourceID=14","4.7")</f>
        <v>4.7</v>
      </c>
      <c r="G1161" s="4" t="str">
        <f>HYPERLINK("http://141.218.60.56/~jnz1568/getInfo.php?workbook=20_13.xlsx&amp;sheet=U0&amp;row=1161&amp;col=7&amp;number=0.151&amp;sourceID=14","0.151")</f>
        <v>0.151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HYPERLINK("http://141.218.60.56/~jnz1568/getInfo.php?workbook=20_13.xlsx&amp;sheet=U0&amp;row=1162&amp;col=6&amp;number=4.8&amp;sourceID=14","4.8")</f>
        <v>4.8</v>
      </c>
      <c r="G1162" s="4" t="str">
        <f>HYPERLINK("http://141.218.60.56/~jnz1568/getInfo.php?workbook=20_13.xlsx&amp;sheet=U0&amp;row=1162&amp;col=7&amp;number=0.147&amp;sourceID=14","0.147")</f>
        <v>0.147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HYPERLINK("http://141.218.60.56/~jnz1568/getInfo.php?workbook=20_13.xlsx&amp;sheet=U0&amp;row=1163&amp;col=6&amp;number=4.9&amp;sourceID=14","4.9")</f>
        <v>4.9</v>
      </c>
      <c r="G1163" s="4" t="str">
        <f>HYPERLINK("http://141.218.60.56/~jnz1568/getInfo.php?workbook=20_13.xlsx&amp;sheet=U0&amp;row=1163&amp;col=7&amp;number=0.142&amp;sourceID=14","0.142")</f>
        <v>0.142</v>
      </c>
    </row>
    <row r="1164" spans="1:7">
      <c r="A1164" s="3">
        <v>20</v>
      </c>
      <c r="B1164" s="3">
        <v>13</v>
      </c>
      <c r="C1164" s="3">
        <v>2</v>
      </c>
      <c r="D1164" s="3">
        <v>22</v>
      </c>
      <c r="E1164" s="3">
        <v>1</v>
      </c>
      <c r="F1164" s="4" t="str">
        <f>HYPERLINK("http://141.218.60.56/~jnz1568/getInfo.php?workbook=20_13.xlsx&amp;sheet=U0&amp;row=1164&amp;col=6&amp;number=3&amp;sourceID=14","3")</f>
        <v>3</v>
      </c>
      <c r="G1164" s="4" t="str">
        <f>HYPERLINK("http://141.218.60.56/~jnz1568/getInfo.php?workbook=20_13.xlsx&amp;sheet=U0&amp;row=1164&amp;col=7&amp;number=0.0396&amp;sourceID=14","0.0396")</f>
        <v>0.0396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HYPERLINK("http://141.218.60.56/~jnz1568/getInfo.php?workbook=20_13.xlsx&amp;sheet=U0&amp;row=1165&amp;col=6&amp;number=3.1&amp;sourceID=14","3.1")</f>
        <v>3.1</v>
      </c>
      <c r="G1165" s="4" t="str">
        <f>HYPERLINK("http://141.218.60.56/~jnz1568/getInfo.php?workbook=20_13.xlsx&amp;sheet=U0&amp;row=1165&amp;col=7&amp;number=0.0395&amp;sourceID=14","0.0395")</f>
        <v>0.0395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HYPERLINK("http://141.218.60.56/~jnz1568/getInfo.php?workbook=20_13.xlsx&amp;sheet=U0&amp;row=1166&amp;col=6&amp;number=3.2&amp;sourceID=14","3.2")</f>
        <v>3.2</v>
      </c>
      <c r="G1166" s="4" t="str">
        <f>HYPERLINK("http://141.218.60.56/~jnz1568/getInfo.php?workbook=20_13.xlsx&amp;sheet=U0&amp;row=1166&amp;col=7&amp;number=0.0394&amp;sourceID=14","0.0394")</f>
        <v>0.0394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HYPERLINK("http://141.218.60.56/~jnz1568/getInfo.php?workbook=20_13.xlsx&amp;sheet=U0&amp;row=1167&amp;col=6&amp;number=3.3&amp;sourceID=14","3.3")</f>
        <v>3.3</v>
      </c>
      <c r="G1167" s="4" t="str">
        <f>HYPERLINK("http://141.218.60.56/~jnz1568/getInfo.php?workbook=20_13.xlsx&amp;sheet=U0&amp;row=1167&amp;col=7&amp;number=0.0394&amp;sourceID=14","0.0394")</f>
        <v>0.0394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HYPERLINK("http://141.218.60.56/~jnz1568/getInfo.php?workbook=20_13.xlsx&amp;sheet=U0&amp;row=1168&amp;col=6&amp;number=3.4&amp;sourceID=14","3.4")</f>
        <v>3.4</v>
      </c>
      <c r="G1168" s="4" t="str">
        <f>HYPERLINK("http://141.218.60.56/~jnz1568/getInfo.php?workbook=20_13.xlsx&amp;sheet=U0&amp;row=1168&amp;col=7&amp;number=0.0393&amp;sourceID=14","0.0393")</f>
        <v>0.0393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HYPERLINK("http://141.218.60.56/~jnz1568/getInfo.php?workbook=20_13.xlsx&amp;sheet=U0&amp;row=1169&amp;col=6&amp;number=3.5&amp;sourceID=14","3.5")</f>
        <v>3.5</v>
      </c>
      <c r="G1169" s="4" t="str">
        <f>HYPERLINK("http://141.218.60.56/~jnz1568/getInfo.php?workbook=20_13.xlsx&amp;sheet=U0&amp;row=1169&amp;col=7&amp;number=0.0391&amp;sourceID=14","0.0391")</f>
        <v>0.0391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HYPERLINK("http://141.218.60.56/~jnz1568/getInfo.php?workbook=20_13.xlsx&amp;sheet=U0&amp;row=1170&amp;col=6&amp;number=3.6&amp;sourceID=14","3.6")</f>
        <v>3.6</v>
      </c>
      <c r="G1170" s="4" t="str">
        <f>HYPERLINK("http://141.218.60.56/~jnz1568/getInfo.php?workbook=20_13.xlsx&amp;sheet=U0&amp;row=1170&amp;col=7&amp;number=0.039&amp;sourceID=14","0.039")</f>
        <v>0.039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HYPERLINK("http://141.218.60.56/~jnz1568/getInfo.php?workbook=20_13.xlsx&amp;sheet=U0&amp;row=1171&amp;col=6&amp;number=3.7&amp;sourceID=14","3.7")</f>
        <v>3.7</v>
      </c>
      <c r="G1171" s="4" t="str">
        <f>HYPERLINK("http://141.218.60.56/~jnz1568/getInfo.php?workbook=20_13.xlsx&amp;sheet=U0&amp;row=1171&amp;col=7&amp;number=0.0388&amp;sourceID=14","0.0388")</f>
        <v>0.0388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HYPERLINK("http://141.218.60.56/~jnz1568/getInfo.php?workbook=20_13.xlsx&amp;sheet=U0&amp;row=1172&amp;col=6&amp;number=3.8&amp;sourceID=14","3.8")</f>
        <v>3.8</v>
      </c>
      <c r="G1172" s="4" t="str">
        <f>HYPERLINK("http://141.218.60.56/~jnz1568/getInfo.php?workbook=20_13.xlsx&amp;sheet=U0&amp;row=1172&amp;col=7&amp;number=0.0385&amp;sourceID=14","0.0385")</f>
        <v>0.0385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HYPERLINK("http://141.218.60.56/~jnz1568/getInfo.php?workbook=20_13.xlsx&amp;sheet=U0&amp;row=1173&amp;col=6&amp;number=3.9&amp;sourceID=14","3.9")</f>
        <v>3.9</v>
      </c>
      <c r="G1173" s="4" t="str">
        <f>HYPERLINK("http://141.218.60.56/~jnz1568/getInfo.php?workbook=20_13.xlsx&amp;sheet=U0&amp;row=1173&amp;col=7&amp;number=0.0382&amp;sourceID=14","0.0382")</f>
        <v>0.0382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HYPERLINK("http://141.218.60.56/~jnz1568/getInfo.php?workbook=20_13.xlsx&amp;sheet=U0&amp;row=1174&amp;col=6&amp;number=4&amp;sourceID=14","4")</f>
        <v>4</v>
      </c>
      <c r="G1174" s="4" t="str">
        <f>HYPERLINK("http://141.218.60.56/~jnz1568/getInfo.php?workbook=20_13.xlsx&amp;sheet=U0&amp;row=1174&amp;col=7&amp;number=0.0378&amp;sourceID=14","0.0378")</f>
        <v>0.0378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HYPERLINK("http://141.218.60.56/~jnz1568/getInfo.php?workbook=20_13.xlsx&amp;sheet=U0&amp;row=1175&amp;col=6&amp;number=4.1&amp;sourceID=14","4.1")</f>
        <v>4.1</v>
      </c>
      <c r="G1175" s="4" t="str">
        <f>HYPERLINK("http://141.218.60.56/~jnz1568/getInfo.php?workbook=20_13.xlsx&amp;sheet=U0&amp;row=1175&amp;col=7&amp;number=0.0373&amp;sourceID=14","0.0373")</f>
        <v>0.0373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HYPERLINK("http://141.218.60.56/~jnz1568/getInfo.php?workbook=20_13.xlsx&amp;sheet=U0&amp;row=1176&amp;col=6&amp;number=4.2&amp;sourceID=14","4.2")</f>
        <v>4.2</v>
      </c>
      <c r="G1176" s="4" t="str">
        <f>HYPERLINK("http://141.218.60.56/~jnz1568/getInfo.php?workbook=20_13.xlsx&amp;sheet=U0&amp;row=1176&amp;col=7&amp;number=0.0366&amp;sourceID=14","0.0366")</f>
        <v>0.0366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HYPERLINK("http://141.218.60.56/~jnz1568/getInfo.php?workbook=20_13.xlsx&amp;sheet=U0&amp;row=1177&amp;col=6&amp;number=4.3&amp;sourceID=14","4.3")</f>
        <v>4.3</v>
      </c>
      <c r="G1177" s="4" t="str">
        <f>HYPERLINK("http://141.218.60.56/~jnz1568/getInfo.php?workbook=20_13.xlsx&amp;sheet=U0&amp;row=1177&amp;col=7&amp;number=0.0359&amp;sourceID=14","0.0359")</f>
        <v>0.0359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HYPERLINK("http://141.218.60.56/~jnz1568/getInfo.php?workbook=20_13.xlsx&amp;sheet=U0&amp;row=1178&amp;col=6&amp;number=4.4&amp;sourceID=14","4.4")</f>
        <v>4.4</v>
      </c>
      <c r="G1178" s="4" t="str">
        <f>HYPERLINK("http://141.218.60.56/~jnz1568/getInfo.php?workbook=20_13.xlsx&amp;sheet=U0&amp;row=1178&amp;col=7&amp;number=0.0349&amp;sourceID=14","0.0349")</f>
        <v>0.0349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HYPERLINK("http://141.218.60.56/~jnz1568/getInfo.php?workbook=20_13.xlsx&amp;sheet=U0&amp;row=1179&amp;col=6&amp;number=4.5&amp;sourceID=14","4.5")</f>
        <v>4.5</v>
      </c>
      <c r="G1179" s="4" t="str">
        <f>HYPERLINK("http://141.218.60.56/~jnz1568/getInfo.php?workbook=20_13.xlsx&amp;sheet=U0&amp;row=1179&amp;col=7&amp;number=0.0338&amp;sourceID=14","0.0338")</f>
        <v>0.0338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HYPERLINK("http://141.218.60.56/~jnz1568/getInfo.php?workbook=20_13.xlsx&amp;sheet=U0&amp;row=1180&amp;col=6&amp;number=4.6&amp;sourceID=14","4.6")</f>
        <v>4.6</v>
      </c>
      <c r="G1180" s="4" t="str">
        <f>HYPERLINK("http://141.218.60.56/~jnz1568/getInfo.php?workbook=20_13.xlsx&amp;sheet=U0&amp;row=1180&amp;col=7&amp;number=0.0324&amp;sourceID=14","0.0324")</f>
        <v>0.0324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HYPERLINK("http://141.218.60.56/~jnz1568/getInfo.php?workbook=20_13.xlsx&amp;sheet=U0&amp;row=1181&amp;col=6&amp;number=4.7&amp;sourceID=14","4.7")</f>
        <v>4.7</v>
      </c>
      <c r="G1181" s="4" t="str">
        <f>HYPERLINK("http://141.218.60.56/~jnz1568/getInfo.php?workbook=20_13.xlsx&amp;sheet=U0&amp;row=1181&amp;col=7&amp;number=0.0308&amp;sourceID=14","0.0308")</f>
        <v>0.0308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HYPERLINK("http://141.218.60.56/~jnz1568/getInfo.php?workbook=20_13.xlsx&amp;sheet=U0&amp;row=1182&amp;col=6&amp;number=4.8&amp;sourceID=14","4.8")</f>
        <v>4.8</v>
      </c>
      <c r="G1182" s="4" t="str">
        <f>HYPERLINK("http://141.218.60.56/~jnz1568/getInfo.php?workbook=20_13.xlsx&amp;sheet=U0&amp;row=1182&amp;col=7&amp;number=0.029&amp;sourceID=14","0.029")</f>
        <v>0.029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HYPERLINK("http://141.218.60.56/~jnz1568/getInfo.php?workbook=20_13.xlsx&amp;sheet=U0&amp;row=1183&amp;col=6&amp;number=4.9&amp;sourceID=14","4.9")</f>
        <v>4.9</v>
      </c>
      <c r="G1183" s="4" t="str">
        <f>HYPERLINK("http://141.218.60.56/~jnz1568/getInfo.php?workbook=20_13.xlsx&amp;sheet=U0&amp;row=1183&amp;col=7&amp;number=0.0271&amp;sourceID=14","0.0271")</f>
        <v>0.0271</v>
      </c>
    </row>
    <row r="1184" spans="1:7">
      <c r="A1184" s="3">
        <v>20</v>
      </c>
      <c r="B1184" s="3">
        <v>13</v>
      </c>
      <c r="C1184" s="3">
        <v>2</v>
      </c>
      <c r="D1184" s="3">
        <v>23</v>
      </c>
      <c r="E1184" s="3">
        <v>1</v>
      </c>
      <c r="F1184" s="4" t="str">
        <f>HYPERLINK("http://141.218.60.56/~jnz1568/getInfo.php?workbook=20_13.xlsx&amp;sheet=U0&amp;row=1184&amp;col=6&amp;number=3&amp;sourceID=14","3")</f>
        <v>3</v>
      </c>
      <c r="G1184" s="4" t="str">
        <f>HYPERLINK("http://141.218.60.56/~jnz1568/getInfo.php?workbook=20_13.xlsx&amp;sheet=U0&amp;row=1184&amp;col=7&amp;number=0.0362&amp;sourceID=14","0.0362")</f>
        <v>0.0362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HYPERLINK("http://141.218.60.56/~jnz1568/getInfo.php?workbook=20_13.xlsx&amp;sheet=U0&amp;row=1185&amp;col=6&amp;number=3.1&amp;sourceID=14","3.1")</f>
        <v>3.1</v>
      </c>
      <c r="G1185" s="4" t="str">
        <f>HYPERLINK("http://141.218.60.56/~jnz1568/getInfo.php?workbook=20_13.xlsx&amp;sheet=U0&amp;row=1185&amp;col=7&amp;number=0.0362&amp;sourceID=14","0.0362")</f>
        <v>0.0362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HYPERLINK("http://141.218.60.56/~jnz1568/getInfo.php?workbook=20_13.xlsx&amp;sheet=U0&amp;row=1186&amp;col=6&amp;number=3.2&amp;sourceID=14","3.2")</f>
        <v>3.2</v>
      </c>
      <c r="G1186" s="4" t="str">
        <f>HYPERLINK("http://141.218.60.56/~jnz1568/getInfo.php?workbook=20_13.xlsx&amp;sheet=U0&amp;row=1186&amp;col=7&amp;number=0.0362&amp;sourceID=14","0.0362")</f>
        <v>0.0362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HYPERLINK("http://141.218.60.56/~jnz1568/getInfo.php?workbook=20_13.xlsx&amp;sheet=U0&amp;row=1187&amp;col=6&amp;number=3.3&amp;sourceID=14","3.3")</f>
        <v>3.3</v>
      </c>
      <c r="G1187" s="4" t="str">
        <f>HYPERLINK("http://141.218.60.56/~jnz1568/getInfo.php?workbook=20_13.xlsx&amp;sheet=U0&amp;row=1187&amp;col=7&amp;number=0.0361&amp;sourceID=14","0.0361")</f>
        <v>0.0361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HYPERLINK("http://141.218.60.56/~jnz1568/getInfo.php?workbook=20_13.xlsx&amp;sheet=U0&amp;row=1188&amp;col=6&amp;number=3.4&amp;sourceID=14","3.4")</f>
        <v>3.4</v>
      </c>
      <c r="G1188" s="4" t="str">
        <f>HYPERLINK("http://141.218.60.56/~jnz1568/getInfo.php?workbook=20_13.xlsx&amp;sheet=U0&amp;row=1188&amp;col=7&amp;number=0.036&amp;sourceID=14","0.036")</f>
        <v>0.036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HYPERLINK("http://141.218.60.56/~jnz1568/getInfo.php?workbook=20_13.xlsx&amp;sheet=U0&amp;row=1189&amp;col=6&amp;number=3.5&amp;sourceID=14","3.5")</f>
        <v>3.5</v>
      </c>
      <c r="G1189" s="4" t="str">
        <f>HYPERLINK("http://141.218.60.56/~jnz1568/getInfo.php?workbook=20_13.xlsx&amp;sheet=U0&amp;row=1189&amp;col=7&amp;number=0.036&amp;sourceID=14","0.036")</f>
        <v>0.036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HYPERLINK("http://141.218.60.56/~jnz1568/getInfo.php?workbook=20_13.xlsx&amp;sheet=U0&amp;row=1190&amp;col=6&amp;number=3.6&amp;sourceID=14","3.6")</f>
        <v>3.6</v>
      </c>
      <c r="G1190" s="4" t="str">
        <f>HYPERLINK("http://141.218.60.56/~jnz1568/getInfo.php?workbook=20_13.xlsx&amp;sheet=U0&amp;row=1190&amp;col=7&amp;number=0.0359&amp;sourceID=14","0.0359")</f>
        <v>0.0359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HYPERLINK("http://141.218.60.56/~jnz1568/getInfo.php?workbook=20_13.xlsx&amp;sheet=U0&amp;row=1191&amp;col=6&amp;number=3.7&amp;sourceID=14","3.7")</f>
        <v>3.7</v>
      </c>
      <c r="G1191" s="4" t="str">
        <f>HYPERLINK("http://141.218.60.56/~jnz1568/getInfo.php?workbook=20_13.xlsx&amp;sheet=U0&amp;row=1191&amp;col=7&amp;number=0.0357&amp;sourceID=14","0.0357")</f>
        <v>0.0357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HYPERLINK("http://141.218.60.56/~jnz1568/getInfo.php?workbook=20_13.xlsx&amp;sheet=U0&amp;row=1192&amp;col=6&amp;number=3.8&amp;sourceID=14","3.8")</f>
        <v>3.8</v>
      </c>
      <c r="G1192" s="4" t="str">
        <f>HYPERLINK("http://141.218.60.56/~jnz1568/getInfo.php?workbook=20_13.xlsx&amp;sheet=U0&amp;row=1192&amp;col=7&amp;number=0.0356&amp;sourceID=14","0.0356")</f>
        <v>0.0356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HYPERLINK("http://141.218.60.56/~jnz1568/getInfo.php?workbook=20_13.xlsx&amp;sheet=U0&amp;row=1193&amp;col=6&amp;number=3.9&amp;sourceID=14","3.9")</f>
        <v>3.9</v>
      </c>
      <c r="G1193" s="4" t="str">
        <f>HYPERLINK("http://141.218.60.56/~jnz1568/getInfo.php?workbook=20_13.xlsx&amp;sheet=U0&amp;row=1193&amp;col=7&amp;number=0.0353&amp;sourceID=14","0.0353")</f>
        <v>0.0353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HYPERLINK("http://141.218.60.56/~jnz1568/getInfo.php?workbook=20_13.xlsx&amp;sheet=U0&amp;row=1194&amp;col=6&amp;number=4&amp;sourceID=14","4")</f>
        <v>4</v>
      </c>
      <c r="G1194" s="4" t="str">
        <f>HYPERLINK("http://141.218.60.56/~jnz1568/getInfo.php?workbook=20_13.xlsx&amp;sheet=U0&amp;row=1194&amp;col=7&amp;number=0.0351&amp;sourceID=14","0.0351")</f>
        <v>0.0351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HYPERLINK("http://141.218.60.56/~jnz1568/getInfo.php?workbook=20_13.xlsx&amp;sheet=U0&amp;row=1195&amp;col=6&amp;number=4.1&amp;sourceID=14","4.1")</f>
        <v>4.1</v>
      </c>
      <c r="G1195" s="4" t="str">
        <f>HYPERLINK("http://141.218.60.56/~jnz1568/getInfo.php?workbook=20_13.xlsx&amp;sheet=U0&amp;row=1195&amp;col=7&amp;number=0.0348&amp;sourceID=14","0.0348")</f>
        <v>0.0348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HYPERLINK("http://141.218.60.56/~jnz1568/getInfo.php?workbook=20_13.xlsx&amp;sheet=U0&amp;row=1196&amp;col=6&amp;number=4.2&amp;sourceID=14","4.2")</f>
        <v>4.2</v>
      </c>
      <c r="G1196" s="4" t="str">
        <f>HYPERLINK("http://141.218.60.56/~jnz1568/getInfo.php?workbook=20_13.xlsx&amp;sheet=U0&amp;row=1196&amp;col=7&amp;number=0.0344&amp;sourceID=14","0.0344")</f>
        <v>0.0344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HYPERLINK("http://141.218.60.56/~jnz1568/getInfo.php?workbook=20_13.xlsx&amp;sheet=U0&amp;row=1197&amp;col=6&amp;number=4.3&amp;sourceID=14","4.3")</f>
        <v>4.3</v>
      </c>
      <c r="G1197" s="4" t="str">
        <f>HYPERLINK("http://141.218.60.56/~jnz1568/getInfo.php?workbook=20_13.xlsx&amp;sheet=U0&amp;row=1197&amp;col=7&amp;number=0.0339&amp;sourceID=14","0.0339")</f>
        <v>0.0339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HYPERLINK("http://141.218.60.56/~jnz1568/getInfo.php?workbook=20_13.xlsx&amp;sheet=U0&amp;row=1198&amp;col=6&amp;number=4.4&amp;sourceID=14","4.4")</f>
        <v>4.4</v>
      </c>
      <c r="G1198" s="4" t="str">
        <f>HYPERLINK("http://141.218.60.56/~jnz1568/getInfo.php?workbook=20_13.xlsx&amp;sheet=U0&amp;row=1198&amp;col=7&amp;number=0.0332&amp;sourceID=14","0.0332")</f>
        <v>0.0332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HYPERLINK("http://141.218.60.56/~jnz1568/getInfo.php?workbook=20_13.xlsx&amp;sheet=U0&amp;row=1199&amp;col=6&amp;number=4.5&amp;sourceID=14","4.5")</f>
        <v>4.5</v>
      </c>
      <c r="G1199" s="4" t="str">
        <f>HYPERLINK("http://141.218.60.56/~jnz1568/getInfo.php?workbook=20_13.xlsx&amp;sheet=U0&amp;row=1199&amp;col=7&amp;number=0.0325&amp;sourceID=14","0.0325")</f>
        <v>0.0325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HYPERLINK("http://141.218.60.56/~jnz1568/getInfo.php?workbook=20_13.xlsx&amp;sheet=U0&amp;row=1200&amp;col=6&amp;number=4.6&amp;sourceID=14","4.6")</f>
        <v>4.6</v>
      </c>
      <c r="G1200" s="4" t="str">
        <f>HYPERLINK("http://141.218.60.56/~jnz1568/getInfo.php?workbook=20_13.xlsx&amp;sheet=U0&amp;row=1200&amp;col=7&amp;number=0.0316&amp;sourceID=14","0.0316")</f>
        <v>0.0316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HYPERLINK("http://141.218.60.56/~jnz1568/getInfo.php?workbook=20_13.xlsx&amp;sheet=U0&amp;row=1201&amp;col=6&amp;number=4.7&amp;sourceID=14","4.7")</f>
        <v>4.7</v>
      </c>
      <c r="G1201" s="4" t="str">
        <f>HYPERLINK("http://141.218.60.56/~jnz1568/getInfo.php?workbook=20_13.xlsx&amp;sheet=U0&amp;row=1201&amp;col=7&amp;number=0.0305&amp;sourceID=14","0.0305")</f>
        <v>0.0305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HYPERLINK("http://141.218.60.56/~jnz1568/getInfo.php?workbook=20_13.xlsx&amp;sheet=U0&amp;row=1202&amp;col=6&amp;number=4.8&amp;sourceID=14","4.8")</f>
        <v>4.8</v>
      </c>
      <c r="G1202" s="4" t="str">
        <f>HYPERLINK("http://141.218.60.56/~jnz1568/getInfo.php?workbook=20_13.xlsx&amp;sheet=U0&amp;row=1202&amp;col=7&amp;number=0.0293&amp;sourceID=14","0.0293")</f>
        <v>0.0293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HYPERLINK("http://141.218.60.56/~jnz1568/getInfo.php?workbook=20_13.xlsx&amp;sheet=U0&amp;row=1203&amp;col=6&amp;number=4.9&amp;sourceID=14","4.9")</f>
        <v>4.9</v>
      </c>
      <c r="G1203" s="4" t="str">
        <f>HYPERLINK("http://141.218.60.56/~jnz1568/getInfo.php?workbook=20_13.xlsx&amp;sheet=U0&amp;row=1203&amp;col=7&amp;number=0.0279&amp;sourceID=14","0.0279")</f>
        <v>0.0279</v>
      </c>
    </row>
    <row r="1204" spans="1:7">
      <c r="A1204" s="3">
        <v>20</v>
      </c>
      <c r="B1204" s="3">
        <v>13</v>
      </c>
      <c r="C1204" s="3">
        <v>2</v>
      </c>
      <c r="D1204" s="3">
        <v>24</v>
      </c>
      <c r="E1204" s="3">
        <v>1</v>
      </c>
      <c r="F1204" s="4" t="str">
        <f>HYPERLINK("http://141.218.60.56/~jnz1568/getInfo.php?workbook=20_13.xlsx&amp;sheet=U0&amp;row=1204&amp;col=6&amp;number=3&amp;sourceID=14","3")</f>
        <v>3</v>
      </c>
      <c r="G1204" s="4" t="str">
        <f>HYPERLINK("http://141.218.60.56/~jnz1568/getInfo.php?workbook=20_13.xlsx&amp;sheet=U0&amp;row=1204&amp;col=7&amp;number=0.023&amp;sourceID=14","0.023")</f>
        <v>0.023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HYPERLINK("http://141.218.60.56/~jnz1568/getInfo.php?workbook=20_13.xlsx&amp;sheet=U0&amp;row=1205&amp;col=6&amp;number=3.1&amp;sourceID=14","3.1")</f>
        <v>3.1</v>
      </c>
      <c r="G1205" s="4" t="str">
        <f>HYPERLINK("http://141.218.60.56/~jnz1568/getInfo.php?workbook=20_13.xlsx&amp;sheet=U0&amp;row=1205&amp;col=7&amp;number=0.023&amp;sourceID=14","0.023")</f>
        <v>0.023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HYPERLINK("http://141.218.60.56/~jnz1568/getInfo.php?workbook=20_13.xlsx&amp;sheet=U0&amp;row=1206&amp;col=6&amp;number=3.2&amp;sourceID=14","3.2")</f>
        <v>3.2</v>
      </c>
      <c r="G1206" s="4" t="str">
        <f>HYPERLINK("http://141.218.60.56/~jnz1568/getInfo.php?workbook=20_13.xlsx&amp;sheet=U0&amp;row=1206&amp;col=7&amp;number=0.023&amp;sourceID=14","0.023")</f>
        <v>0.023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HYPERLINK("http://141.218.60.56/~jnz1568/getInfo.php?workbook=20_13.xlsx&amp;sheet=U0&amp;row=1207&amp;col=6&amp;number=3.3&amp;sourceID=14","3.3")</f>
        <v>3.3</v>
      </c>
      <c r="G1207" s="4" t="str">
        <f>HYPERLINK("http://141.218.60.56/~jnz1568/getInfo.php?workbook=20_13.xlsx&amp;sheet=U0&amp;row=1207&amp;col=7&amp;number=0.0229&amp;sourceID=14","0.0229")</f>
        <v>0.0229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HYPERLINK("http://141.218.60.56/~jnz1568/getInfo.php?workbook=20_13.xlsx&amp;sheet=U0&amp;row=1208&amp;col=6&amp;number=3.4&amp;sourceID=14","3.4")</f>
        <v>3.4</v>
      </c>
      <c r="G1208" s="4" t="str">
        <f>HYPERLINK("http://141.218.60.56/~jnz1568/getInfo.php?workbook=20_13.xlsx&amp;sheet=U0&amp;row=1208&amp;col=7&amp;number=0.0229&amp;sourceID=14","0.0229")</f>
        <v>0.0229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HYPERLINK("http://141.218.60.56/~jnz1568/getInfo.php?workbook=20_13.xlsx&amp;sheet=U0&amp;row=1209&amp;col=6&amp;number=3.5&amp;sourceID=14","3.5")</f>
        <v>3.5</v>
      </c>
      <c r="G1209" s="4" t="str">
        <f>HYPERLINK("http://141.218.60.56/~jnz1568/getInfo.php?workbook=20_13.xlsx&amp;sheet=U0&amp;row=1209&amp;col=7&amp;number=0.0229&amp;sourceID=14","0.0229")</f>
        <v>0.0229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HYPERLINK("http://141.218.60.56/~jnz1568/getInfo.php?workbook=20_13.xlsx&amp;sheet=U0&amp;row=1210&amp;col=6&amp;number=3.6&amp;sourceID=14","3.6")</f>
        <v>3.6</v>
      </c>
      <c r="G1210" s="4" t="str">
        <f>HYPERLINK("http://141.218.60.56/~jnz1568/getInfo.php?workbook=20_13.xlsx&amp;sheet=U0&amp;row=1210&amp;col=7&amp;number=0.0228&amp;sourceID=14","0.0228")</f>
        <v>0.0228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HYPERLINK("http://141.218.60.56/~jnz1568/getInfo.php?workbook=20_13.xlsx&amp;sheet=U0&amp;row=1211&amp;col=6&amp;number=3.7&amp;sourceID=14","3.7")</f>
        <v>3.7</v>
      </c>
      <c r="G1211" s="4" t="str">
        <f>HYPERLINK("http://141.218.60.56/~jnz1568/getInfo.php?workbook=20_13.xlsx&amp;sheet=U0&amp;row=1211&amp;col=7&amp;number=0.0227&amp;sourceID=14","0.0227")</f>
        <v>0.0227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HYPERLINK("http://141.218.60.56/~jnz1568/getInfo.php?workbook=20_13.xlsx&amp;sheet=U0&amp;row=1212&amp;col=6&amp;number=3.8&amp;sourceID=14","3.8")</f>
        <v>3.8</v>
      </c>
      <c r="G1212" s="4" t="str">
        <f>HYPERLINK("http://141.218.60.56/~jnz1568/getInfo.php?workbook=20_13.xlsx&amp;sheet=U0&amp;row=1212&amp;col=7&amp;number=0.0226&amp;sourceID=14","0.0226")</f>
        <v>0.0226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HYPERLINK("http://141.218.60.56/~jnz1568/getInfo.php?workbook=20_13.xlsx&amp;sheet=U0&amp;row=1213&amp;col=6&amp;number=3.9&amp;sourceID=14","3.9")</f>
        <v>3.9</v>
      </c>
      <c r="G1213" s="4" t="str">
        <f>HYPERLINK("http://141.218.60.56/~jnz1568/getInfo.php?workbook=20_13.xlsx&amp;sheet=U0&amp;row=1213&amp;col=7&amp;number=0.0225&amp;sourceID=14","0.0225")</f>
        <v>0.0225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HYPERLINK("http://141.218.60.56/~jnz1568/getInfo.php?workbook=20_13.xlsx&amp;sheet=U0&amp;row=1214&amp;col=6&amp;number=4&amp;sourceID=14","4")</f>
        <v>4</v>
      </c>
      <c r="G1214" s="4" t="str">
        <f>HYPERLINK("http://141.218.60.56/~jnz1568/getInfo.php?workbook=20_13.xlsx&amp;sheet=U0&amp;row=1214&amp;col=7&amp;number=0.0224&amp;sourceID=14","0.0224")</f>
        <v>0.0224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HYPERLINK("http://141.218.60.56/~jnz1568/getInfo.php?workbook=20_13.xlsx&amp;sheet=U0&amp;row=1215&amp;col=6&amp;number=4.1&amp;sourceID=14","4.1")</f>
        <v>4.1</v>
      </c>
      <c r="G1215" s="4" t="str">
        <f>HYPERLINK("http://141.218.60.56/~jnz1568/getInfo.php?workbook=20_13.xlsx&amp;sheet=U0&amp;row=1215&amp;col=7&amp;number=0.0222&amp;sourceID=14","0.0222")</f>
        <v>0.0222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HYPERLINK("http://141.218.60.56/~jnz1568/getInfo.php?workbook=20_13.xlsx&amp;sheet=U0&amp;row=1216&amp;col=6&amp;number=4.2&amp;sourceID=14","4.2")</f>
        <v>4.2</v>
      </c>
      <c r="G1216" s="4" t="str">
        <f>HYPERLINK("http://141.218.60.56/~jnz1568/getInfo.php?workbook=20_13.xlsx&amp;sheet=U0&amp;row=1216&amp;col=7&amp;number=0.022&amp;sourceID=14","0.022")</f>
        <v>0.022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HYPERLINK("http://141.218.60.56/~jnz1568/getInfo.php?workbook=20_13.xlsx&amp;sheet=U0&amp;row=1217&amp;col=6&amp;number=4.3&amp;sourceID=14","4.3")</f>
        <v>4.3</v>
      </c>
      <c r="G1217" s="4" t="str">
        <f>HYPERLINK("http://141.218.60.56/~jnz1568/getInfo.php?workbook=20_13.xlsx&amp;sheet=U0&amp;row=1217&amp;col=7&amp;number=0.0218&amp;sourceID=14","0.0218")</f>
        <v>0.0218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HYPERLINK("http://141.218.60.56/~jnz1568/getInfo.php?workbook=20_13.xlsx&amp;sheet=U0&amp;row=1218&amp;col=6&amp;number=4.4&amp;sourceID=14","4.4")</f>
        <v>4.4</v>
      </c>
      <c r="G1218" s="4" t="str">
        <f>HYPERLINK("http://141.218.60.56/~jnz1568/getInfo.php?workbook=20_13.xlsx&amp;sheet=U0&amp;row=1218&amp;col=7&amp;number=0.0215&amp;sourceID=14","0.0215")</f>
        <v>0.0215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HYPERLINK("http://141.218.60.56/~jnz1568/getInfo.php?workbook=20_13.xlsx&amp;sheet=U0&amp;row=1219&amp;col=6&amp;number=4.5&amp;sourceID=14","4.5")</f>
        <v>4.5</v>
      </c>
      <c r="G1219" s="4" t="str">
        <f>HYPERLINK("http://141.218.60.56/~jnz1568/getInfo.php?workbook=20_13.xlsx&amp;sheet=U0&amp;row=1219&amp;col=7&amp;number=0.0211&amp;sourceID=14","0.0211")</f>
        <v>0.0211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HYPERLINK("http://141.218.60.56/~jnz1568/getInfo.php?workbook=20_13.xlsx&amp;sheet=U0&amp;row=1220&amp;col=6&amp;number=4.6&amp;sourceID=14","4.6")</f>
        <v>4.6</v>
      </c>
      <c r="G1220" s="4" t="str">
        <f>HYPERLINK("http://141.218.60.56/~jnz1568/getInfo.php?workbook=20_13.xlsx&amp;sheet=U0&amp;row=1220&amp;col=7&amp;number=0.0207&amp;sourceID=14","0.0207")</f>
        <v>0.0207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HYPERLINK("http://141.218.60.56/~jnz1568/getInfo.php?workbook=20_13.xlsx&amp;sheet=U0&amp;row=1221&amp;col=6&amp;number=4.7&amp;sourceID=14","4.7")</f>
        <v>4.7</v>
      </c>
      <c r="G1221" s="4" t="str">
        <f>HYPERLINK("http://141.218.60.56/~jnz1568/getInfo.php?workbook=20_13.xlsx&amp;sheet=U0&amp;row=1221&amp;col=7&amp;number=0.0201&amp;sourceID=14","0.0201")</f>
        <v>0.0201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HYPERLINK("http://141.218.60.56/~jnz1568/getInfo.php?workbook=20_13.xlsx&amp;sheet=U0&amp;row=1222&amp;col=6&amp;number=4.8&amp;sourceID=14","4.8")</f>
        <v>4.8</v>
      </c>
      <c r="G1222" s="4" t="str">
        <f>HYPERLINK("http://141.218.60.56/~jnz1568/getInfo.php?workbook=20_13.xlsx&amp;sheet=U0&amp;row=1222&amp;col=7&amp;number=0.0195&amp;sourceID=14","0.0195")</f>
        <v>0.0195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HYPERLINK("http://141.218.60.56/~jnz1568/getInfo.php?workbook=20_13.xlsx&amp;sheet=U0&amp;row=1223&amp;col=6&amp;number=4.9&amp;sourceID=14","4.9")</f>
        <v>4.9</v>
      </c>
      <c r="G1223" s="4" t="str">
        <f>HYPERLINK("http://141.218.60.56/~jnz1568/getInfo.php?workbook=20_13.xlsx&amp;sheet=U0&amp;row=1223&amp;col=7&amp;number=0.0188&amp;sourceID=14","0.0188")</f>
        <v>0.0188</v>
      </c>
    </row>
    <row r="1224" spans="1:7">
      <c r="A1224" s="3">
        <v>20</v>
      </c>
      <c r="B1224" s="3">
        <v>13</v>
      </c>
      <c r="C1224" s="3">
        <v>2</v>
      </c>
      <c r="D1224" s="3">
        <v>25</v>
      </c>
      <c r="E1224" s="3">
        <v>1</v>
      </c>
      <c r="F1224" s="4" t="str">
        <f>HYPERLINK("http://141.218.60.56/~jnz1568/getInfo.php?workbook=20_13.xlsx&amp;sheet=U0&amp;row=1224&amp;col=6&amp;number=3&amp;sourceID=14","3")</f>
        <v>3</v>
      </c>
      <c r="G1224" s="4" t="str">
        <f>HYPERLINK("http://141.218.60.56/~jnz1568/getInfo.php?workbook=20_13.xlsx&amp;sheet=U0&amp;row=1224&amp;col=7&amp;number=0.0207&amp;sourceID=14","0.0207")</f>
        <v>0.0207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HYPERLINK("http://141.218.60.56/~jnz1568/getInfo.php?workbook=20_13.xlsx&amp;sheet=U0&amp;row=1225&amp;col=6&amp;number=3.1&amp;sourceID=14","3.1")</f>
        <v>3.1</v>
      </c>
      <c r="G1225" s="4" t="str">
        <f>HYPERLINK("http://141.218.60.56/~jnz1568/getInfo.php?workbook=20_13.xlsx&amp;sheet=U0&amp;row=1225&amp;col=7&amp;number=0.0207&amp;sourceID=14","0.0207")</f>
        <v>0.0207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HYPERLINK("http://141.218.60.56/~jnz1568/getInfo.php?workbook=20_13.xlsx&amp;sheet=U0&amp;row=1226&amp;col=6&amp;number=3.2&amp;sourceID=14","3.2")</f>
        <v>3.2</v>
      </c>
      <c r="G1226" s="4" t="str">
        <f>HYPERLINK("http://141.218.60.56/~jnz1568/getInfo.php?workbook=20_13.xlsx&amp;sheet=U0&amp;row=1226&amp;col=7&amp;number=0.0207&amp;sourceID=14","0.0207")</f>
        <v>0.0207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HYPERLINK("http://141.218.60.56/~jnz1568/getInfo.php?workbook=20_13.xlsx&amp;sheet=U0&amp;row=1227&amp;col=6&amp;number=3.3&amp;sourceID=14","3.3")</f>
        <v>3.3</v>
      </c>
      <c r="G1227" s="4" t="str">
        <f>HYPERLINK("http://141.218.60.56/~jnz1568/getInfo.php?workbook=20_13.xlsx&amp;sheet=U0&amp;row=1227&amp;col=7&amp;number=0.0207&amp;sourceID=14","0.0207")</f>
        <v>0.0207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HYPERLINK("http://141.218.60.56/~jnz1568/getInfo.php?workbook=20_13.xlsx&amp;sheet=U0&amp;row=1228&amp;col=6&amp;number=3.4&amp;sourceID=14","3.4")</f>
        <v>3.4</v>
      </c>
      <c r="G1228" s="4" t="str">
        <f>HYPERLINK("http://141.218.60.56/~jnz1568/getInfo.php?workbook=20_13.xlsx&amp;sheet=U0&amp;row=1228&amp;col=7&amp;number=0.0206&amp;sourceID=14","0.0206")</f>
        <v>0.0206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HYPERLINK("http://141.218.60.56/~jnz1568/getInfo.php?workbook=20_13.xlsx&amp;sheet=U0&amp;row=1229&amp;col=6&amp;number=3.5&amp;sourceID=14","3.5")</f>
        <v>3.5</v>
      </c>
      <c r="G1229" s="4" t="str">
        <f>HYPERLINK("http://141.218.60.56/~jnz1568/getInfo.php?workbook=20_13.xlsx&amp;sheet=U0&amp;row=1229&amp;col=7&amp;number=0.0206&amp;sourceID=14","0.0206")</f>
        <v>0.0206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HYPERLINK("http://141.218.60.56/~jnz1568/getInfo.php?workbook=20_13.xlsx&amp;sheet=U0&amp;row=1230&amp;col=6&amp;number=3.6&amp;sourceID=14","3.6")</f>
        <v>3.6</v>
      </c>
      <c r="G1230" s="4" t="str">
        <f>HYPERLINK("http://141.218.60.56/~jnz1568/getInfo.php?workbook=20_13.xlsx&amp;sheet=U0&amp;row=1230&amp;col=7&amp;number=0.0205&amp;sourceID=14","0.0205")</f>
        <v>0.0205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HYPERLINK("http://141.218.60.56/~jnz1568/getInfo.php?workbook=20_13.xlsx&amp;sheet=U0&amp;row=1231&amp;col=6&amp;number=3.7&amp;sourceID=14","3.7")</f>
        <v>3.7</v>
      </c>
      <c r="G1231" s="4" t="str">
        <f>HYPERLINK("http://141.218.60.56/~jnz1568/getInfo.php?workbook=20_13.xlsx&amp;sheet=U0&amp;row=1231&amp;col=7&amp;number=0.0205&amp;sourceID=14","0.0205")</f>
        <v>0.0205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HYPERLINK("http://141.218.60.56/~jnz1568/getInfo.php?workbook=20_13.xlsx&amp;sheet=U0&amp;row=1232&amp;col=6&amp;number=3.8&amp;sourceID=14","3.8")</f>
        <v>3.8</v>
      </c>
      <c r="G1232" s="4" t="str">
        <f>HYPERLINK("http://141.218.60.56/~jnz1568/getInfo.php?workbook=20_13.xlsx&amp;sheet=U0&amp;row=1232&amp;col=7&amp;number=0.0204&amp;sourceID=14","0.0204")</f>
        <v>0.0204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HYPERLINK("http://141.218.60.56/~jnz1568/getInfo.php?workbook=20_13.xlsx&amp;sheet=U0&amp;row=1233&amp;col=6&amp;number=3.9&amp;sourceID=14","3.9")</f>
        <v>3.9</v>
      </c>
      <c r="G1233" s="4" t="str">
        <f>HYPERLINK("http://141.218.60.56/~jnz1568/getInfo.php?workbook=20_13.xlsx&amp;sheet=U0&amp;row=1233&amp;col=7&amp;number=0.0203&amp;sourceID=14","0.0203")</f>
        <v>0.0203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HYPERLINK("http://141.218.60.56/~jnz1568/getInfo.php?workbook=20_13.xlsx&amp;sheet=U0&amp;row=1234&amp;col=6&amp;number=4&amp;sourceID=14","4")</f>
        <v>4</v>
      </c>
      <c r="G1234" s="4" t="str">
        <f>HYPERLINK("http://141.218.60.56/~jnz1568/getInfo.php?workbook=20_13.xlsx&amp;sheet=U0&amp;row=1234&amp;col=7&amp;number=0.0202&amp;sourceID=14","0.0202")</f>
        <v>0.0202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HYPERLINK("http://141.218.60.56/~jnz1568/getInfo.php?workbook=20_13.xlsx&amp;sheet=U0&amp;row=1235&amp;col=6&amp;number=4.1&amp;sourceID=14","4.1")</f>
        <v>4.1</v>
      </c>
      <c r="G1235" s="4" t="str">
        <f>HYPERLINK("http://141.218.60.56/~jnz1568/getInfo.php?workbook=20_13.xlsx&amp;sheet=U0&amp;row=1235&amp;col=7&amp;number=0.02&amp;sourceID=14","0.02")</f>
        <v>0.02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HYPERLINK("http://141.218.60.56/~jnz1568/getInfo.php?workbook=20_13.xlsx&amp;sheet=U0&amp;row=1236&amp;col=6&amp;number=4.2&amp;sourceID=14","4.2")</f>
        <v>4.2</v>
      </c>
      <c r="G1236" s="4" t="str">
        <f>HYPERLINK("http://141.218.60.56/~jnz1568/getInfo.php?workbook=20_13.xlsx&amp;sheet=U0&amp;row=1236&amp;col=7&amp;number=0.0198&amp;sourceID=14","0.0198")</f>
        <v>0.0198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HYPERLINK("http://141.218.60.56/~jnz1568/getInfo.php?workbook=20_13.xlsx&amp;sheet=U0&amp;row=1237&amp;col=6&amp;number=4.3&amp;sourceID=14","4.3")</f>
        <v>4.3</v>
      </c>
      <c r="G1237" s="4" t="str">
        <f>HYPERLINK("http://141.218.60.56/~jnz1568/getInfo.php?workbook=20_13.xlsx&amp;sheet=U0&amp;row=1237&amp;col=7&amp;number=0.0195&amp;sourceID=14","0.0195")</f>
        <v>0.0195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HYPERLINK("http://141.218.60.56/~jnz1568/getInfo.php?workbook=20_13.xlsx&amp;sheet=U0&amp;row=1238&amp;col=6&amp;number=4.4&amp;sourceID=14","4.4")</f>
        <v>4.4</v>
      </c>
      <c r="G1238" s="4" t="str">
        <f>HYPERLINK("http://141.218.60.56/~jnz1568/getInfo.php?workbook=20_13.xlsx&amp;sheet=U0&amp;row=1238&amp;col=7&amp;number=0.0192&amp;sourceID=14","0.0192")</f>
        <v>0.0192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HYPERLINK("http://141.218.60.56/~jnz1568/getInfo.php?workbook=20_13.xlsx&amp;sheet=U0&amp;row=1239&amp;col=6&amp;number=4.5&amp;sourceID=14","4.5")</f>
        <v>4.5</v>
      </c>
      <c r="G1239" s="4" t="str">
        <f>HYPERLINK("http://141.218.60.56/~jnz1568/getInfo.php?workbook=20_13.xlsx&amp;sheet=U0&amp;row=1239&amp;col=7&amp;number=0.0188&amp;sourceID=14","0.0188")</f>
        <v>0.0188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HYPERLINK("http://141.218.60.56/~jnz1568/getInfo.php?workbook=20_13.xlsx&amp;sheet=U0&amp;row=1240&amp;col=6&amp;number=4.6&amp;sourceID=14","4.6")</f>
        <v>4.6</v>
      </c>
      <c r="G1240" s="4" t="str">
        <f>HYPERLINK("http://141.218.60.56/~jnz1568/getInfo.php?workbook=20_13.xlsx&amp;sheet=U0&amp;row=1240&amp;col=7&amp;number=0.0184&amp;sourceID=14","0.0184")</f>
        <v>0.0184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HYPERLINK("http://141.218.60.56/~jnz1568/getInfo.php?workbook=20_13.xlsx&amp;sheet=U0&amp;row=1241&amp;col=6&amp;number=4.7&amp;sourceID=14","4.7")</f>
        <v>4.7</v>
      </c>
      <c r="G1241" s="4" t="str">
        <f>HYPERLINK("http://141.218.60.56/~jnz1568/getInfo.php?workbook=20_13.xlsx&amp;sheet=U0&amp;row=1241&amp;col=7&amp;number=0.0178&amp;sourceID=14","0.0178")</f>
        <v>0.0178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HYPERLINK("http://141.218.60.56/~jnz1568/getInfo.php?workbook=20_13.xlsx&amp;sheet=U0&amp;row=1242&amp;col=6&amp;number=4.8&amp;sourceID=14","4.8")</f>
        <v>4.8</v>
      </c>
      <c r="G1242" s="4" t="str">
        <f>HYPERLINK("http://141.218.60.56/~jnz1568/getInfo.php?workbook=20_13.xlsx&amp;sheet=U0&amp;row=1242&amp;col=7&amp;number=0.0172&amp;sourceID=14","0.0172")</f>
        <v>0.0172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HYPERLINK("http://141.218.60.56/~jnz1568/getInfo.php?workbook=20_13.xlsx&amp;sheet=U0&amp;row=1243&amp;col=6&amp;number=4.9&amp;sourceID=14","4.9")</f>
        <v>4.9</v>
      </c>
      <c r="G1243" s="4" t="str">
        <f>HYPERLINK("http://141.218.60.56/~jnz1568/getInfo.php?workbook=20_13.xlsx&amp;sheet=U0&amp;row=1243&amp;col=7&amp;number=0.0165&amp;sourceID=14","0.0165")</f>
        <v>0.0165</v>
      </c>
    </row>
    <row r="1244" spans="1:7">
      <c r="A1244" s="3">
        <v>20</v>
      </c>
      <c r="B1244" s="3">
        <v>13</v>
      </c>
      <c r="C1244" s="3">
        <v>2</v>
      </c>
      <c r="D1244" s="3">
        <v>26</v>
      </c>
      <c r="E1244" s="3">
        <v>1</v>
      </c>
      <c r="F1244" s="4" t="str">
        <f>HYPERLINK("http://141.218.60.56/~jnz1568/getInfo.php?workbook=20_13.xlsx&amp;sheet=U0&amp;row=1244&amp;col=6&amp;number=3&amp;sourceID=14","3")</f>
        <v>3</v>
      </c>
      <c r="G1244" s="4" t="str">
        <f>HYPERLINK("http://141.218.60.56/~jnz1568/getInfo.php?workbook=20_13.xlsx&amp;sheet=U0&amp;row=1244&amp;col=7&amp;number=0.0482&amp;sourceID=14","0.0482")</f>
        <v>0.0482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HYPERLINK("http://141.218.60.56/~jnz1568/getInfo.php?workbook=20_13.xlsx&amp;sheet=U0&amp;row=1245&amp;col=6&amp;number=3.1&amp;sourceID=14","3.1")</f>
        <v>3.1</v>
      </c>
      <c r="G1245" s="4" t="str">
        <f>HYPERLINK("http://141.218.60.56/~jnz1568/getInfo.php?workbook=20_13.xlsx&amp;sheet=U0&amp;row=1245&amp;col=7&amp;number=0.0481&amp;sourceID=14","0.0481")</f>
        <v>0.0481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HYPERLINK("http://141.218.60.56/~jnz1568/getInfo.php?workbook=20_13.xlsx&amp;sheet=U0&amp;row=1246&amp;col=6&amp;number=3.2&amp;sourceID=14","3.2")</f>
        <v>3.2</v>
      </c>
      <c r="G1246" s="4" t="str">
        <f>HYPERLINK("http://141.218.60.56/~jnz1568/getInfo.php?workbook=20_13.xlsx&amp;sheet=U0&amp;row=1246&amp;col=7&amp;number=0.0481&amp;sourceID=14","0.0481")</f>
        <v>0.0481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HYPERLINK("http://141.218.60.56/~jnz1568/getInfo.php?workbook=20_13.xlsx&amp;sheet=U0&amp;row=1247&amp;col=6&amp;number=3.3&amp;sourceID=14","3.3")</f>
        <v>3.3</v>
      </c>
      <c r="G1247" s="4" t="str">
        <f>HYPERLINK("http://141.218.60.56/~jnz1568/getInfo.php?workbook=20_13.xlsx&amp;sheet=U0&amp;row=1247&amp;col=7&amp;number=0.048&amp;sourceID=14","0.048")</f>
        <v>0.048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HYPERLINK("http://141.218.60.56/~jnz1568/getInfo.php?workbook=20_13.xlsx&amp;sheet=U0&amp;row=1248&amp;col=6&amp;number=3.4&amp;sourceID=14","3.4")</f>
        <v>3.4</v>
      </c>
      <c r="G1248" s="4" t="str">
        <f>HYPERLINK("http://141.218.60.56/~jnz1568/getInfo.php?workbook=20_13.xlsx&amp;sheet=U0&amp;row=1248&amp;col=7&amp;number=0.0479&amp;sourceID=14","0.0479")</f>
        <v>0.0479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HYPERLINK("http://141.218.60.56/~jnz1568/getInfo.php?workbook=20_13.xlsx&amp;sheet=U0&amp;row=1249&amp;col=6&amp;number=3.5&amp;sourceID=14","3.5")</f>
        <v>3.5</v>
      </c>
      <c r="G1249" s="4" t="str">
        <f>HYPERLINK("http://141.218.60.56/~jnz1568/getInfo.php?workbook=20_13.xlsx&amp;sheet=U0&amp;row=1249&amp;col=7&amp;number=0.0478&amp;sourceID=14","0.0478")</f>
        <v>0.0478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HYPERLINK("http://141.218.60.56/~jnz1568/getInfo.php?workbook=20_13.xlsx&amp;sheet=U0&amp;row=1250&amp;col=6&amp;number=3.6&amp;sourceID=14","3.6")</f>
        <v>3.6</v>
      </c>
      <c r="G1250" s="4" t="str">
        <f>HYPERLINK("http://141.218.60.56/~jnz1568/getInfo.php?workbook=20_13.xlsx&amp;sheet=U0&amp;row=1250&amp;col=7&amp;number=0.0477&amp;sourceID=14","0.0477")</f>
        <v>0.0477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HYPERLINK("http://141.218.60.56/~jnz1568/getInfo.php?workbook=20_13.xlsx&amp;sheet=U0&amp;row=1251&amp;col=6&amp;number=3.7&amp;sourceID=14","3.7")</f>
        <v>3.7</v>
      </c>
      <c r="G1251" s="4" t="str">
        <f>HYPERLINK("http://141.218.60.56/~jnz1568/getInfo.php?workbook=20_13.xlsx&amp;sheet=U0&amp;row=1251&amp;col=7&amp;number=0.0476&amp;sourceID=14","0.0476")</f>
        <v>0.0476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HYPERLINK("http://141.218.60.56/~jnz1568/getInfo.php?workbook=20_13.xlsx&amp;sheet=U0&amp;row=1252&amp;col=6&amp;number=3.8&amp;sourceID=14","3.8")</f>
        <v>3.8</v>
      </c>
      <c r="G1252" s="4" t="str">
        <f>HYPERLINK("http://141.218.60.56/~jnz1568/getInfo.php?workbook=20_13.xlsx&amp;sheet=U0&amp;row=1252&amp;col=7&amp;number=0.0474&amp;sourceID=14","0.0474")</f>
        <v>0.0474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HYPERLINK("http://141.218.60.56/~jnz1568/getInfo.php?workbook=20_13.xlsx&amp;sheet=U0&amp;row=1253&amp;col=6&amp;number=3.9&amp;sourceID=14","3.9")</f>
        <v>3.9</v>
      </c>
      <c r="G1253" s="4" t="str">
        <f>HYPERLINK("http://141.218.60.56/~jnz1568/getInfo.php?workbook=20_13.xlsx&amp;sheet=U0&amp;row=1253&amp;col=7&amp;number=0.0471&amp;sourceID=14","0.0471")</f>
        <v>0.0471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HYPERLINK("http://141.218.60.56/~jnz1568/getInfo.php?workbook=20_13.xlsx&amp;sheet=U0&amp;row=1254&amp;col=6&amp;number=4&amp;sourceID=14","4")</f>
        <v>4</v>
      </c>
      <c r="G1254" s="4" t="str">
        <f>HYPERLINK("http://141.218.60.56/~jnz1568/getInfo.php?workbook=20_13.xlsx&amp;sheet=U0&amp;row=1254&amp;col=7&amp;number=0.0468&amp;sourceID=14","0.0468")</f>
        <v>0.0468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HYPERLINK("http://141.218.60.56/~jnz1568/getInfo.php?workbook=20_13.xlsx&amp;sheet=U0&amp;row=1255&amp;col=6&amp;number=4.1&amp;sourceID=14","4.1")</f>
        <v>4.1</v>
      </c>
      <c r="G1255" s="4" t="str">
        <f>HYPERLINK("http://141.218.60.56/~jnz1568/getInfo.php?workbook=20_13.xlsx&amp;sheet=U0&amp;row=1255&amp;col=7&amp;number=0.0465&amp;sourceID=14","0.0465")</f>
        <v>0.0465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HYPERLINK("http://141.218.60.56/~jnz1568/getInfo.php?workbook=20_13.xlsx&amp;sheet=U0&amp;row=1256&amp;col=6&amp;number=4.2&amp;sourceID=14","4.2")</f>
        <v>4.2</v>
      </c>
      <c r="G1256" s="4" t="str">
        <f>HYPERLINK("http://141.218.60.56/~jnz1568/getInfo.php?workbook=20_13.xlsx&amp;sheet=U0&amp;row=1256&amp;col=7&amp;number=0.046&amp;sourceID=14","0.046")</f>
        <v>0.046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HYPERLINK("http://141.218.60.56/~jnz1568/getInfo.php?workbook=20_13.xlsx&amp;sheet=U0&amp;row=1257&amp;col=6&amp;number=4.3&amp;sourceID=14","4.3")</f>
        <v>4.3</v>
      </c>
      <c r="G1257" s="4" t="str">
        <f>HYPERLINK("http://141.218.60.56/~jnz1568/getInfo.php?workbook=20_13.xlsx&amp;sheet=U0&amp;row=1257&amp;col=7&amp;number=0.0455&amp;sourceID=14","0.0455")</f>
        <v>0.0455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HYPERLINK("http://141.218.60.56/~jnz1568/getInfo.php?workbook=20_13.xlsx&amp;sheet=U0&amp;row=1258&amp;col=6&amp;number=4.4&amp;sourceID=14","4.4")</f>
        <v>4.4</v>
      </c>
      <c r="G1258" s="4" t="str">
        <f>HYPERLINK("http://141.218.60.56/~jnz1568/getInfo.php?workbook=20_13.xlsx&amp;sheet=U0&amp;row=1258&amp;col=7&amp;number=0.0448&amp;sourceID=14","0.0448")</f>
        <v>0.0448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HYPERLINK("http://141.218.60.56/~jnz1568/getInfo.php?workbook=20_13.xlsx&amp;sheet=U0&amp;row=1259&amp;col=6&amp;number=4.5&amp;sourceID=14","4.5")</f>
        <v>4.5</v>
      </c>
      <c r="G1259" s="4" t="str">
        <f>HYPERLINK("http://141.218.60.56/~jnz1568/getInfo.php?workbook=20_13.xlsx&amp;sheet=U0&amp;row=1259&amp;col=7&amp;number=0.0439&amp;sourceID=14","0.0439")</f>
        <v>0.0439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HYPERLINK("http://141.218.60.56/~jnz1568/getInfo.php?workbook=20_13.xlsx&amp;sheet=U0&amp;row=1260&amp;col=6&amp;number=4.6&amp;sourceID=14","4.6")</f>
        <v>4.6</v>
      </c>
      <c r="G1260" s="4" t="str">
        <f>HYPERLINK("http://141.218.60.56/~jnz1568/getInfo.php?workbook=20_13.xlsx&amp;sheet=U0&amp;row=1260&amp;col=7&amp;number=0.0429&amp;sourceID=14","0.0429")</f>
        <v>0.0429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HYPERLINK("http://141.218.60.56/~jnz1568/getInfo.php?workbook=20_13.xlsx&amp;sheet=U0&amp;row=1261&amp;col=6&amp;number=4.7&amp;sourceID=14","4.7")</f>
        <v>4.7</v>
      </c>
      <c r="G1261" s="4" t="str">
        <f>HYPERLINK("http://141.218.60.56/~jnz1568/getInfo.php?workbook=20_13.xlsx&amp;sheet=U0&amp;row=1261&amp;col=7&amp;number=0.0417&amp;sourceID=14","0.0417")</f>
        <v>0.0417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HYPERLINK("http://141.218.60.56/~jnz1568/getInfo.php?workbook=20_13.xlsx&amp;sheet=U0&amp;row=1262&amp;col=6&amp;number=4.8&amp;sourceID=14","4.8")</f>
        <v>4.8</v>
      </c>
      <c r="G1262" s="4" t="str">
        <f>HYPERLINK("http://141.218.60.56/~jnz1568/getInfo.php?workbook=20_13.xlsx&amp;sheet=U0&amp;row=1262&amp;col=7&amp;number=0.0403&amp;sourceID=14","0.0403")</f>
        <v>0.0403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HYPERLINK("http://141.218.60.56/~jnz1568/getInfo.php?workbook=20_13.xlsx&amp;sheet=U0&amp;row=1263&amp;col=6&amp;number=4.9&amp;sourceID=14","4.9")</f>
        <v>4.9</v>
      </c>
      <c r="G1263" s="4" t="str">
        <f>HYPERLINK("http://141.218.60.56/~jnz1568/getInfo.php?workbook=20_13.xlsx&amp;sheet=U0&amp;row=1263&amp;col=7&amp;number=0.0387&amp;sourceID=14","0.0387")</f>
        <v>0.0387</v>
      </c>
    </row>
    <row r="1264" spans="1:7">
      <c r="A1264" s="3">
        <v>20</v>
      </c>
      <c r="B1264" s="3">
        <v>13</v>
      </c>
      <c r="C1264" s="3">
        <v>2</v>
      </c>
      <c r="D1264" s="3">
        <v>27</v>
      </c>
      <c r="E1264" s="3">
        <v>1</v>
      </c>
      <c r="F1264" s="4" t="str">
        <f>HYPERLINK("http://141.218.60.56/~jnz1568/getInfo.php?workbook=20_13.xlsx&amp;sheet=U0&amp;row=1264&amp;col=6&amp;number=3&amp;sourceID=14","3")</f>
        <v>3</v>
      </c>
      <c r="G1264" s="4" t="str">
        <f>HYPERLINK("http://141.218.60.56/~jnz1568/getInfo.php?workbook=20_13.xlsx&amp;sheet=U0&amp;row=1264&amp;col=7&amp;number=0.0755&amp;sourceID=14","0.0755")</f>
        <v>0.0755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HYPERLINK("http://141.218.60.56/~jnz1568/getInfo.php?workbook=20_13.xlsx&amp;sheet=U0&amp;row=1265&amp;col=6&amp;number=3.1&amp;sourceID=14","3.1")</f>
        <v>3.1</v>
      </c>
      <c r="G1265" s="4" t="str">
        <f>HYPERLINK("http://141.218.60.56/~jnz1568/getInfo.php?workbook=20_13.xlsx&amp;sheet=U0&amp;row=1265&amp;col=7&amp;number=0.0754&amp;sourceID=14","0.0754")</f>
        <v>0.0754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HYPERLINK("http://141.218.60.56/~jnz1568/getInfo.php?workbook=20_13.xlsx&amp;sheet=U0&amp;row=1266&amp;col=6&amp;number=3.2&amp;sourceID=14","3.2")</f>
        <v>3.2</v>
      </c>
      <c r="G1266" s="4" t="str">
        <f>HYPERLINK("http://141.218.60.56/~jnz1568/getInfo.php?workbook=20_13.xlsx&amp;sheet=U0&amp;row=1266&amp;col=7&amp;number=0.0753&amp;sourceID=14","0.0753")</f>
        <v>0.0753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HYPERLINK("http://141.218.60.56/~jnz1568/getInfo.php?workbook=20_13.xlsx&amp;sheet=U0&amp;row=1267&amp;col=6&amp;number=3.3&amp;sourceID=14","3.3")</f>
        <v>3.3</v>
      </c>
      <c r="G1267" s="4" t="str">
        <f>HYPERLINK("http://141.218.60.56/~jnz1568/getInfo.php?workbook=20_13.xlsx&amp;sheet=U0&amp;row=1267&amp;col=7&amp;number=0.0753&amp;sourceID=14","0.0753")</f>
        <v>0.0753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HYPERLINK("http://141.218.60.56/~jnz1568/getInfo.php?workbook=20_13.xlsx&amp;sheet=U0&amp;row=1268&amp;col=6&amp;number=3.4&amp;sourceID=14","3.4")</f>
        <v>3.4</v>
      </c>
      <c r="G1268" s="4" t="str">
        <f>HYPERLINK("http://141.218.60.56/~jnz1568/getInfo.php?workbook=20_13.xlsx&amp;sheet=U0&amp;row=1268&amp;col=7&amp;number=0.0751&amp;sourceID=14","0.0751")</f>
        <v>0.0751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HYPERLINK("http://141.218.60.56/~jnz1568/getInfo.php?workbook=20_13.xlsx&amp;sheet=U0&amp;row=1269&amp;col=6&amp;number=3.5&amp;sourceID=14","3.5")</f>
        <v>3.5</v>
      </c>
      <c r="G1269" s="4" t="str">
        <f>HYPERLINK("http://141.218.60.56/~jnz1568/getInfo.php?workbook=20_13.xlsx&amp;sheet=U0&amp;row=1269&amp;col=7&amp;number=0.075&amp;sourceID=14","0.075")</f>
        <v>0.075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HYPERLINK("http://141.218.60.56/~jnz1568/getInfo.php?workbook=20_13.xlsx&amp;sheet=U0&amp;row=1270&amp;col=6&amp;number=3.6&amp;sourceID=14","3.6")</f>
        <v>3.6</v>
      </c>
      <c r="G1270" s="4" t="str">
        <f>HYPERLINK("http://141.218.60.56/~jnz1568/getInfo.php?workbook=20_13.xlsx&amp;sheet=U0&amp;row=1270&amp;col=7&amp;number=0.0748&amp;sourceID=14","0.0748")</f>
        <v>0.0748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HYPERLINK("http://141.218.60.56/~jnz1568/getInfo.php?workbook=20_13.xlsx&amp;sheet=U0&amp;row=1271&amp;col=6&amp;number=3.7&amp;sourceID=14","3.7")</f>
        <v>3.7</v>
      </c>
      <c r="G1271" s="4" t="str">
        <f>HYPERLINK("http://141.218.60.56/~jnz1568/getInfo.php?workbook=20_13.xlsx&amp;sheet=U0&amp;row=1271&amp;col=7&amp;number=0.0746&amp;sourceID=14","0.0746")</f>
        <v>0.0746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HYPERLINK("http://141.218.60.56/~jnz1568/getInfo.php?workbook=20_13.xlsx&amp;sheet=U0&amp;row=1272&amp;col=6&amp;number=3.8&amp;sourceID=14","3.8")</f>
        <v>3.8</v>
      </c>
      <c r="G1272" s="4" t="str">
        <f>HYPERLINK("http://141.218.60.56/~jnz1568/getInfo.php?workbook=20_13.xlsx&amp;sheet=U0&amp;row=1272&amp;col=7&amp;number=0.0744&amp;sourceID=14","0.0744")</f>
        <v>0.0744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HYPERLINK("http://141.218.60.56/~jnz1568/getInfo.php?workbook=20_13.xlsx&amp;sheet=U0&amp;row=1273&amp;col=6&amp;number=3.9&amp;sourceID=14","3.9")</f>
        <v>3.9</v>
      </c>
      <c r="G1273" s="4" t="str">
        <f>HYPERLINK("http://141.218.60.56/~jnz1568/getInfo.php?workbook=20_13.xlsx&amp;sheet=U0&amp;row=1273&amp;col=7&amp;number=0.074&amp;sourceID=14","0.074")</f>
        <v>0.074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HYPERLINK("http://141.218.60.56/~jnz1568/getInfo.php?workbook=20_13.xlsx&amp;sheet=U0&amp;row=1274&amp;col=6&amp;number=4&amp;sourceID=14","4")</f>
        <v>4</v>
      </c>
      <c r="G1274" s="4" t="str">
        <f>HYPERLINK("http://141.218.60.56/~jnz1568/getInfo.php?workbook=20_13.xlsx&amp;sheet=U0&amp;row=1274&amp;col=7&amp;number=0.0736&amp;sourceID=14","0.0736")</f>
        <v>0.0736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HYPERLINK("http://141.218.60.56/~jnz1568/getInfo.php?workbook=20_13.xlsx&amp;sheet=U0&amp;row=1275&amp;col=6&amp;number=4.1&amp;sourceID=14","4.1")</f>
        <v>4.1</v>
      </c>
      <c r="G1275" s="4" t="str">
        <f>HYPERLINK("http://141.218.60.56/~jnz1568/getInfo.php?workbook=20_13.xlsx&amp;sheet=U0&amp;row=1275&amp;col=7&amp;number=0.0731&amp;sourceID=14","0.0731")</f>
        <v>0.0731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HYPERLINK("http://141.218.60.56/~jnz1568/getInfo.php?workbook=20_13.xlsx&amp;sheet=U0&amp;row=1276&amp;col=6&amp;number=4.2&amp;sourceID=14","4.2")</f>
        <v>4.2</v>
      </c>
      <c r="G1276" s="4" t="str">
        <f>HYPERLINK("http://141.218.60.56/~jnz1568/getInfo.php?workbook=20_13.xlsx&amp;sheet=U0&amp;row=1276&amp;col=7&amp;number=0.0724&amp;sourceID=14","0.0724")</f>
        <v>0.0724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HYPERLINK("http://141.218.60.56/~jnz1568/getInfo.php?workbook=20_13.xlsx&amp;sheet=U0&amp;row=1277&amp;col=6&amp;number=4.3&amp;sourceID=14","4.3")</f>
        <v>4.3</v>
      </c>
      <c r="G1277" s="4" t="str">
        <f>HYPERLINK("http://141.218.60.56/~jnz1568/getInfo.php?workbook=20_13.xlsx&amp;sheet=U0&amp;row=1277&amp;col=7&amp;number=0.0716&amp;sourceID=14","0.0716")</f>
        <v>0.0716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HYPERLINK("http://141.218.60.56/~jnz1568/getInfo.php?workbook=20_13.xlsx&amp;sheet=U0&amp;row=1278&amp;col=6&amp;number=4.4&amp;sourceID=14","4.4")</f>
        <v>4.4</v>
      </c>
      <c r="G1278" s="4" t="str">
        <f>HYPERLINK("http://141.218.60.56/~jnz1568/getInfo.php?workbook=20_13.xlsx&amp;sheet=U0&amp;row=1278&amp;col=7&amp;number=0.0706&amp;sourceID=14","0.0706")</f>
        <v>0.0706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HYPERLINK("http://141.218.60.56/~jnz1568/getInfo.php?workbook=20_13.xlsx&amp;sheet=U0&amp;row=1279&amp;col=6&amp;number=4.5&amp;sourceID=14","4.5")</f>
        <v>4.5</v>
      </c>
      <c r="G1279" s="4" t="str">
        <f>HYPERLINK("http://141.218.60.56/~jnz1568/getInfo.php?workbook=20_13.xlsx&amp;sheet=U0&amp;row=1279&amp;col=7&amp;number=0.0693&amp;sourceID=14","0.0693")</f>
        <v>0.0693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HYPERLINK("http://141.218.60.56/~jnz1568/getInfo.php?workbook=20_13.xlsx&amp;sheet=U0&amp;row=1280&amp;col=6&amp;number=4.6&amp;sourceID=14","4.6")</f>
        <v>4.6</v>
      </c>
      <c r="G1280" s="4" t="str">
        <f>HYPERLINK("http://141.218.60.56/~jnz1568/getInfo.php?workbook=20_13.xlsx&amp;sheet=U0&amp;row=1280&amp;col=7&amp;number=0.0678&amp;sourceID=14","0.0678")</f>
        <v>0.0678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HYPERLINK("http://141.218.60.56/~jnz1568/getInfo.php?workbook=20_13.xlsx&amp;sheet=U0&amp;row=1281&amp;col=6&amp;number=4.7&amp;sourceID=14","4.7")</f>
        <v>4.7</v>
      </c>
      <c r="G1281" s="4" t="str">
        <f>HYPERLINK("http://141.218.60.56/~jnz1568/getInfo.php?workbook=20_13.xlsx&amp;sheet=U0&amp;row=1281&amp;col=7&amp;number=0.0661&amp;sourceID=14","0.0661")</f>
        <v>0.0661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HYPERLINK("http://141.218.60.56/~jnz1568/getInfo.php?workbook=20_13.xlsx&amp;sheet=U0&amp;row=1282&amp;col=6&amp;number=4.8&amp;sourceID=14","4.8")</f>
        <v>4.8</v>
      </c>
      <c r="G1282" s="4" t="str">
        <f>HYPERLINK("http://141.218.60.56/~jnz1568/getInfo.php?workbook=20_13.xlsx&amp;sheet=U0&amp;row=1282&amp;col=7&amp;number=0.064&amp;sourceID=14","0.064")</f>
        <v>0.064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HYPERLINK("http://141.218.60.56/~jnz1568/getInfo.php?workbook=20_13.xlsx&amp;sheet=U0&amp;row=1283&amp;col=6&amp;number=4.9&amp;sourceID=14","4.9")</f>
        <v>4.9</v>
      </c>
      <c r="G1283" s="4" t="str">
        <f>HYPERLINK("http://141.218.60.56/~jnz1568/getInfo.php?workbook=20_13.xlsx&amp;sheet=U0&amp;row=1283&amp;col=7&amp;number=0.0616&amp;sourceID=14","0.0616")</f>
        <v>0.0616</v>
      </c>
    </row>
    <row r="1284" spans="1:7">
      <c r="A1284" s="3">
        <v>20</v>
      </c>
      <c r="B1284" s="3">
        <v>13</v>
      </c>
      <c r="C1284" s="3">
        <v>2</v>
      </c>
      <c r="D1284" s="3">
        <v>28</v>
      </c>
      <c r="E1284" s="3">
        <v>1</v>
      </c>
      <c r="F1284" s="4" t="str">
        <f>HYPERLINK("http://141.218.60.56/~jnz1568/getInfo.php?workbook=20_13.xlsx&amp;sheet=U0&amp;row=1284&amp;col=6&amp;number=3&amp;sourceID=14","3")</f>
        <v>3</v>
      </c>
      <c r="G1284" s="4" t="str">
        <f>HYPERLINK("http://141.218.60.56/~jnz1568/getInfo.php?workbook=20_13.xlsx&amp;sheet=U0&amp;row=1284&amp;col=7&amp;number=0.0963&amp;sourceID=14","0.0963")</f>
        <v>0.0963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HYPERLINK("http://141.218.60.56/~jnz1568/getInfo.php?workbook=20_13.xlsx&amp;sheet=U0&amp;row=1285&amp;col=6&amp;number=3.1&amp;sourceID=14","3.1")</f>
        <v>3.1</v>
      </c>
      <c r="G1285" s="4" t="str">
        <f>HYPERLINK("http://141.218.60.56/~jnz1568/getInfo.php?workbook=20_13.xlsx&amp;sheet=U0&amp;row=1285&amp;col=7&amp;number=0.0962&amp;sourceID=14","0.0962")</f>
        <v>0.0962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HYPERLINK("http://141.218.60.56/~jnz1568/getInfo.php?workbook=20_13.xlsx&amp;sheet=U0&amp;row=1286&amp;col=6&amp;number=3.2&amp;sourceID=14","3.2")</f>
        <v>3.2</v>
      </c>
      <c r="G1286" s="4" t="str">
        <f>HYPERLINK("http://141.218.60.56/~jnz1568/getInfo.php?workbook=20_13.xlsx&amp;sheet=U0&amp;row=1286&amp;col=7&amp;number=0.0961&amp;sourceID=14","0.0961")</f>
        <v>0.0961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HYPERLINK("http://141.218.60.56/~jnz1568/getInfo.php?workbook=20_13.xlsx&amp;sheet=U0&amp;row=1287&amp;col=6&amp;number=3.3&amp;sourceID=14","3.3")</f>
        <v>3.3</v>
      </c>
      <c r="G1287" s="4" t="str">
        <f>HYPERLINK("http://141.218.60.56/~jnz1568/getInfo.php?workbook=20_13.xlsx&amp;sheet=U0&amp;row=1287&amp;col=7&amp;number=0.096&amp;sourceID=14","0.096")</f>
        <v>0.096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HYPERLINK("http://141.218.60.56/~jnz1568/getInfo.php?workbook=20_13.xlsx&amp;sheet=U0&amp;row=1288&amp;col=6&amp;number=3.4&amp;sourceID=14","3.4")</f>
        <v>3.4</v>
      </c>
      <c r="G1288" s="4" t="str">
        <f>HYPERLINK("http://141.218.60.56/~jnz1568/getInfo.php?workbook=20_13.xlsx&amp;sheet=U0&amp;row=1288&amp;col=7&amp;number=0.0959&amp;sourceID=14","0.0959")</f>
        <v>0.0959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HYPERLINK("http://141.218.60.56/~jnz1568/getInfo.php?workbook=20_13.xlsx&amp;sheet=U0&amp;row=1289&amp;col=6&amp;number=3.5&amp;sourceID=14","3.5")</f>
        <v>3.5</v>
      </c>
      <c r="G1289" s="4" t="str">
        <f>HYPERLINK("http://141.218.60.56/~jnz1568/getInfo.php?workbook=20_13.xlsx&amp;sheet=U0&amp;row=1289&amp;col=7&amp;number=0.0957&amp;sourceID=14","0.0957")</f>
        <v>0.0957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HYPERLINK("http://141.218.60.56/~jnz1568/getInfo.php?workbook=20_13.xlsx&amp;sheet=U0&amp;row=1290&amp;col=6&amp;number=3.6&amp;sourceID=14","3.6")</f>
        <v>3.6</v>
      </c>
      <c r="G1290" s="4" t="str">
        <f>HYPERLINK("http://141.218.60.56/~jnz1568/getInfo.php?workbook=20_13.xlsx&amp;sheet=U0&amp;row=1290&amp;col=7&amp;number=0.0955&amp;sourceID=14","0.0955")</f>
        <v>0.0955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HYPERLINK("http://141.218.60.56/~jnz1568/getInfo.php?workbook=20_13.xlsx&amp;sheet=U0&amp;row=1291&amp;col=6&amp;number=3.7&amp;sourceID=14","3.7")</f>
        <v>3.7</v>
      </c>
      <c r="G1291" s="4" t="str">
        <f>HYPERLINK("http://141.218.60.56/~jnz1568/getInfo.php?workbook=20_13.xlsx&amp;sheet=U0&amp;row=1291&amp;col=7&amp;number=0.0953&amp;sourceID=14","0.0953")</f>
        <v>0.0953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HYPERLINK("http://141.218.60.56/~jnz1568/getInfo.php?workbook=20_13.xlsx&amp;sheet=U0&amp;row=1292&amp;col=6&amp;number=3.8&amp;sourceID=14","3.8")</f>
        <v>3.8</v>
      </c>
      <c r="G1292" s="4" t="str">
        <f>HYPERLINK("http://141.218.60.56/~jnz1568/getInfo.php?workbook=20_13.xlsx&amp;sheet=U0&amp;row=1292&amp;col=7&amp;number=0.0949&amp;sourceID=14","0.0949")</f>
        <v>0.0949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HYPERLINK("http://141.218.60.56/~jnz1568/getInfo.php?workbook=20_13.xlsx&amp;sheet=U0&amp;row=1293&amp;col=6&amp;number=3.9&amp;sourceID=14","3.9")</f>
        <v>3.9</v>
      </c>
      <c r="G1293" s="4" t="str">
        <f>HYPERLINK("http://141.218.60.56/~jnz1568/getInfo.php?workbook=20_13.xlsx&amp;sheet=U0&amp;row=1293&amp;col=7&amp;number=0.0945&amp;sourceID=14","0.0945")</f>
        <v>0.0945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HYPERLINK("http://141.218.60.56/~jnz1568/getInfo.php?workbook=20_13.xlsx&amp;sheet=U0&amp;row=1294&amp;col=6&amp;number=4&amp;sourceID=14","4")</f>
        <v>4</v>
      </c>
      <c r="G1294" s="4" t="str">
        <f>HYPERLINK("http://141.218.60.56/~jnz1568/getInfo.php?workbook=20_13.xlsx&amp;sheet=U0&amp;row=1294&amp;col=7&amp;number=0.094&amp;sourceID=14","0.094")</f>
        <v>0.094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HYPERLINK("http://141.218.60.56/~jnz1568/getInfo.php?workbook=20_13.xlsx&amp;sheet=U0&amp;row=1295&amp;col=6&amp;number=4.1&amp;sourceID=14","4.1")</f>
        <v>4.1</v>
      </c>
      <c r="G1295" s="4" t="str">
        <f>HYPERLINK("http://141.218.60.56/~jnz1568/getInfo.php?workbook=20_13.xlsx&amp;sheet=U0&amp;row=1295&amp;col=7&amp;number=0.0933&amp;sourceID=14","0.0933")</f>
        <v>0.0933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HYPERLINK("http://141.218.60.56/~jnz1568/getInfo.php?workbook=20_13.xlsx&amp;sheet=U0&amp;row=1296&amp;col=6&amp;number=4.2&amp;sourceID=14","4.2")</f>
        <v>4.2</v>
      </c>
      <c r="G1296" s="4" t="str">
        <f>HYPERLINK("http://141.218.60.56/~jnz1568/getInfo.php?workbook=20_13.xlsx&amp;sheet=U0&amp;row=1296&amp;col=7&amp;number=0.0925&amp;sourceID=14","0.0925")</f>
        <v>0.0925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HYPERLINK("http://141.218.60.56/~jnz1568/getInfo.php?workbook=20_13.xlsx&amp;sheet=U0&amp;row=1297&amp;col=6&amp;number=4.3&amp;sourceID=14","4.3")</f>
        <v>4.3</v>
      </c>
      <c r="G1297" s="4" t="str">
        <f>HYPERLINK("http://141.218.60.56/~jnz1568/getInfo.php?workbook=20_13.xlsx&amp;sheet=U0&amp;row=1297&amp;col=7&amp;number=0.0915&amp;sourceID=14","0.0915")</f>
        <v>0.0915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HYPERLINK("http://141.218.60.56/~jnz1568/getInfo.php?workbook=20_13.xlsx&amp;sheet=U0&amp;row=1298&amp;col=6&amp;number=4.4&amp;sourceID=14","4.4")</f>
        <v>4.4</v>
      </c>
      <c r="G1298" s="4" t="str">
        <f>HYPERLINK("http://141.218.60.56/~jnz1568/getInfo.php?workbook=20_13.xlsx&amp;sheet=U0&amp;row=1298&amp;col=7&amp;number=0.0903&amp;sourceID=14","0.0903")</f>
        <v>0.0903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HYPERLINK("http://141.218.60.56/~jnz1568/getInfo.php?workbook=20_13.xlsx&amp;sheet=U0&amp;row=1299&amp;col=6&amp;number=4.5&amp;sourceID=14","4.5")</f>
        <v>4.5</v>
      </c>
      <c r="G1299" s="4" t="str">
        <f>HYPERLINK("http://141.218.60.56/~jnz1568/getInfo.php?workbook=20_13.xlsx&amp;sheet=U0&amp;row=1299&amp;col=7&amp;number=0.0888&amp;sourceID=14","0.0888")</f>
        <v>0.0888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HYPERLINK("http://141.218.60.56/~jnz1568/getInfo.php?workbook=20_13.xlsx&amp;sheet=U0&amp;row=1300&amp;col=6&amp;number=4.6&amp;sourceID=14","4.6")</f>
        <v>4.6</v>
      </c>
      <c r="G1300" s="4" t="str">
        <f>HYPERLINK("http://141.218.60.56/~jnz1568/getInfo.php?workbook=20_13.xlsx&amp;sheet=U0&amp;row=1300&amp;col=7&amp;number=0.0869&amp;sourceID=14","0.0869")</f>
        <v>0.0869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HYPERLINK("http://141.218.60.56/~jnz1568/getInfo.php?workbook=20_13.xlsx&amp;sheet=U0&amp;row=1301&amp;col=6&amp;number=4.7&amp;sourceID=14","4.7")</f>
        <v>4.7</v>
      </c>
      <c r="G1301" s="4" t="str">
        <f>HYPERLINK("http://141.218.60.56/~jnz1568/getInfo.php?workbook=20_13.xlsx&amp;sheet=U0&amp;row=1301&amp;col=7&amp;number=0.0847&amp;sourceID=14","0.0847")</f>
        <v>0.0847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HYPERLINK("http://141.218.60.56/~jnz1568/getInfo.php?workbook=20_13.xlsx&amp;sheet=U0&amp;row=1302&amp;col=6&amp;number=4.8&amp;sourceID=14","4.8")</f>
        <v>4.8</v>
      </c>
      <c r="G1302" s="4" t="str">
        <f>HYPERLINK("http://141.218.60.56/~jnz1568/getInfo.php?workbook=20_13.xlsx&amp;sheet=U0&amp;row=1302&amp;col=7&amp;number=0.0821&amp;sourceID=14","0.0821")</f>
        <v>0.0821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HYPERLINK("http://141.218.60.56/~jnz1568/getInfo.php?workbook=20_13.xlsx&amp;sheet=U0&amp;row=1303&amp;col=6&amp;number=4.9&amp;sourceID=14","4.9")</f>
        <v>4.9</v>
      </c>
      <c r="G1303" s="4" t="str">
        <f>HYPERLINK("http://141.218.60.56/~jnz1568/getInfo.php?workbook=20_13.xlsx&amp;sheet=U0&amp;row=1303&amp;col=7&amp;number=0.0791&amp;sourceID=14","0.0791")</f>
        <v>0.0791</v>
      </c>
    </row>
    <row r="1304" spans="1:7">
      <c r="A1304" s="3">
        <v>20</v>
      </c>
      <c r="B1304" s="3">
        <v>13</v>
      </c>
      <c r="C1304" s="3">
        <v>2</v>
      </c>
      <c r="D1304" s="3">
        <v>29</v>
      </c>
      <c r="E1304" s="3">
        <v>1</v>
      </c>
      <c r="F1304" s="4" t="str">
        <f>HYPERLINK("http://141.218.60.56/~jnz1568/getInfo.php?workbook=20_13.xlsx&amp;sheet=U0&amp;row=1304&amp;col=6&amp;number=3&amp;sourceID=14","3")</f>
        <v>3</v>
      </c>
      <c r="G1304" s="4" t="str">
        <f>HYPERLINK("http://141.218.60.56/~jnz1568/getInfo.php?workbook=20_13.xlsx&amp;sheet=U0&amp;row=1304&amp;col=7&amp;number=0.118&amp;sourceID=14","0.118")</f>
        <v>0.118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HYPERLINK("http://141.218.60.56/~jnz1568/getInfo.php?workbook=20_13.xlsx&amp;sheet=U0&amp;row=1305&amp;col=6&amp;number=3.1&amp;sourceID=14","3.1")</f>
        <v>3.1</v>
      </c>
      <c r="G1305" s="4" t="str">
        <f>HYPERLINK("http://141.218.60.56/~jnz1568/getInfo.php?workbook=20_13.xlsx&amp;sheet=U0&amp;row=1305&amp;col=7&amp;number=0.118&amp;sourceID=14","0.118")</f>
        <v>0.118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HYPERLINK("http://141.218.60.56/~jnz1568/getInfo.php?workbook=20_13.xlsx&amp;sheet=U0&amp;row=1306&amp;col=6&amp;number=3.2&amp;sourceID=14","3.2")</f>
        <v>3.2</v>
      </c>
      <c r="G1306" s="4" t="str">
        <f>HYPERLINK("http://141.218.60.56/~jnz1568/getInfo.php?workbook=20_13.xlsx&amp;sheet=U0&amp;row=1306&amp;col=7&amp;number=0.118&amp;sourceID=14","0.118")</f>
        <v>0.118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HYPERLINK("http://141.218.60.56/~jnz1568/getInfo.php?workbook=20_13.xlsx&amp;sheet=U0&amp;row=1307&amp;col=6&amp;number=3.3&amp;sourceID=14","3.3")</f>
        <v>3.3</v>
      </c>
      <c r="G1307" s="4" t="str">
        <f>HYPERLINK("http://141.218.60.56/~jnz1568/getInfo.php?workbook=20_13.xlsx&amp;sheet=U0&amp;row=1307&amp;col=7&amp;number=0.118&amp;sourceID=14","0.118")</f>
        <v>0.118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HYPERLINK("http://141.218.60.56/~jnz1568/getInfo.php?workbook=20_13.xlsx&amp;sheet=U0&amp;row=1308&amp;col=6&amp;number=3.4&amp;sourceID=14","3.4")</f>
        <v>3.4</v>
      </c>
      <c r="G1308" s="4" t="str">
        <f>HYPERLINK("http://141.218.60.56/~jnz1568/getInfo.php?workbook=20_13.xlsx&amp;sheet=U0&amp;row=1308&amp;col=7&amp;number=0.118&amp;sourceID=14","0.118")</f>
        <v>0.118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HYPERLINK("http://141.218.60.56/~jnz1568/getInfo.php?workbook=20_13.xlsx&amp;sheet=U0&amp;row=1309&amp;col=6&amp;number=3.5&amp;sourceID=14","3.5")</f>
        <v>3.5</v>
      </c>
      <c r="G1309" s="4" t="str">
        <f>HYPERLINK("http://141.218.60.56/~jnz1568/getInfo.php?workbook=20_13.xlsx&amp;sheet=U0&amp;row=1309&amp;col=7&amp;number=0.118&amp;sourceID=14","0.118")</f>
        <v>0.118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HYPERLINK("http://141.218.60.56/~jnz1568/getInfo.php?workbook=20_13.xlsx&amp;sheet=U0&amp;row=1310&amp;col=6&amp;number=3.6&amp;sourceID=14","3.6")</f>
        <v>3.6</v>
      </c>
      <c r="G1310" s="4" t="str">
        <f>HYPERLINK("http://141.218.60.56/~jnz1568/getInfo.php?workbook=20_13.xlsx&amp;sheet=U0&amp;row=1310&amp;col=7&amp;number=0.118&amp;sourceID=14","0.118")</f>
        <v>0.118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HYPERLINK("http://141.218.60.56/~jnz1568/getInfo.php?workbook=20_13.xlsx&amp;sheet=U0&amp;row=1311&amp;col=6&amp;number=3.7&amp;sourceID=14","3.7")</f>
        <v>3.7</v>
      </c>
      <c r="G1311" s="4" t="str">
        <f>HYPERLINK("http://141.218.60.56/~jnz1568/getInfo.php?workbook=20_13.xlsx&amp;sheet=U0&amp;row=1311&amp;col=7&amp;number=0.117&amp;sourceID=14","0.117")</f>
        <v>0.117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HYPERLINK("http://141.218.60.56/~jnz1568/getInfo.php?workbook=20_13.xlsx&amp;sheet=U0&amp;row=1312&amp;col=6&amp;number=3.8&amp;sourceID=14","3.8")</f>
        <v>3.8</v>
      </c>
      <c r="G1312" s="4" t="str">
        <f>HYPERLINK("http://141.218.60.56/~jnz1568/getInfo.php?workbook=20_13.xlsx&amp;sheet=U0&amp;row=1312&amp;col=7&amp;number=0.117&amp;sourceID=14","0.117")</f>
        <v>0.117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HYPERLINK("http://141.218.60.56/~jnz1568/getInfo.php?workbook=20_13.xlsx&amp;sheet=U0&amp;row=1313&amp;col=6&amp;number=3.9&amp;sourceID=14","3.9")</f>
        <v>3.9</v>
      </c>
      <c r="G1313" s="4" t="str">
        <f>HYPERLINK("http://141.218.60.56/~jnz1568/getInfo.php?workbook=20_13.xlsx&amp;sheet=U0&amp;row=1313&amp;col=7&amp;number=0.117&amp;sourceID=14","0.117")</f>
        <v>0.117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HYPERLINK("http://141.218.60.56/~jnz1568/getInfo.php?workbook=20_13.xlsx&amp;sheet=U0&amp;row=1314&amp;col=6&amp;number=4&amp;sourceID=14","4")</f>
        <v>4</v>
      </c>
      <c r="G1314" s="4" t="str">
        <f>HYPERLINK("http://141.218.60.56/~jnz1568/getInfo.php?workbook=20_13.xlsx&amp;sheet=U0&amp;row=1314&amp;col=7&amp;number=0.116&amp;sourceID=14","0.116")</f>
        <v>0.116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HYPERLINK("http://141.218.60.56/~jnz1568/getInfo.php?workbook=20_13.xlsx&amp;sheet=U0&amp;row=1315&amp;col=6&amp;number=4.1&amp;sourceID=14","4.1")</f>
        <v>4.1</v>
      </c>
      <c r="G1315" s="4" t="str">
        <f>HYPERLINK("http://141.218.60.56/~jnz1568/getInfo.php?workbook=20_13.xlsx&amp;sheet=U0&amp;row=1315&amp;col=7&amp;number=0.115&amp;sourceID=14","0.115")</f>
        <v>0.115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HYPERLINK("http://141.218.60.56/~jnz1568/getInfo.php?workbook=20_13.xlsx&amp;sheet=U0&amp;row=1316&amp;col=6&amp;number=4.2&amp;sourceID=14","4.2")</f>
        <v>4.2</v>
      </c>
      <c r="G1316" s="4" t="str">
        <f>HYPERLINK("http://141.218.60.56/~jnz1568/getInfo.php?workbook=20_13.xlsx&amp;sheet=U0&amp;row=1316&amp;col=7&amp;number=0.114&amp;sourceID=14","0.114")</f>
        <v>0.114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HYPERLINK("http://141.218.60.56/~jnz1568/getInfo.php?workbook=20_13.xlsx&amp;sheet=U0&amp;row=1317&amp;col=6&amp;number=4.3&amp;sourceID=14","4.3")</f>
        <v>4.3</v>
      </c>
      <c r="G1317" s="4" t="str">
        <f>HYPERLINK("http://141.218.60.56/~jnz1568/getInfo.php?workbook=20_13.xlsx&amp;sheet=U0&amp;row=1317&amp;col=7&amp;number=0.113&amp;sourceID=14","0.113")</f>
        <v>0.113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HYPERLINK("http://141.218.60.56/~jnz1568/getInfo.php?workbook=20_13.xlsx&amp;sheet=U0&amp;row=1318&amp;col=6&amp;number=4.4&amp;sourceID=14","4.4")</f>
        <v>4.4</v>
      </c>
      <c r="G1318" s="4" t="str">
        <f>HYPERLINK("http://141.218.60.56/~jnz1568/getInfo.php?workbook=20_13.xlsx&amp;sheet=U0&amp;row=1318&amp;col=7&amp;number=0.112&amp;sourceID=14","0.112")</f>
        <v>0.112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HYPERLINK("http://141.218.60.56/~jnz1568/getInfo.php?workbook=20_13.xlsx&amp;sheet=U0&amp;row=1319&amp;col=6&amp;number=4.5&amp;sourceID=14","4.5")</f>
        <v>4.5</v>
      </c>
      <c r="G1319" s="4" t="str">
        <f>HYPERLINK("http://141.218.60.56/~jnz1568/getInfo.php?workbook=20_13.xlsx&amp;sheet=U0&amp;row=1319&amp;col=7&amp;number=0.111&amp;sourceID=14","0.111")</f>
        <v>0.111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HYPERLINK("http://141.218.60.56/~jnz1568/getInfo.php?workbook=20_13.xlsx&amp;sheet=U0&amp;row=1320&amp;col=6&amp;number=4.6&amp;sourceID=14","4.6")</f>
        <v>4.6</v>
      </c>
      <c r="G1320" s="4" t="str">
        <f>HYPERLINK("http://141.218.60.56/~jnz1568/getInfo.php?workbook=20_13.xlsx&amp;sheet=U0&amp;row=1320&amp;col=7&amp;number=0.109&amp;sourceID=14","0.109")</f>
        <v>0.109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HYPERLINK("http://141.218.60.56/~jnz1568/getInfo.php?workbook=20_13.xlsx&amp;sheet=U0&amp;row=1321&amp;col=6&amp;number=4.7&amp;sourceID=14","4.7")</f>
        <v>4.7</v>
      </c>
      <c r="G1321" s="4" t="str">
        <f>HYPERLINK("http://141.218.60.56/~jnz1568/getInfo.php?workbook=20_13.xlsx&amp;sheet=U0&amp;row=1321&amp;col=7&amp;number=0.107&amp;sourceID=14","0.107")</f>
        <v>0.107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HYPERLINK("http://141.218.60.56/~jnz1568/getInfo.php?workbook=20_13.xlsx&amp;sheet=U0&amp;row=1322&amp;col=6&amp;number=4.8&amp;sourceID=14","4.8")</f>
        <v>4.8</v>
      </c>
      <c r="G1322" s="4" t="str">
        <f>HYPERLINK("http://141.218.60.56/~jnz1568/getInfo.php?workbook=20_13.xlsx&amp;sheet=U0&amp;row=1322&amp;col=7&amp;number=0.104&amp;sourceID=14","0.104")</f>
        <v>0.104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HYPERLINK("http://141.218.60.56/~jnz1568/getInfo.php?workbook=20_13.xlsx&amp;sheet=U0&amp;row=1323&amp;col=6&amp;number=4.9&amp;sourceID=14","4.9")</f>
        <v>4.9</v>
      </c>
      <c r="G1323" s="4" t="str">
        <f>HYPERLINK("http://141.218.60.56/~jnz1568/getInfo.php?workbook=20_13.xlsx&amp;sheet=U0&amp;row=1323&amp;col=7&amp;number=0.101&amp;sourceID=14","0.101")</f>
        <v>0.101</v>
      </c>
    </row>
    <row r="1324" spans="1:7">
      <c r="A1324" s="3">
        <v>20</v>
      </c>
      <c r="B1324" s="3">
        <v>13</v>
      </c>
      <c r="C1324" s="3">
        <v>2</v>
      </c>
      <c r="D1324" s="3">
        <v>30</v>
      </c>
      <c r="E1324" s="3">
        <v>1</v>
      </c>
      <c r="F1324" s="4" t="str">
        <f>HYPERLINK("http://141.218.60.56/~jnz1568/getInfo.php?workbook=20_13.xlsx&amp;sheet=U0&amp;row=1324&amp;col=6&amp;number=3&amp;sourceID=14","3")</f>
        <v>3</v>
      </c>
      <c r="G1324" s="4" t="str">
        <f>HYPERLINK("http://141.218.60.56/~jnz1568/getInfo.php?workbook=20_13.xlsx&amp;sheet=U0&amp;row=1324&amp;col=7&amp;number=0.0679&amp;sourceID=14","0.0679")</f>
        <v>0.0679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HYPERLINK("http://141.218.60.56/~jnz1568/getInfo.php?workbook=20_13.xlsx&amp;sheet=U0&amp;row=1325&amp;col=6&amp;number=3.1&amp;sourceID=14","3.1")</f>
        <v>3.1</v>
      </c>
      <c r="G1325" s="4" t="str">
        <f>HYPERLINK("http://141.218.60.56/~jnz1568/getInfo.php?workbook=20_13.xlsx&amp;sheet=U0&amp;row=1325&amp;col=7&amp;number=0.0678&amp;sourceID=14","0.0678")</f>
        <v>0.0678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HYPERLINK("http://141.218.60.56/~jnz1568/getInfo.php?workbook=20_13.xlsx&amp;sheet=U0&amp;row=1326&amp;col=6&amp;number=3.2&amp;sourceID=14","3.2")</f>
        <v>3.2</v>
      </c>
      <c r="G1326" s="4" t="str">
        <f>HYPERLINK("http://141.218.60.56/~jnz1568/getInfo.php?workbook=20_13.xlsx&amp;sheet=U0&amp;row=1326&amp;col=7&amp;number=0.0678&amp;sourceID=14","0.0678")</f>
        <v>0.0678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HYPERLINK("http://141.218.60.56/~jnz1568/getInfo.php?workbook=20_13.xlsx&amp;sheet=U0&amp;row=1327&amp;col=6&amp;number=3.3&amp;sourceID=14","3.3")</f>
        <v>3.3</v>
      </c>
      <c r="G1327" s="4" t="str">
        <f>HYPERLINK("http://141.218.60.56/~jnz1568/getInfo.php?workbook=20_13.xlsx&amp;sheet=U0&amp;row=1327&amp;col=7&amp;number=0.0677&amp;sourceID=14","0.0677")</f>
        <v>0.0677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HYPERLINK("http://141.218.60.56/~jnz1568/getInfo.php?workbook=20_13.xlsx&amp;sheet=U0&amp;row=1328&amp;col=6&amp;number=3.4&amp;sourceID=14","3.4")</f>
        <v>3.4</v>
      </c>
      <c r="G1328" s="4" t="str">
        <f>HYPERLINK("http://141.218.60.56/~jnz1568/getInfo.php?workbook=20_13.xlsx&amp;sheet=U0&amp;row=1328&amp;col=7&amp;number=0.0676&amp;sourceID=14","0.0676")</f>
        <v>0.0676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HYPERLINK("http://141.218.60.56/~jnz1568/getInfo.php?workbook=20_13.xlsx&amp;sheet=U0&amp;row=1329&amp;col=6&amp;number=3.5&amp;sourceID=14","3.5")</f>
        <v>3.5</v>
      </c>
      <c r="G1329" s="4" t="str">
        <f>HYPERLINK("http://141.218.60.56/~jnz1568/getInfo.php?workbook=20_13.xlsx&amp;sheet=U0&amp;row=1329&amp;col=7&amp;number=0.0674&amp;sourceID=14","0.0674")</f>
        <v>0.0674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HYPERLINK("http://141.218.60.56/~jnz1568/getInfo.php?workbook=20_13.xlsx&amp;sheet=U0&amp;row=1330&amp;col=6&amp;number=3.6&amp;sourceID=14","3.6")</f>
        <v>3.6</v>
      </c>
      <c r="G1330" s="4" t="str">
        <f>HYPERLINK("http://141.218.60.56/~jnz1568/getInfo.php?workbook=20_13.xlsx&amp;sheet=U0&amp;row=1330&amp;col=7&amp;number=0.0673&amp;sourceID=14","0.0673")</f>
        <v>0.0673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HYPERLINK("http://141.218.60.56/~jnz1568/getInfo.php?workbook=20_13.xlsx&amp;sheet=U0&amp;row=1331&amp;col=6&amp;number=3.7&amp;sourceID=14","3.7")</f>
        <v>3.7</v>
      </c>
      <c r="G1331" s="4" t="str">
        <f>HYPERLINK("http://141.218.60.56/~jnz1568/getInfo.php?workbook=20_13.xlsx&amp;sheet=U0&amp;row=1331&amp;col=7&amp;number=0.0671&amp;sourceID=14","0.0671")</f>
        <v>0.0671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HYPERLINK("http://141.218.60.56/~jnz1568/getInfo.php?workbook=20_13.xlsx&amp;sheet=U0&amp;row=1332&amp;col=6&amp;number=3.8&amp;sourceID=14","3.8")</f>
        <v>3.8</v>
      </c>
      <c r="G1332" s="4" t="str">
        <f>HYPERLINK("http://141.218.60.56/~jnz1568/getInfo.php?workbook=20_13.xlsx&amp;sheet=U0&amp;row=1332&amp;col=7&amp;number=0.0668&amp;sourceID=14","0.0668")</f>
        <v>0.0668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HYPERLINK("http://141.218.60.56/~jnz1568/getInfo.php?workbook=20_13.xlsx&amp;sheet=U0&amp;row=1333&amp;col=6&amp;number=3.9&amp;sourceID=14","3.9")</f>
        <v>3.9</v>
      </c>
      <c r="G1333" s="4" t="str">
        <f>HYPERLINK("http://141.218.60.56/~jnz1568/getInfo.php?workbook=20_13.xlsx&amp;sheet=U0&amp;row=1333&amp;col=7&amp;number=0.0665&amp;sourceID=14","0.0665")</f>
        <v>0.0665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HYPERLINK("http://141.218.60.56/~jnz1568/getInfo.php?workbook=20_13.xlsx&amp;sheet=U0&amp;row=1334&amp;col=6&amp;number=4&amp;sourceID=14","4")</f>
        <v>4</v>
      </c>
      <c r="G1334" s="4" t="str">
        <f>HYPERLINK("http://141.218.60.56/~jnz1568/getInfo.php?workbook=20_13.xlsx&amp;sheet=U0&amp;row=1334&amp;col=7&amp;number=0.0661&amp;sourceID=14","0.0661")</f>
        <v>0.0661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HYPERLINK("http://141.218.60.56/~jnz1568/getInfo.php?workbook=20_13.xlsx&amp;sheet=U0&amp;row=1335&amp;col=6&amp;number=4.1&amp;sourceID=14","4.1")</f>
        <v>4.1</v>
      </c>
      <c r="G1335" s="4" t="str">
        <f>HYPERLINK("http://141.218.60.56/~jnz1568/getInfo.php?workbook=20_13.xlsx&amp;sheet=U0&amp;row=1335&amp;col=7&amp;number=0.0656&amp;sourceID=14","0.0656")</f>
        <v>0.0656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HYPERLINK("http://141.218.60.56/~jnz1568/getInfo.php?workbook=20_13.xlsx&amp;sheet=U0&amp;row=1336&amp;col=6&amp;number=4.2&amp;sourceID=14","4.2")</f>
        <v>4.2</v>
      </c>
      <c r="G1336" s="4" t="str">
        <f>HYPERLINK("http://141.218.60.56/~jnz1568/getInfo.php?workbook=20_13.xlsx&amp;sheet=U0&amp;row=1336&amp;col=7&amp;number=0.065&amp;sourceID=14","0.065")</f>
        <v>0.065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HYPERLINK("http://141.218.60.56/~jnz1568/getInfo.php?workbook=20_13.xlsx&amp;sheet=U0&amp;row=1337&amp;col=6&amp;number=4.3&amp;sourceID=14","4.3")</f>
        <v>4.3</v>
      </c>
      <c r="G1337" s="4" t="str">
        <f>HYPERLINK("http://141.218.60.56/~jnz1568/getInfo.php?workbook=20_13.xlsx&amp;sheet=U0&amp;row=1337&amp;col=7&amp;number=0.0643&amp;sourceID=14","0.0643")</f>
        <v>0.0643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HYPERLINK("http://141.218.60.56/~jnz1568/getInfo.php?workbook=20_13.xlsx&amp;sheet=U0&amp;row=1338&amp;col=6&amp;number=4.4&amp;sourceID=14","4.4")</f>
        <v>4.4</v>
      </c>
      <c r="G1338" s="4" t="str">
        <f>HYPERLINK("http://141.218.60.56/~jnz1568/getInfo.php?workbook=20_13.xlsx&amp;sheet=U0&amp;row=1338&amp;col=7&amp;number=0.0634&amp;sourceID=14","0.0634")</f>
        <v>0.0634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HYPERLINK("http://141.218.60.56/~jnz1568/getInfo.php?workbook=20_13.xlsx&amp;sheet=U0&amp;row=1339&amp;col=6&amp;number=4.5&amp;sourceID=14","4.5")</f>
        <v>4.5</v>
      </c>
      <c r="G1339" s="4" t="str">
        <f>HYPERLINK("http://141.218.60.56/~jnz1568/getInfo.php?workbook=20_13.xlsx&amp;sheet=U0&amp;row=1339&amp;col=7&amp;number=0.0622&amp;sourceID=14","0.0622")</f>
        <v>0.0622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HYPERLINK("http://141.218.60.56/~jnz1568/getInfo.php?workbook=20_13.xlsx&amp;sheet=U0&amp;row=1340&amp;col=6&amp;number=4.6&amp;sourceID=14","4.6")</f>
        <v>4.6</v>
      </c>
      <c r="G1340" s="4" t="str">
        <f>HYPERLINK("http://141.218.60.56/~jnz1568/getInfo.php?workbook=20_13.xlsx&amp;sheet=U0&amp;row=1340&amp;col=7&amp;number=0.0609&amp;sourceID=14","0.0609")</f>
        <v>0.0609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HYPERLINK("http://141.218.60.56/~jnz1568/getInfo.php?workbook=20_13.xlsx&amp;sheet=U0&amp;row=1341&amp;col=6&amp;number=4.7&amp;sourceID=14","4.7")</f>
        <v>4.7</v>
      </c>
      <c r="G1341" s="4" t="str">
        <f>HYPERLINK("http://141.218.60.56/~jnz1568/getInfo.php?workbook=20_13.xlsx&amp;sheet=U0&amp;row=1341&amp;col=7&amp;number=0.0594&amp;sourceID=14","0.0594")</f>
        <v>0.0594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HYPERLINK("http://141.218.60.56/~jnz1568/getInfo.php?workbook=20_13.xlsx&amp;sheet=U0&amp;row=1342&amp;col=6&amp;number=4.8&amp;sourceID=14","4.8")</f>
        <v>4.8</v>
      </c>
      <c r="G1342" s="4" t="str">
        <f>HYPERLINK("http://141.218.60.56/~jnz1568/getInfo.php?workbook=20_13.xlsx&amp;sheet=U0&amp;row=1342&amp;col=7&amp;number=0.0577&amp;sourceID=14","0.0577")</f>
        <v>0.0577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HYPERLINK("http://141.218.60.56/~jnz1568/getInfo.php?workbook=20_13.xlsx&amp;sheet=U0&amp;row=1343&amp;col=6&amp;number=4.9&amp;sourceID=14","4.9")</f>
        <v>4.9</v>
      </c>
      <c r="G1343" s="4" t="str">
        <f>HYPERLINK("http://141.218.60.56/~jnz1568/getInfo.php?workbook=20_13.xlsx&amp;sheet=U0&amp;row=1343&amp;col=7&amp;number=0.0559&amp;sourceID=14","0.0559")</f>
        <v>0.0559</v>
      </c>
    </row>
    <row r="1344" spans="1:7">
      <c r="A1344" s="3">
        <v>20</v>
      </c>
      <c r="B1344" s="3">
        <v>13</v>
      </c>
      <c r="C1344" s="3">
        <v>2</v>
      </c>
      <c r="D1344" s="3">
        <v>31</v>
      </c>
      <c r="E1344" s="3">
        <v>1</v>
      </c>
      <c r="F1344" s="4" t="str">
        <f>HYPERLINK("http://141.218.60.56/~jnz1568/getInfo.php?workbook=20_13.xlsx&amp;sheet=U0&amp;row=1344&amp;col=6&amp;number=3&amp;sourceID=14","3")</f>
        <v>3</v>
      </c>
      <c r="G1344" s="4" t="str">
        <f>HYPERLINK("http://141.218.60.56/~jnz1568/getInfo.php?workbook=20_13.xlsx&amp;sheet=U0&amp;row=1344&amp;col=7&amp;number=0.158&amp;sourceID=14","0.158")</f>
        <v>0.158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HYPERLINK("http://141.218.60.56/~jnz1568/getInfo.php?workbook=20_13.xlsx&amp;sheet=U0&amp;row=1345&amp;col=6&amp;number=3.1&amp;sourceID=14","3.1")</f>
        <v>3.1</v>
      </c>
      <c r="G1345" s="4" t="str">
        <f>HYPERLINK("http://141.218.60.56/~jnz1568/getInfo.php?workbook=20_13.xlsx&amp;sheet=U0&amp;row=1345&amp;col=7&amp;number=0.158&amp;sourceID=14","0.158")</f>
        <v>0.158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HYPERLINK("http://141.218.60.56/~jnz1568/getInfo.php?workbook=20_13.xlsx&amp;sheet=U0&amp;row=1346&amp;col=6&amp;number=3.2&amp;sourceID=14","3.2")</f>
        <v>3.2</v>
      </c>
      <c r="G1346" s="4" t="str">
        <f>HYPERLINK("http://141.218.60.56/~jnz1568/getInfo.php?workbook=20_13.xlsx&amp;sheet=U0&amp;row=1346&amp;col=7&amp;number=0.158&amp;sourceID=14","0.158")</f>
        <v>0.158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HYPERLINK("http://141.218.60.56/~jnz1568/getInfo.php?workbook=20_13.xlsx&amp;sheet=U0&amp;row=1347&amp;col=6&amp;number=3.3&amp;sourceID=14","3.3")</f>
        <v>3.3</v>
      </c>
      <c r="G1347" s="4" t="str">
        <f>HYPERLINK("http://141.218.60.56/~jnz1568/getInfo.php?workbook=20_13.xlsx&amp;sheet=U0&amp;row=1347&amp;col=7&amp;number=0.158&amp;sourceID=14","0.158")</f>
        <v>0.158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HYPERLINK("http://141.218.60.56/~jnz1568/getInfo.php?workbook=20_13.xlsx&amp;sheet=U0&amp;row=1348&amp;col=6&amp;number=3.4&amp;sourceID=14","3.4")</f>
        <v>3.4</v>
      </c>
      <c r="G1348" s="4" t="str">
        <f>HYPERLINK("http://141.218.60.56/~jnz1568/getInfo.php?workbook=20_13.xlsx&amp;sheet=U0&amp;row=1348&amp;col=7&amp;number=0.158&amp;sourceID=14","0.158")</f>
        <v>0.158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HYPERLINK("http://141.218.60.56/~jnz1568/getInfo.php?workbook=20_13.xlsx&amp;sheet=U0&amp;row=1349&amp;col=6&amp;number=3.5&amp;sourceID=14","3.5")</f>
        <v>3.5</v>
      </c>
      <c r="G1349" s="4" t="str">
        <f>HYPERLINK("http://141.218.60.56/~jnz1568/getInfo.php?workbook=20_13.xlsx&amp;sheet=U0&amp;row=1349&amp;col=7&amp;number=0.158&amp;sourceID=14","0.158")</f>
        <v>0.158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HYPERLINK("http://141.218.60.56/~jnz1568/getInfo.php?workbook=20_13.xlsx&amp;sheet=U0&amp;row=1350&amp;col=6&amp;number=3.6&amp;sourceID=14","3.6")</f>
        <v>3.6</v>
      </c>
      <c r="G1350" s="4" t="str">
        <f>HYPERLINK("http://141.218.60.56/~jnz1568/getInfo.php?workbook=20_13.xlsx&amp;sheet=U0&amp;row=1350&amp;col=7&amp;number=0.157&amp;sourceID=14","0.157")</f>
        <v>0.157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HYPERLINK("http://141.218.60.56/~jnz1568/getInfo.php?workbook=20_13.xlsx&amp;sheet=U0&amp;row=1351&amp;col=6&amp;number=3.7&amp;sourceID=14","3.7")</f>
        <v>3.7</v>
      </c>
      <c r="G1351" s="4" t="str">
        <f>HYPERLINK("http://141.218.60.56/~jnz1568/getInfo.php?workbook=20_13.xlsx&amp;sheet=U0&amp;row=1351&amp;col=7&amp;number=0.157&amp;sourceID=14","0.157")</f>
        <v>0.157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HYPERLINK("http://141.218.60.56/~jnz1568/getInfo.php?workbook=20_13.xlsx&amp;sheet=U0&amp;row=1352&amp;col=6&amp;number=3.8&amp;sourceID=14","3.8")</f>
        <v>3.8</v>
      </c>
      <c r="G1352" s="4" t="str">
        <f>HYPERLINK("http://141.218.60.56/~jnz1568/getInfo.php?workbook=20_13.xlsx&amp;sheet=U0&amp;row=1352&amp;col=7&amp;number=0.157&amp;sourceID=14","0.157")</f>
        <v>0.157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HYPERLINK("http://141.218.60.56/~jnz1568/getInfo.php?workbook=20_13.xlsx&amp;sheet=U0&amp;row=1353&amp;col=6&amp;number=3.9&amp;sourceID=14","3.9")</f>
        <v>3.9</v>
      </c>
      <c r="G1353" s="4" t="str">
        <f>HYPERLINK("http://141.218.60.56/~jnz1568/getInfo.php?workbook=20_13.xlsx&amp;sheet=U0&amp;row=1353&amp;col=7&amp;number=0.157&amp;sourceID=14","0.157")</f>
        <v>0.157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HYPERLINK("http://141.218.60.56/~jnz1568/getInfo.php?workbook=20_13.xlsx&amp;sheet=U0&amp;row=1354&amp;col=6&amp;number=4&amp;sourceID=14","4")</f>
        <v>4</v>
      </c>
      <c r="G1354" s="4" t="str">
        <f>HYPERLINK("http://141.218.60.56/~jnz1568/getInfo.php?workbook=20_13.xlsx&amp;sheet=U0&amp;row=1354&amp;col=7&amp;number=0.156&amp;sourceID=14","0.156")</f>
        <v>0.156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HYPERLINK("http://141.218.60.56/~jnz1568/getInfo.php?workbook=20_13.xlsx&amp;sheet=U0&amp;row=1355&amp;col=6&amp;number=4.1&amp;sourceID=14","4.1")</f>
        <v>4.1</v>
      </c>
      <c r="G1355" s="4" t="str">
        <f>HYPERLINK("http://141.218.60.56/~jnz1568/getInfo.php?workbook=20_13.xlsx&amp;sheet=U0&amp;row=1355&amp;col=7&amp;number=0.156&amp;sourceID=14","0.156")</f>
        <v>0.156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HYPERLINK("http://141.218.60.56/~jnz1568/getInfo.php?workbook=20_13.xlsx&amp;sheet=U0&amp;row=1356&amp;col=6&amp;number=4.2&amp;sourceID=14","4.2")</f>
        <v>4.2</v>
      </c>
      <c r="G1356" s="4" t="str">
        <f>HYPERLINK("http://141.218.60.56/~jnz1568/getInfo.php?workbook=20_13.xlsx&amp;sheet=U0&amp;row=1356&amp;col=7&amp;number=0.156&amp;sourceID=14","0.156")</f>
        <v>0.156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HYPERLINK("http://141.218.60.56/~jnz1568/getInfo.php?workbook=20_13.xlsx&amp;sheet=U0&amp;row=1357&amp;col=6&amp;number=4.3&amp;sourceID=14","4.3")</f>
        <v>4.3</v>
      </c>
      <c r="G1357" s="4" t="str">
        <f>HYPERLINK("http://141.218.60.56/~jnz1568/getInfo.php?workbook=20_13.xlsx&amp;sheet=U0&amp;row=1357&amp;col=7&amp;number=0.155&amp;sourceID=14","0.155")</f>
        <v>0.155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HYPERLINK("http://141.218.60.56/~jnz1568/getInfo.php?workbook=20_13.xlsx&amp;sheet=U0&amp;row=1358&amp;col=6&amp;number=4.4&amp;sourceID=14","4.4")</f>
        <v>4.4</v>
      </c>
      <c r="G1358" s="4" t="str">
        <f>HYPERLINK("http://141.218.60.56/~jnz1568/getInfo.php?workbook=20_13.xlsx&amp;sheet=U0&amp;row=1358&amp;col=7&amp;number=0.154&amp;sourceID=14","0.154")</f>
        <v>0.154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HYPERLINK("http://141.218.60.56/~jnz1568/getInfo.php?workbook=20_13.xlsx&amp;sheet=U0&amp;row=1359&amp;col=6&amp;number=4.5&amp;sourceID=14","4.5")</f>
        <v>4.5</v>
      </c>
      <c r="G1359" s="4" t="str">
        <f>HYPERLINK("http://141.218.60.56/~jnz1568/getInfo.php?workbook=20_13.xlsx&amp;sheet=U0&amp;row=1359&amp;col=7&amp;number=0.153&amp;sourceID=14","0.153")</f>
        <v>0.153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HYPERLINK("http://141.218.60.56/~jnz1568/getInfo.php?workbook=20_13.xlsx&amp;sheet=U0&amp;row=1360&amp;col=6&amp;number=4.6&amp;sourceID=14","4.6")</f>
        <v>4.6</v>
      </c>
      <c r="G1360" s="4" t="str">
        <f>HYPERLINK("http://141.218.60.56/~jnz1568/getInfo.php?workbook=20_13.xlsx&amp;sheet=U0&amp;row=1360&amp;col=7&amp;number=0.152&amp;sourceID=14","0.152")</f>
        <v>0.152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HYPERLINK("http://141.218.60.56/~jnz1568/getInfo.php?workbook=20_13.xlsx&amp;sheet=U0&amp;row=1361&amp;col=6&amp;number=4.7&amp;sourceID=14","4.7")</f>
        <v>4.7</v>
      </c>
      <c r="G1361" s="4" t="str">
        <f>HYPERLINK("http://141.218.60.56/~jnz1568/getInfo.php?workbook=20_13.xlsx&amp;sheet=U0&amp;row=1361&amp;col=7&amp;number=0.151&amp;sourceID=14","0.151")</f>
        <v>0.151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HYPERLINK("http://141.218.60.56/~jnz1568/getInfo.php?workbook=20_13.xlsx&amp;sheet=U0&amp;row=1362&amp;col=6&amp;number=4.8&amp;sourceID=14","4.8")</f>
        <v>4.8</v>
      </c>
      <c r="G1362" s="4" t="str">
        <f>HYPERLINK("http://141.218.60.56/~jnz1568/getInfo.php?workbook=20_13.xlsx&amp;sheet=U0&amp;row=1362&amp;col=7&amp;number=0.149&amp;sourceID=14","0.149")</f>
        <v>0.149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HYPERLINK("http://141.218.60.56/~jnz1568/getInfo.php?workbook=20_13.xlsx&amp;sheet=U0&amp;row=1363&amp;col=6&amp;number=4.9&amp;sourceID=14","4.9")</f>
        <v>4.9</v>
      </c>
      <c r="G1363" s="4" t="str">
        <f>HYPERLINK("http://141.218.60.56/~jnz1568/getInfo.php?workbook=20_13.xlsx&amp;sheet=U0&amp;row=1363&amp;col=7&amp;number=0.148&amp;sourceID=14","0.148")</f>
        <v>0.148</v>
      </c>
    </row>
    <row r="1364" spans="1:7">
      <c r="A1364" s="3">
        <v>20</v>
      </c>
      <c r="B1364" s="3">
        <v>13</v>
      </c>
      <c r="C1364" s="3">
        <v>2</v>
      </c>
      <c r="D1364" s="3">
        <v>32</v>
      </c>
      <c r="E1364" s="3">
        <v>1</v>
      </c>
      <c r="F1364" s="4" t="str">
        <f>HYPERLINK("http://141.218.60.56/~jnz1568/getInfo.php?workbook=20_13.xlsx&amp;sheet=U0&amp;row=1364&amp;col=6&amp;number=3&amp;sourceID=14","3")</f>
        <v>3</v>
      </c>
      <c r="G1364" s="4" t="str">
        <f>HYPERLINK("http://141.218.60.56/~jnz1568/getInfo.php?workbook=20_13.xlsx&amp;sheet=U0&amp;row=1364&amp;col=7&amp;number=0.743&amp;sourceID=14","0.743")</f>
        <v>0.743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HYPERLINK("http://141.218.60.56/~jnz1568/getInfo.php?workbook=20_13.xlsx&amp;sheet=U0&amp;row=1365&amp;col=6&amp;number=3.1&amp;sourceID=14","3.1")</f>
        <v>3.1</v>
      </c>
      <c r="G1365" s="4" t="str">
        <f>HYPERLINK("http://141.218.60.56/~jnz1568/getInfo.php?workbook=20_13.xlsx&amp;sheet=U0&amp;row=1365&amp;col=7&amp;number=0.743&amp;sourceID=14","0.743")</f>
        <v>0.743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HYPERLINK("http://141.218.60.56/~jnz1568/getInfo.php?workbook=20_13.xlsx&amp;sheet=U0&amp;row=1366&amp;col=6&amp;number=3.2&amp;sourceID=14","3.2")</f>
        <v>3.2</v>
      </c>
      <c r="G1366" s="4" t="str">
        <f>HYPERLINK("http://141.218.60.56/~jnz1568/getInfo.php?workbook=20_13.xlsx&amp;sheet=U0&amp;row=1366&amp;col=7&amp;number=0.743&amp;sourceID=14","0.743")</f>
        <v>0.743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HYPERLINK("http://141.218.60.56/~jnz1568/getInfo.php?workbook=20_13.xlsx&amp;sheet=U0&amp;row=1367&amp;col=6&amp;number=3.3&amp;sourceID=14","3.3")</f>
        <v>3.3</v>
      </c>
      <c r="G1367" s="4" t="str">
        <f>HYPERLINK("http://141.218.60.56/~jnz1568/getInfo.php?workbook=20_13.xlsx&amp;sheet=U0&amp;row=1367&amp;col=7&amp;number=0.743&amp;sourceID=14","0.743")</f>
        <v>0.743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HYPERLINK("http://141.218.60.56/~jnz1568/getInfo.php?workbook=20_13.xlsx&amp;sheet=U0&amp;row=1368&amp;col=6&amp;number=3.4&amp;sourceID=14","3.4")</f>
        <v>3.4</v>
      </c>
      <c r="G1368" s="4" t="str">
        <f>HYPERLINK("http://141.218.60.56/~jnz1568/getInfo.php?workbook=20_13.xlsx&amp;sheet=U0&amp;row=1368&amp;col=7&amp;number=0.743&amp;sourceID=14","0.743")</f>
        <v>0.743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HYPERLINK("http://141.218.60.56/~jnz1568/getInfo.php?workbook=20_13.xlsx&amp;sheet=U0&amp;row=1369&amp;col=6&amp;number=3.5&amp;sourceID=14","3.5")</f>
        <v>3.5</v>
      </c>
      <c r="G1369" s="4" t="str">
        <f>HYPERLINK("http://141.218.60.56/~jnz1568/getInfo.php?workbook=20_13.xlsx&amp;sheet=U0&amp;row=1369&amp;col=7&amp;number=0.743&amp;sourceID=14","0.743")</f>
        <v>0.743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HYPERLINK("http://141.218.60.56/~jnz1568/getInfo.php?workbook=20_13.xlsx&amp;sheet=U0&amp;row=1370&amp;col=6&amp;number=3.6&amp;sourceID=14","3.6")</f>
        <v>3.6</v>
      </c>
      <c r="G1370" s="4" t="str">
        <f>HYPERLINK("http://141.218.60.56/~jnz1568/getInfo.php?workbook=20_13.xlsx&amp;sheet=U0&amp;row=1370&amp;col=7&amp;number=0.744&amp;sourceID=14","0.744")</f>
        <v>0.744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HYPERLINK("http://141.218.60.56/~jnz1568/getInfo.php?workbook=20_13.xlsx&amp;sheet=U0&amp;row=1371&amp;col=6&amp;number=3.7&amp;sourceID=14","3.7")</f>
        <v>3.7</v>
      </c>
      <c r="G1371" s="4" t="str">
        <f>HYPERLINK("http://141.218.60.56/~jnz1568/getInfo.php?workbook=20_13.xlsx&amp;sheet=U0&amp;row=1371&amp;col=7&amp;number=0.744&amp;sourceID=14","0.744")</f>
        <v>0.744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HYPERLINK("http://141.218.60.56/~jnz1568/getInfo.php?workbook=20_13.xlsx&amp;sheet=U0&amp;row=1372&amp;col=6&amp;number=3.8&amp;sourceID=14","3.8")</f>
        <v>3.8</v>
      </c>
      <c r="G1372" s="4" t="str">
        <f>HYPERLINK("http://141.218.60.56/~jnz1568/getInfo.php?workbook=20_13.xlsx&amp;sheet=U0&amp;row=1372&amp;col=7&amp;number=0.744&amp;sourceID=14","0.744")</f>
        <v>0.744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HYPERLINK("http://141.218.60.56/~jnz1568/getInfo.php?workbook=20_13.xlsx&amp;sheet=U0&amp;row=1373&amp;col=6&amp;number=3.9&amp;sourceID=14","3.9")</f>
        <v>3.9</v>
      </c>
      <c r="G1373" s="4" t="str">
        <f>HYPERLINK("http://141.218.60.56/~jnz1568/getInfo.php?workbook=20_13.xlsx&amp;sheet=U0&amp;row=1373&amp;col=7&amp;number=0.744&amp;sourceID=14","0.744")</f>
        <v>0.744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HYPERLINK("http://141.218.60.56/~jnz1568/getInfo.php?workbook=20_13.xlsx&amp;sheet=U0&amp;row=1374&amp;col=6&amp;number=4&amp;sourceID=14","4")</f>
        <v>4</v>
      </c>
      <c r="G1374" s="4" t="str">
        <f>HYPERLINK("http://141.218.60.56/~jnz1568/getInfo.php?workbook=20_13.xlsx&amp;sheet=U0&amp;row=1374&amp;col=7&amp;number=0.745&amp;sourceID=14","0.745")</f>
        <v>0.745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HYPERLINK("http://141.218.60.56/~jnz1568/getInfo.php?workbook=20_13.xlsx&amp;sheet=U0&amp;row=1375&amp;col=6&amp;number=4.1&amp;sourceID=14","4.1")</f>
        <v>4.1</v>
      </c>
      <c r="G1375" s="4" t="str">
        <f>HYPERLINK("http://141.218.60.56/~jnz1568/getInfo.php?workbook=20_13.xlsx&amp;sheet=U0&amp;row=1375&amp;col=7&amp;number=0.745&amp;sourceID=14","0.745")</f>
        <v>0.745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HYPERLINK("http://141.218.60.56/~jnz1568/getInfo.php?workbook=20_13.xlsx&amp;sheet=U0&amp;row=1376&amp;col=6&amp;number=4.2&amp;sourceID=14","4.2")</f>
        <v>4.2</v>
      </c>
      <c r="G1376" s="4" t="str">
        <f>HYPERLINK("http://141.218.60.56/~jnz1568/getInfo.php?workbook=20_13.xlsx&amp;sheet=U0&amp;row=1376&amp;col=7&amp;number=0.746&amp;sourceID=14","0.746")</f>
        <v>0.746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HYPERLINK("http://141.218.60.56/~jnz1568/getInfo.php?workbook=20_13.xlsx&amp;sheet=U0&amp;row=1377&amp;col=6&amp;number=4.3&amp;sourceID=14","4.3")</f>
        <v>4.3</v>
      </c>
      <c r="G1377" s="4" t="str">
        <f>HYPERLINK("http://141.218.60.56/~jnz1568/getInfo.php?workbook=20_13.xlsx&amp;sheet=U0&amp;row=1377&amp;col=7&amp;number=0.747&amp;sourceID=14","0.747")</f>
        <v>0.747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HYPERLINK("http://141.218.60.56/~jnz1568/getInfo.php?workbook=20_13.xlsx&amp;sheet=U0&amp;row=1378&amp;col=6&amp;number=4.4&amp;sourceID=14","4.4")</f>
        <v>4.4</v>
      </c>
      <c r="G1378" s="4" t="str">
        <f>HYPERLINK("http://141.218.60.56/~jnz1568/getInfo.php?workbook=20_13.xlsx&amp;sheet=U0&amp;row=1378&amp;col=7&amp;number=0.748&amp;sourceID=14","0.748")</f>
        <v>0.748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HYPERLINK("http://141.218.60.56/~jnz1568/getInfo.php?workbook=20_13.xlsx&amp;sheet=U0&amp;row=1379&amp;col=6&amp;number=4.5&amp;sourceID=14","4.5")</f>
        <v>4.5</v>
      </c>
      <c r="G1379" s="4" t="str">
        <f>HYPERLINK("http://141.218.60.56/~jnz1568/getInfo.php?workbook=20_13.xlsx&amp;sheet=U0&amp;row=1379&amp;col=7&amp;number=0.749&amp;sourceID=14","0.749")</f>
        <v>0.749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HYPERLINK("http://141.218.60.56/~jnz1568/getInfo.php?workbook=20_13.xlsx&amp;sheet=U0&amp;row=1380&amp;col=6&amp;number=4.6&amp;sourceID=14","4.6")</f>
        <v>4.6</v>
      </c>
      <c r="G1380" s="4" t="str">
        <f>HYPERLINK("http://141.218.60.56/~jnz1568/getInfo.php?workbook=20_13.xlsx&amp;sheet=U0&amp;row=1380&amp;col=7&amp;number=0.751&amp;sourceID=14","0.751")</f>
        <v>0.751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HYPERLINK("http://141.218.60.56/~jnz1568/getInfo.php?workbook=20_13.xlsx&amp;sheet=U0&amp;row=1381&amp;col=6&amp;number=4.7&amp;sourceID=14","4.7")</f>
        <v>4.7</v>
      </c>
      <c r="G1381" s="4" t="str">
        <f>HYPERLINK("http://141.218.60.56/~jnz1568/getInfo.php?workbook=20_13.xlsx&amp;sheet=U0&amp;row=1381&amp;col=7&amp;number=0.753&amp;sourceID=14","0.753")</f>
        <v>0.753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HYPERLINK("http://141.218.60.56/~jnz1568/getInfo.php?workbook=20_13.xlsx&amp;sheet=U0&amp;row=1382&amp;col=6&amp;number=4.8&amp;sourceID=14","4.8")</f>
        <v>4.8</v>
      </c>
      <c r="G1382" s="4" t="str">
        <f>HYPERLINK("http://141.218.60.56/~jnz1568/getInfo.php?workbook=20_13.xlsx&amp;sheet=U0&amp;row=1382&amp;col=7&amp;number=0.756&amp;sourceID=14","0.756")</f>
        <v>0.756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HYPERLINK("http://141.218.60.56/~jnz1568/getInfo.php?workbook=20_13.xlsx&amp;sheet=U0&amp;row=1383&amp;col=6&amp;number=4.9&amp;sourceID=14","4.9")</f>
        <v>4.9</v>
      </c>
      <c r="G1383" s="4" t="str">
        <f>HYPERLINK("http://141.218.60.56/~jnz1568/getInfo.php?workbook=20_13.xlsx&amp;sheet=U0&amp;row=1383&amp;col=7&amp;number=0.759&amp;sourceID=14","0.759")</f>
        <v>0.759</v>
      </c>
    </row>
    <row r="1384" spans="1:7">
      <c r="A1384" s="3">
        <v>20</v>
      </c>
      <c r="B1384" s="3">
        <v>13</v>
      </c>
      <c r="C1384" s="3">
        <v>2</v>
      </c>
      <c r="D1384" s="3">
        <v>33</v>
      </c>
      <c r="E1384" s="3">
        <v>1</v>
      </c>
      <c r="F1384" s="4" t="str">
        <f>HYPERLINK("http://141.218.60.56/~jnz1568/getInfo.php?workbook=20_13.xlsx&amp;sheet=U0&amp;row=1384&amp;col=6&amp;number=3&amp;sourceID=14","3")</f>
        <v>3</v>
      </c>
      <c r="G1384" s="4" t="str">
        <f>HYPERLINK("http://141.218.60.56/~jnz1568/getInfo.php?workbook=20_13.xlsx&amp;sheet=U0&amp;row=1384&amp;col=7&amp;number=0.148&amp;sourceID=14","0.148")</f>
        <v>0.148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HYPERLINK("http://141.218.60.56/~jnz1568/getInfo.php?workbook=20_13.xlsx&amp;sheet=U0&amp;row=1385&amp;col=6&amp;number=3.1&amp;sourceID=14","3.1")</f>
        <v>3.1</v>
      </c>
      <c r="G1385" s="4" t="str">
        <f>HYPERLINK("http://141.218.60.56/~jnz1568/getInfo.php?workbook=20_13.xlsx&amp;sheet=U0&amp;row=1385&amp;col=7&amp;number=0.148&amp;sourceID=14","0.148")</f>
        <v>0.148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HYPERLINK("http://141.218.60.56/~jnz1568/getInfo.php?workbook=20_13.xlsx&amp;sheet=U0&amp;row=1386&amp;col=6&amp;number=3.2&amp;sourceID=14","3.2")</f>
        <v>3.2</v>
      </c>
      <c r="G1386" s="4" t="str">
        <f>HYPERLINK("http://141.218.60.56/~jnz1568/getInfo.php?workbook=20_13.xlsx&amp;sheet=U0&amp;row=1386&amp;col=7&amp;number=0.148&amp;sourceID=14","0.148")</f>
        <v>0.148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HYPERLINK("http://141.218.60.56/~jnz1568/getInfo.php?workbook=20_13.xlsx&amp;sheet=U0&amp;row=1387&amp;col=6&amp;number=3.3&amp;sourceID=14","3.3")</f>
        <v>3.3</v>
      </c>
      <c r="G1387" s="4" t="str">
        <f>HYPERLINK("http://141.218.60.56/~jnz1568/getInfo.php?workbook=20_13.xlsx&amp;sheet=U0&amp;row=1387&amp;col=7&amp;number=0.148&amp;sourceID=14","0.148")</f>
        <v>0.148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HYPERLINK("http://141.218.60.56/~jnz1568/getInfo.php?workbook=20_13.xlsx&amp;sheet=U0&amp;row=1388&amp;col=6&amp;number=3.4&amp;sourceID=14","3.4")</f>
        <v>3.4</v>
      </c>
      <c r="G1388" s="4" t="str">
        <f>HYPERLINK("http://141.218.60.56/~jnz1568/getInfo.php?workbook=20_13.xlsx&amp;sheet=U0&amp;row=1388&amp;col=7&amp;number=0.148&amp;sourceID=14","0.148")</f>
        <v>0.148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HYPERLINK("http://141.218.60.56/~jnz1568/getInfo.php?workbook=20_13.xlsx&amp;sheet=U0&amp;row=1389&amp;col=6&amp;number=3.5&amp;sourceID=14","3.5")</f>
        <v>3.5</v>
      </c>
      <c r="G1389" s="4" t="str">
        <f>HYPERLINK("http://141.218.60.56/~jnz1568/getInfo.php?workbook=20_13.xlsx&amp;sheet=U0&amp;row=1389&amp;col=7&amp;number=0.148&amp;sourceID=14","0.148")</f>
        <v>0.148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HYPERLINK("http://141.218.60.56/~jnz1568/getInfo.php?workbook=20_13.xlsx&amp;sheet=U0&amp;row=1390&amp;col=6&amp;number=3.6&amp;sourceID=14","3.6")</f>
        <v>3.6</v>
      </c>
      <c r="G1390" s="4" t="str">
        <f>HYPERLINK("http://141.218.60.56/~jnz1568/getInfo.php?workbook=20_13.xlsx&amp;sheet=U0&amp;row=1390&amp;col=7&amp;number=0.148&amp;sourceID=14","0.148")</f>
        <v>0.148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HYPERLINK("http://141.218.60.56/~jnz1568/getInfo.php?workbook=20_13.xlsx&amp;sheet=U0&amp;row=1391&amp;col=6&amp;number=3.7&amp;sourceID=14","3.7")</f>
        <v>3.7</v>
      </c>
      <c r="G1391" s="4" t="str">
        <f>HYPERLINK("http://141.218.60.56/~jnz1568/getInfo.php?workbook=20_13.xlsx&amp;sheet=U0&amp;row=1391&amp;col=7&amp;number=0.147&amp;sourceID=14","0.147")</f>
        <v>0.147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HYPERLINK("http://141.218.60.56/~jnz1568/getInfo.php?workbook=20_13.xlsx&amp;sheet=U0&amp;row=1392&amp;col=6&amp;number=3.8&amp;sourceID=14","3.8")</f>
        <v>3.8</v>
      </c>
      <c r="G1392" s="4" t="str">
        <f>HYPERLINK("http://141.218.60.56/~jnz1568/getInfo.php?workbook=20_13.xlsx&amp;sheet=U0&amp;row=1392&amp;col=7&amp;number=0.147&amp;sourceID=14","0.147")</f>
        <v>0.147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HYPERLINK("http://141.218.60.56/~jnz1568/getInfo.php?workbook=20_13.xlsx&amp;sheet=U0&amp;row=1393&amp;col=6&amp;number=3.9&amp;sourceID=14","3.9")</f>
        <v>3.9</v>
      </c>
      <c r="G1393" s="4" t="str">
        <f>HYPERLINK("http://141.218.60.56/~jnz1568/getInfo.php?workbook=20_13.xlsx&amp;sheet=U0&amp;row=1393&amp;col=7&amp;number=0.147&amp;sourceID=14","0.147")</f>
        <v>0.147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HYPERLINK("http://141.218.60.56/~jnz1568/getInfo.php?workbook=20_13.xlsx&amp;sheet=U0&amp;row=1394&amp;col=6&amp;number=4&amp;sourceID=14","4")</f>
        <v>4</v>
      </c>
      <c r="G1394" s="4" t="str">
        <f>HYPERLINK("http://141.218.60.56/~jnz1568/getInfo.php?workbook=20_13.xlsx&amp;sheet=U0&amp;row=1394&amp;col=7&amp;number=0.146&amp;sourceID=14","0.146")</f>
        <v>0.146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HYPERLINK("http://141.218.60.56/~jnz1568/getInfo.php?workbook=20_13.xlsx&amp;sheet=U0&amp;row=1395&amp;col=6&amp;number=4.1&amp;sourceID=14","4.1")</f>
        <v>4.1</v>
      </c>
      <c r="G1395" s="4" t="str">
        <f>HYPERLINK("http://141.218.60.56/~jnz1568/getInfo.php?workbook=20_13.xlsx&amp;sheet=U0&amp;row=1395&amp;col=7&amp;number=0.145&amp;sourceID=14","0.145")</f>
        <v>0.145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HYPERLINK("http://141.218.60.56/~jnz1568/getInfo.php?workbook=20_13.xlsx&amp;sheet=U0&amp;row=1396&amp;col=6&amp;number=4.2&amp;sourceID=14","4.2")</f>
        <v>4.2</v>
      </c>
      <c r="G1396" s="4" t="str">
        <f>HYPERLINK("http://141.218.60.56/~jnz1568/getInfo.php?workbook=20_13.xlsx&amp;sheet=U0&amp;row=1396&amp;col=7&amp;number=0.145&amp;sourceID=14","0.145")</f>
        <v>0.145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HYPERLINK("http://141.218.60.56/~jnz1568/getInfo.php?workbook=20_13.xlsx&amp;sheet=U0&amp;row=1397&amp;col=6&amp;number=4.3&amp;sourceID=14","4.3")</f>
        <v>4.3</v>
      </c>
      <c r="G1397" s="4" t="str">
        <f>HYPERLINK("http://141.218.60.56/~jnz1568/getInfo.php?workbook=20_13.xlsx&amp;sheet=U0&amp;row=1397&amp;col=7&amp;number=0.144&amp;sourceID=14","0.144")</f>
        <v>0.144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HYPERLINK("http://141.218.60.56/~jnz1568/getInfo.php?workbook=20_13.xlsx&amp;sheet=U0&amp;row=1398&amp;col=6&amp;number=4.4&amp;sourceID=14","4.4")</f>
        <v>4.4</v>
      </c>
      <c r="G1398" s="4" t="str">
        <f>HYPERLINK("http://141.218.60.56/~jnz1568/getInfo.php?workbook=20_13.xlsx&amp;sheet=U0&amp;row=1398&amp;col=7&amp;number=0.142&amp;sourceID=14","0.142")</f>
        <v>0.142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HYPERLINK("http://141.218.60.56/~jnz1568/getInfo.php?workbook=20_13.xlsx&amp;sheet=U0&amp;row=1399&amp;col=6&amp;number=4.5&amp;sourceID=14","4.5")</f>
        <v>4.5</v>
      </c>
      <c r="G1399" s="4" t="str">
        <f>HYPERLINK("http://141.218.60.56/~jnz1568/getInfo.php?workbook=20_13.xlsx&amp;sheet=U0&amp;row=1399&amp;col=7&amp;number=0.141&amp;sourceID=14","0.141")</f>
        <v>0.141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HYPERLINK("http://141.218.60.56/~jnz1568/getInfo.php?workbook=20_13.xlsx&amp;sheet=U0&amp;row=1400&amp;col=6&amp;number=4.6&amp;sourceID=14","4.6")</f>
        <v>4.6</v>
      </c>
      <c r="G1400" s="4" t="str">
        <f>HYPERLINK("http://141.218.60.56/~jnz1568/getInfo.php?workbook=20_13.xlsx&amp;sheet=U0&amp;row=1400&amp;col=7&amp;number=0.139&amp;sourceID=14","0.139")</f>
        <v>0.139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HYPERLINK("http://141.218.60.56/~jnz1568/getInfo.php?workbook=20_13.xlsx&amp;sheet=U0&amp;row=1401&amp;col=6&amp;number=4.7&amp;sourceID=14","4.7")</f>
        <v>4.7</v>
      </c>
      <c r="G1401" s="4" t="str">
        <f>HYPERLINK("http://141.218.60.56/~jnz1568/getInfo.php?workbook=20_13.xlsx&amp;sheet=U0&amp;row=1401&amp;col=7&amp;number=0.137&amp;sourceID=14","0.137")</f>
        <v>0.137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HYPERLINK("http://141.218.60.56/~jnz1568/getInfo.php?workbook=20_13.xlsx&amp;sheet=U0&amp;row=1402&amp;col=6&amp;number=4.8&amp;sourceID=14","4.8")</f>
        <v>4.8</v>
      </c>
      <c r="G1402" s="4" t="str">
        <f>HYPERLINK("http://141.218.60.56/~jnz1568/getInfo.php?workbook=20_13.xlsx&amp;sheet=U0&amp;row=1402&amp;col=7&amp;number=0.135&amp;sourceID=14","0.135")</f>
        <v>0.135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HYPERLINK("http://141.218.60.56/~jnz1568/getInfo.php?workbook=20_13.xlsx&amp;sheet=U0&amp;row=1403&amp;col=6&amp;number=4.9&amp;sourceID=14","4.9")</f>
        <v>4.9</v>
      </c>
      <c r="G1403" s="4" t="str">
        <f>HYPERLINK("http://141.218.60.56/~jnz1568/getInfo.php?workbook=20_13.xlsx&amp;sheet=U0&amp;row=1403&amp;col=7&amp;number=0.133&amp;sourceID=14","0.133")</f>
        <v>0.133</v>
      </c>
    </row>
    <row r="1404" spans="1:7">
      <c r="A1404" s="3">
        <v>20</v>
      </c>
      <c r="B1404" s="3">
        <v>13</v>
      </c>
      <c r="C1404" s="3">
        <v>2</v>
      </c>
      <c r="D1404" s="3">
        <v>34</v>
      </c>
      <c r="E1404" s="3">
        <v>1</v>
      </c>
      <c r="F1404" s="4" t="str">
        <f>HYPERLINK("http://141.218.60.56/~jnz1568/getInfo.php?workbook=20_13.xlsx&amp;sheet=U0&amp;row=1404&amp;col=6&amp;number=3&amp;sourceID=14","3")</f>
        <v>3</v>
      </c>
      <c r="G1404" s="4" t="str">
        <f>HYPERLINK("http://141.218.60.56/~jnz1568/getInfo.php?workbook=20_13.xlsx&amp;sheet=U0&amp;row=1404&amp;col=7&amp;number=0.139&amp;sourceID=14","0.139")</f>
        <v>0.139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HYPERLINK("http://141.218.60.56/~jnz1568/getInfo.php?workbook=20_13.xlsx&amp;sheet=U0&amp;row=1405&amp;col=6&amp;number=3.1&amp;sourceID=14","3.1")</f>
        <v>3.1</v>
      </c>
      <c r="G1405" s="4" t="str">
        <f>HYPERLINK("http://141.218.60.56/~jnz1568/getInfo.php?workbook=20_13.xlsx&amp;sheet=U0&amp;row=1405&amp;col=7&amp;number=0.139&amp;sourceID=14","0.139")</f>
        <v>0.139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HYPERLINK("http://141.218.60.56/~jnz1568/getInfo.php?workbook=20_13.xlsx&amp;sheet=U0&amp;row=1406&amp;col=6&amp;number=3.2&amp;sourceID=14","3.2")</f>
        <v>3.2</v>
      </c>
      <c r="G1406" s="4" t="str">
        <f>HYPERLINK("http://141.218.60.56/~jnz1568/getInfo.php?workbook=20_13.xlsx&amp;sheet=U0&amp;row=1406&amp;col=7&amp;number=0.139&amp;sourceID=14","0.139")</f>
        <v>0.139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HYPERLINK("http://141.218.60.56/~jnz1568/getInfo.php?workbook=20_13.xlsx&amp;sheet=U0&amp;row=1407&amp;col=6&amp;number=3.3&amp;sourceID=14","3.3")</f>
        <v>3.3</v>
      </c>
      <c r="G1407" s="4" t="str">
        <f>HYPERLINK("http://141.218.60.56/~jnz1568/getInfo.php?workbook=20_13.xlsx&amp;sheet=U0&amp;row=1407&amp;col=7&amp;number=0.139&amp;sourceID=14","0.139")</f>
        <v>0.139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HYPERLINK("http://141.218.60.56/~jnz1568/getInfo.php?workbook=20_13.xlsx&amp;sheet=U0&amp;row=1408&amp;col=6&amp;number=3.4&amp;sourceID=14","3.4")</f>
        <v>3.4</v>
      </c>
      <c r="G1408" s="4" t="str">
        <f>HYPERLINK("http://141.218.60.56/~jnz1568/getInfo.php?workbook=20_13.xlsx&amp;sheet=U0&amp;row=1408&amp;col=7&amp;number=0.139&amp;sourceID=14","0.139")</f>
        <v>0.139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HYPERLINK("http://141.218.60.56/~jnz1568/getInfo.php?workbook=20_13.xlsx&amp;sheet=U0&amp;row=1409&amp;col=6&amp;number=3.5&amp;sourceID=14","3.5")</f>
        <v>3.5</v>
      </c>
      <c r="G1409" s="4" t="str">
        <f>HYPERLINK("http://141.218.60.56/~jnz1568/getInfo.php?workbook=20_13.xlsx&amp;sheet=U0&amp;row=1409&amp;col=7&amp;number=0.139&amp;sourceID=14","0.139")</f>
        <v>0.139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HYPERLINK("http://141.218.60.56/~jnz1568/getInfo.php?workbook=20_13.xlsx&amp;sheet=U0&amp;row=1410&amp;col=6&amp;number=3.6&amp;sourceID=14","3.6")</f>
        <v>3.6</v>
      </c>
      <c r="G1410" s="4" t="str">
        <f>HYPERLINK("http://141.218.60.56/~jnz1568/getInfo.php?workbook=20_13.xlsx&amp;sheet=U0&amp;row=1410&amp;col=7&amp;number=0.139&amp;sourceID=14","0.139")</f>
        <v>0.139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HYPERLINK("http://141.218.60.56/~jnz1568/getInfo.php?workbook=20_13.xlsx&amp;sheet=U0&amp;row=1411&amp;col=6&amp;number=3.7&amp;sourceID=14","3.7")</f>
        <v>3.7</v>
      </c>
      <c r="G1411" s="4" t="str">
        <f>HYPERLINK("http://141.218.60.56/~jnz1568/getInfo.php?workbook=20_13.xlsx&amp;sheet=U0&amp;row=1411&amp;col=7&amp;number=0.139&amp;sourceID=14","0.139")</f>
        <v>0.139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HYPERLINK("http://141.218.60.56/~jnz1568/getInfo.php?workbook=20_13.xlsx&amp;sheet=U0&amp;row=1412&amp;col=6&amp;number=3.8&amp;sourceID=14","3.8")</f>
        <v>3.8</v>
      </c>
      <c r="G1412" s="4" t="str">
        <f>HYPERLINK("http://141.218.60.56/~jnz1568/getInfo.php?workbook=20_13.xlsx&amp;sheet=U0&amp;row=1412&amp;col=7&amp;number=0.139&amp;sourceID=14","0.139")</f>
        <v>0.139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HYPERLINK("http://141.218.60.56/~jnz1568/getInfo.php?workbook=20_13.xlsx&amp;sheet=U0&amp;row=1413&amp;col=6&amp;number=3.9&amp;sourceID=14","3.9")</f>
        <v>3.9</v>
      </c>
      <c r="G1413" s="4" t="str">
        <f>HYPERLINK("http://141.218.60.56/~jnz1568/getInfo.php?workbook=20_13.xlsx&amp;sheet=U0&amp;row=1413&amp;col=7&amp;number=0.139&amp;sourceID=14","0.139")</f>
        <v>0.139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HYPERLINK("http://141.218.60.56/~jnz1568/getInfo.php?workbook=20_13.xlsx&amp;sheet=U0&amp;row=1414&amp;col=6&amp;number=4&amp;sourceID=14","4")</f>
        <v>4</v>
      </c>
      <c r="G1414" s="4" t="str">
        <f>HYPERLINK("http://141.218.60.56/~jnz1568/getInfo.php?workbook=20_13.xlsx&amp;sheet=U0&amp;row=1414&amp;col=7&amp;number=0.139&amp;sourceID=14","0.139")</f>
        <v>0.139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HYPERLINK("http://141.218.60.56/~jnz1568/getInfo.php?workbook=20_13.xlsx&amp;sheet=U0&amp;row=1415&amp;col=6&amp;number=4.1&amp;sourceID=14","4.1")</f>
        <v>4.1</v>
      </c>
      <c r="G1415" s="4" t="str">
        <f>HYPERLINK("http://141.218.60.56/~jnz1568/getInfo.php?workbook=20_13.xlsx&amp;sheet=U0&amp;row=1415&amp;col=7&amp;number=0.139&amp;sourceID=14","0.139")</f>
        <v>0.139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HYPERLINK("http://141.218.60.56/~jnz1568/getInfo.php?workbook=20_13.xlsx&amp;sheet=U0&amp;row=1416&amp;col=6&amp;number=4.2&amp;sourceID=14","4.2")</f>
        <v>4.2</v>
      </c>
      <c r="G1416" s="4" t="str">
        <f>HYPERLINK("http://141.218.60.56/~jnz1568/getInfo.php?workbook=20_13.xlsx&amp;sheet=U0&amp;row=1416&amp;col=7&amp;number=0.139&amp;sourceID=14","0.139")</f>
        <v>0.139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HYPERLINK("http://141.218.60.56/~jnz1568/getInfo.php?workbook=20_13.xlsx&amp;sheet=U0&amp;row=1417&amp;col=6&amp;number=4.3&amp;sourceID=14","4.3")</f>
        <v>4.3</v>
      </c>
      <c r="G1417" s="4" t="str">
        <f>HYPERLINK("http://141.218.60.56/~jnz1568/getInfo.php?workbook=20_13.xlsx&amp;sheet=U0&amp;row=1417&amp;col=7&amp;number=0.139&amp;sourceID=14","0.139")</f>
        <v>0.139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HYPERLINK("http://141.218.60.56/~jnz1568/getInfo.php?workbook=20_13.xlsx&amp;sheet=U0&amp;row=1418&amp;col=6&amp;number=4.4&amp;sourceID=14","4.4")</f>
        <v>4.4</v>
      </c>
      <c r="G1418" s="4" t="str">
        <f>HYPERLINK("http://141.218.60.56/~jnz1568/getInfo.php?workbook=20_13.xlsx&amp;sheet=U0&amp;row=1418&amp;col=7&amp;number=0.139&amp;sourceID=14","0.139")</f>
        <v>0.139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HYPERLINK("http://141.218.60.56/~jnz1568/getInfo.php?workbook=20_13.xlsx&amp;sheet=U0&amp;row=1419&amp;col=6&amp;number=4.5&amp;sourceID=14","4.5")</f>
        <v>4.5</v>
      </c>
      <c r="G1419" s="4" t="str">
        <f>HYPERLINK("http://141.218.60.56/~jnz1568/getInfo.php?workbook=20_13.xlsx&amp;sheet=U0&amp;row=1419&amp;col=7&amp;number=0.139&amp;sourceID=14","0.139")</f>
        <v>0.139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HYPERLINK("http://141.218.60.56/~jnz1568/getInfo.php?workbook=20_13.xlsx&amp;sheet=U0&amp;row=1420&amp;col=6&amp;number=4.6&amp;sourceID=14","4.6")</f>
        <v>4.6</v>
      </c>
      <c r="G1420" s="4" t="str">
        <f>HYPERLINK("http://141.218.60.56/~jnz1568/getInfo.php?workbook=20_13.xlsx&amp;sheet=U0&amp;row=1420&amp;col=7&amp;number=0.139&amp;sourceID=14","0.139")</f>
        <v>0.139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HYPERLINK("http://141.218.60.56/~jnz1568/getInfo.php?workbook=20_13.xlsx&amp;sheet=U0&amp;row=1421&amp;col=6&amp;number=4.7&amp;sourceID=14","4.7")</f>
        <v>4.7</v>
      </c>
      <c r="G1421" s="4" t="str">
        <f>HYPERLINK("http://141.218.60.56/~jnz1568/getInfo.php?workbook=20_13.xlsx&amp;sheet=U0&amp;row=1421&amp;col=7&amp;number=0.139&amp;sourceID=14","0.139")</f>
        <v>0.139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HYPERLINK("http://141.218.60.56/~jnz1568/getInfo.php?workbook=20_13.xlsx&amp;sheet=U0&amp;row=1422&amp;col=6&amp;number=4.8&amp;sourceID=14","4.8")</f>
        <v>4.8</v>
      </c>
      <c r="G1422" s="4" t="str">
        <f>HYPERLINK("http://141.218.60.56/~jnz1568/getInfo.php?workbook=20_13.xlsx&amp;sheet=U0&amp;row=1422&amp;col=7&amp;number=0.139&amp;sourceID=14","0.139")</f>
        <v>0.139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HYPERLINK("http://141.218.60.56/~jnz1568/getInfo.php?workbook=20_13.xlsx&amp;sheet=U0&amp;row=1423&amp;col=6&amp;number=4.9&amp;sourceID=14","4.9")</f>
        <v>4.9</v>
      </c>
      <c r="G1423" s="4" t="str">
        <f>HYPERLINK("http://141.218.60.56/~jnz1568/getInfo.php?workbook=20_13.xlsx&amp;sheet=U0&amp;row=1423&amp;col=7&amp;number=0.14&amp;sourceID=14","0.14")</f>
        <v>0.14</v>
      </c>
    </row>
    <row r="1424" spans="1:7">
      <c r="A1424" s="3">
        <v>20</v>
      </c>
      <c r="B1424" s="3">
        <v>13</v>
      </c>
      <c r="C1424" s="3">
        <v>2</v>
      </c>
      <c r="D1424" s="3">
        <v>35</v>
      </c>
      <c r="E1424" s="3">
        <v>1</v>
      </c>
      <c r="F1424" s="4" t="str">
        <f>HYPERLINK("http://141.218.60.56/~jnz1568/getInfo.php?workbook=20_13.xlsx&amp;sheet=U0&amp;row=1424&amp;col=6&amp;number=3&amp;sourceID=14","3")</f>
        <v>3</v>
      </c>
      <c r="G1424" s="4" t="str">
        <f>HYPERLINK("http://141.218.60.56/~jnz1568/getInfo.php?workbook=20_13.xlsx&amp;sheet=U0&amp;row=1424&amp;col=7&amp;number=0.263&amp;sourceID=14","0.263")</f>
        <v>0.263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HYPERLINK("http://141.218.60.56/~jnz1568/getInfo.php?workbook=20_13.xlsx&amp;sheet=U0&amp;row=1425&amp;col=6&amp;number=3.1&amp;sourceID=14","3.1")</f>
        <v>3.1</v>
      </c>
      <c r="G1425" s="4" t="str">
        <f>HYPERLINK("http://141.218.60.56/~jnz1568/getInfo.php?workbook=20_13.xlsx&amp;sheet=U0&amp;row=1425&amp;col=7&amp;number=0.263&amp;sourceID=14","0.263")</f>
        <v>0.263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HYPERLINK("http://141.218.60.56/~jnz1568/getInfo.php?workbook=20_13.xlsx&amp;sheet=U0&amp;row=1426&amp;col=6&amp;number=3.2&amp;sourceID=14","3.2")</f>
        <v>3.2</v>
      </c>
      <c r="G1426" s="4" t="str">
        <f>HYPERLINK("http://141.218.60.56/~jnz1568/getInfo.php?workbook=20_13.xlsx&amp;sheet=U0&amp;row=1426&amp;col=7&amp;number=0.263&amp;sourceID=14","0.263")</f>
        <v>0.263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HYPERLINK("http://141.218.60.56/~jnz1568/getInfo.php?workbook=20_13.xlsx&amp;sheet=U0&amp;row=1427&amp;col=6&amp;number=3.3&amp;sourceID=14","3.3")</f>
        <v>3.3</v>
      </c>
      <c r="G1427" s="4" t="str">
        <f>HYPERLINK("http://141.218.60.56/~jnz1568/getInfo.php?workbook=20_13.xlsx&amp;sheet=U0&amp;row=1427&amp;col=7&amp;number=0.263&amp;sourceID=14","0.263")</f>
        <v>0.263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HYPERLINK("http://141.218.60.56/~jnz1568/getInfo.php?workbook=20_13.xlsx&amp;sheet=U0&amp;row=1428&amp;col=6&amp;number=3.4&amp;sourceID=14","3.4")</f>
        <v>3.4</v>
      </c>
      <c r="G1428" s="4" t="str">
        <f>HYPERLINK("http://141.218.60.56/~jnz1568/getInfo.php?workbook=20_13.xlsx&amp;sheet=U0&amp;row=1428&amp;col=7&amp;number=0.263&amp;sourceID=14","0.263")</f>
        <v>0.263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HYPERLINK("http://141.218.60.56/~jnz1568/getInfo.php?workbook=20_13.xlsx&amp;sheet=U0&amp;row=1429&amp;col=6&amp;number=3.5&amp;sourceID=14","3.5")</f>
        <v>3.5</v>
      </c>
      <c r="G1429" s="4" t="str">
        <f>HYPERLINK("http://141.218.60.56/~jnz1568/getInfo.php?workbook=20_13.xlsx&amp;sheet=U0&amp;row=1429&amp;col=7&amp;number=0.263&amp;sourceID=14","0.263")</f>
        <v>0.263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HYPERLINK("http://141.218.60.56/~jnz1568/getInfo.php?workbook=20_13.xlsx&amp;sheet=U0&amp;row=1430&amp;col=6&amp;number=3.6&amp;sourceID=14","3.6")</f>
        <v>3.6</v>
      </c>
      <c r="G1430" s="4" t="str">
        <f>HYPERLINK("http://141.218.60.56/~jnz1568/getInfo.php?workbook=20_13.xlsx&amp;sheet=U0&amp;row=1430&amp;col=7&amp;number=0.263&amp;sourceID=14","0.263")</f>
        <v>0.263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HYPERLINK("http://141.218.60.56/~jnz1568/getInfo.php?workbook=20_13.xlsx&amp;sheet=U0&amp;row=1431&amp;col=6&amp;number=3.7&amp;sourceID=14","3.7")</f>
        <v>3.7</v>
      </c>
      <c r="G1431" s="4" t="str">
        <f>HYPERLINK("http://141.218.60.56/~jnz1568/getInfo.php?workbook=20_13.xlsx&amp;sheet=U0&amp;row=1431&amp;col=7&amp;number=0.263&amp;sourceID=14","0.263")</f>
        <v>0.263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HYPERLINK("http://141.218.60.56/~jnz1568/getInfo.php?workbook=20_13.xlsx&amp;sheet=U0&amp;row=1432&amp;col=6&amp;number=3.8&amp;sourceID=14","3.8")</f>
        <v>3.8</v>
      </c>
      <c r="G1432" s="4" t="str">
        <f>HYPERLINK("http://141.218.60.56/~jnz1568/getInfo.php?workbook=20_13.xlsx&amp;sheet=U0&amp;row=1432&amp;col=7&amp;number=0.262&amp;sourceID=14","0.262")</f>
        <v>0.262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HYPERLINK("http://141.218.60.56/~jnz1568/getInfo.php?workbook=20_13.xlsx&amp;sheet=U0&amp;row=1433&amp;col=6&amp;number=3.9&amp;sourceID=14","3.9")</f>
        <v>3.9</v>
      </c>
      <c r="G1433" s="4" t="str">
        <f>HYPERLINK("http://141.218.60.56/~jnz1568/getInfo.php?workbook=20_13.xlsx&amp;sheet=U0&amp;row=1433&amp;col=7&amp;number=0.262&amp;sourceID=14","0.262")</f>
        <v>0.262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HYPERLINK("http://141.218.60.56/~jnz1568/getInfo.php?workbook=20_13.xlsx&amp;sheet=U0&amp;row=1434&amp;col=6&amp;number=4&amp;sourceID=14","4")</f>
        <v>4</v>
      </c>
      <c r="G1434" s="4" t="str">
        <f>HYPERLINK("http://141.218.60.56/~jnz1568/getInfo.php?workbook=20_13.xlsx&amp;sheet=U0&amp;row=1434&amp;col=7&amp;number=0.262&amp;sourceID=14","0.262")</f>
        <v>0.262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HYPERLINK("http://141.218.60.56/~jnz1568/getInfo.php?workbook=20_13.xlsx&amp;sheet=U0&amp;row=1435&amp;col=6&amp;number=4.1&amp;sourceID=14","4.1")</f>
        <v>4.1</v>
      </c>
      <c r="G1435" s="4" t="str">
        <f>HYPERLINK("http://141.218.60.56/~jnz1568/getInfo.php?workbook=20_13.xlsx&amp;sheet=U0&amp;row=1435&amp;col=7&amp;number=0.261&amp;sourceID=14","0.261")</f>
        <v>0.261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HYPERLINK("http://141.218.60.56/~jnz1568/getInfo.php?workbook=20_13.xlsx&amp;sheet=U0&amp;row=1436&amp;col=6&amp;number=4.2&amp;sourceID=14","4.2")</f>
        <v>4.2</v>
      </c>
      <c r="G1436" s="4" t="str">
        <f>HYPERLINK("http://141.218.60.56/~jnz1568/getInfo.php?workbook=20_13.xlsx&amp;sheet=U0&amp;row=1436&amp;col=7&amp;number=0.26&amp;sourceID=14","0.26")</f>
        <v>0.26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HYPERLINK("http://141.218.60.56/~jnz1568/getInfo.php?workbook=20_13.xlsx&amp;sheet=U0&amp;row=1437&amp;col=6&amp;number=4.3&amp;sourceID=14","4.3")</f>
        <v>4.3</v>
      </c>
      <c r="G1437" s="4" t="str">
        <f>HYPERLINK("http://141.218.60.56/~jnz1568/getInfo.php?workbook=20_13.xlsx&amp;sheet=U0&amp;row=1437&amp;col=7&amp;number=0.26&amp;sourceID=14","0.26")</f>
        <v>0.26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HYPERLINK("http://141.218.60.56/~jnz1568/getInfo.php?workbook=20_13.xlsx&amp;sheet=U0&amp;row=1438&amp;col=6&amp;number=4.4&amp;sourceID=14","4.4")</f>
        <v>4.4</v>
      </c>
      <c r="G1438" s="4" t="str">
        <f>HYPERLINK("http://141.218.60.56/~jnz1568/getInfo.php?workbook=20_13.xlsx&amp;sheet=U0&amp;row=1438&amp;col=7&amp;number=0.259&amp;sourceID=14","0.259")</f>
        <v>0.259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HYPERLINK("http://141.218.60.56/~jnz1568/getInfo.php?workbook=20_13.xlsx&amp;sheet=U0&amp;row=1439&amp;col=6&amp;number=4.5&amp;sourceID=14","4.5")</f>
        <v>4.5</v>
      </c>
      <c r="G1439" s="4" t="str">
        <f>HYPERLINK("http://141.218.60.56/~jnz1568/getInfo.php?workbook=20_13.xlsx&amp;sheet=U0&amp;row=1439&amp;col=7&amp;number=0.258&amp;sourceID=14","0.258")</f>
        <v>0.258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HYPERLINK("http://141.218.60.56/~jnz1568/getInfo.php?workbook=20_13.xlsx&amp;sheet=U0&amp;row=1440&amp;col=6&amp;number=4.6&amp;sourceID=14","4.6")</f>
        <v>4.6</v>
      </c>
      <c r="G1440" s="4" t="str">
        <f>HYPERLINK("http://141.218.60.56/~jnz1568/getInfo.php?workbook=20_13.xlsx&amp;sheet=U0&amp;row=1440&amp;col=7&amp;number=0.256&amp;sourceID=14","0.256")</f>
        <v>0.256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HYPERLINK("http://141.218.60.56/~jnz1568/getInfo.php?workbook=20_13.xlsx&amp;sheet=U0&amp;row=1441&amp;col=6&amp;number=4.7&amp;sourceID=14","4.7")</f>
        <v>4.7</v>
      </c>
      <c r="G1441" s="4" t="str">
        <f>HYPERLINK("http://141.218.60.56/~jnz1568/getInfo.php?workbook=20_13.xlsx&amp;sheet=U0&amp;row=1441&amp;col=7&amp;number=0.254&amp;sourceID=14","0.254")</f>
        <v>0.254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HYPERLINK("http://141.218.60.56/~jnz1568/getInfo.php?workbook=20_13.xlsx&amp;sheet=U0&amp;row=1442&amp;col=6&amp;number=4.8&amp;sourceID=14","4.8")</f>
        <v>4.8</v>
      </c>
      <c r="G1442" s="4" t="str">
        <f>HYPERLINK("http://141.218.60.56/~jnz1568/getInfo.php?workbook=20_13.xlsx&amp;sheet=U0&amp;row=1442&amp;col=7&amp;number=0.252&amp;sourceID=14","0.252")</f>
        <v>0.252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HYPERLINK("http://141.218.60.56/~jnz1568/getInfo.php?workbook=20_13.xlsx&amp;sheet=U0&amp;row=1443&amp;col=6&amp;number=4.9&amp;sourceID=14","4.9")</f>
        <v>4.9</v>
      </c>
      <c r="G1443" s="4" t="str">
        <f>HYPERLINK("http://141.218.60.56/~jnz1568/getInfo.php?workbook=20_13.xlsx&amp;sheet=U0&amp;row=1443&amp;col=7&amp;number=0.25&amp;sourceID=14","0.25")</f>
        <v>0.25</v>
      </c>
    </row>
    <row r="1444" spans="1:7">
      <c r="A1444" s="3">
        <v>20</v>
      </c>
      <c r="B1444" s="3">
        <v>13</v>
      </c>
      <c r="C1444" s="3">
        <v>2</v>
      </c>
      <c r="D1444" s="3">
        <v>36</v>
      </c>
      <c r="E1444" s="3">
        <v>1</v>
      </c>
      <c r="F1444" s="4" t="str">
        <f>HYPERLINK("http://141.218.60.56/~jnz1568/getInfo.php?workbook=20_13.xlsx&amp;sheet=U0&amp;row=1444&amp;col=6&amp;number=3&amp;sourceID=14","3")</f>
        <v>3</v>
      </c>
      <c r="G1444" s="4" t="str">
        <f>HYPERLINK("http://141.218.60.56/~jnz1568/getInfo.php?workbook=20_13.xlsx&amp;sheet=U0&amp;row=1444&amp;col=7&amp;number=0.0882&amp;sourceID=14","0.0882")</f>
        <v>0.0882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HYPERLINK("http://141.218.60.56/~jnz1568/getInfo.php?workbook=20_13.xlsx&amp;sheet=U0&amp;row=1445&amp;col=6&amp;number=3.1&amp;sourceID=14","3.1")</f>
        <v>3.1</v>
      </c>
      <c r="G1445" s="4" t="str">
        <f>HYPERLINK("http://141.218.60.56/~jnz1568/getInfo.php?workbook=20_13.xlsx&amp;sheet=U0&amp;row=1445&amp;col=7&amp;number=0.0881&amp;sourceID=14","0.0881")</f>
        <v>0.0881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HYPERLINK("http://141.218.60.56/~jnz1568/getInfo.php?workbook=20_13.xlsx&amp;sheet=U0&amp;row=1446&amp;col=6&amp;number=3.2&amp;sourceID=14","3.2")</f>
        <v>3.2</v>
      </c>
      <c r="G1446" s="4" t="str">
        <f>HYPERLINK("http://141.218.60.56/~jnz1568/getInfo.php?workbook=20_13.xlsx&amp;sheet=U0&amp;row=1446&amp;col=7&amp;number=0.0881&amp;sourceID=14","0.0881")</f>
        <v>0.0881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HYPERLINK("http://141.218.60.56/~jnz1568/getInfo.php?workbook=20_13.xlsx&amp;sheet=U0&amp;row=1447&amp;col=6&amp;number=3.3&amp;sourceID=14","3.3")</f>
        <v>3.3</v>
      </c>
      <c r="G1447" s="4" t="str">
        <f>HYPERLINK("http://141.218.60.56/~jnz1568/getInfo.php?workbook=20_13.xlsx&amp;sheet=U0&amp;row=1447&amp;col=7&amp;number=0.088&amp;sourceID=14","0.088")</f>
        <v>0.088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HYPERLINK("http://141.218.60.56/~jnz1568/getInfo.php?workbook=20_13.xlsx&amp;sheet=U0&amp;row=1448&amp;col=6&amp;number=3.4&amp;sourceID=14","3.4")</f>
        <v>3.4</v>
      </c>
      <c r="G1448" s="4" t="str">
        <f>HYPERLINK("http://141.218.60.56/~jnz1568/getInfo.php?workbook=20_13.xlsx&amp;sheet=U0&amp;row=1448&amp;col=7&amp;number=0.088&amp;sourceID=14","0.088")</f>
        <v>0.088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HYPERLINK("http://141.218.60.56/~jnz1568/getInfo.php?workbook=20_13.xlsx&amp;sheet=U0&amp;row=1449&amp;col=6&amp;number=3.5&amp;sourceID=14","3.5")</f>
        <v>3.5</v>
      </c>
      <c r="G1449" s="4" t="str">
        <f>HYPERLINK("http://141.218.60.56/~jnz1568/getInfo.php?workbook=20_13.xlsx&amp;sheet=U0&amp;row=1449&amp;col=7&amp;number=0.0879&amp;sourceID=14","0.0879")</f>
        <v>0.0879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HYPERLINK("http://141.218.60.56/~jnz1568/getInfo.php?workbook=20_13.xlsx&amp;sheet=U0&amp;row=1450&amp;col=6&amp;number=3.6&amp;sourceID=14","3.6")</f>
        <v>3.6</v>
      </c>
      <c r="G1450" s="4" t="str">
        <f>HYPERLINK("http://141.218.60.56/~jnz1568/getInfo.php?workbook=20_13.xlsx&amp;sheet=U0&amp;row=1450&amp;col=7&amp;number=0.0878&amp;sourceID=14","0.0878")</f>
        <v>0.0878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HYPERLINK("http://141.218.60.56/~jnz1568/getInfo.php?workbook=20_13.xlsx&amp;sheet=U0&amp;row=1451&amp;col=6&amp;number=3.7&amp;sourceID=14","3.7")</f>
        <v>3.7</v>
      </c>
      <c r="G1451" s="4" t="str">
        <f>HYPERLINK("http://141.218.60.56/~jnz1568/getInfo.php?workbook=20_13.xlsx&amp;sheet=U0&amp;row=1451&amp;col=7&amp;number=0.0876&amp;sourceID=14","0.0876")</f>
        <v>0.0876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HYPERLINK("http://141.218.60.56/~jnz1568/getInfo.php?workbook=20_13.xlsx&amp;sheet=U0&amp;row=1452&amp;col=6&amp;number=3.8&amp;sourceID=14","3.8")</f>
        <v>3.8</v>
      </c>
      <c r="G1452" s="4" t="str">
        <f>HYPERLINK("http://141.218.60.56/~jnz1568/getInfo.php?workbook=20_13.xlsx&amp;sheet=U0&amp;row=1452&amp;col=7&amp;number=0.0874&amp;sourceID=14","0.0874")</f>
        <v>0.0874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HYPERLINK("http://141.218.60.56/~jnz1568/getInfo.php?workbook=20_13.xlsx&amp;sheet=U0&amp;row=1453&amp;col=6&amp;number=3.9&amp;sourceID=14","3.9")</f>
        <v>3.9</v>
      </c>
      <c r="G1453" s="4" t="str">
        <f>HYPERLINK("http://141.218.60.56/~jnz1568/getInfo.php?workbook=20_13.xlsx&amp;sheet=U0&amp;row=1453&amp;col=7&amp;number=0.0872&amp;sourceID=14","0.0872")</f>
        <v>0.0872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HYPERLINK("http://141.218.60.56/~jnz1568/getInfo.php?workbook=20_13.xlsx&amp;sheet=U0&amp;row=1454&amp;col=6&amp;number=4&amp;sourceID=14","4")</f>
        <v>4</v>
      </c>
      <c r="G1454" s="4" t="str">
        <f>HYPERLINK("http://141.218.60.56/~jnz1568/getInfo.php?workbook=20_13.xlsx&amp;sheet=U0&amp;row=1454&amp;col=7&amp;number=0.0869&amp;sourceID=14","0.0869")</f>
        <v>0.0869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HYPERLINK("http://141.218.60.56/~jnz1568/getInfo.php?workbook=20_13.xlsx&amp;sheet=U0&amp;row=1455&amp;col=6&amp;number=4.1&amp;sourceID=14","4.1")</f>
        <v>4.1</v>
      </c>
      <c r="G1455" s="4" t="str">
        <f>HYPERLINK("http://141.218.60.56/~jnz1568/getInfo.php?workbook=20_13.xlsx&amp;sheet=U0&amp;row=1455&amp;col=7&amp;number=0.0866&amp;sourceID=14","0.0866")</f>
        <v>0.0866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HYPERLINK("http://141.218.60.56/~jnz1568/getInfo.php?workbook=20_13.xlsx&amp;sheet=U0&amp;row=1456&amp;col=6&amp;number=4.2&amp;sourceID=14","4.2")</f>
        <v>4.2</v>
      </c>
      <c r="G1456" s="4" t="str">
        <f>HYPERLINK("http://141.218.60.56/~jnz1568/getInfo.php?workbook=20_13.xlsx&amp;sheet=U0&amp;row=1456&amp;col=7&amp;number=0.0862&amp;sourceID=14","0.0862")</f>
        <v>0.0862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HYPERLINK("http://141.218.60.56/~jnz1568/getInfo.php?workbook=20_13.xlsx&amp;sheet=U0&amp;row=1457&amp;col=6&amp;number=4.3&amp;sourceID=14","4.3")</f>
        <v>4.3</v>
      </c>
      <c r="G1457" s="4" t="str">
        <f>HYPERLINK("http://141.218.60.56/~jnz1568/getInfo.php?workbook=20_13.xlsx&amp;sheet=U0&amp;row=1457&amp;col=7&amp;number=0.0856&amp;sourceID=14","0.0856")</f>
        <v>0.0856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HYPERLINK("http://141.218.60.56/~jnz1568/getInfo.php?workbook=20_13.xlsx&amp;sheet=U0&amp;row=1458&amp;col=6&amp;number=4.4&amp;sourceID=14","4.4")</f>
        <v>4.4</v>
      </c>
      <c r="G1458" s="4" t="str">
        <f>HYPERLINK("http://141.218.60.56/~jnz1568/getInfo.php?workbook=20_13.xlsx&amp;sheet=U0&amp;row=1458&amp;col=7&amp;number=0.0849&amp;sourceID=14","0.0849")</f>
        <v>0.0849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HYPERLINK("http://141.218.60.56/~jnz1568/getInfo.php?workbook=20_13.xlsx&amp;sheet=U0&amp;row=1459&amp;col=6&amp;number=4.5&amp;sourceID=14","4.5")</f>
        <v>4.5</v>
      </c>
      <c r="G1459" s="4" t="str">
        <f>HYPERLINK("http://141.218.60.56/~jnz1568/getInfo.php?workbook=20_13.xlsx&amp;sheet=U0&amp;row=1459&amp;col=7&amp;number=0.0841&amp;sourceID=14","0.0841")</f>
        <v>0.0841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HYPERLINK("http://141.218.60.56/~jnz1568/getInfo.php?workbook=20_13.xlsx&amp;sheet=U0&amp;row=1460&amp;col=6&amp;number=4.6&amp;sourceID=14","4.6")</f>
        <v>4.6</v>
      </c>
      <c r="G1460" s="4" t="str">
        <f>HYPERLINK("http://141.218.60.56/~jnz1568/getInfo.php?workbook=20_13.xlsx&amp;sheet=U0&amp;row=1460&amp;col=7&amp;number=0.0831&amp;sourceID=14","0.0831")</f>
        <v>0.0831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HYPERLINK("http://141.218.60.56/~jnz1568/getInfo.php?workbook=20_13.xlsx&amp;sheet=U0&amp;row=1461&amp;col=6&amp;number=4.7&amp;sourceID=14","4.7")</f>
        <v>4.7</v>
      </c>
      <c r="G1461" s="4" t="str">
        <f>HYPERLINK("http://141.218.60.56/~jnz1568/getInfo.php?workbook=20_13.xlsx&amp;sheet=U0&amp;row=1461&amp;col=7&amp;number=0.0819&amp;sourceID=14","0.0819")</f>
        <v>0.0819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HYPERLINK("http://141.218.60.56/~jnz1568/getInfo.php?workbook=20_13.xlsx&amp;sheet=U0&amp;row=1462&amp;col=6&amp;number=4.8&amp;sourceID=14","4.8")</f>
        <v>4.8</v>
      </c>
      <c r="G1462" s="4" t="str">
        <f>HYPERLINK("http://141.218.60.56/~jnz1568/getInfo.php?workbook=20_13.xlsx&amp;sheet=U0&amp;row=1462&amp;col=7&amp;number=0.0804&amp;sourceID=14","0.0804")</f>
        <v>0.0804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HYPERLINK("http://141.218.60.56/~jnz1568/getInfo.php?workbook=20_13.xlsx&amp;sheet=U0&amp;row=1463&amp;col=6&amp;number=4.9&amp;sourceID=14","4.9")</f>
        <v>4.9</v>
      </c>
      <c r="G1463" s="4" t="str">
        <f>HYPERLINK("http://141.218.60.56/~jnz1568/getInfo.php?workbook=20_13.xlsx&amp;sheet=U0&amp;row=1463&amp;col=7&amp;number=0.0787&amp;sourceID=14","0.0787")</f>
        <v>0.0787</v>
      </c>
    </row>
    <row r="1464" spans="1:7">
      <c r="A1464" s="3">
        <v>20</v>
      </c>
      <c r="B1464" s="3">
        <v>13</v>
      </c>
      <c r="C1464" s="3">
        <v>2</v>
      </c>
      <c r="D1464" s="3">
        <v>37</v>
      </c>
      <c r="E1464" s="3">
        <v>1</v>
      </c>
      <c r="F1464" s="4" t="str">
        <f>HYPERLINK("http://141.218.60.56/~jnz1568/getInfo.php?workbook=20_13.xlsx&amp;sheet=U0&amp;row=1464&amp;col=6&amp;number=3&amp;sourceID=14","3")</f>
        <v>3</v>
      </c>
      <c r="G1464" s="4" t="str">
        <f>HYPERLINK("http://141.218.60.56/~jnz1568/getInfo.php?workbook=20_13.xlsx&amp;sheet=U0&amp;row=1464&amp;col=7&amp;number=0.0288&amp;sourceID=14","0.0288")</f>
        <v>0.0288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HYPERLINK("http://141.218.60.56/~jnz1568/getInfo.php?workbook=20_13.xlsx&amp;sheet=U0&amp;row=1465&amp;col=6&amp;number=3.1&amp;sourceID=14","3.1")</f>
        <v>3.1</v>
      </c>
      <c r="G1465" s="4" t="str">
        <f>HYPERLINK("http://141.218.60.56/~jnz1568/getInfo.php?workbook=20_13.xlsx&amp;sheet=U0&amp;row=1465&amp;col=7&amp;number=0.0288&amp;sourceID=14","0.0288")</f>
        <v>0.0288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HYPERLINK("http://141.218.60.56/~jnz1568/getInfo.php?workbook=20_13.xlsx&amp;sheet=U0&amp;row=1466&amp;col=6&amp;number=3.2&amp;sourceID=14","3.2")</f>
        <v>3.2</v>
      </c>
      <c r="G1466" s="4" t="str">
        <f>HYPERLINK("http://141.218.60.56/~jnz1568/getInfo.php?workbook=20_13.xlsx&amp;sheet=U0&amp;row=1466&amp;col=7&amp;number=0.0288&amp;sourceID=14","0.0288")</f>
        <v>0.0288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HYPERLINK("http://141.218.60.56/~jnz1568/getInfo.php?workbook=20_13.xlsx&amp;sheet=U0&amp;row=1467&amp;col=6&amp;number=3.3&amp;sourceID=14","3.3")</f>
        <v>3.3</v>
      </c>
      <c r="G1467" s="4" t="str">
        <f>HYPERLINK("http://141.218.60.56/~jnz1568/getInfo.php?workbook=20_13.xlsx&amp;sheet=U0&amp;row=1467&amp;col=7&amp;number=0.0288&amp;sourceID=14","0.0288")</f>
        <v>0.0288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HYPERLINK("http://141.218.60.56/~jnz1568/getInfo.php?workbook=20_13.xlsx&amp;sheet=U0&amp;row=1468&amp;col=6&amp;number=3.4&amp;sourceID=14","3.4")</f>
        <v>3.4</v>
      </c>
      <c r="G1468" s="4" t="str">
        <f>HYPERLINK("http://141.218.60.56/~jnz1568/getInfo.php?workbook=20_13.xlsx&amp;sheet=U0&amp;row=1468&amp;col=7&amp;number=0.0288&amp;sourceID=14","0.0288")</f>
        <v>0.0288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HYPERLINK("http://141.218.60.56/~jnz1568/getInfo.php?workbook=20_13.xlsx&amp;sheet=U0&amp;row=1469&amp;col=6&amp;number=3.5&amp;sourceID=14","3.5")</f>
        <v>3.5</v>
      </c>
      <c r="G1469" s="4" t="str">
        <f>HYPERLINK("http://141.218.60.56/~jnz1568/getInfo.php?workbook=20_13.xlsx&amp;sheet=U0&amp;row=1469&amp;col=7&amp;number=0.0288&amp;sourceID=14","0.0288")</f>
        <v>0.0288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HYPERLINK("http://141.218.60.56/~jnz1568/getInfo.php?workbook=20_13.xlsx&amp;sheet=U0&amp;row=1470&amp;col=6&amp;number=3.6&amp;sourceID=14","3.6")</f>
        <v>3.6</v>
      </c>
      <c r="G1470" s="4" t="str">
        <f>HYPERLINK("http://141.218.60.56/~jnz1568/getInfo.php?workbook=20_13.xlsx&amp;sheet=U0&amp;row=1470&amp;col=7&amp;number=0.0288&amp;sourceID=14","0.0288")</f>
        <v>0.0288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HYPERLINK("http://141.218.60.56/~jnz1568/getInfo.php?workbook=20_13.xlsx&amp;sheet=U0&amp;row=1471&amp;col=6&amp;number=3.7&amp;sourceID=14","3.7")</f>
        <v>3.7</v>
      </c>
      <c r="G1471" s="4" t="str">
        <f>HYPERLINK("http://141.218.60.56/~jnz1568/getInfo.php?workbook=20_13.xlsx&amp;sheet=U0&amp;row=1471&amp;col=7&amp;number=0.0288&amp;sourceID=14","0.0288")</f>
        <v>0.0288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HYPERLINK("http://141.218.60.56/~jnz1568/getInfo.php?workbook=20_13.xlsx&amp;sheet=U0&amp;row=1472&amp;col=6&amp;number=3.8&amp;sourceID=14","3.8")</f>
        <v>3.8</v>
      </c>
      <c r="G1472" s="4" t="str">
        <f>HYPERLINK("http://141.218.60.56/~jnz1568/getInfo.php?workbook=20_13.xlsx&amp;sheet=U0&amp;row=1472&amp;col=7&amp;number=0.0288&amp;sourceID=14","0.0288")</f>
        <v>0.0288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HYPERLINK("http://141.218.60.56/~jnz1568/getInfo.php?workbook=20_13.xlsx&amp;sheet=U0&amp;row=1473&amp;col=6&amp;number=3.9&amp;sourceID=14","3.9")</f>
        <v>3.9</v>
      </c>
      <c r="G1473" s="4" t="str">
        <f>HYPERLINK("http://141.218.60.56/~jnz1568/getInfo.php?workbook=20_13.xlsx&amp;sheet=U0&amp;row=1473&amp;col=7&amp;number=0.0288&amp;sourceID=14","0.0288")</f>
        <v>0.0288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HYPERLINK("http://141.218.60.56/~jnz1568/getInfo.php?workbook=20_13.xlsx&amp;sheet=U0&amp;row=1474&amp;col=6&amp;number=4&amp;sourceID=14","4")</f>
        <v>4</v>
      </c>
      <c r="G1474" s="4" t="str">
        <f>HYPERLINK("http://141.218.60.56/~jnz1568/getInfo.php?workbook=20_13.xlsx&amp;sheet=U0&amp;row=1474&amp;col=7&amp;number=0.0288&amp;sourceID=14","0.0288")</f>
        <v>0.0288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HYPERLINK("http://141.218.60.56/~jnz1568/getInfo.php?workbook=20_13.xlsx&amp;sheet=U0&amp;row=1475&amp;col=6&amp;number=4.1&amp;sourceID=14","4.1")</f>
        <v>4.1</v>
      </c>
      <c r="G1475" s="4" t="str">
        <f>HYPERLINK("http://141.218.60.56/~jnz1568/getInfo.php?workbook=20_13.xlsx&amp;sheet=U0&amp;row=1475&amp;col=7&amp;number=0.0288&amp;sourceID=14","0.0288")</f>
        <v>0.0288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HYPERLINK("http://141.218.60.56/~jnz1568/getInfo.php?workbook=20_13.xlsx&amp;sheet=U0&amp;row=1476&amp;col=6&amp;number=4.2&amp;sourceID=14","4.2")</f>
        <v>4.2</v>
      </c>
      <c r="G1476" s="4" t="str">
        <f>HYPERLINK("http://141.218.60.56/~jnz1568/getInfo.php?workbook=20_13.xlsx&amp;sheet=U0&amp;row=1476&amp;col=7&amp;number=0.0288&amp;sourceID=14","0.0288")</f>
        <v>0.0288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HYPERLINK("http://141.218.60.56/~jnz1568/getInfo.php?workbook=20_13.xlsx&amp;sheet=U0&amp;row=1477&amp;col=6&amp;number=4.3&amp;sourceID=14","4.3")</f>
        <v>4.3</v>
      </c>
      <c r="G1477" s="4" t="str">
        <f>HYPERLINK("http://141.218.60.56/~jnz1568/getInfo.php?workbook=20_13.xlsx&amp;sheet=U0&amp;row=1477&amp;col=7&amp;number=0.0289&amp;sourceID=14","0.0289")</f>
        <v>0.0289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HYPERLINK("http://141.218.60.56/~jnz1568/getInfo.php?workbook=20_13.xlsx&amp;sheet=U0&amp;row=1478&amp;col=6&amp;number=4.4&amp;sourceID=14","4.4")</f>
        <v>4.4</v>
      </c>
      <c r="G1478" s="4" t="str">
        <f>HYPERLINK("http://141.218.60.56/~jnz1568/getInfo.php?workbook=20_13.xlsx&amp;sheet=U0&amp;row=1478&amp;col=7&amp;number=0.0289&amp;sourceID=14","0.0289")</f>
        <v>0.0289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HYPERLINK("http://141.218.60.56/~jnz1568/getInfo.php?workbook=20_13.xlsx&amp;sheet=U0&amp;row=1479&amp;col=6&amp;number=4.5&amp;sourceID=14","4.5")</f>
        <v>4.5</v>
      </c>
      <c r="G1479" s="4" t="str">
        <f>HYPERLINK("http://141.218.60.56/~jnz1568/getInfo.php?workbook=20_13.xlsx&amp;sheet=U0&amp;row=1479&amp;col=7&amp;number=0.0289&amp;sourceID=14","0.0289")</f>
        <v>0.0289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HYPERLINK("http://141.218.60.56/~jnz1568/getInfo.php?workbook=20_13.xlsx&amp;sheet=U0&amp;row=1480&amp;col=6&amp;number=4.6&amp;sourceID=14","4.6")</f>
        <v>4.6</v>
      </c>
      <c r="G1480" s="4" t="str">
        <f>HYPERLINK("http://141.218.60.56/~jnz1568/getInfo.php?workbook=20_13.xlsx&amp;sheet=U0&amp;row=1480&amp;col=7&amp;number=0.029&amp;sourceID=14","0.029")</f>
        <v>0.029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HYPERLINK("http://141.218.60.56/~jnz1568/getInfo.php?workbook=20_13.xlsx&amp;sheet=U0&amp;row=1481&amp;col=6&amp;number=4.7&amp;sourceID=14","4.7")</f>
        <v>4.7</v>
      </c>
      <c r="G1481" s="4" t="str">
        <f>HYPERLINK("http://141.218.60.56/~jnz1568/getInfo.php?workbook=20_13.xlsx&amp;sheet=U0&amp;row=1481&amp;col=7&amp;number=0.0291&amp;sourceID=14","0.0291")</f>
        <v>0.0291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HYPERLINK("http://141.218.60.56/~jnz1568/getInfo.php?workbook=20_13.xlsx&amp;sheet=U0&amp;row=1482&amp;col=6&amp;number=4.8&amp;sourceID=14","4.8")</f>
        <v>4.8</v>
      </c>
      <c r="G1482" s="4" t="str">
        <f>HYPERLINK("http://141.218.60.56/~jnz1568/getInfo.php?workbook=20_13.xlsx&amp;sheet=U0&amp;row=1482&amp;col=7&amp;number=0.0291&amp;sourceID=14","0.0291")</f>
        <v>0.0291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HYPERLINK("http://141.218.60.56/~jnz1568/getInfo.php?workbook=20_13.xlsx&amp;sheet=U0&amp;row=1483&amp;col=6&amp;number=4.9&amp;sourceID=14","4.9")</f>
        <v>4.9</v>
      </c>
      <c r="G1483" s="4" t="str">
        <f>HYPERLINK("http://141.218.60.56/~jnz1568/getInfo.php?workbook=20_13.xlsx&amp;sheet=U0&amp;row=1483&amp;col=7&amp;number=0.0292&amp;sourceID=14","0.0292")</f>
        <v>0.0292</v>
      </c>
    </row>
    <row r="1484" spans="1:7">
      <c r="A1484" s="3">
        <v>20</v>
      </c>
      <c r="B1484" s="3">
        <v>13</v>
      </c>
      <c r="C1484" s="3">
        <v>2</v>
      </c>
      <c r="D1484" s="3">
        <v>38</v>
      </c>
      <c r="E1484" s="3">
        <v>1</v>
      </c>
      <c r="F1484" s="4" t="str">
        <f>HYPERLINK("http://141.218.60.56/~jnz1568/getInfo.php?workbook=20_13.xlsx&amp;sheet=U0&amp;row=1484&amp;col=6&amp;number=3&amp;sourceID=14","3")</f>
        <v>3</v>
      </c>
      <c r="G1484" s="4" t="str">
        <f>HYPERLINK("http://141.218.60.56/~jnz1568/getInfo.php?workbook=20_13.xlsx&amp;sheet=U0&amp;row=1484&amp;col=7&amp;number=0.0666&amp;sourceID=14","0.0666")</f>
        <v>0.0666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HYPERLINK("http://141.218.60.56/~jnz1568/getInfo.php?workbook=20_13.xlsx&amp;sheet=U0&amp;row=1485&amp;col=6&amp;number=3.1&amp;sourceID=14","3.1")</f>
        <v>3.1</v>
      </c>
      <c r="G1485" s="4" t="str">
        <f>HYPERLINK("http://141.218.60.56/~jnz1568/getInfo.php?workbook=20_13.xlsx&amp;sheet=U0&amp;row=1485&amp;col=7&amp;number=0.0666&amp;sourceID=14","0.0666")</f>
        <v>0.0666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HYPERLINK("http://141.218.60.56/~jnz1568/getInfo.php?workbook=20_13.xlsx&amp;sheet=U0&amp;row=1486&amp;col=6&amp;number=3.2&amp;sourceID=14","3.2")</f>
        <v>3.2</v>
      </c>
      <c r="G1486" s="4" t="str">
        <f>HYPERLINK("http://141.218.60.56/~jnz1568/getInfo.php?workbook=20_13.xlsx&amp;sheet=U0&amp;row=1486&amp;col=7&amp;number=0.0666&amp;sourceID=14","0.0666")</f>
        <v>0.0666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HYPERLINK("http://141.218.60.56/~jnz1568/getInfo.php?workbook=20_13.xlsx&amp;sheet=U0&amp;row=1487&amp;col=6&amp;number=3.3&amp;sourceID=14","3.3")</f>
        <v>3.3</v>
      </c>
      <c r="G1487" s="4" t="str">
        <f>HYPERLINK("http://141.218.60.56/~jnz1568/getInfo.php?workbook=20_13.xlsx&amp;sheet=U0&amp;row=1487&amp;col=7&amp;number=0.0665&amp;sourceID=14","0.0665")</f>
        <v>0.0665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HYPERLINK("http://141.218.60.56/~jnz1568/getInfo.php?workbook=20_13.xlsx&amp;sheet=U0&amp;row=1488&amp;col=6&amp;number=3.4&amp;sourceID=14","3.4")</f>
        <v>3.4</v>
      </c>
      <c r="G1488" s="4" t="str">
        <f>HYPERLINK("http://141.218.60.56/~jnz1568/getInfo.php?workbook=20_13.xlsx&amp;sheet=U0&amp;row=1488&amp;col=7&amp;number=0.0665&amp;sourceID=14","0.0665")</f>
        <v>0.0665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HYPERLINK("http://141.218.60.56/~jnz1568/getInfo.php?workbook=20_13.xlsx&amp;sheet=U0&amp;row=1489&amp;col=6&amp;number=3.5&amp;sourceID=14","3.5")</f>
        <v>3.5</v>
      </c>
      <c r="G1489" s="4" t="str">
        <f>HYPERLINK("http://141.218.60.56/~jnz1568/getInfo.php?workbook=20_13.xlsx&amp;sheet=U0&amp;row=1489&amp;col=7&amp;number=0.0665&amp;sourceID=14","0.0665")</f>
        <v>0.0665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HYPERLINK("http://141.218.60.56/~jnz1568/getInfo.php?workbook=20_13.xlsx&amp;sheet=U0&amp;row=1490&amp;col=6&amp;number=3.6&amp;sourceID=14","3.6")</f>
        <v>3.6</v>
      </c>
      <c r="G1490" s="4" t="str">
        <f>HYPERLINK("http://141.218.60.56/~jnz1568/getInfo.php?workbook=20_13.xlsx&amp;sheet=U0&amp;row=1490&amp;col=7&amp;number=0.0664&amp;sourceID=14","0.0664")</f>
        <v>0.0664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HYPERLINK("http://141.218.60.56/~jnz1568/getInfo.php?workbook=20_13.xlsx&amp;sheet=U0&amp;row=1491&amp;col=6&amp;number=3.7&amp;sourceID=14","3.7")</f>
        <v>3.7</v>
      </c>
      <c r="G1491" s="4" t="str">
        <f>HYPERLINK("http://141.218.60.56/~jnz1568/getInfo.php?workbook=20_13.xlsx&amp;sheet=U0&amp;row=1491&amp;col=7&amp;number=0.0663&amp;sourceID=14","0.0663")</f>
        <v>0.0663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HYPERLINK("http://141.218.60.56/~jnz1568/getInfo.php?workbook=20_13.xlsx&amp;sheet=U0&amp;row=1492&amp;col=6&amp;number=3.8&amp;sourceID=14","3.8")</f>
        <v>3.8</v>
      </c>
      <c r="G1492" s="4" t="str">
        <f>HYPERLINK("http://141.218.60.56/~jnz1568/getInfo.php?workbook=20_13.xlsx&amp;sheet=U0&amp;row=1492&amp;col=7&amp;number=0.0663&amp;sourceID=14","0.0663")</f>
        <v>0.0663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HYPERLINK("http://141.218.60.56/~jnz1568/getInfo.php?workbook=20_13.xlsx&amp;sheet=U0&amp;row=1493&amp;col=6&amp;number=3.9&amp;sourceID=14","3.9")</f>
        <v>3.9</v>
      </c>
      <c r="G1493" s="4" t="str">
        <f>HYPERLINK("http://141.218.60.56/~jnz1568/getInfo.php?workbook=20_13.xlsx&amp;sheet=U0&amp;row=1493&amp;col=7&amp;number=0.0661&amp;sourceID=14","0.0661")</f>
        <v>0.0661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HYPERLINK("http://141.218.60.56/~jnz1568/getInfo.php?workbook=20_13.xlsx&amp;sheet=U0&amp;row=1494&amp;col=6&amp;number=4&amp;sourceID=14","4")</f>
        <v>4</v>
      </c>
      <c r="G1494" s="4" t="str">
        <f>HYPERLINK("http://141.218.60.56/~jnz1568/getInfo.php?workbook=20_13.xlsx&amp;sheet=U0&amp;row=1494&amp;col=7&amp;number=0.066&amp;sourceID=14","0.066")</f>
        <v>0.066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HYPERLINK("http://141.218.60.56/~jnz1568/getInfo.php?workbook=20_13.xlsx&amp;sheet=U0&amp;row=1495&amp;col=6&amp;number=4.1&amp;sourceID=14","4.1")</f>
        <v>4.1</v>
      </c>
      <c r="G1495" s="4" t="str">
        <f>HYPERLINK("http://141.218.60.56/~jnz1568/getInfo.php?workbook=20_13.xlsx&amp;sheet=U0&amp;row=1495&amp;col=7&amp;number=0.0658&amp;sourceID=14","0.0658")</f>
        <v>0.0658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HYPERLINK("http://141.218.60.56/~jnz1568/getInfo.php?workbook=20_13.xlsx&amp;sheet=U0&amp;row=1496&amp;col=6&amp;number=4.2&amp;sourceID=14","4.2")</f>
        <v>4.2</v>
      </c>
      <c r="G1496" s="4" t="str">
        <f>HYPERLINK("http://141.218.60.56/~jnz1568/getInfo.php?workbook=20_13.xlsx&amp;sheet=U0&amp;row=1496&amp;col=7&amp;number=0.0656&amp;sourceID=14","0.0656")</f>
        <v>0.0656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HYPERLINK("http://141.218.60.56/~jnz1568/getInfo.php?workbook=20_13.xlsx&amp;sheet=U0&amp;row=1497&amp;col=6&amp;number=4.3&amp;sourceID=14","4.3")</f>
        <v>4.3</v>
      </c>
      <c r="G1497" s="4" t="str">
        <f>HYPERLINK("http://141.218.60.56/~jnz1568/getInfo.php?workbook=20_13.xlsx&amp;sheet=U0&amp;row=1497&amp;col=7&amp;number=0.0654&amp;sourceID=14","0.0654")</f>
        <v>0.0654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HYPERLINK("http://141.218.60.56/~jnz1568/getInfo.php?workbook=20_13.xlsx&amp;sheet=U0&amp;row=1498&amp;col=6&amp;number=4.4&amp;sourceID=14","4.4")</f>
        <v>4.4</v>
      </c>
      <c r="G1498" s="4" t="str">
        <f>HYPERLINK("http://141.218.60.56/~jnz1568/getInfo.php?workbook=20_13.xlsx&amp;sheet=U0&amp;row=1498&amp;col=7&amp;number=0.065&amp;sourceID=14","0.065")</f>
        <v>0.065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HYPERLINK("http://141.218.60.56/~jnz1568/getInfo.php?workbook=20_13.xlsx&amp;sheet=U0&amp;row=1499&amp;col=6&amp;number=4.5&amp;sourceID=14","4.5")</f>
        <v>4.5</v>
      </c>
      <c r="G1499" s="4" t="str">
        <f>HYPERLINK("http://141.218.60.56/~jnz1568/getInfo.php?workbook=20_13.xlsx&amp;sheet=U0&amp;row=1499&amp;col=7&amp;number=0.0646&amp;sourceID=14","0.0646")</f>
        <v>0.0646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HYPERLINK("http://141.218.60.56/~jnz1568/getInfo.php?workbook=20_13.xlsx&amp;sheet=U0&amp;row=1500&amp;col=6&amp;number=4.6&amp;sourceID=14","4.6")</f>
        <v>4.6</v>
      </c>
      <c r="G1500" s="4" t="str">
        <f>HYPERLINK("http://141.218.60.56/~jnz1568/getInfo.php?workbook=20_13.xlsx&amp;sheet=U0&amp;row=1500&amp;col=7&amp;number=0.0641&amp;sourceID=14","0.0641")</f>
        <v>0.0641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HYPERLINK("http://141.218.60.56/~jnz1568/getInfo.php?workbook=20_13.xlsx&amp;sheet=U0&amp;row=1501&amp;col=6&amp;number=4.7&amp;sourceID=14","4.7")</f>
        <v>4.7</v>
      </c>
      <c r="G1501" s="4" t="str">
        <f>HYPERLINK("http://141.218.60.56/~jnz1568/getInfo.php?workbook=20_13.xlsx&amp;sheet=U0&amp;row=1501&amp;col=7&amp;number=0.0635&amp;sourceID=14","0.0635")</f>
        <v>0.0635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HYPERLINK("http://141.218.60.56/~jnz1568/getInfo.php?workbook=20_13.xlsx&amp;sheet=U0&amp;row=1502&amp;col=6&amp;number=4.8&amp;sourceID=14","4.8")</f>
        <v>4.8</v>
      </c>
      <c r="G1502" s="4" t="str">
        <f>HYPERLINK("http://141.218.60.56/~jnz1568/getInfo.php?workbook=20_13.xlsx&amp;sheet=U0&amp;row=1502&amp;col=7&amp;number=0.0628&amp;sourceID=14","0.0628")</f>
        <v>0.0628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HYPERLINK("http://141.218.60.56/~jnz1568/getInfo.php?workbook=20_13.xlsx&amp;sheet=U0&amp;row=1503&amp;col=6&amp;number=4.9&amp;sourceID=14","4.9")</f>
        <v>4.9</v>
      </c>
      <c r="G1503" s="4" t="str">
        <f>HYPERLINK("http://141.218.60.56/~jnz1568/getInfo.php?workbook=20_13.xlsx&amp;sheet=U0&amp;row=1503&amp;col=7&amp;number=0.0621&amp;sourceID=14","0.0621")</f>
        <v>0.0621</v>
      </c>
    </row>
    <row r="1504" spans="1:7">
      <c r="A1504" s="3">
        <v>20</v>
      </c>
      <c r="B1504" s="3">
        <v>13</v>
      </c>
      <c r="C1504" s="3">
        <v>2</v>
      </c>
      <c r="D1504" s="3">
        <v>39</v>
      </c>
      <c r="E1504" s="3">
        <v>1</v>
      </c>
      <c r="F1504" s="4" t="str">
        <f>HYPERLINK("http://141.218.60.56/~jnz1568/getInfo.php?workbook=20_13.xlsx&amp;sheet=U0&amp;row=1504&amp;col=6&amp;number=3&amp;sourceID=14","3")</f>
        <v>3</v>
      </c>
      <c r="G1504" s="4" t="str">
        <f>HYPERLINK("http://141.218.60.56/~jnz1568/getInfo.php?workbook=20_13.xlsx&amp;sheet=U0&amp;row=1504&amp;col=7&amp;number=0.199&amp;sourceID=14","0.199")</f>
        <v>0.199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HYPERLINK("http://141.218.60.56/~jnz1568/getInfo.php?workbook=20_13.xlsx&amp;sheet=U0&amp;row=1505&amp;col=6&amp;number=3.1&amp;sourceID=14","3.1")</f>
        <v>3.1</v>
      </c>
      <c r="G1505" s="4" t="str">
        <f>HYPERLINK("http://141.218.60.56/~jnz1568/getInfo.php?workbook=20_13.xlsx&amp;sheet=U0&amp;row=1505&amp;col=7&amp;number=0.199&amp;sourceID=14","0.199")</f>
        <v>0.199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HYPERLINK("http://141.218.60.56/~jnz1568/getInfo.php?workbook=20_13.xlsx&amp;sheet=U0&amp;row=1506&amp;col=6&amp;number=3.2&amp;sourceID=14","3.2")</f>
        <v>3.2</v>
      </c>
      <c r="G1506" s="4" t="str">
        <f>HYPERLINK("http://141.218.60.56/~jnz1568/getInfo.php?workbook=20_13.xlsx&amp;sheet=U0&amp;row=1506&amp;col=7&amp;number=0.199&amp;sourceID=14","0.199")</f>
        <v>0.199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HYPERLINK("http://141.218.60.56/~jnz1568/getInfo.php?workbook=20_13.xlsx&amp;sheet=U0&amp;row=1507&amp;col=6&amp;number=3.3&amp;sourceID=14","3.3")</f>
        <v>3.3</v>
      </c>
      <c r="G1507" s="4" t="str">
        <f>HYPERLINK("http://141.218.60.56/~jnz1568/getInfo.php?workbook=20_13.xlsx&amp;sheet=U0&amp;row=1507&amp;col=7&amp;number=0.199&amp;sourceID=14","0.199")</f>
        <v>0.199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HYPERLINK("http://141.218.60.56/~jnz1568/getInfo.php?workbook=20_13.xlsx&amp;sheet=U0&amp;row=1508&amp;col=6&amp;number=3.4&amp;sourceID=14","3.4")</f>
        <v>3.4</v>
      </c>
      <c r="G1508" s="4" t="str">
        <f>HYPERLINK("http://141.218.60.56/~jnz1568/getInfo.php?workbook=20_13.xlsx&amp;sheet=U0&amp;row=1508&amp;col=7&amp;number=0.199&amp;sourceID=14","0.199")</f>
        <v>0.199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HYPERLINK("http://141.218.60.56/~jnz1568/getInfo.php?workbook=20_13.xlsx&amp;sheet=U0&amp;row=1509&amp;col=6&amp;number=3.5&amp;sourceID=14","3.5")</f>
        <v>3.5</v>
      </c>
      <c r="G1509" s="4" t="str">
        <f>HYPERLINK("http://141.218.60.56/~jnz1568/getInfo.php?workbook=20_13.xlsx&amp;sheet=U0&amp;row=1509&amp;col=7&amp;number=0.199&amp;sourceID=14","0.199")</f>
        <v>0.199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HYPERLINK("http://141.218.60.56/~jnz1568/getInfo.php?workbook=20_13.xlsx&amp;sheet=U0&amp;row=1510&amp;col=6&amp;number=3.6&amp;sourceID=14","3.6")</f>
        <v>3.6</v>
      </c>
      <c r="G1510" s="4" t="str">
        <f>HYPERLINK("http://141.218.60.56/~jnz1568/getInfo.php?workbook=20_13.xlsx&amp;sheet=U0&amp;row=1510&amp;col=7&amp;number=0.199&amp;sourceID=14","0.199")</f>
        <v>0.199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HYPERLINK("http://141.218.60.56/~jnz1568/getInfo.php?workbook=20_13.xlsx&amp;sheet=U0&amp;row=1511&amp;col=6&amp;number=3.7&amp;sourceID=14","3.7")</f>
        <v>3.7</v>
      </c>
      <c r="G1511" s="4" t="str">
        <f>HYPERLINK("http://141.218.60.56/~jnz1568/getInfo.php?workbook=20_13.xlsx&amp;sheet=U0&amp;row=1511&amp;col=7&amp;number=0.199&amp;sourceID=14","0.199")</f>
        <v>0.199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HYPERLINK("http://141.218.60.56/~jnz1568/getInfo.php?workbook=20_13.xlsx&amp;sheet=U0&amp;row=1512&amp;col=6&amp;number=3.8&amp;sourceID=14","3.8")</f>
        <v>3.8</v>
      </c>
      <c r="G1512" s="4" t="str">
        <f>HYPERLINK("http://141.218.60.56/~jnz1568/getInfo.php?workbook=20_13.xlsx&amp;sheet=U0&amp;row=1512&amp;col=7&amp;number=0.199&amp;sourceID=14","0.199")</f>
        <v>0.199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HYPERLINK("http://141.218.60.56/~jnz1568/getInfo.php?workbook=20_13.xlsx&amp;sheet=U0&amp;row=1513&amp;col=6&amp;number=3.9&amp;sourceID=14","3.9")</f>
        <v>3.9</v>
      </c>
      <c r="G1513" s="4" t="str">
        <f>HYPERLINK("http://141.218.60.56/~jnz1568/getInfo.php?workbook=20_13.xlsx&amp;sheet=U0&amp;row=1513&amp;col=7&amp;number=0.2&amp;sourceID=14","0.2")</f>
        <v>0.2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HYPERLINK("http://141.218.60.56/~jnz1568/getInfo.php?workbook=20_13.xlsx&amp;sheet=U0&amp;row=1514&amp;col=6&amp;number=4&amp;sourceID=14","4")</f>
        <v>4</v>
      </c>
      <c r="G1514" s="4" t="str">
        <f>HYPERLINK("http://141.218.60.56/~jnz1568/getInfo.php?workbook=20_13.xlsx&amp;sheet=U0&amp;row=1514&amp;col=7&amp;number=0.2&amp;sourceID=14","0.2")</f>
        <v>0.2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HYPERLINK("http://141.218.60.56/~jnz1568/getInfo.php?workbook=20_13.xlsx&amp;sheet=U0&amp;row=1515&amp;col=6&amp;number=4.1&amp;sourceID=14","4.1")</f>
        <v>4.1</v>
      </c>
      <c r="G1515" s="4" t="str">
        <f>HYPERLINK("http://141.218.60.56/~jnz1568/getInfo.php?workbook=20_13.xlsx&amp;sheet=U0&amp;row=1515&amp;col=7&amp;number=0.2&amp;sourceID=14","0.2")</f>
        <v>0.2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HYPERLINK("http://141.218.60.56/~jnz1568/getInfo.php?workbook=20_13.xlsx&amp;sheet=U0&amp;row=1516&amp;col=6&amp;number=4.2&amp;sourceID=14","4.2")</f>
        <v>4.2</v>
      </c>
      <c r="G1516" s="4" t="str">
        <f>HYPERLINK("http://141.218.60.56/~jnz1568/getInfo.php?workbook=20_13.xlsx&amp;sheet=U0&amp;row=1516&amp;col=7&amp;number=0.2&amp;sourceID=14","0.2")</f>
        <v>0.2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HYPERLINK("http://141.218.60.56/~jnz1568/getInfo.php?workbook=20_13.xlsx&amp;sheet=U0&amp;row=1517&amp;col=6&amp;number=4.3&amp;sourceID=14","4.3")</f>
        <v>4.3</v>
      </c>
      <c r="G1517" s="4" t="str">
        <f>HYPERLINK("http://141.218.60.56/~jnz1568/getInfo.php?workbook=20_13.xlsx&amp;sheet=U0&amp;row=1517&amp;col=7&amp;number=0.2&amp;sourceID=14","0.2")</f>
        <v>0.2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HYPERLINK("http://141.218.60.56/~jnz1568/getInfo.php?workbook=20_13.xlsx&amp;sheet=U0&amp;row=1518&amp;col=6&amp;number=4.4&amp;sourceID=14","4.4")</f>
        <v>4.4</v>
      </c>
      <c r="G1518" s="4" t="str">
        <f>HYPERLINK("http://141.218.60.56/~jnz1568/getInfo.php?workbook=20_13.xlsx&amp;sheet=U0&amp;row=1518&amp;col=7&amp;number=0.2&amp;sourceID=14","0.2")</f>
        <v>0.2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HYPERLINK("http://141.218.60.56/~jnz1568/getInfo.php?workbook=20_13.xlsx&amp;sheet=U0&amp;row=1519&amp;col=6&amp;number=4.5&amp;sourceID=14","4.5")</f>
        <v>4.5</v>
      </c>
      <c r="G1519" s="4" t="str">
        <f>HYPERLINK("http://141.218.60.56/~jnz1568/getInfo.php?workbook=20_13.xlsx&amp;sheet=U0&amp;row=1519&amp;col=7&amp;number=0.2&amp;sourceID=14","0.2")</f>
        <v>0.2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HYPERLINK("http://141.218.60.56/~jnz1568/getInfo.php?workbook=20_13.xlsx&amp;sheet=U0&amp;row=1520&amp;col=6&amp;number=4.6&amp;sourceID=14","4.6")</f>
        <v>4.6</v>
      </c>
      <c r="G1520" s="4" t="str">
        <f>HYPERLINK("http://141.218.60.56/~jnz1568/getInfo.php?workbook=20_13.xlsx&amp;sheet=U0&amp;row=1520&amp;col=7&amp;number=0.201&amp;sourceID=14","0.201")</f>
        <v>0.201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HYPERLINK("http://141.218.60.56/~jnz1568/getInfo.php?workbook=20_13.xlsx&amp;sheet=U0&amp;row=1521&amp;col=6&amp;number=4.7&amp;sourceID=14","4.7")</f>
        <v>4.7</v>
      </c>
      <c r="G1521" s="4" t="str">
        <f>HYPERLINK("http://141.218.60.56/~jnz1568/getInfo.php?workbook=20_13.xlsx&amp;sheet=U0&amp;row=1521&amp;col=7&amp;number=0.201&amp;sourceID=14","0.201")</f>
        <v>0.201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HYPERLINK("http://141.218.60.56/~jnz1568/getInfo.php?workbook=20_13.xlsx&amp;sheet=U0&amp;row=1522&amp;col=6&amp;number=4.8&amp;sourceID=14","4.8")</f>
        <v>4.8</v>
      </c>
      <c r="G1522" s="4" t="str">
        <f>HYPERLINK("http://141.218.60.56/~jnz1568/getInfo.php?workbook=20_13.xlsx&amp;sheet=U0&amp;row=1522&amp;col=7&amp;number=0.202&amp;sourceID=14","0.202")</f>
        <v>0.202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HYPERLINK("http://141.218.60.56/~jnz1568/getInfo.php?workbook=20_13.xlsx&amp;sheet=U0&amp;row=1523&amp;col=6&amp;number=4.9&amp;sourceID=14","4.9")</f>
        <v>4.9</v>
      </c>
      <c r="G1523" s="4" t="str">
        <f>HYPERLINK("http://141.218.60.56/~jnz1568/getInfo.php?workbook=20_13.xlsx&amp;sheet=U0&amp;row=1523&amp;col=7&amp;number=0.202&amp;sourceID=14","0.202")</f>
        <v>0.202</v>
      </c>
    </row>
    <row r="1524" spans="1:7">
      <c r="A1524" s="3">
        <v>20</v>
      </c>
      <c r="B1524" s="3">
        <v>13</v>
      </c>
      <c r="C1524" s="3">
        <v>2</v>
      </c>
      <c r="D1524" s="3">
        <v>40</v>
      </c>
      <c r="E1524" s="3">
        <v>1</v>
      </c>
      <c r="F1524" s="4" t="str">
        <f>HYPERLINK("http://141.218.60.56/~jnz1568/getInfo.php?workbook=20_13.xlsx&amp;sheet=U0&amp;row=1524&amp;col=6&amp;number=3&amp;sourceID=14","3")</f>
        <v>3</v>
      </c>
      <c r="G1524" s="4" t="str">
        <f>HYPERLINK("http://141.218.60.56/~jnz1568/getInfo.php?workbook=20_13.xlsx&amp;sheet=U0&amp;row=1524&amp;col=7&amp;number=0.388&amp;sourceID=14","0.388")</f>
        <v>0.388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HYPERLINK("http://141.218.60.56/~jnz1568/getInfo.php?workbook=20_13.xlsx&amp;sheet=U0&amp;row=1525&amp;col=6&amp;number=3.1&amp;sourceID=14","3.1")</f>
        <v>3.1</v>
      </c>
      <c r="G1525" s="4" t="str">
        <f>HYPERLINK("http://141.218.60.56/~jnz1568/getInfo.php?workbook=20_13.xlsx&amp;sheet=U0&amp;row=1525&amp;col=7&amp;number=0.388&amp;sourceID=14","0.388")</f>
        <v>0.388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HYPERLINK("http://141.218.60.56/~jnz1568/getInfo.php?workbook=20_13.xlsx&amp;sheet=U0&amp;row=1526&amp;col=6&amp;number=3.2&amp;sourceID=14","3.2")</f>
        <v>3.2</v>
      </c>
      <c r="G1526" s="4" t="str">
        <f>HYPERLINK("http://141.218.60.56/~jnz1568/getInfo.php?workbook=20_13.xlsx&amp;sheet=U0&amp;row=1526&amp;col=7&amp;number=0.389&amp;sourceID=14","0.389")</f>
        <v>0.389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HYPERLINK("http://141.218.60.56/~jnz1568/getInfo.php?workbook=20_13.xlsx&amp;sheet=U0&amp;row=1527&amp;col=6&amp;number=3.3&amp;sourceID=14","3.3")</f>
        <v>3.3</v>
      </c>
      <c r="G1527" s="4" t="str">
        <f>HYPERLINK("http://141.218.60.56/~jnz1568/getInfo.php?workbook=20_13.xlsx&amp;sheet=U0&amp;row=1527&amp;col=7&amp;number=0.389&amp;sourceID=14","0.389")</f>
        <v>0.389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HYPERLINK("http://141.218.60.56/~jnz1568/getInfo.php?workbook=20_13.xlsx&amp;sheet=U0&amp;row=1528&amp;col=6&amp;number=3.4&amp;sourceID=14","3.4")</f>
        <v>3.4</v>
      </c>
      <c r="G1528" s="4" t="str">
        <f>HYPERLINK("http://141.218.60.56/~jnz1568/getInfo.php?workbook=20_13.xlsx&amp;sheet=U0&amp;row=1528&amp;col=7&amp;number=0.389&amp;sourceID=14","0.389")</f>
        <v>0.389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HYPERLINK("http://141.218.60.56/~jnz1568/getInfo.php?workbook=20_13.xlsx&amp;sheet=U0&amp;row=1529&amp;col=6&amp;number=3.5&amp;sourceID=14","3.5")</f>
        <v>3.5</v>
      </c>
      <c r="G1529" s="4" t="str">
        <f>HYPERLINK("http://141.218.60.56/~jnz1568/getInfo.php?workbook=20_13.xlsx&amp;sheet=U0&amp;row=1529&amp;col=7&amp;number=0.389&amp;sourceID=14","0.389")</f>
        <v>0.389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HYPERLINK("http://141.218.60.56/~jnz1568/getInfo.php?workbook=20_13.xlsx&amp;sheet=U0&amp;row=1530&amp;col=6&amp;number=3.6&amp;sourceID=14","3.6")</f>
        <v>3.6</v>
      </c>
      <c r="G1530" s="4" t="str">
        <f>HYPERLINK("http://141.218.60.56/~jnz1568/getInfo.php?workbook=20_13.xlsx&amp;sheet=U0&amp;row=1530&amp;col=7&amp;number=0.389&amp;sourceID=14","0.389")</f>
        <v>0.389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HYPERLINK("http://141.218.60.56/~jnz1568/getInfo.php?workbook=20_13.xlsx&amp;sheet=U0&amp;row=1531&amp;col=6&amp;number=3.7&amp;sourceID=14","3.7")</f>
        <v>3.7</v>
      </c>
      <c r="G1531" s="4" t="str">
        <f>HYPERLINK("http://141.218.60.56/~jnz1568/getInfo.php?workbook=20_13.xlsx&amp;sheet=U0&amp;row=1531&amp;col=7&amp;number=0.389&amp;sourceID=14","0.389")</f>
        <v>0.389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HYPERLINK("http://141.218.60.56/~jnz1568/getInfo.php?workbook=20_13.xlsx&amp;sheet=U0&amp;row=1532&amp;col=6&amp;number=3.8&amp;sourceID=14","3.8")</f>
        <v>3.8</v>
      </c>
      <c r="G1532" s="4" t="str">
        <f>HYPERLINK("http://141.218.60.56/~jnz1568/getInfo.php?workbook=20_13.xlsx&amp;sheet=U0&amp;row=1532&amp;col=7&amp;number=0.389&amp;sourceID=14","0.389")</f>
        <v>0.389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HYPERLINK("http://141.218.60.56/~jnz1568/getInfo.php?workbook=20_13.xlsx&amp;sheet=U0&amp;row=1533&amp;col=6&amp;number=3.9&amp;sourceID=14","3.9")</f>
        <v>3.9</v>
      </c>
      <c r="G1533" s="4" t="str">
        <f>HYPERLINK("http://141.218.60.56/~jnz1568/getInfo.php?workbook=20_13.xlsx&amp;sheet=U0&amp;row=1533&amp;col=7&amp;number=0.389&amp;sourceID=14","0.389")</f>
        <v>0.389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HYPERLINK("http://141.218.60.56/~jnz1568/getInfo.php?workbook=20_13.xlsx&amp;sheet=U0&amp;row=1534&amp;col=6&amp;number=4&amp;sourceID=14","4")</f>
        <v>4</v>
      </c>
      <c r="G1534" s="4" t="str">
        <f>HYPERLINK("http://141.218.60.56/~jnz1568/getInfo.php?workbook=20_13.xlsx&amp;sheet=U0&amp;row=1534&amp;col=7&amp;number=0.389&amp;sourceID=14","0.389")</f>
        <v>0.389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HYPERLINK("http://141.218.60.56/~jnz1568/getInfo.php?workbook=20_13.xlsx&amp;sheet=U0&amp;row=1535&amp;col=6&amp;number=4.1&amp;sourceID=14","4.1")</f>
        <v>4.1</v>
      </c>
      <c r="G1535" s="4" t="str">
        <f>HYPERLINK("http://141.218.60.56/~jnz1568/getInfo.php?workbook=20_13.xlsx&amp;sheet=U0&amp;row=1535&amp;col=7&amp;number=0.389&amp;sourceID=14","0.389")</f>
        <v>0.389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HYPERLINK("http://141.218.60.56/~jnz1568/getInfo.php?workbook=20_13.xlsx&amp;sheet=U0&amp;row=1536&amp;col=6&amp;number=4.2&amp;sourceID=14","4.2")</f>
        <v>4.2</v>
      </c>
      <c r="G1536" s="4" t="str">
        <f>HYPERLINK("http://141.218.60.56/~jnz1568/getInfo.php?workbook=20_13.xlsx&amp;sheet=U0&amp;row=1536&amp;col=7&amp;number=0.389&amp;sourceID=14","0.389")</f>
        <v>0.389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HYPERLINK("http://141.218.60.56/~jnz1568/getInfo.php?workbook=20_13.xlsx&amp;sheet=U0&amp;row=1537&amp;col=6&amp;number=4.3&amp;sourceID=14","4.3")</f>
        <v>4.3</v>
      </c>
      <c r="G1537" s="4" t="str">
        <f>HYPERLINK("http://141.218.60.56/~jnz1568/getInfo.php?workbook=20_13.xlsx&amp;sheet=U0&amp;row=1537&amp;col=7&amp;number=0.39&amp;sourceID=14","0.39")</f>
        <v>0.39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HYPERLINK("http://141.218.60.56/~jnz1568/getInfo.php?workbook=20_13.xlsx&amp;sheet=U0&amp;row=1538&amp;col=6&amp;number=4.4&amp;sourceID=14","4.4")</f>
        <v>4.4</v>
      </c>
      <c r="G1538" s="4" t="str">
        <f>HYPERLINK("http://141.218.60.56/~jnz1568/getInfo.php?workbook=20_13.xlsx&amp;sheet=U0&amp;row=1538&amp;col=7&amp;number=0.39&amp;sourceID=14","0.39")</f>
        <v>0.39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HYPERLINK("http://141.218.60.56/~jnz1568/getInfo.php?workbook=20_13.xlsx&amp;sheet=U0&amp;row=1539&amp;col=6&amp;number=4.5&amp;sourceID=14","4.5")</f>
        <v>4.5</v>
      </c>
      <c r="G1539" s="4" t="str">
        <f>HYPERLINK("http://141.218.60.56/~jnz1568/getInfo.php?workbook=20_13.xlsx&amp;sheet=U0&amp;row=1539&amp;col=7&amp;number=0.391&amp;sourceID=14","0.391")</f>
        <v>0.391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HYPERLINK("http://141.218.60.56/~jnz1568/getInfo.php?workbook=20_13.xlsx&amp;sheet=U0&amp;row=1540&amp;col=6&amp;number=4.6&amp;sourceID=14","4.6")</f>
        <v>4.6</v>
      </c>
      <c r="G1540" s="4" t="str">
        <f>HYPERLINK("http://141.218.60.56/~jnz1568/getInfo.php?workbook=20_13.xlsx&amp;sheet=U0&amp;row=1540&amp;col=7&amp;number=0.391&amp;sourceID=14","0.391")</f>
        <v>0.391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HYPERLINK("http://141.218.60.56/~jnz1568/getInfo.php?workbook=20_13.xlsx&amp;sheet=U0&amp;row=1541&amp;col=6&amp;number=4.7&amp;sourceID=14","4.7")</f>
        <v>4.7</v>
      </c>
      <c r="G1541" s="4" t="str">
        <f>HYPERLINK("http://141.218.60.56/~jnz1568/getInfo.php?workbook=20_13.xlsx&amp;sheet=U0&amp;row=1541&amp;col=7&amp;number=0.392&amp;sourceID=14","0.392")</f>
        <v>0.392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HYPERLINK("http://141.218.60.56/~jnz1568/getInfo.php?workbook=20_13.xlsx&amp;sheet=U0&amp;row=1542&amp;col=6&amp;number=4.8&amp;sourceID=14","4.8")</f>
        <v>4.8</v>
      </c>
      <c r="G1542" s="4" t="str">
        <f>HYPERLINK("http://141.218.60.56/~jnz1568/getInfo.php?workbook=20_13.xlsx&amp;sheet=U0&amp;row=1542&amp;col=7&amp;number=0.392&amp;sourceID=14","0.392")</f>
        <v>0.392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HYPERLINK("http://141.218.60.56/~jnz1568/getInfo.php?workbook=20_13.xlsx&amp;sheet=U0&amp;row=1543&amp;col=6&amp;number=4.9&amp;sourceID=14","4.9")</f>
        <v>4.9</v>
      </c>
      <c r="G1543" s="4" t="str">
        <f>HYPERLINK("http://141.218.60.56/~jnz1568/getInfo.php?workbook=20_13.xlsx&amp;sheet=U0&amp;row=1543&amp;col=7&amp;number=0.393&amp;sourceID=14","0.393")</f>
        <v>0.393</v>
      </c>
    </row>
    <row r="1544" spans="1:7">
      <c r="A1544" s="3">
        <v>20</v>
      </c>
      <c r="B1544" s="3">
        <v>13</v>
      </c>
      <c r="C1544" s="3">
        <v>3</v>
      </c>
      <c r="D1544" s="3">
        <v>21</v>
      </c>
      <c r="E1544" s="3">
        <v>1</v>
      </c>
      <c r="F1544" s="4" t="str">
        <f>HYPERLINK("http://141.218.60.56/~jnz1568/getInfo.php?workbook=20_13.xlsx&amp;sheet=U0&amp;row=1544&amp;col=6&amp;number=3&amp;sourceID=14","3")</f>
        <v>3</v>
      </c>
      <c r="G1544" s="4" t="str">
        <f>HYPERLINK("http://141.218.60.56/~jnz1568/getInfo.php?workbook=20_13.xlsx&amp;sheet=U0&amp;row=1544&amp;col=7&amp;number=0.139&amp;sourceID=14","0.139")</f>
        <v>0.139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HYPERLINK("http://141.218.60.56/~jnz1568/getInfo.php?workbook=20_13.xlsx&amp;sheet=U0&amp;row=1545&amp;col=6&amp;number=3.1&amp;sourceID=14","3.1")</f>
        <v>3.1</v>
      </c>
      <c r="G1545" s="4" t="str">
        <f>HYPERLINK("http://141.218.60.56/~jnz1568/getInfo.php?workbook=20_13.xlsx&amp;sheet=U0&amp;row=1545&amp;col=7&amp;number=0.139&amp;sourceID=14","0.139")</f>
        <v>0.139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HYPERLINK("http://141.218.60.56/~jnz1568/getInfo.php?workbook=20_13.xlsx&amp;sheet=U0&amp;row=1546&amp;col=6&amp;number=3.2&amp;sourceID=14","3.2")</f>
        <v>3.2</v>
      </c>
      <c r="G1546" s="4" t="str">
        <f>HYPERLINK("http://141.218.60.56/~jnz1568/getInfo.php?workbook=20_13.xlsx&amp;sheet=U0&amp;row=1546&amp;col=7&amp;number=0.138&amp;sourceID=14","0.138")</f>
        <v>0.138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HYPERLINK("http://141.218.60.56/~jnz1568/getInfo.php?workbook=20_13.xlsx&amp;sheet=U0&amp;row=1547&amp;col=6&amp;number=3.3&amp;sourceID=14","3.3")</f>
        <v>3.3</v>
      </c>
      <c r="G1547" s="4" t="str">
        <f>HYPERLINK("http://141.218.60.56/~jnz1568/getInfo.php?workbook=20_13.xlsx&amp;sheet=U0&amp;row=1547&amp;col=7&amp;number=0.137&amp;sourceID=14","0.137")</f>
        <v>0.137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HYPERLINK("http://141.218.60.56/~jnz1568/getInfo.php?workbook=20_13.xlsx&amp;sheet=U0&amp;row=1548&amp;col=6&amp;number=3.4&amp;sourceID=14","3.4")</f>
        <v>3.4</v>
      </c>
      <c r="G1548" s="4" t="str">
        <f>HYPERLINK("http://141.218.60.56/~jnz1568/getInfo.php?workbook=20_13.xlsx&amp;sheet=U0&amp;row=1548&amp;col=7&amp;number=0.137&amp;sourceID=14","0.137")</f>
        <v>0.137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HYPERLINK("http://141.218.60.56/~jnz1568/getInfo.php?workbook=20_13.xlsx&amp;sheet=U0&amp;row=1549&amp;col=6&amp;number=3.5&amp;sourceID=14","3.5")</f>
        <v>3.5</v>
      </c>
      <c r="G1549" s="4" t="str">
        <f>HYPERLINK("http://141.218.60.56/~jnz1568/getInfo.php?workbook=20_13.xlsx&amp;sheet=U0&amp;row=1549&amp;col=7&amp;number=0.136&amp;sourceID=14","0.136")</f>
        <v>0.136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HYPERLINK("http://141.218.60.56/~jnz1568/getInfo.php?workbook=20_13.xlsx&amp;sheet=U0&amp;row=1550&amp;col=6&amp;number=3.6&amp;sourceID=14","3.6")</f>
        <v>3.6</v>
      </c>
      <c r="G1550" s="4" t="str">
        <f>HYPERLINK("http://141.218.60.56/~jnz1568/getInfo.php?workbook=20_13.xlsx&amp;sheet=U0&amp;row=1550&amp;col=7&amp;number=0.134&amp;sourceID=14","0.134")</f>
        <v>0.134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HYPERLINK("http://141.218.60.56/~jnz1568/getInfo.php?workbook=20_13.xlsx&amp;sheet=U0&amp;row=1551&amp;col=6&amp;number=3.7&amp;sourceID=14","3.7")</f>
        <v>3.7</v>
      </c>
      <c r="G1551" s="4" t="str">
        <f>HYPERLINK("http://141.218.60.56/~jnz1568/getInfo.php?workbook=20_13.xlsx&amp;sheet=U0&amp;row=1551&amp;col=7&amp;number=0.133&amp;sourceID=14","0.133")</f>
        <v>0.133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HYPERLINK("http://141.218.60.56/~jnz1568/getInfo.php?workbook=20_13.xlsx&amp;sheet=U0&amp;row=1552&amp;col=6&amp;number=3.8&amp;sourceID=14","3.8")</f>
        <v>3.8</v>
      </c>
      <c r="G1552" s="4" t="str">
        <f>HYPERLINK("http://141.218.60.56/~jnz1568/getInfo.php?workbook=20_13.xlsx&amp;sheet=U0&amp;row=1552&amp;col=7&amp;number=0.131&amp;sourceID=14","0.131")</f>
        <v>0.131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HYPERLINK("http://141.218.60.56/~jnz1568/getInfo.php?workbook=20_13.xlsx&amp;sheet=U0&amp;row=1553&amp;col=6&amp;number=3.9&amp;sourceID=14","3.9")</f>
        <v>3.9</v>
      </c>
      <c r="G1553" s="4" t="str">
        <f>HYPERLINK("http://141.218.60.56/~jnz1568/getInfo.php?workbook=20_13.xlsx&amp;sheet=U0&amp;row=1553&amp;col=7&amp;number=0.129&amp;sourceID=14","0.129")</f>
        <v>0.129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HYPERLINK("http://141.218.60.56/~jnz1568/getInfo.php?workbook=20_13.xlsx&amp;sheet=U0&amp;row=1554&amp;col=6&amp;number=4&amp;sourceID=14","4")</f>
        <v>4</v>
      </c>
      <c r="G1554" s="4" t="str">
        <f>HYPERLINK("http://141.218.60.56/~jnz1568/getInfo.php?workbook=20_13.xlsx&amp;sheet=U0&amp;row=1554&amp;col=7&amp;number=0.126&amp;sourceID=14","0.126")</f>
        <v>0.126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HYPERLINK("http://141.218.60.56/~jnz1568/getInfo.php?workbook=20_13.xlsx&amp;sheet=U0&amp;row=1555&amp;col=6&amp;number=4.1&amp;sourceID=14","4.1")</f>
        <v>4.1</v>
      </c>
      <c r="G1555" s="4" t="str">
        <f>HYPERLINK("http://141.218.60.56/~jnz1568/getInfo.php?workbook=20_13.xlsx&amp;sheet=U0&amp;row=1555&amp;col=7&amp;number=0.122&amp;sourceID=14","0.122")</f>
        <v>0.122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HYPERLINK("http://141.218.60.56/~jnz1568/getInfo.php?workbook=20_13.xlsx&amp;sheet=U0&amp;row=1556&amp;col=6&amp;number=4.2&amp;sourceID=14","4.2")</f>
        <v>4.2</v>
      </c>
      <c r="G1556" s="4" t="str">
        <f>HYPERLINK("http://141.218.60.56/~jnz1568/getInfo.php?workbook=20_13.xlsx&amp;sheet=U0&amp;row=1556&amp;col=7&amp;number=0.118&amp;sourceID=14","0.118")</f>
        <v>0.118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HYPERLINK("http://141.218.60.56/~jnz1568/getInfo.php?workbook=20_13.xlsx&amp;sheet=U0&amp;row=1557&amp;col=6&amp;number=4.3&amp;sourceID=14","4.3")</f>
        <v>4.3</v>
      </c>
      <c r="G1557" s="4" t="str">
        <f>HYPERLINK("http://141.218.60.56/~jnz1568/getInfo.php?workbook=20_13.xlsx&amp;sheet=U0&amp;row=1557&amp;col=7&amp;number=0.112&amp;sourceID=14","0.112")</f>
        <v>0.112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HYPERLINK("http://141.218.60.56/~jnz1568/getInfo.php?workbook=20_13.xlsx&amp;sheet=U0&amp;row=1558&amp;col=6&amp;number=4.4&amp;sourceID=14","4.4")</f>
        <v>4.4</v>
      </c>
      <c r="G1558" s="4" t="str">
        <f>HYPERLINK("http://141.218.60.56/~jnz1568/getInfo.php?workbook=20_13.xlsx&amp;sheet=U0&amp;row=1558&amp;col=7&amp;number=0.106&amp;sourceID=14","0.106")</f>
        <v>0.106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HYPERLINK("http://141.218.60.56/~jnz1568/getInfo.php?workbook=20_13.xlsx&amp;sheet=U0&amp;row=1559&amp;col=6&amp;number=4.5&amp;sourceID=14","4.5")</f>
        <v>4.5</v>
      </c>
      <c r="G1559" s="4" t="str">
        <f>HYPERLINK("http://141.218.60.56/~jnz1568/getInfo.php?workbook=20_13.xlsx&amp;sheet=U0&amp;row=1559&amp;col=7&amp;number=0.0979&amp;sourceID=14","0.0979")</f>
        <v>0.0979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HYPERLINK("http://141.218.60.56/~jnz1568/getInfo.php?workbook=20_13.xlsx&amp;sheet=U0&amp;row=1560&amp;col=6&amp;number=4.6&amp;sourceID=14","4.6")</f>
        <v>4.6</v>
      </c>
      <c r="G1560" s="4" t="str">
        <f>HYPERLINK("http://141.218.60.56/~jnz1568/getInfo.php?workbook=20_13.xlsx&amp;sheet=U0&amp;row=1560&amp;col=7&amp;number=0.0888&amp;sourceID=14","0.0888")</f>
        <v>0.0888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HYPERLINK("http://141.218.60.56/~jnz1568/getInfo.php?workbook=20_13.xlsx&amp;sheet=U0&amp;row=1561&amp;col=6&amp;number=4.7&amp;sourceID=14","4.7")</f>
        <v>4.7</v>
      </c>
      <c r="G1561" s="4" t="str">
        <f>HYPERLINK("http://141.218.60.56/~jnz1568/getInfo.php?workbook=20_13.xlsx&amp;sheet=U0&amp;row=1561&amp;col=7&amp;number=0.0788&amp;sourceID=14","0.0788")</f>
        <v>0.0788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HYPERLINK("http://141.218.60.56/~jnz1568/getInfo.php?workbook=20_13.xlsx&amp;sheet=U0&amp;row=1562&amp;col=6&amp;number=4.8&amp;sourceID=14","4.8")</f>
        <v>4.8</v>
      </c>
      <c r="G1562" s="4" t="str">
        <f>HYPERLINK("http://141.218.60.56/~jnz1568/getInfo.php?workbook=20_13.xlsx&amp;sheet=U0&amp;row=1562&amp;col=7&amp;number=0.0685&amp;sourceID=14","0.0685")</f>
        <v>0.0685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HYPERLINK("http://141.218.60.56/~jnz1568/getInfo.php?workbook=20_13.xlsx&amp;sheet=U0&amp;row=1563&amp;col=6&amp;number=4.9&amp;sourceID=14","4.9")</f>
        <v>4.9</v>
      </c>
      <c r="G1563" s="4" t="str">
        <f>HYPERLINK("http://141.218.60.56/~jnz1568/getInfo.php?workbook=20_13.xlsx&amp;sheet=U0&amp;row=1563&amp;col=7&amp;number=0.0587&amp;sourceID=14","0.0587")</f>
        <v>0.0587</v>
      </c>
    </row>
    <row r="1564" spans="1:7">
      <c r="A1564" s="3">
        <v>20</v>
      </c>
      <c r="B1564" s="3">
        <v>13</v>
      </c>
      <c r="C1564" s="3">
        <v>4</v>
      </c>
      <c r="D1564" s="3">
        <v>21</v>
      </c>
      <c r="E1564" s="3">
        <v>1</v>
      </c>
      <c r="F1564" s="4" t="str">
        <f>HYPERLINK("http://141.218.60.56/~jnz1568/getInfo.php?workbook=20_13.xlsx&amp;sheet=U0&amp;row=1564&amp;col=6&amp;number=3&amp;sourceID=14","3")</f>
        <v>3</v>
      </c>
      <c r="G1564" s="4" t="str">
        <f>HYPERLINK("http://141.218.60.56/~jnz1568/getInfo.php?workbook=20_13.xlsx&amp;sheet=U0&amp;row=1564&amp;col=7&amp;number=0.455&amp;sourceID=14","0.455")</f>
        <v>0.455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HYPERLINK("http://141.218.60.56/~jnz1568/getInfo.php?workbook=20_13.xlsx&amp;sheet=U0&amp;row=1565&amp;col=6&amp;number=3.1&amp;sourceID=14","3.1")</f>
        <v>3.1</v>
      </c>
      <c r="G1565" s="4" t="str">
        <f>HYPERLINK("http://141.218.60.56/~jnz1568/getInfo.php?workbook=20_13.xlsx&amp;sheet=U0&amp;row=1565&amp;col=7&amp;number=0.454&amp;sourceID=14","0.454")</f>
        <v>0.454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HYPERLINK("http://141.218.60.56/~jnz1568/getInfo.php?workbook=20_13.xlsx&amp;sheet=U0&amp;row=1566&amp;col=6&amp;number=3.2&amp;sourceID=14","3.2")</f>
        <v>3.2</v>
      </c>
      <c r="G1566" s="4" t="str">
        <f>HYPERLINK("http://141.218.60.56/~jnz1568/getInfo.php?workbook=20_13.xlsx&amp;sheet=U0&amp;row=1566&amp;col=7&amp;number=0.453&amp;sourceID=14","0.453")</f>
        <v>0.453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HYPERLINK("http://141.218.60.56/~jnz1568/getInfo.php?workbook=20_13.xlsx&amp;sheet=U0&amp;row=1567&amp;col=6&amp;number=3.3&amp;sourceID=14","3.3")</f>
        <v>3.3</v>
      </c>
      <c r="G1567" s="4" t="str">
        <f>HYPERLINK("http://141.218.60.56/~jnz1568/getInfo.php?workbook=20_13.xlsx&amp;sheet=U0&amp;row=1567&amp;col=7&amp;number=0.452&amp;sourceID=14","0.452")</f>
        <v>0.452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HYPERLINK("http://141.218.60.56/~jnz1568/getInfo.php?workbook=20_13.xlsx&amp;sheet=U0&amp;row=1568&amp;col=6&amp;number=3.4&amp;sourceID=14","3.4")</f>
        <v>3.4</v>
      </c>
      <c r="G1568" s="4" t="str">
        <f>HYPERLINK("http://141.218.60.56/~jnz1568/getInfo.php?workbook=20_13.xlsx&amp;sheet=U0&amp;row=1568&amp;col=7&amp;number=0.45&amp;sourceID=14","0.45")</f>
        <v>0.45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HYPERLINK("http://141.218.60.56/~jnz1568/getInfo.php?workbook=20_13.xlsx&amp;sheet=U0&amp;row=1569&amp;col=6&amp;number=3.5&amp;sourceID=14","3.5")</f>
        <v>3.5</v>
      </c>
      <c r="G1569" s="4" t="str">
        <f>HYPERLINK("http://141.218.60.56/~jnz1568/getInfo.php?workbook=20_13.xlsx&amp;sheet=U0&amp;row=1569&amp;col=7&amp;number=0.448&amp;sourceID=14","0.448")</f>
        <v>0.448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HYPERLINK("http://141.218.60.56/~jnz1568/getInfo.php?workbook=20_13.xlsx&amp;sheet=U0&amp;row=1570&amp;col=6&amp;number=3.6&amp;sourceID=14","3.6")</f>
        <v>3.6</v>
      </c>
      <c r="G1570" s="4" t="str">
        <f>HYPERLINK("http://141.218.60.56/~jnz1568/getInfo.php?workbook=20_13.xlsx&amp;sheet=U0&amp;row=1570&amp;col=7&amp;number=0.445&amp;sourceID=14","0.445")</f>
        <v>0.445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HYPERLINK("http://141.218.60.56/~jnz1568/getInfo.php?workbook=20_13.xlsx&amp;sheet=U0&amp;row=1571&amp;col=6&amp;number=3.7&amp;sourceID=14","3.7")</f>
        <v>3.7</v>
      </c>
      <c r="G1571" s="4" t="str">
        <f>HYPERLINK("http://141.218.60.56/~jnz1568/getInfo.php?workbook=20_13.xlsx&amp;sheet=U0&amp;row=1571&amp;col=7&amp;number=0.441&amp;sourceID=14","0.441")</f>
        <v>0.441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HYPERLINK("http://141.218.60.56/~jnz1568/getInfo.php?workbook=20_13.xlsx&amp;sheet=U0&amp;row=1572&amp;col=6&amp;number=3.8&amp;sourceID=14","3.8")</f>
        <v>3.8</v>
      </c>
      <c r="G1572" s="4" t="str">
        <f>HYPERLINK("http://141.218.60.56/~jnz1568/getInfo.php?workbook=20_13.xlsx&amp;sheet=U0&amp;row=1572&amp;col=7&amp;number=0.437&amp;sourceID=14","0.437")</f>
        <v>0.437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HYPERLINK("http://141.218.60.56/~jnz1568/getInfo.php?workbook=20_13.xlsx&amp;sheet=U0&amp;row=1573&amp;col=6&amp;number=3.9&amp;sourceID=14","3.9")</f>
        <v>3.9</v>
      </c>
      <c r="G1573" s="4" t="str">
        <f>HYPERLINK("http://141.218.60.56/~jnz1568/getInfo.php?workbook=20_13.xlsx&amp;sheet=U0&amp;row=1573&amp;col=7&amp;number=0.431&amp;sourceID=14","0.431")</f>
        <v>0.431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HYPERLINK("http://141.218.60.56/~jnz1568/getInfo.php?workbook=20_13.xlsx&amp;sheet=U0&amp;row=1574&amp;col=6&amp;number=4&amp;sourceID=14","4")</f>
        <v>4</v>
      </c>
      <c r="G1574" s="4" t="str">
        <f>HYPERLINK("http://141.218.60.56/~jnz1568/getInfo.php?workbook=20_13.xlsx&amp;sheet=U0&amp;row=1574&amp;col=7&amp;number=0.424&amp;sourceID=14","0.424")</f>
        <v>0.424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HYPERLINK("http://141.218.60.56/~jnz1568/getInfo.php?workbook=20_13.xlsx&amp;sheet=U0&amp;row=1575&amp;col=6&amp;number=4.1&amp;sourceID=14","4.1")</f>
        <v>4.1</v>
      </c>
      <c r="G1575" s="4" t="str">
        <f>HYPERLINK("http://141.218.60.56/~jnz1568/getInfo.php?workbook=20_13.xlsx&amp;sheet=U0&amp;row=1575&amp;col=7&amp;number=0.415&amp;sourceID=14","0.415")</f>
        <v>0.415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HYPERLINK("http://141.218.60.56/~jnz1568/getInfo.php?workbook=20_13.xlsx&amp;sheet=U0&amp;row=1576&amp;col=6&amp;number=4.2&amp;sourceID=14","4.2")</f>
        <v>4.2</v>
      </c>
      <c r="G1576" s="4" t="str">
        <f>HYPERLINK("http://141.218.60.56/~jnz1568/getInfo.php?workbook=20_13.xlsx&amp;sheet=U0&amp;row=1576&amp;col=7&amp;number=0.404&amp;sourceID=14","0.404")</f>
        <v>0.404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HYPERLINK("http://141.218.60.56/~jnz1568/getInfo.php?workbook=20_13.xlsx&amp;sheet=U0&amp;row=1577&amp;col=6&amp;number=4.3&amp;sourceID=14","4.3")</f>
        <v>4.3</v>
      </c>
      <c r="G1577" s="4" t="str">
        <f>HYPERLINK("http://141.218.60.56/~jnz1568/getInfo.php?workbook=20_13.xlsx&amp;sheet=U0&amp;row=1577&amp;col=7&amp;number=0.391&amp;sourceID=14","0.391")</f>
        <v>0.391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HYPERLINK("http://141.218.60.56/~jnz1568/getInfo.php?workbook=20_13.xlsx&amp;sheet=U0&amp;row=1578&amp;col=6&amp;number=4.4&amp;sourceID=14","4.4")</f>
        <v>4.4</v>
      </c>
      <c r="G1578" s="4" t="str">
        <f>HYPERLINK("http://141.218.60.56/~jnz1568/getInfo.php?workbook=20_13.xlsx&amp;sheet=U0&amp;row=1578&amp;col=7&amp;number=0.374&amp;sourceID=14","0.374")</f>
        <v>0.374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HYPERLINK("http://141.218.60.56/~jnz1568/getInfo.php?workbook=20_13.xlsx&amp;sheet=U0&amp;row=1579&amp;col=6&amp;number=4.5&amp;sourceID=14","4.5")</f>
        <v>4.5</v>
      </c>
      <c r="G1579" s="4" t="str">
        <f>HYPERLINK("http://141.218.60.56/~jnz1568/getInfo.php?workbook=20_13.xlsx&amp;sheet=U0&amp;row=1579&amp;col=7&amp;number=0.355&amp;sourceID=14","0.355")</f>
        <v>0.355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HYPERLINK("http://141.218.60.56/~jnz1568/getInfo.php?workbook=20_13.xlsx&amp;sheet=U0&amp;row=1580&amp;col=6&amp;number=4.6&amp;sourceID=14","4.6")</f>
        <v>4.6</v>
      </c>
      <c r="G1580" s="4" t="str">
        <f>HYPERLINK("http://141.218.60.56/~jnz1568/getInfo.php?workbook=20_13.xlsx&amp;sheet=U0&amp;row=1580&amp;col=7&amp;number=0.332&amp;sourceID=14","0.332")</f>
        <v>0.332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HYPERLINK("http://141.218.60.56/~jnz1568/getInfo.php?workbook=20_13.xlsx&amp;sheet=U0&amp;row=1581&amp;col=6&amp;number=4.7&amp;sourceID=14","4.7")</f>
        <v>4.7</v>
      </c>
      <c r="G1581" s="4" t="str">
        <f>HYPERLINK("http://141.218.60.56/~jnz1568/getInfo.php?workbook=20_13.xlsx&amp;sheet=U0&amp;row=1581&amp;col=7&amp;number=0.305&amp;sourceID=14","0.305")</f>
        <v>0.305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HYPERLINK("http://141.218.60.56/~jnz1568/getInfo.php?workbook=20_13.xlsx&amp;sheet=U0&amp;row=1582&amp;col=6&amp;number=4.8&amp;sourceID=14","4.8")</f>
        <v>4.8</v>
      </c>
      <c r="G1582" s="4" t="str">
        <f>HYPERLINK("http://141.218.60.56/~jnz1568/getInfo.php?workbook=20_13.xlsx&amp;sheet=U0&amp;row=1582&amp;col=7&amp;number=0.277&amp;sourceID=14","0.277")</f>
        <v>0.277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HYPERLINK("http://141.218.60.56/~jnz1568/getInfo.php?workbook=20_13.xlsx&amp;sheet=U0&amp;row=1583&amp;col=6&amp;number=4.9&amp;sourceID=14","4.9")</f>
        <v>4.9</v>
      </c>
      <c r="G1583" s="4" t="str">
        <f>HYPERLINK("http://141.218.60.56/~jnz1568/getInfo.php?workbook=20_13.xlsx&amp;sheet=U0&amp;row=1583&amp;col=7&amp;number=0.248&amp;sourceID=14","0.248")</f>
        <v>0.248</v>
      </c>
    </row>
    <row r="1584" spans="1:7">
      <c r="A1584" s="3">
        <v>20</v>
      </c>
      <c r="B1584" s="3">
        <v>13</v>
      </c>
      <c r="C1584" s="3">
        <v>5</v>
      </c>
      <c r="D1584" s="3">
        <v>21</v>
      </c>
      <c r="E1584" s="3">
        <v>1</v>
      </c>
      <c r="F1584" s="4" t="str">
        <f>HYPERLINK("http://141.218.60.56/~jnz1568/getInfo.php?workbook=20_13.xlsx&amp;sheet=U0&amp;row=1584&amp;col=6&amp;number=3&amp;sourceID=14","3")</f>
        <v>3</v>
      </c>
      <c r="G1584" s="4" t="str">
        <f>HYPERLINK("http://141.218.60.56/~jnz1568/getInfo.php?workbook=20_13.xlsx&amp;sheet=U0&amp;row=1584&amp;col=7&amp;number=0.925&amp;sourceID=14","0.925")</f>
        <v>0.925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HYPERLINK("http://141.218.60.56/~jnz1568/getInfo.php?workbook=20_13.xlsx&amp;sheet=U0&amp;row=1585&amp;col=6&amp;number=3.1&amp;sourceID=14","3.1")</f>
        <v>3.1</v>
      </c>
      <c r="G1585" s="4" t="str">
        <f>HYPERLINK("http://141.218.60.56/~jnz1568/getInfo.php?workbook=20_13.xlsx&amp;sheet=U0&amp;row=1585&amp;col=7&amp;number=0.922&amp;sourceID=14","0.922")</f>
        <v>0.922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HYPERLINK("http://141.218.60.56/~jnz1568/getInfo.php?workbook=20_13.xlsx&amp;sheet=U0&amp;row=1586&amp;col=6&amp;number=3.2&amp;sourceID=14","3.2")</f>
        <v>3.2</v>
      </c>
      <c r="G1586" s="4" t="str">
        <f>HYPERLINK("http://141.218.60.56/~jnz1568/getInfo.php?workbook=20_13.xlsx&amp;sheet=U0&amp;row=1586&amp;col=7&amp;number=0.919&amp;sourceID=14","0.919")</f>
        <v>0.919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HYPERLINK("http://141.218.60.56/~jnz1568/getInfo.php?workbook=20_13.xlsx&amp;sheet=U0&amp;row=1587&amp;col=6&amp;number=3.3&amp;sourceID=14","3.3")</f>
        <v>3.3</v>
      </c>
      <c r="G1587" s="4" t="str">
        <f>HYPERLINK("http://141.218.60.56/~jnz1568/getInfo.php?workbook=20_13.xlsx&amp;sheet=U0&amp;row=1587&amp;col=7&amp;number=0.915&amp;sourceID=14","0.915")</f>
        <v>0.915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HYPERLINK("http://141.218.60.56/~jnz1568/getInfo.php?workbook=20_13.xlsx&amp;sheet=U0&amp;row=1588&amp;col=6&amp;number=3.4&amp;sourceID=14","3.4")</f>
        <v>3.4</v>
      </c>
      <c r="G1588" s="4" t="str">
        <f>HYPERLINK("http://141.218.60.56/~jnz1568/getInfo.php?workbook=20_13.xlsx&amp;sheet=U0&amp;row=1588&amp;col=7&amp;number=0.91&amp;sourceID=14","0.91")</f>
        <v>0.91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HYPERLINK("http://141.218.60.56/~jnz1568/getInfo.php?workbook=20_13.xlsx&amp;sheet=U0&amp;row=1589&amp;col=6&amp;number=3.5&amp;sourceID=14","3.5")</f>
        <v>3.5</v>
      </c>
      <c r="G1589" s="4" t="str">
        <f>HYPERLINK("http://141.218.60.56/~jnz1568/getInfo.php?workbook=20_13.xlsx&amp;sheet=U0&amp;row=1589&amp;col=7&amp;number=0.904&amp;sourceID=14","0.904")</f>
        <v>0.904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HYPERLINK("http://141.218.60.56/~jnz1568/getInfo.php?workbook=20_13.xlsx&amp;sheet=U0&amp;row=1590&amp;col=6&amp;number=3.6&amp;sourceID=14","3.6")</f>
        <v>3.6</v>
      </c>
      <c r="G1590" s="4" t="str">
        <f>HYPERLINK("http://141.218.60.56/~jnz1568/getInfo.php?workbook=20_13.xlsx&amp;sheet=U0&amp;row=1590&amp;col=7&amp;number=0.896&amp;sourceID=14","0.896")</f>
        <v>0.896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HYPERLINK("http://141.218.60.56/~jnz1568/getInfo.php?workbook=20_13.xlsx&amp;sheet=U0&amp;row=1591&amp;col=6&amp;number=3.7&amp;sourceID=14","3.7")</f>
        <v>3.7</v>
      </c>
      <c r="G1591" s="4" t="str">
        <f>HYPERLINK("http://141.218.60.56/~jnz1568/getInfo.php?workbook=20_13.xlsx&amp;sheet=U0&amp;row=1591&amp;col=7&amp;number=0.886&amp;sourceID=14","0.886")</f>
        <v>0.886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HYPERLINK("http://141.218.60.56/~jnz1568/getInfo.php?workbook=20_13.xlsx&amp;sheet=U0&amp;row=1592&amp;col=6&amp;number=3.8&amp;sourceID=14","3.8")</f>
        <v>3.8</v>
      </c>
      <c r="G1592" s="4" t="str">
        <f>HYPERLINK("http://141.218.60.56/~jnz1568/getInfo.php?workbook=20_13.xlsx&amp;sheet=U0&amp;row=1592&amp;col=7&amp;number=0.874&amp;sourceID=14","0.874")</f>
        <v>0.874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HYPERLINK("http://141.218.60.56/~jnz1568/getInfo.php?workbook=20_13.xlsx&amp;sheet=U0&amp;row=1593&amp;col=6&amp;number=3.9&amp;sourceID=14","3.9")</f>
        <v>3.9</v>
      </c>
      <c r="G1593" s="4" t="str">
        <f>HYPERLINK("http://141.218.60.56/~jnz1568/getInfo.php?workbook=20_13.xlsx&amp;sheet=U0&amp;row=1593&amp;col=7&amp;number=0.859&amp;sourceID=14","0.859")</f>
        <v>0.859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HYPERLINK("http://141.218.60.56/~jnz1568/getInfo.php?workbook=20_13.xlsx&amp;sheet=U0&amp;row=1594&amp;col=6&amp;number=4&amp;sourceID=14","4")</f>
        <v>4</v>
      </c>
      <c r="G1594" s="4" t="str">
        <f>HYPERLINK("http://141.218.60.56/~jnz1568/getInfo.php?workbook=20_13.xlsx&amp;sheet=U0&amp;row=1594&amp;col=7&amp;number=0.841&amp;sourceID=14","0.841")</f>
        <v>0.841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HYPERLINK("http://141.218.60.56/~jnz1568/getInfo.php?workbook=20_13.xlsx&amp;sheet=U0&amp;row=1595&amp;col=6&amp;number=4.1&amp;sourceID=14","4.1")</f>
        <v>4.1</v>
      </c>
      <c r="G1595" s="4" t="str">
        <f>HYPERLINK("http://141.218.60.56/~jnz1568/getInfo.php?workbook=20_13.xlsx&amp;sheet=U0&amp;row=1595&amp;col=7&amp;number=0.817&amp;sourceID=14","0.817")</f>
        <v>0.817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HYPERLINK("http://141.218.60.56/~jnz1568/getInfo.php?workbook=20_13.xlsx&amp;sheet=U0&amp;row=1596&amp;col=6&amp;number=4.2&amp;sourceID=14","4.2")</f>
        <v>4.2</v>
      </c>
      <c r="G1596" s="4" t="str">
        <f>HYPERLINK("http://141.218.60.56/~jnz1568/getInfo.php?workbook=20_13.xlsx&amp;sheet=U0&amp;row=1596&amp;col=7&amp;number=0.789&amp;sourceID=14","0.789")</f>
        <v>0.789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HYPERLINK("http://141.218.60.56/~jnz1568/getInfo.php?workbook=20_13.xlsx&amp;sheet=U0&amp;row=1597&amp;col=6&amp;number=4.3&amp;sourceID=14","4.3")</f>
        <v>4.3</v>
      </c>
      <c r="G1597" s="4" t="str">
        <f>HYPERLINK("http://141.218.60.56/~jnz1568/getInfo.php?workbook=20_13.xlsx&amp;sheet=U0&amp;row=1597&amp;col=7&amp;number=0.755&amp;sourceID=14","0.755")</f>
        <v>0.755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HYPERLINK("http://141.218.60.56/~jnz1568/getInfo.php?workbook=20_13.xlsx&amp;sheet=U0&amp;row=1598&amp;col=6&amp;number=4.4&amp;sourceID=14","4.4")</f>
        <v>4.4</v>
      </c>
      <c r="G1598" s="4" t="str">
        <f>HYPERLINK("http://141.218.60.56/~jnz1568/getInfo.php?workbook=20_13.xlsx&amp;sheet=U0&amp;row=1598&amp;col=7&amp;number=0.714&amp;sourceID=14","0.714")</f>
        <v>0.714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HYPERLINK("http://141.218.60.56/~jnz1568/getInfo.php?workbook=20_13.xlsx&amp;sheet=U0&amp;row=1599&amp;col=6&amp;number=4.5&amp;sourceID=14","4.5")</f>
        <v>4.5</v>
      </c>
      <c r="G1599" s="4" t="str">
        <f>HYPERLINK("http://141.218.60.56/~jnz1568/getInfo.php?workbook=20_13.xlsx&amp;sheet=U0&amp;row=1599&amp;col=7&amp;number=0.667&amp;sourceID=14","0.667")</f>
        <v>0.667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HYPERLINK("http://141.218.60.56/~jnz1568/getInfo.php?workbook=20_13.xlsx&amp;sheet=U0&amp;row=1600&amp;col=6&amp;number=4.6&amp;sourceID=14","4.6")</f>
        <v>4.6</v>
      </c>
      <c r="G1600" s="4" t="str">
        <f>HYPERLINK("http://141.218.60.56/~jnz1568/getInfo.php?workbook=20_13.xlsx&amp;sheet=U0&amp;row=1600&amp;col=7&amp;number=0.613&amp;sourceID=14","0.613")</f>
        <v>0.613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HYPERLINK("http://141.218.60.56/~jnz1568/getInfo.php?workbook=20_13.xlsx&amp;sheet=U0&amp;row=1601&amp;col=6&amp;number=4.7&amp;sourceID=14","4.7")</f>
        <v>4.7</v>
      </c>
      <c r="G1601" s="4" t="str">
        <f>HYPERLINK("http://141.218.60.56/~jnz1568/getInfo.php?workbook=20_13.xlsx&amp;sheet=U0&amp;row=1601&amp;col=7&amp;number=0.556&amp;sourceID=14","0.556")</f>
        <v>0.556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HYPERLINK("http://141.218.60.56/~jnz1568/getInfo.php?workbook=20_13.xlsx&amp;sheet=U0&amp;row=1602&amp;col=6&amp;number=4.8&amp;sourceID=14","4.8")</f>
        <v>4.8</v>
      </c>
      <c r="G1602" s="4" t="str">
        <f>HYPERLINK("http://141.218.60.56/~jnz1568/getInfo.php?workbook=20_13.xlsx&amp;sheet=U0&amp;row=1602&amp;col=7&amp;number=0.5&amp;sourceID=14","0.5")</f>
        <v>0.5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HYPERLINK("http://141.218.60.56/~jnz1568/getInfo.php?workbook=20_13.xlsx&amp;sheet=U0&amp;row=1603&amp;col=6&amp;number=4.9&amp;sourceID=14","4.9")</f>
        <v>4.9</v>
      </c>
      <c r="G1603" s="4" t="str">
        <f>HYPERLINK("http://141.218.60.56/~jnz1568/getInfo.php?workbook=20_13.xlsx&amp;sheet=U0&amp;row=1603&amp;col=7&amp;number=0.449&amp;sourceID=14","0.449")</f>
        <v>0.449</v>
      </c>
    </row>
    <row r="1604" spans="1:7">
      <c r="A1604" s="3">
        <v>20</v>
      </c>
      <c r="B1604" s="3">
        <v>13</v>
      </c>
      <c r="C1604" s="3">
        <v>6</v>
      </c>
      <c r="D1604" s="3">
        <v>21</v>
      </c>
      <c r="E1604" s="3">
        <v>1</v>
      </c>
      <c r="F1604" s="4" t="str">
        <f>HYPERLINK("http://141.218.60.56/~jnz1568/getInfo.php?workbook=20_13.xlsx&amp;sheet=U0&amp;row=1604&amp;col=6&amp;number=3&amp;sourceID=14","3")</f>
        <v>3</v>
      </c>
      <c r="G1604" s="4" t="str">
        <f>HYPERLINK("http://141.218.60.56/~jnz1568/getInfo.php?workbook=20_13.xlsx&amp;sheet=U0&amp;row=1604&amp;col=7&amp;number=0.0897&amp;sourceID=14","0.0897")</f>
        <v>0.0897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HYPERLINK("http://141.218.60.56/~jnz1568/getInfo.php?workbook=20_13.xlsx&amp;sheet=U0&amp;row=1605&amp;col=6&amp;number=3.1&amp;sourceID=14","3.1")</f>
        <v>3.1</v>
      </c>
      <c r="G1605" s="4" t="str">
        <f>HYPERLINK("http://141.218.60.56/~jnz1568/getInfo.php?workbook=20_13.xlsx&amp;sheet=U0&amp;row=1605&amp;col=7&amp;number=0.0895&amp;sourceID=14","0.0895")</f>
        <v>0.0895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HYPERLINK("http://141.218.60.56/~jnz1568/getInfo.php?workbook=20_13.xlsx&amp;sheet=U0&amp;row=1606&amp;col=6&amp;number=3.2&amp;sourceID=14","3.2")</f>
        <v>3.2</v>
      </c>
      <c r="G1606" s="4" t="str">
        <f>HYPERLINK("http://141.218.60.56/~jnz1568/getInfo.php?workbook=20_13.xlsx&amp;sheet=U0&amp;row=1606&amp;col=7&amp;number=0.0893&amp;sourceID=14","0.0893")</f>
        <v>0.0893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HYPERLINK("http://141.218.60.56/~jnz1568/getInfo.php?workbook=20_13.xlsx&amp;sheet=U0&amp;row=1607&amp;col=6&amp;number=3.3&amp;sourceID=14","3.3")</f>
        <v>3.3</v>
      </c>
      <c r="G1607" s="4" t="str">
        <f>HYPERLINK("http://141.218.60.56/~jnz1568/getInfo.php?workbook=20_13.xlsx&amp;sheet=U0&amp;row=1607&amp;col=7&amp;number=0.0891&amp;sourceID=14","0.0891")</f>
        <v>0.0891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HYPERLINK("http://141.218.60.56/~jnz1568/getInfo.php?workbook=20_13.xlsx&amp;sheet=U0&amp;row=1608&amp;col=6&amp;number=3.4&amp;sourceID=14","3.4")</f>
        <v>3.4</v>
      </c>
      <c r="G1608" s="4" t="str">
        <f>HYPERLINK("http://141.218.60.56/~jnz1568/getInfo.php?workbook=20_13.xlsx&amp;sheet=U0&amp;row=1608&amp;col=7&amp;number=0.0888&amp;sourceID=14","0.0888")</f>
        <v>0.0888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HYPERLINK("http://141.218.60.56/~jnz1568/getInfo.php?workbook=20_13.xlsx&amp;sheet=U0&amp;row=1609&amp;col=6&amp;number=3.5&amp;sourceID=14","3.5")</f>
        <v>3.5</v>
      </c>
      <c r="G1609" s="4" t="str">
        <f>HYPERLINK("http://141.218.60.56/~jnz1568/getInfo.php?workbook=20_13.xlsx&amp;sheet=U0&amp;row=1609&amp;col=7&amp;number=0.0884&amp;sourceID=14","0.0884")</f>
        <v>0.0884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HYPERLINK("http://141.218.60.56/~jnz1568/getInfo.php?workbook=20_13.xlsx&amp;sheet=U0&amp;row=1610&amp;col=6&amp;number=3.6&amp;sourceID=14","3.6")</f>
        <v>3.6</v>
      </c>
      <c r="G1610" s="4" t="str">
        <f>HYPERLINK("http://141.218.60.56/~jnz1568/getInfo.php?workbook=20_13.xlsx&amp;sheet=U0&amp;row=1610&amp;col=7&amp;number=0.088&amp;sourceID=14","0.088")</f>
        <v>0.088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HYPERLINK("http://141.218.60.56/~jnz1568/getInfo.php?workbook=20_13.xlsx&amp;sheet=U0&amp;row=1611&amp;col=6&amp;number=3.7&amp;sourceID=14","3.7")</f>
        <v>3.7</v>
      </c>
      <c r="G1611" s="4" t="str">
        <f>HYPERLINK("http://141.218.60.56/~jnz1568/getInfo.php?workbook=20_13.xlsx&amp;sheet=U0&amp;row=1611&amp;col=7&amp;number=0.0874&amp;sourceID=14","0.0874")</f>
        <v>0.0874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HYPERLINK("http://141.218.60.56/~jnz1568/getInfo.php?workbook=20_13.xlsx&amp;sheet=U0&amp;row=1612&amp;col=6&amp;number=3.8&amp;sourceID=14","3.8")</f>
        <v>3.8</v>
      </c>
      <c r="G1612" s="4" t="str">
        <f>HYPERLINK("http://141.218.60.56/~jnz1568/getInfo.php?workbook=20_13.xlsx&amp;sheet=U0&amp;row=1612&amp;col=7&amp;number=0.0867&amp;sourceID=14","0.0867")</f>
        <v>0.0867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HYPERLINK("http://141.218.60.56/~jnz1568/getInfo.php?workbook=20_13.xlsx&amp;sheet=U0&amp;row=1613&amp;col=6&amp;number=3.9&amp;sourceID=14","3.9")</f>
        <v>3.9</v>
      </c>
      <c r="G1613" s="4" t="str">
        <f>HYPERLINK("http://141.218.60.56/~jnz1568/getInfo.php?workbook=20_13.xlsx&amp;sheet=U0&amp;row=1613&amp;col=7&amp;number=0.0858&amp;sourceID=14","0.0858")</f>
        <v>0.0858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HYPERLINK("http://141.218.60.56/~jnz1568/getInfo.php?workbook=20_13.xlsx&amp;sheet=U0&amp;row=1614&amp;col=6&amp;number=4&amp;sourceID=14","4")</f>
        <v>4</v>
      </c>
      <c r="G1614" s="4" t="str">
        <f>HYPERLINK("http://141.218.60.56/~jnz1568/getInfo.php?workbook=20_13.xlsx&amp;sheet=U0&amp;row=1614&amp;col=7&amp;number=0.0846&amp;sourceID=14","0.0846")</f>
        <v>0.0846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HYPERLINK("http://141.218.60.56/~jnz1568/getInfo.php?workbook=20_13.xlsx&amp;sheet=U0&amp;row=1615&amp;col=6&amp;number=4.1&amp;sourceID=14","4.1")</f>
        <v>4.1</v>
      </c>
      <c r="G1615" s="4" t="str">
        <f>HYPERLINK("http://141.218.60.56/~jnz1568/getInfo.php?workbook=20_13.xlsx&amp;sheet=U0&amp;row=1615&amp;col=7&amp;number=0.0832&amp;sourceID=14","0.0832")</f>
        <v>0.0832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HYPERLINK("http://141.218.60.56/~jnz1568/getInfo.php?workbook=20_13.xlsx&amp;sheet=U0&amp;row=1616&amp;col=6&amp;number=4.2&amp;sourceID=14","4.2")</f>
        <v>4.2</v>
      </c>
      <c r="G1616" s="4" t="str">
        <f>HYPERLINK("http://141.218.60.56/~jnz1568/getInfo.php?workbook=20_13.xlsx&amp;sheet=U0&amp;row=1616&amp;col=7&amp;number=0.0814&amp;sourceID=14","0.0814")</f>
        <v>0.0814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HYPERLINK("http://141.218.60.56/~jnz1568/getInfo.php?workbook=20_13.xlsx&amp;sheet=U0&amp;row=1617&amp;col=6&amp;number=4.3&amp;sourceID=14","4.3")</f>
        <v>4.3</v>
      </c>
      <c r="G1617" s="4" t="str">
        <f>HYPERLINK("http://141.218.60.56/~jnz1568/getInfo.php?workbook=20_13.xlsx&amp;sheet=U0&amp;row=1617&amp;col=7&amp;number=0.0793&amp;sourceID=14","0.0793")</f>
        <v>0.0793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HYPERLINK("http://141.218.60.56/~jnz1568/getInfo.php?workbook=20_13.xlsx&amp;sheet=U0&amp;row=1618&amp;col=6&amp;number=4.4&amp;sourceID=14","4.4")</f>
        <v>4.4</v>
      </c>
      <c r="G1618" s="4" t="str">
        <f>HYPERLINK("http://141.218.60.56/~jnz1568/getInfo.php?workbook=20_13.xlsx&amp;sheet=U0&amp;row=1618&amp;col=7&amp;number=0.0766&amp;sourceID=14","0.0766")</f>
        <v>0.0766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HYPERLINK("http://141.218.60.56/~jnz1568/getInfo.php?workbook=20_13.xlsx&amp;sheet=U0&amp;row=1619&amp;col=6&amp;number=4.5&amp;sourceID=14","4.5")</f>
        <v>4.5</v>
      </c>
      <c r="G1619" s="4" t="str">
        <f>HYPERLINK("http://141.218.60.56/~jnz1568/getInfo.php?workbook=20_13.xlsx&amp;sheet=U0&amp;row=1619&amp;col=7&amp;number=0.0733&amp;sourceID=14","0.0733")</f>
        <v>0.0733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HYPERLINK("http://141.218.60.56/~jnz1568/getInfo.php?workbook=20_13.xlsx&amp;sheet=U0&amp;row=1620&amp;col=6&amp;number=4.6&amp;sourceID=14","4.6")</f>
        <v>4.6</v>
      </c>
      <c r="G1620" s="4" t="str">
        <f>HYPERLINK("http://141.218.60.56/~jnz1568/getInfo.php?workbook=20_13.xlsx&amp;sheet=U0&amp;row=1620&amp;col=7&amp;number=0.0694&amp;sourceID=14","0.0694")</f>
        <v>0.0694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HYPERLINK("http://141.218.60.56/~jnz1568/getInfo.php?workbook=20_13.xlsx&amp;sheet=U0&amp;row=1621&amp;col=6&amp;number=4.7&amp;sourceID=14","4.7")</f>
        <v>4.7</v>
      </c>
      <c r="G1621" s="4" t="str">
        <f>HYPERLINK("http://141.218.60.56/~jnz1568/getInfo.php?workbook=20_13.xlsx&amp;sheet=U0&amp;row=1621&amp;col=7&amp;number=0.0648&amp;sourceID=14","0.0648")</f>
        <v>0.0648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HYPERLINK("http://141.218.60.56/~jnz1568/getInfo.php?workbook=20_13.xlsx&amp;sheet=U0&amp;row=1622&amp;col=6&amp;number=4.8&amp;sourceID=14","4.8")</f>
        <v>4.8</v>
      </c>
      <c r="G1622" s="4" t="str">
        <f>HYPERLINK("http://141.218.60.56/~jnz1568/getInfo.php?workbook=20_13.xlsx&amp;sheet=U0&amp;row=1622&amp;col=7&amp;number=0.0596&amp;sourceID=14","0.0596")</f>
        <v>0.0596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HYPERLINK("http://141.218.60.56/~jnz1568/getInfo.php?workbook=20_13.xlsx&amp;sheet=U0&amp;row=1623&amp;col=6&amp;number=4.9&amp;sourceID=14","4.9")</f>
        <v>4.9</v>
      </c>
      <c r="G1623" s="4" t="str">
        <f>HYPERLINK("http://141.218.60.56/~jnz1568/getInfo.php?workbook=20_13.xlsx&amp;sheet=U0&amp;row=1623&amp;col=7&amp;number=0.0538&amp;sourceID=14","0.0538")</f>
        <v>0.0538</v>
      </c>
    </row>
    <row r="1624" spans="1:7">
      <c r="A1624" s="3">
        <v>20</v>
      </c>
      <c r="B1624" s="3">
        <v>13</v>
      </c>
      <c r="C1624" s="3">
        <v>7</v>
      </c>
      <c r="D1624" s="3">
        <v>21</v>
      </c>
      <c r="E1624" s="3">
        <v>1</v>
      </c>
      <c r="F1624" s="4" t="str">
        <f>HYPERLINK("http://141.218.60.56/~jnz1568/getInfo.php?workbook=20_13.xlsx&amp;sheet=U0&amp;row=1624&amp;col=6&amp;number=3&amp;sourceID=14","3")</f>
        <v>3</v>
      </c>
      <c r="G1624" s="4" t="str">
        <f>HYPERLINK("http://141.218.60.56/~jnz1568/getInfo.php?workbook=20_13.xlsx&amp;sheet=U0&amp;row=1624&amp;col=7&amp;number=0.686&amp;sourceID=14","0.686")</f>
        <v>0.686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HYPERLINK("http://141.218.60.56/~jnz1568/getInfo.php?workbook=20_13.xlsx&amp;sheet=U0&amp;row=1625&amp;col=6&amp;number=3.1&amp;sourceID=14","3.1")</f>
        <v>3.1</v>
      </c>
      <c r="G1625" s="4" t="str">
        <f>HYPERLINK("http://141.218.60.56/~jnz1568/getInfo.php?workbook=20_13.xlsx&amp;sheet=U0&amp;row=1625&amp;col=7&amp;number=0.685&amp;sourceID=14","0.685")</f>
        <v>0.685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HYPERLINK("http://141.218.60.56/~jnz1568/getInfo.php?workbook=20_13.xlsx&amp;sheet=U0&amp;row=1626&amp;col=6&amp;number=3.2&amp;sourceID=14","3.2")</f>
        <v>3.2</v>
      </c>
      <c r="G1626" s="4" t="str">
        <f>HYPERLINK("http://141.218.60.56/~jnz1568/getInfo.php?workbook=20_13.xlsx&amp;sheet=U0&amp;row=1626&amp;col=7&amp;number=0.684&amp;sourceID=14","0.684")</f>
        <v>0.684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HYPERLINK("http://141.218.60.56/~jnz1568/getInfo.php?workbook=20_13.xlsx&amp;sheet=U0&amp;row=1627&amp;col=6&amp;number=3.3&amp;sourceID=14","3.3")</f>
        <v>3.3</v>
      </c>
      <c r="G1627" s="4" t="str">
        <f>HYPERLINK("http://141.218.60.56/~jnz1568/getInfo.php?workbook=20_13.xlsx&amp;sheet=U0&amp;row=1627&amp;col=7&amp;number=0.683&amp;sourceID=14","0.683")</f>
        <v>0.683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HYPERLINK("http://141.218.60.56/~jnz1568/getInfo.php?workbook=20_13.xlsx&amp;sheet=U0&amp;row=1628&amp;col=6&amp;number=3.4&amp;sourceID=14","3.4")</f>
        <v>3.4</v>
      </c>
      <c r="G1628" s="4" t="str">
        <f>HYPERLINK("http://141.218.60.56/~jnz1568/getInfo.php?workbook=20_13.xlsx&amp;sheet=U0&amp;row=1628&amp;col=7&amp;number=0.681&amp;sourceID=14","0.681")</f>
        <v>0.681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HYPERLINK("http://141.218.60.56/~jnz1568/getInfo.php?workbook=20_13.xlsx&amp;sheet=U0&amp;row=1629&amp;col=6&amp;number=3.5&amp;sourceID=14","3.5")</f>
        <v>3.5</v>
      </c>
      <c r="G1629" s="4" t="str">
        <f>HYPERLINK("http://141.218.60.56/~jnz1568/getInfo.php?workbook=20_13.xlsx&amp;sheet=U0&amp;row=1629&amp;col=7&amp;number=0.68&amp;sourceID=14","0.68")</f>
        <v>0.68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HYPERLINK("http://141.218.60.56/~jnz1568/getInfo.php?workbook=20_13.xlsx&amp;sheet=U0&amp;row=1630&amp;col=6&amp;number=3.6&amp;sourceID=14","3.6")</f>
        <v>3.6</v>
      </c>
      <c r="G1630" s="4" t="str">
        <f>HYPERLINK("http://141.218.60.56/~jnz1568/getInfo.php?workbook=20_13.xlsx&amp;sheet=U0&amp;row=1630&amp;col=7&amp;number=0.677&amp;sourceID=14","0.677")</f>
        <v>0.677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HYPERLINK("http://141.218.60.56/~jnz1568/getInfo.php?workbook=20_13.xlsx&amp;sheet=U0&amp;row=1631&amp;col=6&amp;number=3.7&amp;sourceID=14","3.7")</f>
        <v>3.7</v>
      </c>
      <c r="G1631" s="4" t="str">
        <f>HYPERLINK("http://141.218.60.56/~jnz1568/getInfo.php?workbook=20_13.xlsx&amp;sheet=U0&amp;row=1631&amp;col=7&amp;number=0.675&amp;sourceID=14","0.675")</f>
        <v>0.675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HYPERLINK("http://141.218.60.56/~jnz1568/getInfo.php?workbook=20_13.xlsx&amp;sheet=U0&amp;row=1632&amp;col=6&amp;number=3.8&amp;sourceID=14","3.8")</f>
        <v>3.8</v>
      </c>
      <c r="G1632" s="4" t="str">
        <f>HYPERLINK("http://141.218.60.56/~jnz1568/getInfo.php?workbook=20_13.xlsx&amp;sheet=U0&amp;row=1632&amp;col=7&amp;number=0.671&amp;sourceID=14","0.671")</f>
        <v>0.671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HYPERLINK("http://141.218.60.56/~jnz1568/getInfo.php?workbook=20_13.xlsx&amp;sheet=U0&amp;row=1633&amp;col=6&amp;number=3.9&amp;sourceID=14","3.9")</f>
        <v>3.9</v>
      </c>
      <c r="G1633" s="4" t="str">
        <f>HYPERLINK("http://141.218.60.56/~jnz1568/getInfo.php?workbook=20_13.xlsx&amp;sheet=U0&amp;row=1633&amp;col=7&amp;number=0.667&amp;sourceID=14","0.667")</f>
        <v>0.667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HYPERLINK("http://141.218.60.56/~jnz1568/getInfo.php?workbook=20_13.xlsx&amp;sheet=U0&amp;row=1634&amp;col=6&amp;number=4&amp;sourceID=14","4")</f>
        <v>4</v>
      </c>
      <c r="G1634" s="4" t="str">
        <f>HYPERLINK("http://141.218.60.56/~jnz1568/getInfo.php?workbook=20_13.xlsx&amp;sheet=U0&amp;row=1634&amp;col=7&amp;number=0.661&amp;sourceID=14","0.661")</f>
        <v>0.661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HYPERLINK("http://141.218.60.56/~jnz1568/getInfo.php?workbook=20_13.xlsx&amp;sheet=U0&amp;row=1635&amp;col=6&amp;number=4.1&amp;sourceID=14","4.1")</f>
        <v>4.1</v>
      </c>
      <c r="G1635" s="4" t="str">
        <f>HYPERLINK("http://141.218.60.56/~jnz1568/getInfo.php?workbook=20_13.xlsx&amp;sheet=U0&amp;row=1635&amp;col=7&amp;number=0.654&amp;sourceID=14","0.654")</f>
        <v>0.654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HYPERLINK("http://141.218.60.56/~jnz1568/getInfo.php?workbook=20_13.xlsx&amp;sheet=U0&amp;row=1636&amp;col=6&amp;number=4.2&amp;sourceID=14","4.2")</f>
        <v>4.2</v>
      </c>
      <c r="G1636" s="4" t="str">
        <f>HYPERLINK("http://141.218.60.56/~jnz1568/getInfo.php?workbook=20_13.xlsx&amp;sheet=U0&amp;row=1636&amp;col=7&amp;number=0.646&amp;sourceID=14","0.646")</f>
        <v>0.646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HYPERLINK("http://141.218.60.56/~jnz1568/getInfo.php?workbook=20_13.xlsx&amp;sheet=U0&amp;row=1637&amp;col=6&amp;number=4.3&amp;sourceID=14","4.3")</f>
        <v>4.3</v>
      </c>
      <c r="G1637" s="4" t="str">
        <f>HYPERLINK("http://141.218.60.56/~jnz1568/getInfo.php?workbook=20_13.xlsx&amp;sheet=U0&amp;row=1637&amp;col=7&amp;number=0.635&amp;sourceID=14","0.635")</f>
        <v>0.635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HYPERLINK("http://141.218.60.56/~jnz1568/getInfo.php?workbook=20_13.xlsx&amp;sheet=U0&amp;row=1638&amp;col=6&amp;number=4.4&amp;sourceID=14","4.4")</f>
        <v>4.4</v>
      </c>
      <c r="G1638" s="4" t="str">
        <f>HYPERLINK("http://141.218.60.56/~jnz1568/getInfo.php?workbook=20_13.xlsx&amp;sheet=U0&amp;row=1638&amp;col=7&amp;number=0.622&amp;sourceID=14","0.622")</f>
        <v>0.622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HYPERLINK("http://141.218.60.56/~jnz1568/getInfo.php?workbook=20_13.xlsx&amp;sheet=U0&amp;row=1639&amp;col=6&amp;number=4.5&amp;sourceID=14","4.5")</f>
        <v>4.5</v>
      </c>
      <c r="G1639" s="4" t="str">
        <f>HYPERLINK("http://141.218.60.56/~jnz1568/getInfo.php?workbook=20_13.xlsx&amp;sheet=U0&amp;row=1639&amp;col=7&amp;number=0.607&amp;sourceID=14","0.607")</f>
        <v>0.607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HYPERLINK("http://141.218.60.56/~jnz1568/getInfo.php?workbook=20_13.xlsx&amp;sheet=U0&amp;row=1640&amp;col=6&amp;number=4.6&amp;sourceID=14","4.6")</f>
        <v>4.6</v>
      </c>
      <c r="G1640" s="4" t="str">
        <f>HYPERLINK("http://141.218.60.56/~jnz1568/getInfo.php?workbook=20_13.xlsx&amp;sheet=U0&amp;row=1640&amp;col=7&amp;number=0.588&amp;sourceID=14","0.588")</f>
        <v>0.588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HYPERLINK("http://141.218.60.56/~jnz1568/getInfo.php?workbook=20_13.xlsx&amp;sheet=U0&amp;row=1641&amp;col=6&amp;number=4.7&amp;sourceID=14","4.7")</f>
        <v>4.7</v>
      </c>
      <c r="G1641" s="4" t="str">
        <f>HYPERLINK("http://141.218.60.56/~jnz1568/getInfo.php?workbook=20_13.xlsx&amp;sheet=U0&amp;row=1641&amp;col=7&amp;number=0.565&amp;sourceID=14","0.565")</f>
        <v>0.565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HYPERLINK("http://141.218.60.56/~jnz1568/getInfo.php?workbook=20_13.xlsx&amp;sheet=U0&amp;row=1642&amp;col=6&amp;number=4.8&amp;sourceID=14","4.8")</f>
        <v>4.8</v>
      </c>
      <c r="G1642" s="4" t="str">
        <f>HYPERLINK("http://141.218.60.56/~jnz1568/getInfo.php?workbook=20_13.xlsx&amp;sheet=U0&amp;row=1642&amp;col=7&amp;number=0.539&amp;sourceID=14","0.539")</f>
        <v>0.539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HYPERLINK("http://141.218.60.56/~jnz1568/getInfo.php?workbook=20_13.xlsx&amp;sheet=U0&amp;row=1643&amp;col=6&amp;number=4.9&amp;sourceID=14","4.9")</f>
        <v>4.9</v>
      </c>
      <c r="G1643" s="4" t="str">
        <f>HYPERLINK("http://141.218.60.56/~jnz1568/getInfo.php?workbook=20_13.xlsx&amp;sheet=U0&amp;row=1643&amp;col=7&amp;number=0.51&amp;sourceID=14","0.51")</f>
        <v>0.51</v>
      </c>
    </row>
    <row r="1644" spans="1:7">
      <c r="A1644" s="3">
        <v>20</v>
      </c>
      <c r="B1644" s="3">
        <v>13</v>
      </c>
      <c r="C1644" s="3">
        <v>8</v>
      </c>
      <c r="D1644" s="3">
        <v>21</v>
      </c>
      <c r="E1644" s="3">
        <v>1</v>
      </c>
      <c r="F1644" s="4" t="str">
        <f>HYPERLINK("http://141.218.60.56/~jnz1568/getInfo.php?workbook=20_13.xlsx&amp;sheet=U0&amp;row=1644&amp;col=6&amp;number=3&amp;sourceID=14","3")</f>
        <v>3</v>
      </c>
      <c r="G1644" s="4" t="str">
        <f>HYPERLINK("http://141.218.60.56/~jnz1568/getInfo.php?workbook=20_13.xlsx&amp;sheet=U0&amp;row=1644&amp;col=7&amp;number=0.116&amp;sourceID=14","0.116")</f>
        <v>0.116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HYPERLINK("http://141.218.60.56/~jnz1568/getInfo.php?workbook=20_13.xlsx&amp;sheet=U0&amp;row=1645&amp;col=6&amp;number=3.1&amp;sourceID=14","3.1")</f>
        <v>3.1</v>
      </c>
      <c r="G1645" s="4" t="str">
        <f>HYPERLINK("http://141.218.60.56/~jnz1568/getInfo.php?workbook=20_13.xlsx&amp;sheet=U0&amp;row=1645&amp;col=7&amp;number=0.116&amp;sourceID=14","0.116")</f>
        <v>0.116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HYPERLINK("http://141.218.60.56/~jnz1568/getInfo.php?workbook=20_13.xlsx&amp;sheet=U0&amp;row=1646&amp;col=6&amp;number=3.2&amp;sourceID=14","3.2")</f>
        <v>3.2</v>
      </c>
      <c r="G1646" s="4" t="str">
        <f>HYPERLINK("http://141.218.60.56/~jnz1568/getInfo.php?workbook=20_13.xlsx&amp;sheet=U0&amp;row=1646&amp;col=7&amp;number=0.115&amp;sourceID=14","0.115")</f>
        <v>0.115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HYPERLINK("http://141.218.60.56/~jnz1568/getInfo.php?workbook=20_13.xlsx&amp;sheet=U0&amp;row=1647&amp;col=6&amp;number=3.3&amp;sourceID=14","3.3")</f>
        <v>3.3</v>
      </c>
      <c r="G1647" s="4" t="str">
        <f>HYPERLINK("http://141.218.60.56/~jnz1568/getInfo.php?workbook=20_13.xlsx&amp;sheet=U0&amp;row=1647&amp;col=7&amp;number=0.115&amp;sourceID=14","0.115")</f>
        <v>0.115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HYPERLINK("http://141.218.60.56/~jnz1568/getInfo.php?workbook=20_13.xlsx&amp;sheet=U0&amp;row=1648&amp;col=6&amp;number=3.4&amp;sourceID=14","3.4")</f>
        <v>3.4</v>
      </c>
      <c r="G1648" s="4" t="str">
        <f>HYPERLINK("http://141.218.60.56/~jnz1568/getInfo.php?workbook=20_13.xlsx&amp;sheet=U0&amp;row=1648&amp;col=7&amp;number=0.115&amp;sourceID=14","0.115")</f>
        <v>0.115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HYPERLINK("http://141.218.60.56/~jnz1568/getInfo.php?workbook=20_13.xlsx&amp;sheet=U0&amp;row=1649&amp;col=6&amp;number=3.5&amp;sourceID=14","3.5")</f>
        <v>3.5</v>
      </c>
      <c r="G1649" s="4" t="str">
        <f>HYPERLINK("http://141.218.60.56/~jnz1568/getInfo.php?workbook=20_13.xlsx&amp;sheet=U0&amp;row=1649&amp;col=7&amp;number=0.115&amp;sourceID=14","0.115")</f>
        <v>0.115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HYPERLINK("http://141.218.60.56/~jnz1568/getInfo.php?workbook=20_13.xlsx&amp;sheet=U0&amp;row=1650&amp;col=6&amp;number=3.6&amp;sourceID=14","3.6")</f>
        <v>3.6</v>
      </c>
      <c r="G1650" s="4" t="str">
        <f>HYPERLINK("http://141.218.60.56/~jnz1568/getInfo.php?workbook=20_13.xlsx&amp;sheet=U0&amp;row=1650&amp;col=7&amp;number=0.115&amp;sourceID=14","0.115")</f>
        <v>0.115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HYPERLINK("http://141.218.60.56/~jnz1568/getInfo.php?workbook=20_13.xlsx&amp;sheet=U0&amp;row=1651&amp;col=6&amp;number=3.7&amp;sourceID=14","3.7")</f>
        <v>3.7</v>
      </c>
      <c r="G1651" s="4" t="str">
        <f>HYPERLINK("http://141.218.60.56/~jnz1568/getInfo.php?workbook=20_13.xlsx&amp;sheet=U0&amp;row=1651&amp;col=7&amp;number=0.114&amp;sourceID=14","0.114")</f>
        <v>0.114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HYPERLINK("http://141.218.60.56/~jnz1568/getInfo.php?workbook=20_13.xlsx&amp;sheet=U0&amp;row=1652&amp;col=6&amp;number=3.8&amp;sourceID=14","3.8")</f>
        <v>3.8</v>
      </c>
      <c r="G1652" s="4" t="str">
        <f>HYPERLINK("http://141.218.60.56/~jnz1568/getInfo.php?workbook=20_13.xlsx&amp;sheet=U0&amp;row=1652&amp;col=7&amp;number=0.114&amp;sourceID=14","0.114")</f>
        <v>0.114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HYPERLINK("http://141.218.60.56/~jnz1568/getInfo.php?workbook=20_13.xlsx&amp;sheet=U0&amp;row=1653&amp;col=6&amp;number=3.9&amp;sourceID=14","3.9")</f>
        <v>3.9</v>
      </c>
      <c r="G1653" s="4" t="str">
        <f>HYPERLINK("http://141.218.60.56/~jnz1568/getInfo.php?workbook=20_13.xlsx&amp;sheet=U0&amp;row=1653&amp;col=7&amp;number=0.113&amp;sourceID=14","0.113")</f>
        <v>0.113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HYPERLINK("http://141.218.60.56/~jnz1568/getInfo.php?workbook=20_13.xlsx&amp;sheet=U0&amp;row=1654&amp;col=6&amp;number=4&amp;sourceID=14","4")</f>
        <v>4</v>
      </c>
      <c r="G1654" s="4" t="str">
        <f>HYPERLINK("http://141.218.60.56/~jnz1568/getInfo.php?workbook=20_13.xlsx&amp;sheet=U0&amp;row=1654&amp;col=7&amp;number=0.112&amp;sourceID=14","0.112")</f>
        <v>0.112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HYPERLINK("http://141.218.60.56/~jnz1568/getInfo.php?workbook=20_13.xlsx&amp;sheet=U0&amp;row=1655&amp;col=6&amp;number=4.1&amp;sourceID=14","4.1")</f>
        <v>4.1</v>
      </c>
      <c r="G1655" s="4" t="str">
        <f>HYPERLINK("http://141.218.60.56/~jnz1568/getInfo.php?workbook=20_13.xlsx&amp;sheet=U0&amp;row=1655&amp;col=7&amp;number=0.111&amp;sourceID=14","0.111")</f>
        <v>0.111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HYPERLINK("http://141.218.60.56/~jnz1568/getInfo.php?workbook=20_13.xlsx&amp;sheet=U0&amp;row=1656&amp;col=6&amp;number=4.2&amp;sourceID=14","4.2")</f>
        <v>4.2</v>
      </c>
      <c r="G1656" s="4" t="str">
        <f>HYPERLINK("http://141.218.60.56/~jnz1568/getInfo.php?workbook=20_13.xlsx&amp;sheet=U0&amp;row=1656&amp;col=7&amp;number=0.11&amp;sourceID=14","0.11")</f>
        <v>0.11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HYPERLINK("http://141.218.60.56/~jnz1568/getInfo.php?workbook=20_13.xlsx&amp;sheet=U0&amp;row=1657&amp;col=6&amp;number=4.3&amp;sourceID=14","4.3")</f>
        <v>4.3</v>
      </c>
      <c r="G1657" s="4" t="str">
        <f>HYPERLINK("http://141.218.60.56/~jnz1568/getInfo.php?workbook=20_13.xlsx&amp;sheet=U0&amp;row=1657&amp;col=7&amp;number=0.109&amp;sourceID=14","0.109")</f>
        <v>0.109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HYPERLINK("http://141.218.60.56/~jnz1568/getInfo.php?workbook=20_13.xlsx&amp;sheet=U0&amp;row=1658&amp;col=6&amp;number=4.4&amp;sourceID=14","4.4")</f>
        <v>4.4</v>
      </c>
      <c r="G1658" s="4" t="str">
        <f>HYPERLINK("http://141.218.60.56/~jnz1568/getInfo.php?workbook=20_13.xlsx&amp;sheet=U0&amp;row=1658&amp;col=7&amp;number=0.107&amp;sourceID=14","0.107")</f>
        <v>0.107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HYPERLINK("http://141.218.60.56/~jnz1568/getInfo.php?workbook=20_13.xlsx&amp;sheet=U0&amp;row=1659&amp;col=6&amp;number=4.5&amp;sourceID=14","4.5")</f>
        <v>4.5</v>
      </c>
      <c r="G1659" s="4" t="str">
        <f>HYPERLINK("http://141.218.60.56/~jnz1568/getInfo.php?workbook=20_13.xlsx&amp;sheet=U0&amp;row=1659&amp;col=7&amp;number=0.104&amp;sourceID=14","0.104")</f>
        <v>0.104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HYPERLINK("http://141.218.60.56/~jnz1568/getInfo.php?workbook=20_13.xlsx&amp;sheet=U0&amp;row=1660&amp;col=6&amp;number=4.6&amp;sourceID=14","4.6")</f>
        <v>4.6</v>
      </c>
      <c r="G1660" s="4" t="str">
        <f>HYPERLINK("http://141.218.60.56/~jnz1568/getInfo.php?workbook=20_13.xlsx&amp;sheet=U0&amp;row=1660&amp;col=7&amp;number=0.101&amp;sourceID=14","0.101")</f>
        <v>0.101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HYPERLINK("http://141.218.60.56/~jnz1568/getInfo.php?workbook=20_13.xlsx&amp;sheet=U0&amp;row=1661&amp;col=6&amp;number=4.7&amp;sourceID=14","4.7")</f>
        <v>4.7</v>
      </c>
      <c r="G1661" s="4" t="str">
        <f>HYPERLINK("http://141.218.60.56/~jnz1568/getInfo.php?workbook=20_13.xlsx&amp;sheet=U0&amp;row=1661&amp;col=7&amp;number=0.098&amp;sourceID=14","0.098")</f>
        <v>0.098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HYPERLINK("http://141.218.60.56/~jnz1568/getInfo.php?workbook=20_13.xlsx&amp;sheet=U0&amp;row=1662&amp;col=6&amp;number=4.8&amp;sourceID=14","4.8")</f>
        <v>4.8</v>
      </c>
      <c r="G1662" s="4" t="str">
        <f>HYPERLINK("http://141.218.60.56/~jnz1568/getInfo.php?workbook=20_13.xlsx&amp;sheet=U0&amp;row=1662&amp;col=7&amp;number=0.0939&amp;sourceID=14","0.0939")</f>
        <v>0.0939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HYPERLINK("http://141.218.60.56/~jnz1568/getInfo.php?workbook=20_13.xlsx&amp;sheet=U0&amp;row=1663&amp;col=6&amp;number=4.9&amp;sourceID=14","4.9")</f>
        <v>4.9</v>
      </c>
      <c r="G1663" s="4" t="str">
        <f>HYPERLINK("http://141.218.60.56/~jnz1568/getInfo.php?workbook=20_13.xlsx&amp;sheet=U0&amp;row=1663&amp;col=7&amp;number=0.0891&amp;sourceID=14","0.0891")</f>
        <v>0.0891</v>
      </c>
    </row>
    <row r="1664" spans="1:7">
      <c r="A1664" s="3">
        <v>20</v>
      </c>
      <c r="B1664" s="3">
        <v>13</v>
      </c>
      <c r="C1664" s="3">
        <v>9</v>
      </c>
      <c r="D1664" s="3">
        <v>21</v>
      </c>
      <c r="E1664" s="3">
        <v>1</v>
      </c>
      <c r="F1664" s="4" t="str">
        <f>HYPERLINK("http://141.218.60.56/~jnz1568/getInfo.php?workbook=20_13.xlsx&amp;sheet=U0&amp;row=1664&amp;col=6&amp;number=3&amp;sourceID=14","3")</f>
        <v>3</v>
      </c>
      <c r="G1664" s="4" t="str">
        <f>HYPERLINK("http://141.218.60.56/~jnz1568/getInfo.php?workbook=20_13.xlsx&amp;sheet=U0&amp;row=1664&amp;col=7&amp;number=0.0648&amp;sourceID=14","0.0648")</f>
        <v>0.0648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HYPERLINK("http://141.218.60.56/~jnz1568/getInfo.php?workbook=20_13.xlsx&amp;sheet=U0&amp;row=1665&amp;col=6&amp;number=3.1&amp;sourceID=14","3.1")</f>
        <v>3.1</v>
      </c>
      <c r="G1665" s="4" t="str">
        <f>HYPERLINK("http://141.218.60.56/~jnz1568/getInfo.php?workbook=20_13.xlsx&amp;sheet=U0&amp;row=1665&amp;col=7&amp;number=0.0648&amp;sourceID=14","0.0648")</f>
        <v>0.0648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HYPERLINK("http://141.218.60.56/~jnz1568/getInfo.php?workbook=20_13.xlsx&amp;sheet=U0&amp;row=1666&amp;col=6&amp;number=3.2&amp;sourceID=14","3.2")</f>
        <v>3.2</v>
      </c>
      <c r="G1666" s="4" t="str">
        <f>HYPERLINK("http://141.218.60.56/~jnz1568/getInfo.php?workbook=20_13.xlsx&amp;sheet=U0&amp;row=1666&amp;col=7&amp;number=0.0647&amp;sourceID=14","0.0647")</f>
        <v>0.0647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HYPERLINK("http://141.218.60.56/~jnz1568/getInfo.php?workbook=20_13.xlsx&amp;sheet=U0&amp;row=1667&amp;col=6&amp;number=3.3&amp;sourceID=14","3.3")</f>
        <v>3.3</v>
      </c>
      <c r="G1667" s="4" t="str">
        <f>HYPERLINK("http://141.218.60.56/~jnz1568/getInfo.php?workbook=20_13.xlsx&amp;sheet=U0&amp;row=1667&amp;col=7&amp;number=0.0646&amp;sourceID=14","0.0646")</f>
        <v>0.0646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HYPERLINK("http://141.218.60.56/~jnz1568/getInfo.php?workbook=20_13.xlsx&amp;sheet=U0&amp;row=1668&amp;col=6&amp;number=3.4&amp;sourceID=14","3.4")</f>
        <v>3.4</v>
      </c>
      <c r="G1668" s="4" t="str">
        <f>HYPERLINK("http://141.218.60.56/~jnz1568/getInfo.php?workbook=20_13.xlsx&amp;sheet=U0&amp;row=1668&amp;col=7&amp;number=0.0645&amp;sourceID=14","0.0645")</f>
        <v>0.0645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HYPERLINK("http://141.218.60.56/~jnz1568/getInfo.php?workbook=20_13.xlsx&amp;sheet=U0&amp;row=1669&amp;col=6&amp;number=3.5&amp;sourceID=14","3.5")</f>
        <v>3.5</v>
      </c>
      <c r="G1669" s="4" t="str">
        <f>HYPERLINK("http://141.218.60.56/~jnz1568/getInfo.php?workbook=20_13.xlsx&amp;sheet=U0&amp;row=1669&amp;col=7&amp;number=0.0644&amp;sourceID=14","0.0644")</f>
        <v>0.0644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HYPERLINK("http://141.218.60.56/~jnz1568/getInfo.php?workbook=20_13.xlsx&amp;sheet=U0&amp;row=1670&amp;col=6&amp;number=3.6&amp;sourceID=14","3.6")</f>
        <v>3.6</v>
      </c>
      <c r="G1670" s="4" t="str">
        <f>HYPERLINK("http://141.218.60.56/~jnz1568/getInfo.php?workbook=20_13.xlsx&amp;sheet=U0&amp;row=1670&amp;col=7&amp;number=0.0642&amp;sourceID=14","0.0642")</f>
        <v>0.0642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HYPERLINK("http://141.218.60.56/~jnz1568/getInfo.php?workbook=20_13.xlsx&amp;sheet=U0&amp;row=1671&amp;col=6&amp;number=3.7&amp;sourceID=14","3.7")</f>
        <v>3.7</v>
      </c>
      <c r="G1671" s="4" t="str">
        <f>HYPERLINK("http://141.218.60.56/~jnz1568/getInfo.php?workbook=20_13.xlsx&amp;sheet=U0&amp;row=1671&amp;col=7&amp;number=0.064&amp;sourceID=14","0.064")</f>
        <v>0.064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HYPERLINK("http://141.218.60.56/~jnz1568/getInfo.php?workbook=20_13.xlsx&amp;sheet=U0&amp;row=1672&amp;col=6&amp;number=3.8&amp;sourceID=14","3.8")</f>
        <v>3.8</v>
      </c>
      <c r="G1672" s="4" t="str">
        <f>HYPERLINK("http://141.218.60.56/~jnz1568/getInfo.php?workbook=20_13.xlsx&amp;sheet=U0&amp;row=1672&amp;col=7&amp;number=0.0637&amp;sourceID=14","0.0637")</f>
        <v>0.0637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HYPERLINK("http://141.218.60.56/~jnz1568/getInfo.php?workbook=20_13.xlsx&amp;sheet=U0&amp;row=1673&amp;col=6&amp;number=3.9&amp;sourceID=14","3.9")</f>
        <v>3.9</v>
      </c>
      <c r="G1673" s="4" t="str">
        <f>HYPERLINK("http://141.218.60.56/~jnz1568/getInfo.php?workbook=20_13.xlsx&amp;sheet=U0&amp;row=1673&amp;col=7&amp;number=0.0634&amp;sourceID=14","0.0634")</f>
        <v>0.0634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HYPERLINK("http://141.218.60.56/~jnz1568/getInfo.php?workbook=20_13.xlsx&amp;sheet=U0&amp;row=1674&amp;col=6&amp;number=4&amp;sourceID=14","4")</f>
        <v>4</v>
      </c>
      <c r="G1674" s="4" t="str">
        <f>HYPERLINK("http://141.218.60.56/~jnz1568/getInfo.php?workbook=20_13.xlsx&amp;sheet=U0&amp;row=1674&amp;col=7&amp;number=0.063&amp;sourceID=14","0.063")</f>
        <v>0.063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HYPERLINK("http://141.218.60.56/~jnz1568/getInfo.php?workbook=20_13.xlsx&amp;sheet=U0&amp;row=1675&amp;col=6&amp;number=4.1&amp;sourceID=14","4.1")</f>
        <v>4.1</v>
      </c>
      <c r="G1675" s="4" t="str">
        <f>HYPERLINK("http://141.218.60.56/~jnz1568/getInfo.php?workbook=20_13.xlsx&amp;sheet=U0&amp;row=1675&amp;col=7&amp;number=0.0624&amp;sourceID=14","0.0624")</f>
        <v>0.0624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HYPERLINK("http://141.218.60.56/~jnz1568/getInfo.php?workbook=20_13.xlsx&amp;sheet=U0&amp;row=1676&amp;col=6&amp;number=4.2&amp;sourceID=14","4.2")</f>
        <v>4.2</v>
      </c>
      <c r="G1676" s="4" t="str">
        <f>HYPERLINK("http://141.218.60.56/~jnz1568/getInfo.php?workbook=20_13.xlsx&amp;sheet=U0&amp;row=1676&amp;col=7&amp;number=0.0617&amp;sourceID=14","0.0617")</f>
        <v>0.0617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HYPERLINK("http://141.218.60.56/~jnz1568/getInfo.php?workbook=20_13.xlsx&amp;sheet=U0&amp;row=1677&amp;col=6&amp;number=4.3&amp;sourceID=14","4.3")</f>
        <v>4.3</v>
      </c>
      <c r="G1677" s="4" t="str">
        <f>HYPERLINK("http://141.218.60.56/~jnz1568/getInfo.php?workbook=20_13.xlsx&amp;sheet=U0&amp;row=1677&amp;col=7&amp;number=0.0609&amp;sourceID=14","0.0609")</f>
        <v>0.0609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HYPERLINK("http://141.218.60.56/~jnz1568/getInfo.php?workbook=20_13.xlsx&amp;sheet=U0&amp;row=1678&amp;col=6&amp;number=4.4&amp;sourceID=14","4.4")</f>
        <v>4.4</v>
      </c>
      <c r="G1678" s="4" t="str">
        <f>HYPERLINK("http://141.218.60.56/~jnz1568/getInfo.php?workbook=20_13.xlsx&amp;sheet=U0&amp;row=1678&amp;col=7&amp;number=0.0599&amp;sourceID=14","0.0599")</f>
        <v>0.0599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HYPERLINK("http://141.218.60.56/~jnz1568/getInfo.php?workbook=20_13.xlsx&amp;sheet=U0&amp;row=1679&amp;col=6&amp;number=4.5&amp;sourceID=14","4.5")</f>
        <v>4.5</v>
      </c>
      <c r="G1679" s="4" t="str">
        <f>HYPERLINK("http://141.218.60.56/~jnz1568/getInfo.php?workbook=20_13.xlsx&amp;sheet=U0&amp;row=1679&amp;col=7&amp;number=0.0586&amp;sourceID=14","0.0586")</f>
        <v>0.0586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HYPERLINK("http://141.218.60.56/~jnz1568/getInfo.php?workbook=20_13.xlsx&amp;sheet=U0&amp;row=1680&amp;col=6&amp;number=4.6&amp;sourceID=14","4.6")</f>
        <v>4.6</v>
      </c>
      <c r="G1680" s="4" t="str">
        <f>HYPERLINK("http://141.218.60.56/~jnz1568/getInfo.php?workbook=20_13.xlsx&amp;sheet=U0&amp;row=1680&amp;col=7&amp;number=0.057&amp;sourceID=14","0.057")</f>
        <v>0.057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HYPERLINK("http://141.218.60.56/~jnz1568/getInfo.php?workbook=20_13.xlsx&amp;sheet=U0&amp;row=1681&amp;col=6&amp;number=4.7&amp;sourceID=14","4.7")</f>
        <v>4.7</v>
      </c>
      <c r="G1681" s="4" t="str">
        <f>HYPERLINK("http://141.218.60.56/~jnz1568/getInfo.php?workbook=20_13.xlsx&amp;sheet=U0&amp;row=1681&amp;col=7&amp;number=0.055&amp;sourceID=14","0.055")</f>
        <v>0.055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HYPERLINK("http://141.218.60.56/~jnz1568/getInfo.php?workbook=20_13.xlsx&amp;sheet=U0&amp;row=1682&amp;col=6&amp;number=4.8&amp;sourceID=14","4.8")</f>
        <v>4.8</v>
      </c>
      <c r="G1682" s="4" t="str">
        <f>HYPERLINK("http://141.218.60.56/~jnz1568/getInfo.php?workbook=20_13.xlsx&amp;sheet=U0&amp;row=1682&amp;col=7&amp;number=0.0526&amp;sourceID=14","0.0526")</f>
        <v>0.0526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HYPERLINK("http://141.218.60.56/~jnz1568/getInfo.php?workbook=20_13.xlsx&amp;sheet=U0&amp;row=1683&amp;col=6&amp;number=4.9&amp;sourceID=14","4.9")</f>
        <v>4.9</v>
      </c>
      <c r="G1683" s="4" t="str">
        <f>HYPERLINK("http://141.218.60.56/~jnz1568/getInfo.php?workbook=20_13.xlsx&amp;sheet=U0&amp;row=1683&amp;col=7&amp;number=0.0498&amp;sourceID=14","0.0498")</f>
        <v>0.0498</v>
      </c>
    </row>
    <row r="1684" spans="1:7">
      <c r="A1684" s="3">
        <v>20</v>
      </c>
      <c r="B1684" s="3">
        <v>13</v>
      </c>
      <c r="C1684" s="3">
        <v>10</v>
      </c>
      <c r="D1684" s="3">
        <v>21</v>
      </c>
      <c r="E1684" s="3">
        <v>1</v>
      </c>
      <c r="F1684" s="4" t="str">
        <f>HYPERLINK("http://141.218.60.56/~jnz1568/getInfo.php?workbook=20_13.xlsx&amp;sheet=U0&amp;row=1684&amp;col=6&amp;number=3&amp;sourceID=14","3")</f>
        <v>3</v>
      </c>
      <c r="G1684" s="4" t="str">
        <f>HYPERLINK("http://141.218.60.56/~jnz1568/getInfo.php?workbook=20_13.xlsx&amp;sheet=U0&amp;row=1684&amp;col=7&amp;number=0.16&amp;sourceID=14","0.16")</f>
        <v>0.16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HYPERLINK("http://141.218.60.56/~jnz1568/getInfo.php?workbook=20_13.xlsx&amp;sheet=U0&amp;row=1685&amp;col=6&amp;number=3.1&amp;sourceID=14","3.1")</f>
        <v>3.1</v>
      </c>
      <c r="G1685" s="4" t="str">
        <f>HYPERLINK("http://141.218.60.56/~jnz1568/getInfo.php?workbook=20_13.xlsx&amp;sheet=U0&amp;row=1685&amp;col=7&amp;number=0.16&amp;sourceID=14","0.16")</f>
        <v>0.16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HYPERLINK("http://141.218.60.56/~jnz1568/getInfo.php?workbook=20_13.xlsx&amp;sheet=U0&amp;row=1686&amp;col=6&amp;number=3.2&amp;sourceID=14","3.2")</f>
        <v>3.2</v>
      </c>
      <c r="G1686" s="4" t="str">
        <f>HYPERLINK("http://141.218.60.56/~jnz1568/getInfo.php?workbook=20_13.xlsx&amp;sheet=U0&amp;row=1686&amp;col=7&amp;number=0.16&amp;sourceID=14","0.16")</f>
        <v>0.16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HYPERLINK("http://141.218.60.56/~jnz1568/getInfo.php?workbook=20_13.xlsx&amp;sheet=U0&amp;row=1687&amp;col=6&amp;number=3.3&amp;sourceID=14","3.3")</f>
        <v>3.3</v>
      </c>
      <c r="G1687" s="4" t="str">
        <f>HYPERLINK("http://141.218.60.56/~jnz1568/getInfo.php?workbook=20_13.xlsx&amp;sheet=U0&amp;row=1687&amp;col=7&amp;number=0.159&amp;sourceID=14","0.159")</f>
        <v>0.159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HYPERLINK("http://141.218.60.56/~jnz1568/getInfo.php?workbook=20_13.xlsx&amp;sheet=U0&amp;row=1688&amp;col=6&amp;number=3.4&amp;sourceID=14","3.4")</f>
        <v>3.4</v>
      </c>
      <c r="G1688" s="4" t="str">
        <f>HYPERLINK("http://141.218.60.56/~jnz1568/getInfo.php?workbook=20_13.xlsx&amp;sheet=U0&amp;row=1688&amp;col=7&amp;number=0.159&amp;sourceID=14","0.159")</f>
        <v>0.159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HYPERLINK("http://141.218.60.56/~jnz1568/getInfo.php?workbook=20_13.xlsx&amp;sheet=U0&amp;row=1689&amp;col=6&amp;number=3.5&amp;sourceID=14","3.5")</f>
        <v>3.5</v>
      </c>
      <c r="G1689" s="4" t="str">
        <f>HYPERLINK("http://141.218.60.56/~jnz1568/getInfo.php?workbook=20_13.xlsx&amp;sheet=U0&amp;row=1689&amp;col=7&amp;number=0.159&amp;sourceID=14","0.159")</f>
        <v>0.159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HYPERLINK("http://141.218.60.56/~jnz1568/getInfo.php?workbook=20_13.xlsx&amp;sheet=U0&amp;row=1690&amp;col=6&amp;number=3.6&amp;sourceID=14","3.6")</f>
        <v>3.6</v>
      </c>
      <c r="G1690" s="4" t="str">
        <f>HYPERLINK("http://141.218.60.56/~jnz1568/getInfo.php?workbook=20_13.xlsx&amp;sheet=U0&amp;row=1690&amp;col=7&amp;number=0.158&amp;sourceID=14","0.158")</f>
        <v>0.158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HYPERLINK("http://141.218.60.56/~jnz1568/getInfo.php?workbook=20_13.xlsx&amp;sheet=U0&amp;row=1691&amp;col=6&amp;number=3.7&amp;sourceID=14","3.7")</f>
        <v>3.7</v>
      </c>
      <c r="G1691" s="4" t="str">
        <f>HYPERLINK("http://141.218.60.56/~jnz1568/getInfo.php?workbook=20_13.xlsx&amp;sheet=U0&amp;row=1691&amp;col=7&amp;number=0.157&amp;sourceID=14","0.157")</f>
        <v>0.157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HYPERLINK("http://141.218.60.56/~jnz1568/getInfo.php?workbook=20_13.xlsx&amp;sheet=U0&amp;row=1692&amp;col=6&amp;number=3.8&amp;sourceID=14","3.8")</f>
        <v>3.8</v>
      </c>
      <c r="G1692" s="4" t="str">
        <f>HYPERLINK("http://141.218.60.56/~jnz1568/getInfo.php?workbook=20_13.xlsx&amp;sheet=U0&amp;row=1692&amp;col=7&amp;number=0.156&amp;sourceID=14","0.156")</f>
        <v>0.156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HYPERLINK("http://141.218.60.56/~jnz1568/getInfo.php?workbook=20_13.xlsx&amp;sheet=U0&amp;row=1693&amp;col=6&amp;number=3.9&amp;sourceID=14","3.9")</f>
        <v>3.9</v>
      </c>
      <c r="G1693" s="4" t="str">
        <f>HYPERLINK("http://141.218.60.56/~jnz1568/getInfo.php?workbook=20_13.xlsx&amp;sheet=U0&amp;row=1693&amp;col=7&amp;number=0.155&amp;sourceID=14","0.155")</f>
        <v>0.155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HYPERLINK("http://141.218.60.56/~jnz1568/getInfo.php?workbook=20_13.xlsx&amp;sheet=U0&amp;row=1694&amp;col=6&amp;number=4&amp;sourceID=14","4")</f>
        <v>4</v>
      </c>
      <c r="G1694" s="4" t="str">
        <f>HYPERLINK("http://141.218.60.56/~jnz1568/getInfo.php?workbook=20_13.xlsx&amp;sheet=U0&amp;row=1694&amp;col=7&amp;number=0.154&amp;sourceID=14","0.154")</f>
        <v>0.154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HYPERLINK("http://141.218.60.56/~jnz1568/getInfo.php?workbook=20_13.xlsx&amp;sheet=U0&amp;row=1695&amp;col=6&amp;number=4.1&amp;sourceID=14","4.1")</f>
        <v>4.1</v>
      </c>
      <c r="G1695" s="4" t="str">
        <f>HYPERLINK("http://141.218.60.56/~jnz1568/getInfo.php?workbook=20_13.xlsx&amp;sheet=U0&amp;row=1695&amp;col=7&amp;number=0.152&amp;sourceID=14","0.152")</f>
        <v>0.152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HYPERLINK("http://141.218.60.56/~jnz1568/getInfo.php?workbook=20_13.xlsx&amp;sheet=U0&amp;row=1696&amp;col=6&amp;number=4.2&amp;sourceID=14","4.2")</f>
        <v>4.2</v>
      </c>
      <c r="G1696" s="4" t="str">
        <f>HYPERLINK("http://141.218.60.56/~jnz1568/getInfo.php?workbook=20_13.xlsx&amp;sheet=U0&amp;row=1696&amp;col=7&amp;number=0.15&amp;sourceID=14","0.15")</f>
        <v>0.15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HYPERLINK("http://141.218.60.56/~jnz1568/getInfo.php?workbook=20_13.xlsx&amp;sheet=U0&amp;row=1697&amp;col=6&amp;number=4.3&amp;sourceID=14","4.3")</f>
        <v>4.3</v>
      </c>
      <c r="G1697" s="4" t="str">
        <f>HYPERLINK("http://141.218.60.56/~jnz1568/getInfo.php?workbook=20_13.xlsx&amp;sheet=U0&amp;row=1697&amp;col=7&amp;number=0.147&amp;sourceID=14","0.147")</f>
        <v>0.147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HYPERLINK("http://141.218.60.56/~jnz1568/getInfo.php?workbook=20_13.xlsx&amp;sheet=U0&amp;row=1698&amp;col=6&amp;number=4.4&amp;sourceID=14","4.4")</f>
        <v>4.4</v>
      </c>
      <c r="G1698" s="4" t="str">
        <f>HYPERLINK("http://141.218.60.56/~jnz1568/getInfo.php?workbook=20_13.xlsx&amp;sheet=U0&amp;row=1698&amp;col=7&amp;number=0.144&amp;sourceID=14","0.144")</f>
        <v>0.144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HYPERLINK("http://141.218.60.56/~jnz1568/getInfo.php?workbook=20_13.xlsx&amp;sheet=U0&amp;row=1699&amp;col=6&amp;number=4.5&amp;sourceID=14","4.5")</f>
        <v>4.5</v>
      </c>
      <c r="G1699" s="4" t="str">
        <f>HYPERLINK("http://141.218.60.56/~jnz1568/getInfo.php?workbook=20_13.xlsx&amp;sheet=U0&amp;row=1699&amp;col=7&amp;number=0.14&amp;sourceID=14","0.14")</f>
        <v>0.14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HYPERLINK("http://141.218.60.56/~jnz1568/getInfo.php?workbook=20_13.xlsx&amp;sheet=U0&amp;row=1700&amp;col=6&amp;number=4.6&amp;sourceID=14","4.6")</f>
        <v>4.6</v>
      </c>
      <c r="G1700" s="4" t="str">
        <f>HYPERLINK("http://141.218.60.56/~jnz1568/getInfo.php?workbook=20_13.xlsx&amp;sheet=U0&amp;row=1700&amp;col=7&amp;number=0.135&amp;sourceID=14","0.135")</f>
        <v>0.135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HYPERLINK("http://141.218.60.56/~jnz1568/getInfo.php?workbook=20_13.xlsx&amp;sheet=U0&amp;row=1701&amp;col=6&amp;number=4.7&amp;sourceID=14","4.7")</f>
        <v>4.7</v>
      </c>
      <c r="G1701" s="4" t="str">
        <f>HYPERLINK("http://141.218.60.56/~jnz1568/getInfo.php?workbook=20_13.xlsx&amp;sheet=U0&amp;row=1701&amp;col=7&amp;number=0.129&amp;sourceID=14","0.129")</f>
        <v>0.129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HYPERLINK("http://141.218.60.56/~jnz1568/getInfo.php?workbook=20_13.xlsx&amp;sheet=U0&amp;row=1702&amp;col=6&amp;number=4.8&amp;sourceID=14","4.8")</f>
        <v>4.8</v>
      </c>
      <c r="G1702" s="4" t="str">
        <f>HYPERLINK("http://141.218.60.56/~jnz1568/getInfo.php?workbook=20_13.xlsx&amp;sheet=U0&amp;row=1702&amp;col=7&amp;number=0.122&amp;sourceID=14","0.122")</f>
        <v>0.122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HYPERLINK("http://141.218.60.56/~jnz1568/getInfo.php?workbook=20_13.xlsx&amp;sheet=U0&amp;row=1703&amp;col=6&amp;number=4.9&amp;sourceID=14","4.9")</f>
        <v>4.9</v>
      </c>
      <c r="G1703" s="4" t="str">
        <f>HYPERLINK("http://141.218.60.56/~jnz1568/getInfo.php?workbook=20_13.xlsx&amp;sheet=U0&amp;row=1703&amp;col=7&amp;number=0.113&amp;sourceID=14","0.113")</f>
        <v>0.113</v>
      </c>
    </row>
    <row r="1704" spans="1:7">
      <c r="A1704" s="3">
        <v>20</v>
      </c>
      <c r="B1704" s="3">
        <v>13</v>
      </c>
      <c r="C1704" s="3">
        <v>11</v>
      </c>
      <c r="D1704" s="3">
        <v>21</v>
      </c>
      <c r="E1704" s="3">
        <v>1</v>
      </c>
      <c r="F1704" s="4" t="str">
        <f>HYPERLINK("http://141.218.60.56/~jnz1568/getInfo.php?workbook=20_13.xlsx&amp;sheet=U0&amp;row=1704&amp;col=6&amp;number=3&amp;sourceID=14","3")</f>
        <v>3</v>
      </c>
      <c r="G1704" s="4" t="str">
        <f>HYPERLINK("http://141.218.60.56/~jnz1568/getInfo.php?workbook=20_13.xlsx&amp;sheet=U0&amp;row=1704&amp;col=7&amp;number=0.0639&amp;sourceID=14","0.0639")</f>
        <v>0.0639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HYPERLINK("http://141.218.60.56/~jnz1568/getInfo.php?workbook=20_13.xlsx&amp;sheet=U0&amp;row=1705&amp;col=6&amp;number=3.1&amp;sourceID=14","3.1")</f>
        <v>3.1</v>
      </c>
      <c r="G1705" s="4" t="str">
        <f>HYPERLINK("http://141.218.60.56/~jnz1568/getInfo.php?workbook=20_13.xlsx&amp;sheet=U0&amp;row=1705&amp;col=7&amp;number=0.0638&amp;sourceID=14","0.0638")</f>
        <v>0.0638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HYPERLINK("http://141.218.60.56/~jnz1568/getInfo.php?workbook=20_13.xlsx&amp;sheet=U0&amp;row=1706&amp;col=6&amp;number=3.2&amp;sourceID=14","3.2")</f>
        <v>3.2</v>
      </c>
      <c r="G1706" s="4" t="str">
        <f>HYPERLINK("http://141.218.60.56/~jnz1568/getInfo.php?workbook=20_13.xlsx&amp;sheet=U0&amp;row=1706&amp;col=7&amp;number=0.0637&amp;sourceID=14","0.0637")</f>
        <v>0.0637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HYPERLINK("http://141.218.60.56/~jnz1568/getInfo.php?workbook=20_13.xlsx&amp;sheet=U0&amp;row=1707&amp;col=6&amp;number=3.3&amp;sourceID=14","3.3")</f>
        <v>3.3</v>
      </c>
      <c r="G1707" s="4" t="str">
        <f>HYPERLINK("http://141.218.60.56/~jnz1568/getInfo.php?workbook=20_13.xlsx&amp;sheet=U0&amp;row=1707&amp;col=7&amp;number=0.0636&amp;sourceID=14","0.0636")</f>
        <v>0.0636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HYPERLINK("http://141.218.60.56/~jnz1568/getInfo.php?workbook=20_13.xlsx&amp;sheet=U0&amp;row=1708&amp;col=6&amp;number=3.4&amp;sourceID=14","3.4")</f>
        <v>3.4</v>
      </c>
      <c r="G1708" s="4" t="str">
        <f>HYPERLINK("http://141.218.60.56/~jnz1568/getInfo.php?workbook=20_13.xlsx&amp;sheet=U0&amp;row=1708&amp;col=7&amp;number=0.0634&amp;sourceID=14","0.0634")</f>
        <v>0.0634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HYPERLINK("http://141.218.60.56/~jnz1568/getInfo.php?workbook=20_13.xlsx&amp;sheet=U0&amp;row=1709&amp;col=6&amp;number=3.5&amp;sourceID=14","3.5")</f>
        <v>3.5</v>
      </c>
      <c r="G1709" s="4" t="str">
        <f>HYPERLINK("http://141.218.60.56/~jnz1568/getInfo.php?workbook=20_13.xlsx&amp;sheet=U0&amp;row=1709&amp;col=7&amp;number=0.0632&amp;sourceID=14","0.0632")</f>
        <v>0.0632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HYPERLINK("http://141.218.60.56/~jnz1568/getInfo.php?workbook=20_13.xlsx&amp;sheet=U0&amp;row=1710&amp;col=6&amp;number=3.6&amp;sourceID=14","3.6")</f>
        <v>3.6</v>
      </c>
      <c r="G1710" s="4" t="str">
        <f>HYPERLINK("http://141.218.60.56/~jnz1568/getInfo.php?workbook=20_13.xlsx&amp;sheet=U0&amp;row=1710&amp;col=7&amp;number=0.063&amp;sourceID=14","0.063")</f>
        <v>0.063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HYPERLINK("http://141.218.60.56/~jnz1568/getInfo.php?workbook=20_13.xlsx&amp;sheet=U0&amp;row=1711&amp;col=6&amp;number=3.7&amp;sourceID=14","3.7")</f>
        <v>3.7</v>
      </c>
      <c r="G1711" s="4" t="str">
        <f>HYPERLINK("http://141.218.60.56/~jnz1568/getInfo.php?workbook=20_13.xlsx&amp;sheet=U0&amp;row=1711&amp;col=7&amp;number=0.0626&amp;sourceID=14","0.0626")</f>
        <v>0.0626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HYPERLINK("http://141.218.60.56/~jnz1568/getInfo.php?workbook=20_13.xlsx&amp;sheet=U0&amp;row=1712&amp;col=6&amp;number=3.8&amp;sourceID=14","3.8")</f>
        <v>3.8</v>
      </c>
      <c r="G1712" s="4" t="str">
        <f>HYPERLINK("http://141.218.60.56/~jnz1568/getInfo.php?workbook=20_13.xlsx&amp;sheet=U0&amp;row=1712&amp;col=7&amp;number=0.0622&amp;sourceID=14","0.0622")</f>
        <v>0.0622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HYPERLINK("http://141.218.60.56/~jnz1568/getInfo.php?workbook=20_13.xlsx&amp;sheet=U0&amp;row=1713&amp;col=6&amp;number=3.9&amp;sourceID=14","3.9")</f>
        <v>3.9</v>
      </c>
      <c r="G1713" s="4" t="str">
        <f>HYPERLINK("http://141.218.60.56/~jnz1568/getInfo.php?workbook=20_13.xlsx&amp;sheet=U0&amp;row=1713&amp;col=7&amp;number=0.0617&amp;sourceID=14","0.0617")</f>
        <v>0.0617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HYPERLINK("http://141.218.60.56/~jnz1568/getInfo.php?workbook=20_13.xlsx&amp;sheet=U0&amp;row=1714&amp;col=6&amp;number=4&amp;sourceID=14","4")</f>
        <v>4</v>
      </c>
      <c r="G1714" s="4" t="str">
        <f>HYPERLINK("http://141.218.60.56/~jnz1568/getInfo.php?workbook=20_13.xlsx&amp;sheet=U0&amp;row=1714&amp;col=7&amp;number=0.0611&amp;sourceID=14","0.0611")</f>
        <v>0.0611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HYPERLINK("http://141.218.60.56/~jnz1568/getInfo.php?workbook=20_13.xlsx&amp;sheet=U0&amp;row=1715&amp;col=6&amp;number=4.1&amp;sourceID=14","4.1")</f>
        <v>4.1</v>
      </c>
      <c r="G1715" s="4" t="str">
        <f>HYPERLINK("http://141.218.60.56/~jnz1568/getInfo.php?workbook=20_13.xlsx&amp;sheet=U0&amp;row=1715&amp;col=7&amp;number=0.0603&amp;sourceID=14","0.0603")</f>
        <v>0.0603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HYPERLINK("http://141.218.60.56/~jnz1568/getInfo.php?workbook=20_13.xlsx&amp;sheet=U0&amp;row=1716&amp;col=6&amp;number=4.2&amp;sourceID=14","4.2")</f>
        <v>4.2</v>
      </c>
      <c r="G1716" s="4" t="str">
        <f>HYPERLINK("http://141.218.60.56/~jnz1568/getInfo.php?workbook=20_13.xlsx&amp;sheet=U0&amp;row=1716&amp;col=7&amp;number=0.0593&amp;sourceID=14","0.0593")</f>
        <v>0.0593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HYPERLINK("http://141.218.60.56/~jnz1568/getInfo.php?workbook=20_13.xlsx&amp;sheet=U0&amp;row=1717&amp;col=6&amp;number=4.3&amp;sourceID=14","4.3")</f>
        <v>4.3</v>
      </c>
      <c r="G1717" s="4" t="str">
        <f>HYPERLINK("http://141.218.60.56/~jnz1568/getInfo.php?workbook=20_13.xlsx&amp;sheet=U0&amp;row=1717&amp;col=7&amp;number=0.058&amp;sourceID=14","0.058")</f>
        <v>0.058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HYPERLINK("http://141.218.60.56/~jnz1568/getInfo.php?workbook=20_13.xlsx&amp;sheet=U0&amp;row=1718&amp;col=6&amp;number=4.4&amp;sourceID=14","4.4")</f>
        <v>4.4</v>
      </c>
      <c r="G1718" s="4" t="str">
        <f>HYPERLINK("http://141.218.60.56/~jnz1568/getInfo.php?workbook=20_13.xlsx&amp;sheet=U0&amp;row=1718&amp;col=7&amp;number=0.0565&amp;sourceID=14","0.0565")</f>
        <v>0.0565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HYPERLINK("http://141.218.60.56/~jnz1568/getInfo.php?workbook=20_13.xlsx&amp;sheet=U0&amp;row=1719&amp;col=6&amp;number=4.5&amp;sourceID=14","4.5")</f>
        <v>4.5</v>
      </c>
      <c r="G1719" s="4" t="str">
        <f>HYPERLINK("http://141.218.60.56/~jnz1568/getInfo.php?workbook=20_13.xlsx&amp;sheet=U0&amp;row=1719&amp;col=7&amp;number=0.0546&amp;sourceID=14","0.0546")</f>
        <v>0.0546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HYPERLINK("http://141.218.60.56/~jnz1568/getInfo.php?workbook=20_13.xlsx&amp;sheet=U0&amp;row=1720&amp;col=6&amp;number=4.6&amp;sourceID=14","4.6")</f>
        <v>4.6</v>
      </c>
      <c r="G1720" s="4" t="str">
        <f>HYPERLINK("http://141.218.60.56/~jnz1568/getInfo.php?workbook=20_13.xlsx&amp;sheet=U0&amp;row=1720&amp;col=7&amp;number=0.0524&amp;sourceID=14","0.0524")</f>
        <v>0.0524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HYPERLINK("http://141.218.60.56/~jnz1568/getInfo.php?workbook=20_13.xlsx&amp;sheet=U0&amp;row=1721&amp;col=6&amp;number=4.7&amp;sourceID=14","4.7")</f>
        <v>4.7</v>
      </c>
      <c r="G1721" s="4" t="str">
        <f>HYPERLINK("http://141.218.60.56/~jnz1568/getInfo.php?workbook=20_13.xlsx&amp;sheet=U0&amp;row=1721&amp;col=7&amp;number=0.0497&amp;sourceID=14","0.0497")</f>
        <v>0.0497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HYPERLINK("http://141.218.60.56/~jnz1568/getInfo.php?workbook=20_13.xlsx&amp;sheet=U0&amp;row=1722&amp;col=6&amp;number=4.8&amp;sourceID=14","4.8")</f>
        <v>4.8</v>
      </c>
      <c r="G1722" s="4" t="str">
        <f>HYPERLINK("http://141.218.60.56/~jnz1568/getInfo.php?workbook=20_13.xlsx&amp;sheet=U0&amp;row=1722&amp;col=7&amp;number=0.0465&amp;sourceID=14","0.0465")</f>
        <v>0.0465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HYPERLINK("http://141.218.60.56/~jnz1568/getInfo.php?workbook=20_13.xlsx&amp;sheet=U0&amp;row=1723&amp;col=6&amp;number=4.9&amp;sourceID=14","4.9")</f>
        <v>4.9</v>
      </c>
      <c r="G1723" s="4" t="str">
        <f>HYPERLINK("http://141.218.60.56/~jnz1568/getInfo.php?workbook=20_13.xlsx&amp;sheet=U0&amp;row=1723&amp;col=7&amp;number=0.0428&amp;sourceID=14","0.0428")</f>
        <v>0.0428</v>
      </c>
    </row>
    <row r="1724" spans="1:7">
      <c r="A1724" s="3">
        <v>20</v>
      </c>
      <c r="B1724" s="3">
        <v>13</v>
      </c>
      <c r="C1724" s="3">
        <v>12</v>
      </c>
      <c r="D1724" s="3">
        <v>21</v>
      </c>
      <c r="E1724" s="3">
        <v>1</v>
      </c>
      <c r="F1724" s="4" t="str">
        <f>HYPERLINK("http://141.218.60.56/~jnz1568/getInfo.php?workbook=20_13.xlsx&amp;sheet=U0&amp;row=1724&amp;col=6&amp;number=3&amp;sourceID=14","3")</f>
        <v>3</v>
      </c>
      <c r="G1724" s="4" t="str">
        <f>HYPERLINK("http://141.218.60.56/~jnz1568/getInfo.php?workbook=20_13.xlsx&amp;sheet=U0&amp;row=1724&amp;col=7&amp;number=0.273&amp;sourceID=14","0.273")</f>
        <v>0.273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HYPERLINK("http://141.218.60.56/~jnz1568/getInfo.php?workbook=20_13.xlsx&amp;sheet=U0&amp;row=1725&amp;col=6&amp;number=3.1&amp;sourceID=14","3.1")</f>
        <v>3.1</v>
      </c>
      <c r="G1725" s="4" t="str">
        <f>HYPERLINK("http://141.218.60.56/~jnz1568/getInfo.php?workbook=20_13.xlsx&amp;sheet=U0&amp;row=1725&amp;col=7&amp;number=0.273&amp;sourceID=14","0.273")</f>
        <v>0.273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HYPERLINK("http://141.218.60.56/~jnz1568/getInfo.php?workbook=20_13.xlsx&amp;sheet=U0&amp;row=1726&amp;col=6&amp;number=3.2&amp;sourceID=14","3.2")</f>
        <v>3.2</v>
      </c>
      <c r="G1726" s="4" t="str">
        <f>HYPERLINK("http://141.218.60.56/~jnz1568/getInfo.php?workbook=20_13.xlsx&amp;sheet=U0&amp;row=1726&amp;col=7&amp;number=0.272&amp;sourceID=14","0.272")</f>
        <v>0.272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HYPERLINK("http://141.218.60.56/~jnz1568/getInfo.php?workbook=20_13.xlsx&amp;sheet=U0&amp;row=1727&amp;col=6&amp;number=3.3&amp;sourceID=14","3.3")</f>
        <v>3.3</v>
      </c>
      <c r="G1727" s="4" t="str">
        <f>HYPERLINK("http://141.218.60.56/~jnz1568/getInfo.php?workbook=20_13.xlsx&amp;sheet=U0&amp;row=1727&amp;col=7&amp;number=0.272&amp;sourceID=14","0.272")</f>
        <v>0.272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HYPERLINK("http://141.218.60.56/~jnz1568/getInfo.php?workbook=20_13.xlsx&amp;sheet=U0&amp;row=1728&amp;col=6&amp;number=3.4&amp;sourceID=14","3.4")</f>
        <v>3.4</v>
      </c>
      <c r="G1728" s="4" t="str">
        <f>HYPERLINK("http://141.218.60.56/~jnz1568/getInfo.php?workbook=20_13.xlsx&amp;sheet=U0&amp;row=1728&amp;col=7&amp;number=0.271&amp;sourceID=14","0.271")</f>
        <v>0.271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HYPERLINK("http://141.218.60.56/~jnz1568/getInfo.php?workbook=20_13.xlsx&amp;sheet=U0&amp;row=1729&amp;col=6&amp;number=3.5&amp;sourceID=14","3.5")</f>
        <v>3.5</v>
      </c>
      <c r="G1729" s="4" t="str">
        <f>HYPERLINK("http://141.218.60.56/~jnz1568/getInfo.php?workbook=20_13.xlsx&amp;sheet=U0&amp;row=1729&amp;col=7&amp;number=0.27&amp;sourceID=14","0.27")</f>
        <v>0.27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HYPERLINK("http://141.218.60.56/~jnz1568/getInfo.php?workbook=20_13.xlsx&amp;sheet=U0&amp;row=1730&amp;col=6&amp;number=3.6&amp;sourceID=14","3.6")</f>
        <v>3.6</v>
      </c>
      <c r="G1730" s="4" t="str">
        <f>HYPERLINK("http://141.218.60.56/~jnz1568/getInfo.php?workbook=20_13.xlsx&amp;sheet=U0&amp;row=1730&amp;col=7&amp;number=0.27&amp;sourceID=14","0.27")</f>
        <v>0.27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HYPERLINK("http://141.218.60.56/~jnz1568/getInfo.php?workbook=20_13.xlsx&amp;sheet=U0&amp;row=1731&amp;col=6&amp;number=3.7&amp;sourceID=14","3.7")</f>
        <v>3.7</v>
      </c>
      <c r="G1731" s="4" t="str">
        <f>HYPERLINK("http://141.218.60.56/~jnz1568/getInfo.php?workbook=20_13.xlsx&amp;sheet=U0&amp;row=1731&amp;col=7&amp;number=0.268&amp;sourceID=14","0.268")</f>
        <v>0.268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HYPERLINK("http://141.218.60.56/~jnz1568/getInfo.php?workbook=20_13.xlsx&amp;sheet=U0&amp;row=1732&amp;col=6&amp;number=3.8&amp;sourceID=14","3.8")</f>
        <v>3.8</v>
      </c>
      <c r="G1732" s="4" t="str">
        <f>HYPERLINK("http://141.218.60.56/~jnz1568/getInfo.php?workbook=20_13.xlsx&amp;sheet=U0&amp;row=1732&amp;col=7&amp;number=0.267&amp;sourceID=14","0.267")</f>
        <v>0.267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HYPERLINK("http://141.218.60.56/~jnz1568/getInfo.php?workbook=20_13.xlsx&amp;sheet=U0&amp;row=1733&amp;col=6&amp;number=3.9&amp;sourceID=14","3.9")</f>
        <v>3.9</v>
      </c>
      <c r="G1733" s="4" t="str">
        <f>HYPERLINK("http://141.218.60.56/~jnz1568/getInfo.php?workbook=20_13.xlsx&amp;sheet=U0&amp;row=1733&amp;col=7&amp;number=0.265&amp;sourceID=14","0.265")</f>
        <v>0.265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HYPERLINK("http://141.218.60.56/~jnz1568/getInfo.php?workbook=20_13.xlsx&amp;sheet=U0&amp;row=1734&amp;col=6&amp;number=4&amp;sourceID=14","4")</f>
        <v>4</v>
      </c>
      <c r="G1734" s="4" t="str">
        <f>HYPERLINK("http://141.218.60.56/~jnz1568/getInfo.php?workbook=20_13.xlsx&amp;sheet=U0&amp;row=1734&amp;col=7&amp;number=0.263&amp;sourceID=14","0.263")</f>
        <v>0.263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HYPERLINK("http://141.218.60.56/~jnz1568/getInfo.php?workbook=20_13.xlsx&amp;sheet=U0&amp;row=1735&amp;col=6&amp;number=4.1&amp;sourceID=14","4.1")</f>
        <v>4.1</v>
      </c>
      <c r="G1735" s="4" t="str">
        <f>HYPERLINK("http://141.218.60.56/~jnz1568/getInfo.php?workbook=20_13.xlsx&amp;sheet=U0&amp;row=1735&amp;col=7&amp;number=0.26&amp;sourceID=14","0.26")</f>
        <v>0.26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HYPERLINK("http://141.218.60.56/~jnz1568/getInfo.php?workbook=20_13.xlsx&amp;sheet=U0&amp;row=1736&amp;col=6&amp;number=4.2&amp;sourceID=14","4.2")</f>
        <v>4.2</v>
      </c>
      <c r="G1736" s="4" t="str">
        <f>HYPERLINK("http://141.218.60.56/~jnz1568/getInfo.php?workbook=20_13.xlsx&amp;sheet=U0&amp;row=1736&amp;col=7&amp;number=0.256&amp;sourceID=14","0.256")</f>
        <v>0.256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HYPERLINK("http://141.218.60.56/~jnz1568/getInfo.php?workbook=20_13.xlsx&amp;sheet=U0&amp;row=1737&amp;col=6&amp;number=4.3&amp;sourceID=14","4.3")</f>
        <v>4.3</v>
      </c>
      <c r="G1737" s="4" t="str">
        <f>HYPERLINK("http://141.218.60.56/~jnz1568/getInfo.php?workbook=20_13.xlsx&amp;sheet=U0&amp;row=1737&amp;col=7&amp;number=0.252&amp;sourceID=14","0.252")</f>
        <v>0.252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HYPERLINK("http://141.218.60.56/~jnz1568/getInfo.php?workbook=20_13.xlsx&amp;sheet=U0&amp;row=1738&amp;col=6&amp;number=4.4&amp;sourceID=14","4.4")</f>
        <v>4.4</v>
      </c>
      <c r="G1738" s="4" t="str">
        <f>HYPERLINK("http://141.218.60.56/~jnz1568/getInfo.php?workbook=20_13.xlsx&amp;sheet=U0&amp;row=1738&amp;col=7&amp;number=0.246&amp;sourceID=14","0.246")</f>
        <v>0.246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HYPERLINK("http://141.218.60.56/~jnz1568/getInfo.php?workbook=20_13.xlsx&amp;sheet=U0&amp;row=1739&amp;col=6&amp;number=4.5&amp;sourceID=14","4.5")</f>
        <v>4.5</v>
      </c>
      <c r="G1739" s="4" t="str">
        <f>HYPERLINK("http://141.218.60.56/~jnz1568/getInfo.php?workbook=20_13.xlsx&amp;sheet=U0&amp;row=1739&amp;col=7&amp;number=0.24&amp;sourceID=14","0.24")</f>
        <v>0.24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HYPERLINK("http://141.218.60.56/~jnz1568/getInfo.php?workbook=20_13.xlsx&amp;sheet=U0&amp;row=1740&amp;col=6&amp;number=4.6&amp;sourceID=14","4.6")</f>
        <v>4.6</v>
      </c>
      <c r="G1740" s="4" t="str">
        <f>HYPERLINK("http://141.218.60.56/~jnz1568/getInfo.php?workbook=20_13.xlsx&amp;sheet=U0&amp;row=1740&amp;col=7&amp;number=0.232&amp;sourceID=14","0.232")</f>
        <v>0.232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HYPERLINK("http://141.218.60.56/~jnz1568/getInfo.php?workbook=20_13.xlsx&amp;sheet=U0&amp;row=1741&amp;col=6&amp;number=4.7&amp;sourceID=14","4.7")</f>
        <v>4.7</v>
      </c>
      <c r="G1741" s="4" t="str">
        <f>HYPERLINK("http://141.218.60.56/~jnz1568/getInfo.php?workbook=20_13.xlsx&amp;sheet=U0&amp;row=1741&amp;col=7&amp;number=0.222&amp;sourceID=14","0.222")</f>
        <v>0.222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HYPERLINK("http://141.218.60.56/~jnz1568/getInfo.php?workbook=20_13.xlsx&amp;sheet=U0&amp;row=1742&amp;col=6&amp;number=4.8&amp;sourceID=14","4.8")</f>
        <v>4.8</v>
      </c>
      <c r="G1742" s="4" t="str">
        <f>HYPERLINK("http://141.218.60.56/~jnz1568/getInfo.php?workbook=20_13.xlsx&amp;sheet=U0&amp;row=1742&amp;col=7&amp;number=0.21&amp;sourceID=14","0.21")</f>
        <v>0.21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HYPERLINK("http://141.218.60.56/~jnz1568/getInfo.php?workbook=20_13.xlsx&amp;sheet=U0&amp;row=1743&amp;col=6&amp;number=4.9&amp;sourceID=14","4.9")</f>
        <v>4.9</v>
      </c>
      <c r="G1743" s="4" t="str">
        <f>HYPERLINK("http://141.218.60.56/~jnz1568/getInfo.php?workbook=20_13.xlsx&amp;sheet=U0&amp;row=1743&amp;col=7&amp;number=0.196&amp;sourceID=14","0.196")</f>
        <v>0.196</v>
      </c>
    </row>
    <row r="1744" spans="1:7">
      <c r="A1744" s="3">
        <v>20</v>
      </c>
      <c r="B1744" s="3">
        <v>13</v>
      </c>
      <c r="C1744" s="3">
        <v>13</v>
      </c>
      <c r="D1744" s="3">
        <v>21</v>
      </c>
      <c r="E1744" s="3">
        <v>1</v>
      </c>
      <c r="F1744" s="4" t="str">
        <f>HYPERLINK("http://141.218.60.56/~jnz1568/getInfo.php?workbook=20_13.xlsx&amp;sheet=U0&amp;row=1744&amp;col=6&amp;number=3&amp;sourceID=14","3")</f>
        <v>3</v>
      </c>
      <c r="G1744" s="4" t="str">
        <f>HYPERLINK("http://141.218.60.56/~jnz1568/getInfo.php?workbook=20_13.xlsx&amp;sheet=U0&amp;row=1744&amp;col=7&amp;number=0.0333&amp;sourceID=14","0.0333")</f>
        <v>0.0333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HYPERLINK("http://141.218.60.56/~jnz1568/getInfo.php?workbook=20_13.xlsx&amp;sheet=U0&amp;row=1745&amp;col=6&amp;number=3.1&amp;sourceID=14","3.1")</f>
        <v>3.1</v>
      </c>
      <c r="G1745" s="4" t="str">
        <f>HYPERLINK("http://141.218.60.56/~jnz1568/getInfo.php?workbook=20_13.xlsx&amp;sheet=U0&amp;row=1745&amp;col=7&amp;number=0.0333&amp;sourceID=14","0.0333")</f>
        <v>0.0333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HYPERLINK("http://141.218.60.56/~jnz1568/getInfo.php?workbook=20_13.xlsx&amp;sheet=U0&amp;row=1746&amp;col=6&amp;number=3.2&amp;sourceID=14","3.2")</f>
        <v>3.2</v>
      </c>
      <c r="G1746" s="4" t="str">
        <f>HYPERLINK("http://141.218.60.56/~jnz1568/getInfo.php?workbook=20_13.xlsx&amp;sheet=U0&amp;row=1746&amp;col=7&amp;number=0.0332&amp;sourceID=14","0.0332")</f>
        <v>0.0332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HYPERLINK("http://141.218.60.56/~jnz1568/getInfo.php?workbook=20_13.xlsx&amp;sheet=U0&amp;row=1747&amp;col=6&amp;number=3.3&amp;sourceID=14","3.3")</f>
        <v>3.3</v>
      </c>
      <c r="G1747" s="4" t="str">
        <f>HYPERLINK("http://141.218.60.56/~jnz1568/getInfo.php?workbook=20_13.xlsx&amp;sheet=U0&amp;row=1747&amp;col=7&amp;number=0.0332&amp;sourceID=14","0.0332")</f>
        <v>0.0332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HYPERLINK("http://141.218.60.56/~jnz1568/getInfo.php?workbook=20_13.xlsx&amp;sheet=U0&amp;row=1748&amp;col=6&amp;number=3.4&amp;sourceID=14","3.4")</f>
        <v>3.4</v>
      </c>
      <c r="G1748" s="4" t="str">
        <f>HYPERLINK("http://141.218.60.56/~jnz1568/getInfo.php?workbook=20_13.xlsx&amp;sheet=U0&amp;row=1748&amp;col=7&amp;number=0.0332&amp;sourceID=14","0.0332")</f>
        <v>0.0332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HYPERLINK("http://141.218.60.56/~jnz1568/getInfo.php?workbook=20_13.xlsx&amp;sheet=U0&amp;row=1749&amp;col=6&amp;number=3.5&amp;sourceID=14","3.5")</f>
        <v>3.5</v>
      </c>
      <c r="G1749" s="4" t="str">
        <f>HYPERLINK("http://141.218.60.56/~jnz1568/getInfo.php?workbook=20_13.xlsx&amp;sheet=U0&amp;row=1749&amp;col=7&amp;number=0.0331&amp;sourceID=14","0.0331")</f>
        <v>0.0331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HYPERLINK("http://141.218.60.56/~jnz1568/getInfo.php?workbook=20_13.xlsx&amp;sheet=U0&amp;row=1750&amp;col=6&amp;number=3.6&amp;sourceID=14","3.6")</f>
        <v>3.6</v>
      </c>
      <c r="G1750" s="4" t="str">
        <f>HYPERLINK("http://141.218.60.56/~jnz1568/getInfo.php?workbook=20_13.xlsx&amp;sheet=U0&amp;row=1750&amp;col=7&amp;number=0.033&amp;sourceID=14","0.033")</f>
        <v>0.033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HYPERLINK("http://141.218.60.56/~jnz1568/getInfo.php?workbook=20_13.xlsx&amp;sheet=U0&amp;row=1751&amp;col=6&amp;number=3.7&amp;sourceID=14","3.7")</f>
        <v>3.7</v>
      </c>
      <c r="G1751" s="4" t="str">
        <f>HYPERLINK("http://141.218.60.56/~jnz1568/getInfo.php?workbook=20_13.xlsx&amp;sheet=U0&amp;row=1751&amp;col=7&amp;number=0.0329&amp;sourceID=14","0.0329")</f>
        <v>0.0329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HYPERLINK("http://141.218.60.56/~jnz1568/getInfo.php?workbook=20_13.xlsx&amp;sheet=U0&amp;row=1752&amp;col=6&amp;number=3.8&amp;sourceID=14","3.8")</f>
        <v>3.8</v>
      </c>
      <c r="G1752" s="4" t="str">
        <f>HYPERLINK("http://141.218.60.56/~jnz1568/getInfo.php?workbook=20_13.xlsx&amp;sheet=U0&amp;row=1752&amp;col=7&amp;number=0.0328&amp;sourceID=14","0.0328")</f>
        <v>0.0328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HYPERLINK("http://141.218.60.56/~jnz1568/getInfo.php?workbook=20_13.xlsx&amp;sheet=U0&amp;row=1753&amp;col=6&amp;number=3.9&amp;sourceID=14","3.9")</f>
        <v>3.9</v>
      </c>
      <c r="G1753" s="4" t="str">
        <f>HYPERLINK("http://141.218.60.56/~jnz1568/getInfo.php?workbook=20_13.xlsx&amp;sheet=U0&amp;row=1753&amp;col=7&amp;number=0.0326&amp;sourceID=14","0.0326")</f>
        <v>0.0326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HYPERLINK("http://141.218.60.56/~jnz1568/getInfo.php?workbook=20_13.xlsx&amp;sheet=U0&amp;row=1754&amp;col=6&amp;number=4&amp;sourceID=14","4")</f>
        <v>4</v>
      </c>
      <c r="G1754" s="4" t="str">
        <f>HYPERLINK("http://141.218.60.56/~jnz1568/getInfo.php?workbook=20_13.xlsx&amp;sheet=U0&amp;row=1754&amp;col=7&amp;number=0.0324&amp;sourceID=14","0.0324")</f>
        <v>0.0324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HYPERLINK("http://141.218.60.56/~jnz1568/getInfo.php?workbook=20_13.xlsx&amp;sheet=U0&amp;row=1755&amp;col=6&amp;number=4.1&amp;sourceID=14","4.1")</f>
        <v>4.1</v>
      </c>
      <c r="G1755" s="4" t="str">
        <f>HYPERLINK("http://141.218.60.56/~jnz1568/getInfo.php?workbook=20_13.xlsx&amp;sheet=U0&amp;row=1755&amp;col=7&amp;number=0.0321&amp;sourceID=14","0.0321")</f>
        <v>0.0321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HYPERLINK("http://141.218.60.56/~jnz1568/getInfo.php?workbook=20_13.xlsx&amp;sheet=U0&amp;row=1756&amp;col=6&amp;number=4.2&amp;sourceID=14","4.2")</f>
        <v>4.2</v>
      </c>
      <c r="G1756" s="4" t="str">
        <f>HYPERLINK("http://141.218.60.56/~jnz1568/getInfo.php?workbook=20_13.xlsx&amp;sheet=U0&amp;row=1756&amp;col=7&amp;number=0.0318&amp;sourceID=14","0.0318")</f>
        <v>0.0318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HYPERLINK("http://141.218.60.56/~jnz1568/getInfo.php?workbook=20_13.xlsx&amp;sheet=U0&amp;row=1757&amp;col=6&amp;number=4.3&amp;sourceID=14","4.3")</f>
        <v>4.3</v>
      </c>
      <c r="G1757" s="4" t="str">
        <f>HYPERLINK("http://141.218.60.56/~jnz1568/getInfo.php?workbook=20_13.xlsx&amp;sheet=U0&amp;row=1757&amp;col=7&amp;number=0.0314&amp;sourceID=14","0.0314")</f>
        <v>0.0314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HYPERLINK("http://141.218.60.56/~jnz1568/getInfo.php?workbook=20_13.xlsx&amp;sheet=U0&amp;row=1758&amp;col=6&amp;number=4.4&amp;sourceID=14","4.4")</f>
        <v>4.4</v>
      </c>
      <c r="G1758" s="4" t="str">
        <f>HYPERLINK("http://141.218.60.56/~jnz1568/getInfo.php?workbook=20_13.xlsx&amp;sheet=U0&amp;row=1758&amp;col=7&amp;number=0.0309&amp;sourceID=14","0.0309")</f>
        <v>0.0309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HYPERLINK("http://141.218.60.56/~jnz1568/getInfo.php?workbook=20_13.xlsx&amp;sheet=U0&amp;row=1759&amp;col=6&amp;number=4.5&amp;sourceID=14","4.5")</f>
        <v>4.5</v>
      </c>
      <c r="G1759" s="4" t="str">
        <f>HYPERLINK("http://141.218.60.56/~jnz1568/getInfo.php?workbook=20_13.xlsx&amp;sheet=U0&amp;row=1759&amp;col=7&amp;number=0.0303&amp;sourceID=14","0.0303")</f>
        <v>0.0303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HYPERLINK("http://141.218.60.56/~jnz1568/getInfo.php?workbook=20_13.xlsx&amp;sheet=U0&amp;row=1760&amp;col=6&amp;number=4.6&amp;sourceID=14","4.6")</f>
        <v>4.6</v>
      </c>
      <c r="G1760" s="4" t="str">
        <f>HYPERLINK("http://141.218.60.56/~jnz1568/getInfo.php?workbook=20_13.xlsx&amp;sheet=U0&amp;row=1760&amp;col=7&amp;number=0.0295&amp;sourceID=14","0.0295")</f>
        <v>0.0295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HYPERLINK("http://141.218.60.56/~jnz1568/getInfo.php?workbook=20_13.xlsx&amp;sheet=U0&amp;row=1761&amp;col=6&amp;number=4.7&amp;sourceID=14","4.7")</f>
        <v>4.7</v>
      </c>
      <c r="G1761" s="4" t="str">
        <f>HYPERLINK("http://141.218.60.56/~jnz1568/getInfo.php?workbook=20_13.xlsx&amp;sheet=U0&amp;row=1761&amp;col=7&amp;number=0.0287&amp;sourceID=14","0.0287")</f>
        <v>0.0287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HYPERLINK("http://141.218.60.56/~jnz1568/getInfo.php?workbook=20_13.xlsx&amp;sheet=U0&amp;row=1762&amp;col=6&amp;number=4.8&amp;sourceID=14","4.8")</f>
        <v>4.8</v>
      </c>
      <c r="G1762" s="4" t="str">
        <f>HYPERLINK("http://141.218.60.56/~jnz1568/getInfo.php?workbook=20_13.xlsx&amp;sheet=U0&amp;row=1762&amp;col=7&amp;number=0.0276&amp;sourceID=14","0.0276")</f>
        <v>0.0276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HYPERLINK("http://141.218.60.56/~jnz1568/getInfo.php?workbook=20_13.xlsx&amp;sheet=U0&amp;row=1763&amp;col=6&amp;number=4.9&amp;sourceID=14","4.9")</f>
        <v>4.9</v>
      </c>
      <c r="G1763" s="4" t="str">
        <f>HYPERLINK("http://141.218.60.56/~jnz1568/getInfo.php?workbook=20_13.xlsx&amp;sheet=U0&amp;row=1763&amp;col=7&amp;number=0.0264&amp;sourceID=14","0.0264")</f>
        <v>0.0264</v>
      </c>
    </row>
    <row r="1764" spans="1:7">
      <c r="A1764" s="3">
        <v>20</v>
      </c>
      <c r="B1764" s="3">
        <v>13</v>
      </c>
      <c r="C1764" s="3">
        <v>14</v>
      </c>
      <c r="D1764" s="3">
        <v>21</v>
      </c>
      <c r="E1764" s="3">
        <v>1</v>
      </c>
      <c r="F1764" s="4" t="str">
        <f>HYPERLINK("http://141.218.60.56/~jnz1568/getInfo.php?workbook=20_13.xlsx&amp;sheet=U0&amp;row=1764&amp;col=6&amp;number=3&amp;sourceID=14","3")</f>
        <v>3</v>
      </c>
      <c r="G1764" s="4" t="str">
        <f>HYPERLINK("http://141.218.60.56/~jnz1568/getInfo.php?workbook=20_13.xlsx&amp;sheet=U0&amp;row=1764&amp;col=7&amp;number=0.107&amp;sourceID=14","0.107")</f>
        <v>0.107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HYPERLINK("http://141.218.60.56/~jnz1568/getInfo.php?workbook=20_13.xlsx&amp;sheet=U0&amp;row=1765&amp;col=6&amp;number=3.1&amp;sourceID=14","3.1")</f>
        <v>3.1</v>
      </c>
      <c r="G1765" s="4" t="str">
        <f>HYPERLINK("http://141.218.60.56/~jnz1568/getInfo.php?workbook=20_13.xlsx&amp;sheet=U0&amp;row=1765&amp;col=7&amp;number=0.107&amp;sourceID=14","0.107")</f>
        <v>0.107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HYPERLINK("http://141.218.60.56/~jnz1568/getInfo.php?workbook=20_13.xlsx&amp;sheet=U0&amp;row=1766&amp;col=6&amp;number=3.2&amp;sourceID=14","3.2")</f>
        <v>3.2</v>
      </c>
      <c r="G1766" s="4" t="str">
        <f>HYPERLINK("http://141.218.60.56/~jnz1568/getInfo.php?workbook=20_13.xlsx&amp;sheet=U0&amp;row=1766&amp;col=7&amp;number=0.107&amp;sourceID=14","0.107")</f>
        <v>0.107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HYPERLINK("http://141.218.60.56/~jnz1568/getInfo.php?workbook=20_13.xlsx&amp;sheet=U0&amp;row=1767&amp;col=6&amp;number=3.3&amp;sourceID=14","3.3")</f>
        <v>3.3</v>
      </c>
      <c r="G1767" s="4" t="str">
        <f>HYPERLINK("http://141.218.60.56/~jnz1568/getInfo.php?workbook=20_13.xlsx&amp;sheet=U0&amp;row=1767&amp;col=7&amp;number=0.107&amp;sourceID=14","0.107")</f>
        <v>0.107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HYPERLINK("http://141.218.60.56/~jnz1568/getInfo.php?workbook=20_13.xlsx&amp;sheet=U0&amp;row=1768&amp;col=6&amp;number=3.4&amp;sourceID=14","3.4")</f>
        <v>3.4</v>
      </c>
      <c r="G1768" s="4" t="str">
        <f>HYPERLINK("http://141.218.60.56/~jnz1568/getInfo.php?workbook=20_13.xlsx&amp;sheet=U0&amp;row=1768&amp;col=7&amp;number=0.107&amp;sourceID=14","0.107")</f>
        <v>0.107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HYPERLINK("http://141.218.60.56/~jnz1568/getInfo.php?workbook=20_13.xlsx&amp;sheet=U0&amp;row=1769&amp;col=6&amp;number=3.5&amp;sourceID=14","3.5")</f>
        <v>3.5</v>
      </c>
      <c r="G1769" s="4" t="str">
        <f>HYPERLINK("http://141.218.60.56/~jnz1568/getInfo.php?workbook=20_13.xlsx&amp;sheet=U0&amp;row=1769&amp;col=7&amp;number=0.107&amp;sourceID=14","0.107")</f>
        <v>0.107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HYPERLINK("http://141.218.60.56/~jnz1568/getInfo.php?workbook=20_13.xlsx&amp;sheet=U0&amp;row=1770&amp;col=6&amp;number=3.6&amp;sourceID=14","3.6")</f>
        <v>3.6</v>
      </c>
      <c r="G1770" s="4" t="str">
        <f>HYPERLINK("http://141.218.60.56/~jnz1568/getInfo.php?workbook=20_13.xlsx&amp;sheet=U0&amp;row=1770&amp;col=7&amp;number=0.106&amp;sourceID=14","0.106")</f>
        <v>0.106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HYPERLINK("http://141.218.60.56/~jnz1568/getInfo.php?workbook=20_13.xlsx&amp;sheet=U0&amp;row=1771&amp;col=6&amp;number=3.7&amp;sourceID=14","3.7")</f>
        <v>3.7</v>
      </c>
      <c r="G1771" s="4" t="str">
        <f>HYPERLINK("http://141.218.60.56/~jnz1568/getInfo.php?workbook=20_13.xlsx&amp;sheet=U0&amp;row=1771&amp;col=7&amp;number=0.106&amp;sourceID=14","0.106")</f>
        <v>0.106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HYPERLINK("http://141.218.60.56/~jnz1568/getInfo.php?workbook=20_13.xlsx&amp;sheet=U0&amp;row=1772&amp;col=6&amp;number=3.8&amp;sourceID=14","3.8")</f>
        <v>3.8</v>
      </c>
      <c r="G1772" s="4" t="str">
        <f>HYPERLINK("http://141.218.60.56/~jnz1568/getInfo.php?workbook=20_13.xlsx&amp;sheet=U0&amp;row=1772&amp;col=7&amp;number=0.106&amp;sourceID=14","0.106")</f>
        <v>0.106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HYPERLINK("http://141.218.60.56/~jnz1568/getInfo.php?workbook=20_13.xlsx&amp;sheet=U0&amp;row=1773&amp;col=6&amp;number=3.9&amp;sourceID=14","3.9")</f>
        <v>3.9</v>
      </c>
      <c r="G1773" s="4" t="str">
        <f>HYPERLINK("http://141.218.60.56/~jnz1568/getInfo.php?workbook=20_13.xlsx&amp;sheet=U0&amp;row=1773&amp;col=7&amp;number=0.105&amp;sourceID=14","0.105")</f>
        <v>0.105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HYPERLINK("http://141.218.60.56/~jnz1568/getInfo.php?workbook=20_13.xlsx&amp;sheet=U0&amp;row=1774&amp;col=6&amp;number=4&amp;sourceID=14","4")</f>
        <v>4</v>
      </c>
      <c r="G1774" s="4" t="str">
        <f>HYPERLINK("http://141.218.60.56/~jnz1568/getInfo.php?workbook=20_13.xlsx&amp;sheet=U0&amp;row=1774&amp;col=7&amp;number=0.105&amp;sourceID=14","0.105")</f>
        <v>0.105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HYPERLINK("http://141.218.60.56/~jnz1568/getInfo.php?workbook=20_13.xlsx&amp;sheet=U0&amp;row=1775&amp;col=6&amp;number=4.1&amp;sourceID=14","4.1")</f>
        <v>4.1</v>
      </c>
      <c r="G1775" s="4" t="str">
        <f>HYPERLINK("http://141.218.60.56/~jnz1568/getInfo.php?workbook=20_13.xlsx&amp;sheet=U0&amp;row=1775&amp;col=7&amp;number=0.104&amp;sourceID=14","0.104")</f>
        <v>0.104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HYPERLINK("http://141.218.60.56/~jnz1568/getInfo.php?workbook=20_13.xlsx&amp;sheet=U0&amp;row=1776&amp;col=6&amp;number=4.2&amp;sourceID=14","4.2")</f>
        <v>4.2</v>
      </c>
      <c r="G1776" s="4" t="str">
        <f>HYPERLINK("http://141.218.60.56/~jnz1568/getInfo.php?workbook=20_13.xlsx&amp;sheet=U0&amp;row=1776&amp;col=7&amp;number=0.103&amp;sourceID=14","0.103")</f>
        <v>0.103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HYPERLINK("http://141.218.60.56/~jnz1568/getInfo.php?workbook=20_13.xlsx&amp;sheet=U0&amp;row=1777&amp;col=6&amp;number=4.3&amp;sourceID=14","4.3")</f>
        <v>4.3</v>
      </c>
      <c r="G1777" s="4" t="str">
        <f>HYPERLINK("http://141.218.60.56/~jnz1568/getInfo.php?workbook=20_13.xlsx&amp;sheet=U0&amp;row=1777&amp;col=7&amp;number=0.102&amp;sourceID=14","0.102")</f>
        <v>0.102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HYPERLINK("http://141.218.60.56/~jnz1568/getInfo.php?workbook=20_13.xlsx&amp;sheet=U0&amp;row=1778&amp;col=6&amp;number=4.4&amp;sourceID=14","4.4")</f>
        <v>4.4</v>
      </c>
      <c r="G1778" s="4" t="str">
        <f>HYPERLINK("http://141.218.60.56/~jnz1568/getInfo.php?workbook=20_13.xlsx&amp;sheet=U0&amp;row=1778&amp;col=7&amp;number=0.1&amp;sourceID=14","0.1")</f>
        <v>0.1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HYPERLINK("http://141.218.60.56/~jnz1568/getInfo.php?workbook=20_13.xlsx&amp;sheet=U0&amp;row=1779&amp;col=6&amp;number=4.5&amp;sourceID=14","4.5")</f>
        <v>4.5</v>
      </c>
      <c r="G1779" s="4" t="str">
        <f>HYPERLINK("http://141.218.60.56/~jnz1568/getInfo.php?workbook=20_13.xlsx&amp;sheet=U0&amp;row=1779&amp;col=7&amp;number=0.0985&amp;sourceID=14","0.0985")</f>
        <v>0.0985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HYPERLINK("http://141.218.60.56/~jnz1568/getInfo.php?workbook=20_13.xlsx&amp;sheet=U0&amp;row=1780&amp;col=6&amp;number=4.6&amp;sourceID=14","4.6")</f>
        <v>4.6</v>
      </c>
      <c r="G1780" s="4" t="str">
        <f>HYPERLINK("http://141.218.60.56/~jnz1568/getInfo.php?workbook=20_13.xlsx&amp;sheet=U0&amp;row=1780&amp;col=7&amp;number=0.0964&amp;sourceID=14","0.0964")</f>
        <v>0.0964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HYPERLINK("http://141.218.60.56/~jnz1568/getInfo.php?workbook=20_13.xlsx&amp;sheet=U0&amp;row=1781&amp;col=6&amp;number=4.7&amp;sourceID=14","4.7")</f>
        <v>4.7</v>
      </c>
      <c r="G1781" s="4" t="str">
        <f>HYPERLINK("http://141.218.60.56/~jnz1568/getInfo.php?workbook=20_13.xlsx&amp;sheet=U0&amp;row=1781&amp;col=7&amp;number=0.0939&amp;sourceID=14","0.0939")</f>
        <v>0.0939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HYPERLINK("http://141.218.60.56/~jnz1568/getInfo.php?workbook=20_13.xlsx&amp;sheet=U0&amp;row=1782&amp;col=6&amp;number=4.8&amp;sourceID=14","4.8")</f>
        <v>4.8</v>
      </c>
      <c r="G1782" s="4" t="str">
        <f>HYPERLINK("http://141.218.60.56/~jnz1568/getInfo.php?workbook=20_13.xlsx&amp;sheet=U0&amp;row=1782&amp;col=7&amp;number=0.0909&amp;sourceID=14","0.0909")</f>
        <v>0.0909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HYPERLINK("http://141.218.60.56/~jnz1568/getInfo.php?workbook=20_13.xlsx&amp;sheet=U0&amp;row=1783&amp;col=6&amp;number=4.9&amp;sourceID=14","4.9")</f>
        <v>4.9</v>
      </c>
      <c r="G1783" s="4" t="str">
        <f>HYPERLINK("http://141.218.60.56/~jnz1568/getInfo.php?workbook=20_13.xlsx&amp;sheet=U0&amp;row=1783&amp;col=7&amp;number=0.0875&amp;sourceID=14","0.0875")</f>
        <v>0.0875</v>
      </c>
    </row>
    <row r="1784" spans="1:7">
      <c r="A1784" s="3">
        <v>20</v>
      </c>
      <c r="B1784" s="3">
        <v>13</v>
      </c>
      <c r="C1784" s="3">
        <v>15</v>
      </c>
      <c r="D1784" s="3">
        <v>21</v>
      </c>
      <c r="E1784" s="3">
        <v>1</v>
      </c>
      <c r="F1784" s="4" t="str">
        <f>HYPERLINK("http://141.218.60.56/~jnz1568/getInfo.php?workbook=20_13.xlsx&amp;sheet=U0&amp;row=1784&amp;col=6&amp;number=3&amp;sourceID=14","3")</f>
        <v>3</v>
      </c>
      <c r="G1784" s="4" t="str">
        <f>HYPERLINK("http://141.218.60.56/~jnz1568/getInfo.php?workbook=20_13.xlsx&amp;sheet=U0&amp;row=1784&amp;col=7&amp;number=0.0102&amp;sourceID=14","0.0102")</f>
        <v>0.0102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HYPERLINK("http://141.218.60.56/~jnz1568/getInfo.php?workbook=20_13.xlsx&amp;sheet=U0&amp;row=1785&amp;col=6&amp;number=3.1&amp;sourceID=14","3.1")</f>
        <v>3.1</v>
      </c>
      <c r="G1785" s="4" t="str">
        <f>HYPERLINK("http://141.218.60.56/~jnz1568/getInfo.php?workbook=20_13.xlsx&amp;sheet=U0&amp;row=1785&amp;col=7&amp;number=0.0102&amp;sourceID=14","0.0102")</f>
        <v>0.0102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HYPERLINK("http://141.218.60.56/~jnz1568/getInfo.php?workbook=20_13.xlsx&amp;sheet=U0&amp;row=1786&amp;col=6&amp;number=3.2&amp;sourceID=14","3.2")</f>
        <v>3.2</v>
      </c>
      <c r="G1786" s="4" t="str">
        <f>HYPERLINK("http://141.218.60.56/~jnz1568/getInfo.php?workbook=20_13.xlsx&amp;sheet=U0&amp;row=1786&amp;col=7&amp;number=0.0102&amp;sourceID=14","0.0102")</f>
        <v>0.0102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HYPERLINK("http://141.218.60.56/~jnz1568/getInfo.php?workbook=20_13.xlsx&amp;sheet=U0&amp;row=1787&amp;col=6&amp;number=3.3&amp;sourceID=14","3.3")</f>
        <v>3.3</v>
      </c>
      <c r="G1787" s="4" t="str">
        <f>HYPERLINK("http://141.218.60.56/~jnz1568/getInfo.php?workbook=20_13.xlsx&amp;sheet=U0&amp;row=1787&amp;col=7&amp;number=0.0101&amp;sourceID=14","0.0101")</f>
        <v>0.0101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HYPERLINK("http://141.218.60.56/~jnz1568/getInfo.php?workbook=20_13.xlsx&amp;sheet=U0&amp;row=1788&amp;col=6&amp;number=3.4&amp;sourceID=14","3.4")</f>
        <v>3.4</v>
      </c>
      <c r="G1788" s="4" t="str">
        <f>HYPERLINK("http://141.218.60.56/~jnz1568/getInfo.php?workbook=20_13.xlsx&amp;sheet=U0&amp;row=1788&amp;col=7&amp;number=0.0101&amp;sourceID=14","0.0101")</f>
        <v>0.0101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HYPERLINK("http://141.218.60.56/~jnz1568/getInfo.php?workbook=20_13.xlsx&amp;sheet=U0&amp;row=1789&amp;col=6&amp;number=3.5&amp;sourceID=14","3.5")</f>
        <v>3.5</v>
      </c>
      <c r="G1789" s="4" t="str">
        <f>HYPERLINK("http://141.218.60.56/~jnz1568/getInfo.php?workbook=20_13.xlsx&amp;sheet=U0&amp;row=1789&amp;col=7&amp;number=0.01&amp;sourceID=14","0.01")</f>
        <v>0.01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HYPERLINK("http://141.218.60.56/~jnz1568/getInfo.php?workbook=20_13.xlsx&amp;sheet=U0&amp;row=1790&amp;col=6&amp;number=3.6&amp;sourceID=14","3.6")</f>
        <v>3.6</v>
      </c>
      <c r="G1790" s="4" t="str">
        <f>HYPERLINK("http://141.218.60.56/~jnz1568/getInfo.php?workbook=20_13.xlsx&amp;sheet=U0&amp;row=1790&amp;col=7&amp;number=0.00997&amp;sourceID=14","0.00997")</f>
        <v>0.00997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HYPERLINK("http://141.218.60.56/~jnz1568/getInfo.php?workbook=20_13.xlsx&amp;sheet=U0&amp;row=1791&amp;col=6&amp;number=3.7&amp;sourceID=14","3.7")</f>
        <v>3.7</v>
      </c>
      <c r="G1791" s="4" t="str">
        <f>HYPERLINK("http://141.218.60.56/~jnz1568/getInfo.php?workbook=20_13.xlsx&amp;sheet=U0&amp;row=1791&amp;col=7&amp;number=0.00988&amp;sourceID=14","0.00988")</f>
        <v>0.00988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HYPERLINK("http://141.218.60.56/~jnz1568/getInfo.php?workbook=20_13.xlsx&amp;sheet=U0&amp;row=1792&amp;col=6&amp;number=3.8&amp;sourceID=14","3.8")</f>
        <v>3.8</v>
      </c>
      <c r="G1792" s="4" t="str">
        <f>HYPERLINK("http://141.218.60.56/~jnz1568/getInfo.php?workbook=20_13.xlsx&amp;sheet=U0&amp;row=1792&amp;col=7&amp;number=0.00976&amp;sourceID=14","0.00976")</f>
        <v>0.00976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HYPERLINK("http://141.218.60.56/~jnz1568/getInfo.php?workbook=20_13.xlsx&amp;sheet=U0&amp;row=1793&amp;col=6&amp;number=3.9&amp;sourceID=14","3.9")</f>
        <v>3.9</v>
      </c>
      <c r="G1793" s="4" t="str">
        <f>HYPERLINK("http://141.218.60.56/~jnz1568/getInfo.php?workbook=20_13.xlsx&amp;sheet=U0&amp;row=1793&amp;col=7&amp;number=0.00962&amp;sourceID=14","0.00962")</f>
        <v>0.00962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HYPERLINK("http://141.218.60.56/~jnz1568/getInfo.php?workbook=20_13.xlsx&amp;sheet=U0&amp;row=1794&amp;col=6&amp;number=4&amp;sourceID=14","4")</f>
        <v>4</v>
      </c>
      <c r="G1794" s="4" t="str">
        <f>HYPERLINK("http://141.218.60.56/~jnz1568/getInfo.php?workbook=20_13.xlsx&amp;sheet=U0&amp;row=1794&amp;col=7&amp;number=0.00945&amp;sourceID=14","0.00945")</f>
        <v>0.00945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HYPERLINK("http://141.218.60.56/~jnz1568/getInfo.php?workbook=20_13.xlsx&amp;sheet=U0&amp;row=1795&amp;col=6&amp;number=4.1&amp;sourceID=14","4.1")</f>
        <v>4.1</v>
      </c>
      <c r="G1795" s="4" t="str">
        <f>HYPERLINK("http://141.218.60.56/~jnz1568/getInfo.php?workbook=20_13.xlsx&amp;sheet=U0&amp;row=1795&amp;col=7&amp;number=0.00923&amp;sourceID=14","0.00923")</f>
        <v>0.00923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HYPERLINK("http://141.218.60.56/~jnz1568/getInfo.php?workbook=20_13.xlsx&amp;sheet=U0&amp;row=1796&amp;col=6&amp;number=4.2&amp;sourceID=14","4.2")</f>
        <v>4.2</v>
      </c>
      <c r="G1796" s="4" t="str">
        <f>HYPERLINK("http://141.218.60.56/~jnz1568/getInfo.php?workbook=20_13.xlsx&amp;sheet=U0&amp;row=1796&amp;col=7&amp;number=0.00896&amp;sourceID=14","0.00896")</f>
        <v>0.00896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HYPERLINK("http://141.218.60.56/~jnz1568/getInfo.php?workbook=20_13.xlsx&amp;sheet=U0&amp;row=1797&amp;col=6&amp;number=4.3&amp;sourceID=14","4.3")</f>
        <v>4.3</v>
      </c>
      <c r="G1797" s="4" t="str">
        <f>HYPERLINK("http://141.218.60.56/~jnz1568/getInfo.php?workbook=20_13.xlsx&amp;sheet=U0&amp;row=1797&amp;col=7&amp;number=0.00863&amp;sourceID=14","0.00863")</f>
        <v>0.00863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HYPERLINK("http://141.218.60.56/~jnz1568/getInfo.php?workbook=20_13.xlsx&amp;sheet=U0&amp;row=1798&amp;col=6&amp;number=4.4&amp;sourceID=14","4.4")</f>
        <v>4.4</v>
      </c>
      <c r="G1798" s="4" t="str">
        <f>HYPERLINK("http://141.218.60.56/~jnz1568/getInfo.php?workbook=20_13.xlsx&amp;sheet=U0&amp;row=1798&amp;col=7&amp;number=0.00823&amp;sourceID=14","0.00823")</f>
        <v>0.00823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HYPERLINK("http://141.218.60.56/~jnz1568/getInfo.php?workbook=20_13.xlsx&amp;sheet=U0&amp;row=1799&amp;col=6&amp;number=4.5&amp;sourceID=14","4.5")</f>
        <v>4.5</v>
      </c>
      <c r="G1799" s="4" t="str">
        <f>HYPERLINK("http://141.218.60.56/~jnz1568/getInfo.php?workbook=20_13.xlsx&amp;sheet=U0&amp;row=1799&amp;col=7&amp;number=0.00776&amp;sourceID=14","0.00776")</f>
        <v>0.00776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HYPERLINK("http://141.218.60.56/~jnz1568/getInfo.php?workbook=20_13.xlsx&amp;sheet=U0&amp;row=1800&amp;col=6&amp;number=4.6&amp;sourceID=14","4.6")</f>
        <v>4.6</v>
      </c>
      <c r="G1800" s="4" t="str">
        <f>HYPERLINK("http://141.218.60.56/~jnz1568/getInfo.php?workbook=20_13.xlsx&amp;sheet=U0&amp;row=1800&amp;col=7&amp;number=0.0072&amp;sourceID=14","0.0072")</f>
        <v>0.0072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HYPERLINK("http://141.218.60.56/~jnz1568/getInfo.php?workbook=20_13.xlsx&amp;sheet=U0&amp;row=1801&amp;col=6&amp;number=4.7&amp;sourceID=14","4.7")</f>
        <v>4.7</v>
      </c>
      <c r="G1801" s="4" t="str">
        <f>HYPERLINK("http://141.218.60.56/~jnz1568/getInfo.php?workbook=20_13.xlsx&amp;sheet=U0&amp;row=1801&amp;col=7&amp;number=0.00657&amp;sourceID=14","0.00657")</f>
        <v>0.00657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HYPERLINK("http://141.218.60.56/~jnz1568/getInfo.php?workbook=20_13.xlsx&amp;sheet=U0&amp;row=1802&amp;col=6&amp;number=4.8&amp;sourceID=14","4.8")</f>
        <v>4.8</v>
      </c>
      <c r="G1802" s="4" t="str">
        <f>HYPERLINK("http://141.218.60.56/~jnz1568/getInfo.php?workbook=20_13.xlsx&amp;sheet=U0&amp;row=1802&amp;col=7&amp;number=0.0059&amp;sourceID=14","0.0059")</f>
        <v>0.0059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HYPERLINK("http://141.218.60.56/~jnz1568/getInfo.php?workbook=20_13.xlsx&amp;sheet=U0&amp;row=1803&amp;col=6&amp;number=4.9&amp;sourceID=14","4.9")</f>
        <v>4.9</v>
      </c>
      <c r="G1803" s="4" t="str">
        <f>HYPERLINK("http://141.218.60.56/~jnz1568/getInfo.php?workbook=20_13.xlsx&amp;sheet=U0&amp;row=1803&amp;col=7&amp;number=0.00525&amp;sourceID=14","0.00525")</f>
        <v>0.00525</v>
      </c>
    </row>
    <row r="1804" spans="1:7">
      <c r="A1804" s="3">
        <v>20</v>
      </c>
      <c r="B1804" s="3">
        <v>13</v>
      </c>
      <c r="C1804" s="3">
        <v>16</v>
      </c>
      <c r="D1804" s="3">
        <v>21</v>
      </c>
      <c r="E1804" s="3">
        <v>1</v>
      </c>
      <c r="F1804" s="4" t="str">
        <f>HYPERLINK("http://141.218.60.56/~jnz1568/getInfo.php?workbook=20_13.xlsx&amp;sheet=U0&amp;row=1804&amp;col=6&amp;number=3&amp;sourceID=14","3")</f>
        <v>3</v>
      </c>
      <c r="G1804" s="4" t="str">
        <f>HYPERLINK("http://141.218.60.56/~jnz1568/getInfo.php?workbook=20_13.xlsx&amp;sheet=U0&amp;row=1804&amp;col=7&amp;number=0.0193&amp;sourceID=14","0.0193")</f>
        <v>0.0193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HYPERLINK("http://141.218.60.56/~jnz1568/getInfo.php?workbook=20_13.xlsx&amp;sheet=U0&amp;row=1805&amp;col=6&amp;number=3.1&amp;sourceID=14","3.1")</f>
        <v>3.1</v>
      </c>
      <c r="G1805" s="4" t="str">
        <f>HYPERLINK("http://141.218.60.56/~jnz1568/getInfo.php?workbook=20_13.xlsx&amp;sheet=U0&amp;row=1805&amp;col=7&amp;number=0.0193&amp;sourceID=14","0.0193")</f>
        <v>0.0193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HYPERLINK("http://141.218.60.56/~jnz1568/getInfo.php?workbook=20_13.xlsx&amp;sheet=U0&amp;row=1806&amp;col=6&amp;number=3.2&amp;sourceID=14","3.2")</f>
        <v>3.2</v>
      </c>
      <c r="G1806" s="4" t="str">
        <f>HYPERLINK("http://141.218.60.56/~jnz1568/getInfo.php?workbook=20_13.xlsx&amp;sheet=U0&amp;row=1806&amp;col=7&amp;number=0.0193&amp;sourceID=14","0.0193")</f>
        <v>0.0193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HYPERLINK("http://141.218.60.56/~jnz1568/getInfo.php?workbook=20_13.xlsx&amp;sheet=U0&amp;row=1807&amp;col=6&amp;number=3.3&amp;sourceID=14","3.3")</f>
        <v>3.3</v>
      </c>
      <c r="G1807" s="4" t="str">
        <f>HYPERLINK("http://141.218.60.56/~jnz1568/getInfo.php?workbook=20_13.xlsx&amp;sheet=U0&amp;row=1807&amp;col=7&amp;number=0.0193&amp;sourceID=14","0.0193")</f>
        <v>0.0193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HYPERLINK("http://141.218.60.56/~jnz1568/getInfo.php?workbook=20_13.xlsx&amp;sheet=U0&amp;row=1808&amp;col=6&amp;number=3.4&amp;sourceID=14","3.4")</f>
        <v>3.4</v>
      </c>
      <c r="G1808" s="4" t="str">
        <f>HYPERLINK("http://141.218.60.56/~jnz1568/getInfo.php?workbook=20_13.xlsx&amp;sheet=U0&amp;row=1808&amp;col=7&amp;number=0.0192&amp;sourceID=14","0.0192")</f>
        <v>0.0192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HYPERLINK("http://141.218.60.56/~jnz1568/getInfo.php?workbook=20_13.xlsx&amp;sheet=U0&amp;row=1809&amp;col=6&amp;number=3.5&amp;sourceID=14","3.5")</f>
        <v>3.5</v>
      </c>
      <c r="G1809" s="4" t="str">
        <f>HYPERLINK("http://141.218.60.56/~jnz1568/getInfo.php?workbook=20_13.xlsx&amp;sheet=U0&amp;row=1809&amp;col=7&amp;number=0.0192&amp;sourceID=14","0.0192")</f>
        <v>0.0192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HYPERLINK("http://141.218.60.56/~jnz1568/getInfo.php?workbook=20_13.xlsx&amp;sheet=U0&amp;row=1810&amp;col=6&amp;number=3.6&amp;sourceID=14","3.6")</f>
        <v>3.6</v>
      </c>
      <c r="G1810" s="4" t="str">
        <f>HYPERLINK("http://141.218.60.56/~jnz1568/getInfo.php?workbook=20_13.xlsx&amp;sheet=U0&amp;row=1810&amp;col=7&amp;number=0.0191&amp;sourceID=14","0.0191")</f>
        <v>0.0191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HYPERLINK("http://141.218.60.56/~jnz1568/getInfo.php?workbook=20_13.xlsx&amp;sheet=U0&amp;row=1811&amp;col=6&amp;number=3.7&amp;sourceID=14","3.7")</f>
        <v>3.7</v>
      </c>
      <c r="G1811" s="4" t="str">
        <f>HYPERLINK("http://141.218.60.56/~jnz1568/getInfo.php?workbook=20_13.xlsx&amp;sheet=U0&amp;row=1811&amp;col=7&amp;number=0.0191&amp;sourceID=14","0.0191")</f>
        <v>0.0191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HYPERLINK("http://141.218.60.56/~jnz1568/getInfo.php?workbook=20_13.xlsx&amp;sheet=U0&amp;row=1812&amp;col=6&amp;number=3.8&amp;sourceID=14","3.8")</f>
        <v>3.8</v>
      </c>
      <c r="G1812" s="4" t="str">
        <f>HYPERLINK("http://141.218.60.56/~jnz1568/getInfo.php?workbook=20_13.xlsx&amp;sheet=U0&amp;row=1812&amp;col=7&amp;number=0.019&amp;sourceID=14","0.019")</f>
        <v>0.019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HYPERLINK("http://141.218.60.56/~jnz1568/getInfo.php?workbook=20_13.xlsx&amp;sheet=U0&amp;row=1813&amp;col=6&amp;number=3.9&amp;sourceID=14","3.9")</f>
        <v>3.9</v>
      </c>
      <c r="G1813" s="4" t="str">
        <f>HYPERLINK("http://141.218.60.56/~jnz1568/getInfo.php?workbook=20_13.xlsx&amp;sheet=U0&amp;row=1813&amp;col=7&amp;number=0.0189&amp;sourceID=14","0.0189")</f>
        <v>0.0189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HYPERLINK("http://141.218.60.56/~jnz1568/getInfo.php?workbook=20_13.xlsx&amp;sheet=U0&amp;row=1814&amp;col=6&amp;number=4&amp;sourceID=14","4")</f>
        <v>4</v>
      </c>
      <c r="G1814" s="4" t="str">
        <f>HYPERLINK("http://141.218.60.56/~jnz1568/getInfo.php?workbook=20_13.xlsx&amp;sheet=U0&amp;row=1814&amp;col=7&amp;number=0.0187&amp;sourceID=14","0.0187")</f>
        <v>0.0187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HYPERLINK("http://141.218.60.56/~jnz1568/getInfo.php?workbook=20_13.xlsx&amp;sheet=U0&amp;row=1815&amp;col=6&amp;number=4.1&amp;sourceID=14","4.1")</f>
        <v>4.1</v>
      </c>
      <c r="G1815" s="4" t="str">
        <f>HYPERLINK("http://141.218.60.56/~jnz1568/getInfo.php?workbook=20_13.xlsx&amp;sheet=U0&amp;row=1815&amp;col=7&amp;number=0.0186&amp;sourceID=14","0.0186")</f>
        <v>0.0186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HYPERLINK("http://141.218.60.56/~jnz1568/getInfo.php?workbook=20_13.xlsx&amp;sheet=U0&amp;row=1816&amp;col=6&amp;number=4.2&amp;sourceID=14","4.2")</f>
        <v>4.2</v>
      </c>
      <c r="G1816" s="4" t="str">
        <f>HYPERLINK("http://141.218.60.56/~jnz1568/getInfo.php?workbook=20_13.xlsx&amp;sheet=U0&amp;row=1816&amp;col=7&amp;number=0.0184&amp;sourceID=14","0.0184")</f>
        <v>0.0184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HYPERLINK("http://141.218.60.56/~jnz1568/getInfo.php?workbook=20_13.xlsx&amp;sheet=U0&amp;row=1817&amp;col=6&amp;number=4.3&amp;sourceID=14","4.3")</f>
        <v>4.3</v>
      </c>
      <c r="G1817" s="4" t="str">
        <f>HYPERLINK("http://141.218.60.56/~jnz1568/getInfo.php?workbook=20_13.xlsx&amp;sheet=U0&amp;row=1817&amp;col=7&amp;number=0.0181&amp;sourceID=14","0.0181")</f>
        <v>0.0181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HYPERLINK("http://141.218.60.56/~jnz1568/getInfo.php?workbook=20_13.xlsx&amp;sheet=U0&amp;row=1818&amp;col=6&amp;number=4.4&amp;sourceID=14","4.4")</f>
        <v>4.4</v>
      </c>
      <c r="G1818" s="4" t="str">
        <f>HYPERLINK("http://141.218.60.56/~jnz1568/getInfo.php?workbook=20_13.xlsx&amp;sheet=U0&amp;row=1818&amp;col=7&amp;number=0.0178&amp;sourceID=14","0.0178")</f>
        <v>0.0178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HYPERLINK("http://141.218.60.56/~jnz1568/getInfo.php?workbook=20_13.xlsx&amp;sheet=U0&amp;row=1819&amp;col=6&amp;number=4.5&amp;sourceID=14","4.5")</f>
        <v>4.5</v>
      </c>
      <c r="G1819" s="4" t="str">
        <f>HYPERLINK("http://141.218.60.56/~jnz1568/getInfo.php?workbook=20_13.xlsx&amp;sheet=U0&amp;row=1819&amp;col=7&amp;number=0.0174&amp;sourceID=14","0.0174")</f>
        <v>0.0174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HYPERLINK("http://141.218.60.56/~jnz1568/getInfo.php?workbook=20_13.xlsx&amp;sheet=U0&amp;row=1820&amp;col=6&amp;number=4.6&amp;sourceID=14","4.6")</f>
        <v>4.6</v>
      </c>
      <c r="G1820" s="4" t="str">
        <f>HYPERLINK("http://141.218.60.56/~jnz1568/getInfo.php?workbook=20_13.xlsx&amp;sheet=U0&amp;row=1820&amp;col=7&amp;number=0.0169&amp;sourceID=14","0.0169")</f>
        <v>0.0169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HYPERLINK("http://141.218.60.56/~jnz1568/getInfo.php?workbook=20_13.xlsx&amp;sheet=U0&amp;row=1821&amp;col=6&amp;number=4.7&amp;sourceID=14","4.7")</f>
        <v>4.7</v>
      </c>
      <c r="G1821" s="4" t="str">
        <f>HYPERLINK("http://141.218.60.56/~jnz1568/getInfo.php?workbook=20_13.xlsx&amp;sheet=U0&amp;row=1821&amp;col=7&amp;number=0.0164&amp;sourceID=14","0.0164")</f>
        <v>0.0164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HYPERLINK("http://141.218.60.56/~jnz1568/getInfo.php?workbook=20_13.xlsx&amp;sheet=U0&amp;row=1822&amp;col=6&amp;number=4.8&amp;sourceID=14","4.8")</f>
        <v>4.8</v>
      </c>
      <c r="G1822" s="4" t="str">
        <f>HYPERLINK("http://141.218.60.56/~jnz1568/getInfo.php?workbook=20_13.xlsx&amp;sheet=U0&amp;row=1822&amp;col=7&amp;number=0.0157&amp;sourceID=14","0.0157")</f>
        <v>0.0157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HYPERLINK("http://141.218.60.56/~jnz1568/getInfo.php?workbook=20_13.xlsx&amp;sheet=U0&amp;row=1823&amp;col=6&amp;number=4.9&amp;sourceID=14","4.9")</f>
        <v>4.9</v>
      </c>
      <c r="G1823" s="4" t="str">
        <f>HYPERLINK("http://141.218.60.56/~jnz1568/getInfo.php?workbook=20_13.xlsx&amp;sheet=U0&amp;row=1823&amp;col=7&amp;number=0.015&amp;sourceID=14","0.015")</f>
        <v>0.015</v>
      </c>
    </row>
    <row r="1824" spans="1:7">
      <c r="A1824" s="3">
        <v>20</v>
      </c>
      <c r="B1824" s="3">
        <v>13</v>
      </c>
      <c r="C1824" s="3">
        <v>17</v>
      </c>
      <c r="D1824" s="3">
        <v>21</v>
      </c>
      <c r="E1824" s="3">
        <v>1</v>
      </c>
      <c r="F1824" s="4" t="str">
        <f>HYPERLINK("http://141.218.60.56/~jnz1568/getInfo.php?workbook=20_13.xlsx&amp;sheet=U0&amp;row=1824&amp;col=6&amp;number=3&amp;sourceID=14","3")</f>
        <v>3</v>
      </c>
      <c r="G1824" s="4" t="str">
        <f>HYPERLINK("http://141.218.60.56/~jnz1568/getInfo.php?workbook=20_13.xlsx&amp;sheet=U0&amp;row=1824&amp;col=7&amp;number=0.077&amp;sourceID=14","0.077")</f>
        <v>0.077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HYPERLINK("http://141.218.60.56/~jnz1568/getInfo.php?workbook=20_13.xlsx&amp;sheet=U0&amp;row=1825&amp;col=6&amp;number=3.1&amp;sourceID=14","3.1")</f>
        <v>3.1</v>
      </c>
      <c r="G1825" s="4" t="str">
        <f>HYPERLINK("http://141.218.60.56/~jnz1568/getInfo.php?workbook=20_13.xlsx&amp;sheet=U0&amp;row=1825&amp;col=7&amp;number=0.0768&amp;sourceID=14","0.0768")</f>
        <v>0.0768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HYPERLINK("http://141.218.60.56/~jnz1568/getInfo.php?workbook=20_13.xlsx&amp;sheet=U0&amp;row=1826&amp;col=6&amp;number=3.2&amp;sourceID=14","3.2")</f>
        <v>3.2</v>
      </c>
      <c r="G1826" s="4" t="str">
        <f>HYPERLINK("http://141.218.60.56/~jnz1568/getInfo.php?workbook=20_13.xlsx&amp;sheet=U0&amp;row=1826&amp;col=7&amp;number=0.0765&amp;sourceID=14","0.0765")</f>
        <v>0.0765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HYPERLINK("http://141.218.60.56/~jnz1568/getInfo.php?workbook=20_13.xlsx&amp;sheet=U0&amp;row=1827&amp;col=6&amp;number=3.3&amp;sourceID=14","3.3")</f>
        <v>3.3</v>
      </c>
      <c r="G1827" s="4" t="str">
        <f>HYPERLINK("http://141.218.60.56/~jnz1568/getInfo.php?workbook=20_13.xlsx&amp;sheet=U0&amp;row=1827&amp;col=7&amp;number=0.0762&amp;sourceID=14","0.0762")</f>
        <v>0.0762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HYPERLINK("http://141.218.60.56/~jnz1568/getInfo.php?workbook=20_13.xlsx&amp;sheet=U0&amp;row=1828&amp;col=6&amp;number=3.4&amp;sourceID=14","3.4")</f>
        <v>3.4</v>
      </c>
      <c r="G1828" s="4" t="str">
        <f>HYPERLINK("http://141.218.60.56/~jnz1568/getInfo.php?workbook=20_13.xlsx&amp;sheet=U0&amp;row=1828&amp;col=7&amp;number=0.0758&amp;sourceID=14","0.0758")</f>
        <v>0.0758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HYPERLINK("http://141.218.60.56/~jnz1568/getInfo.php?workbook=20_13.xlsx&amp;sheet=U0&amp;row=1829&amp;col=6&amp;number=3.5&amp;sourceID=14","3.5")</f>
        <v>3.5</v>
      </c>
      <c r="G1829" s="4" t="str">
        <f>HYPERLINK("http://141.218.60.56/~jnz1568/getInfo.php?workbook=20_13.xlsx&amp;sheet=U0&amp;row=1829&amp;col=7&amp;number=0.0753&amp;sourceID=14","0.0753")</f>
        <v>0.0753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HYPERLINK("http://141.218.60.56/~jnz1568/getInfo.php?workbook=20_13.xlsx&amp;sheet=U0&amp;row=1830&amp;col=6&amp;number=3.6&amp;sourceID=14","3.6")</f>
        <v>3.6</v>
      </c>
      <c r="G1830" s="4" t="str">
        <f>HYPERLINK("http://141.218.60.56/~jnz1568/getInfo.php?workbook=20_13.xlsx&amp;sheet=U0&amp;row=1830&amp;col=7&amp;number=0.0746&amp;sourceID=14","0.0746")</f>
        <v>0.0746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HYPERLINK("http://141.218.60.56/~jnz1568/getInfo.php?workbook=20_13.xlsx&amp;sheet=U0&amp;row=1831&amp;col=6&amp;number=3.7&amp;sourceID=14","3.7")</f>
        <v>3.7</v>
      </c>
      <c r="G1831" s="4" t="str">
        <f>HYPERLINK("http://141.218.60.56/~jnz1568/getInfo.php?workbook=20_13.xlsx&amp;sheet=U0&amp;row=1831&amp;col=7&amp;number=0.0738&amp;sourceID=14","0.0738")</f>
        <v>0.0738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HYPERLINK("http://141.218.60.56/~jnz1568/getInfo.php?workbook=20_13.xlsx&amp;sheet=U0&amp;row=1832&amp;col=6&amp;number=3.8&amp;sourceID=14","3.8")</f>
        <v>3.8</v>
      </c>
      <c r="G1832" s="4" t="str">
        <f>HYPERLINK("http://141.218.60.56/~jnz1568/getInfo.php?workbook=20_13.xlsx&amp;sheet=U0&amp;row=1832&amp;col=7&amp;number=0.0729&amp;sourceID=14","0.0729")</f>
        <v>0.0729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HYPERLINK("http://141.218.60.56/~jnz1568/getInfo.php?workbook=20_13.xlsx&amp;sheet=U0&amp;row=1833&amp;col=6&amp;number=3.9&amp;sourceID=14","3.9")</f>
        <v>3.9</v>
      </c>
      <c r="G1833" s="4" t="str">
        <f>HYPERLINK("http://141.218.60.56/~jnz1568/getInfo.php?workbook=20_13.xlsx&amp;sheet=U0&amp;row=1833&amp;col=7&amp;number=0.0716&amp;sourceID=14","0.0716")</f>
        <v>0.0716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HYPERLINK("http://141.218.60.56/~jnz1568/getInfo.php?workbook=20_13.xlsx&amp;sheet=U0&amp;row=1834&amp;col=6&amp;number=4&amp;sourceID=14","4")</f>
        <v>4</v>
      </c>
      <c r="G1834" s="4" t="str">
        <f>HYPERLINK("http://141.218.60.56/~jnz1568/getInfo.php?workbook=20_13.xlsx&amp;sheet=U0&amp;row=1834&amp;col=7&amp;number=0.0701&amp;sourceID=14","0.0701")</f>
        <v>0.0701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HYPERLINK("http://141.218.60.56/~jnz1568/getInfo.php?workbook=20_13.xlsx&amp;sheet=U0&amp;row=1835&amp;col=6&amp;number=4.1&amp;sourceID=14","4.1")</f>
        <v>4.1</v>
      </c>
      <c r="G1835" s="4" t="str">
        <f>HYPERLINK("http://141.218.60.56/~jnz1568/getInfo.php?workbook=20_13.xlsx&amp;sheet=U0&amp;row=1835&amp;col=7&amp;number=0.0682&amp;sourceID=14","0.0682")</f>
        <v>0.0682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HYPERLINK("http://141.218.60.56/~jnz1568/getInfo.php?workbook=20_13.xlsx&amp;sheet=U0&amp;row=1836&amp;col=6&amp;number=4.2&amp;sourceID=14","4.2")</f>
        <v>4.2</v>
      </c>
      <c r="G1836" s="4" t="str">
        <f>HYPERLINK("http://141.218.60.56/~jnz1568/getInfo.php?workbook=20_13.xlsx&amp;sheet=U0&amp;row=1836&amp;col=7&amp;number=0.0658&amp;sourceID=14","0.0658")</f>
        <v>0.0658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HYPERLINK("http://141.218.60.56/~jnz1568/getInfo.php?workbook=20_13.xlsx&amp;sheet=U0&amp;row=1837&amp;col=6&amp;number=4.3&amp;sourceID=14","4.3")</f>
        <v>4.3</v>
      </c>
      <c r="G1837" s="4" t="str">
        <f>HYPERLINK("http://141.218.60.56/~jnz1568/getInfo.php?workbook=20_13.xlsx&amp;sheet=U0&amp;row=1837&amp;col=7&amp;number=0.063&amp;sourceID=14","0.063")</f>
        <v>0.063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HYPERLINK("http://141.218.60.56/~jnz1568/getInfo.php?workbook=20_13.xlsx&amp;sheet=U0&amp;row=1838&amp;col=6&amp;number=4.4&amp;sourceID=14","4.4")</f>
        <v>4.4</v>
      </c>
      <c r="G1838" s="4" t="str">
        <f>HYPERLINK("http://141.218.60.56/~jnz1568/getInfo.php?workbook=20_13.xlsx&amp;sheet=U0&amp;row=1838&amp;col=7&amp;number=0.0595&amp;sourceID=14","0.0595")</f>
        <v>0.0595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HYPERLINK("http://141.218.60.56/~jnz1568/getInfo.php?workbook=20_13.xlsx&amp;sheet=U0&amp;row=1839&amp;col=6&amp;number=4.5&amp;sourceID=14","4.5")</f>
        <v>4.5</v>
      </c>
      <c r="G1839" s="4" t="str">
        <f>HYPERLINK("http://141.218.60.56/~jnz1568/getInfo.php?workbook=20_13.xlsx&amp;sheet=U0&amp;row=1839&amp;col=7&amp;number=0.0555&amp;sourceID=14","0.0555")</f>
        <v>0.0555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HYPERLINK("http://141.218.60.56/~jnz1568/getInfo.php?workbook=20_13.xlsx&amp;sheet=U0&amp;row=1840&amp;col=6&amp;number=4.6&amp;sourceID=14","4.6")</f>
        <v>4.6</v>
      </c>
      <c r="G1840" s="4" t="str">
        <f>HYPERLINK("http://141.218.60.56/~jnz1568/getInfo.php?workbook=20_13.xlsx&amp;sheet=U0&amp;row=1840&amp;col=7&amp;number=0.0508&amp;sourceID=14","0.0508")</f>
        <v>0.0508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HYPERLINK("http://141.218.60.56/~jnz1568/getInfo.php?workbook=20_13.xlsx&amp;sheet=U0&amp;row=1841&amp;col=6&amp;number=4.7&amp;sourceID=14","4.7")</f>
        <v>4.7</v>
      </c>
      <c r="G1841" s="4" t="str">
        <f>HYPERLINK("http://141.218.60.56/~jnz1568/getInfo.php?workbook=20_13.xlsx&amp;sheet=U0&amp;row=1841&amp;col=7&amp;number=0.0456&amp;sourceID=14","0.0456")</f>
        <v>0.0456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HYPERLINK("http://141.218.60.56/~jnz1568/getInfo.php?workbook=20_13.xlsx&amp;sheet=U0&amp;row=1842&amp;col=6&amp;number=4.8&amp;sourceID=14","4.8")</f>
        <v>4.8</v>
      </c>
      <c r="G1842" s="4" t="str">
        <f>HYPERLINK("http://141.218.60.56/~jnz1568/getInfo.php?workbook=20_13.xlsx&amp;sheet=U0&amp;row=1842&amp;col=7&amp;number=0.0404&amp;sourceID=14","0.0404")</f>
        <v>0.0404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HYPERLINK("http://141.218.60.56/~jnz1568/getInfo.php?workbook=20_13.xlsx&amp;sheet=U0&amp;row=1843&amp;col=6&amp;number=4.9&amp;sourceID=14","4.9")</f>
        <v>4.9</v>
      </c>
      <c r="G1843" s="4" t="str">
        <f>HYPERLINK("http://141.218.60.56/~jnz1568/getInfo.php?workbook=20_13.xlsx&amp;sheet=U0&amp;row=1843&amp;col=7&amp;number=0.0354&amp;sourceID=14","0.0354")</f>
        <v>0.0354</v>
      </c>
    </row>
    <row r="1844" spans="1:7">
      <c r="A1844" s="3">
        <v>20</v>
      </c>
      <c r="B1844" s="3">
        <v>13</v>
      </c>
      <c r="C1844" s="3">
        <v>18</v>
      </c>
      <c r="D1844" s="3">
        <v>21</v>
      </c>
      <c r="E1844" s="3">
        <v>1</v>
      </c>
      <c r="F1844" s="4" t="str">
        <f>HYPERLINK("http://141.218.60.56/~jnz1568/getInfo.php?workbook=20_13.xlsx&amp;sheet=U0&amp;row=1844&amp;col=6&amp;number=3&amp;sourceID=14","3")</f>
        <v>3</v>
      </c>
      <c r="G1844" s="4" t="str">
        <f>HYPERLINK("http://141.218.60.56/~jnz1568/getInfo.php?workbook=20_13.xlsx&amp;sheet=U0&amp;row=1844&amp;col=7&amp;number=0.0593&amp;sourceID=14","0.0593")</f>
        <v>0.0593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HYPERLINK("http://141.218.60.56/~jnz1568/getInfo.php?workbook=20_13.xlsx&amp;sheet=U0&amp;row=1845&amp;col=6&amp;number=3.1&amp;sourceID=14","3.1")</f>
        <v>3.1</v>
      </c>
      <c r="G1845" s="4" t="str">
        <f>HYPERLINK("http://141.218.60.56/~jnz1568/getInfo.php?workbook=20_13.xlsx&amp;sheet=U0&amp;row=1845&amp;col=7&amp;number=0.0593&amp;sourceID=14","0.0593")</f>
        <v>0.0593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HYPERLINK("http://141.218.60.56/~jnz1568/getInfo.php?workbook=20_13.xlsx&amp;sheet=U0&amp;row=1846&amp;col=6&amp;number=3.2&amp;sourceID=14","3.2")</f>
        <v>3.2</v>
      </c>
      <c r="G1846" s="4" t="str">
        <f>HYPERLINK("http://141.218.60.56/~jnz1568/getInfo.php?workbook=20_13.xlsx&amp;sheet=U0&amp;row=1846&amp;col=7&amp;number=0.0592&amp;sourceID=14","0.0592")</f>
        <v>0.0592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HYPERLINK("http://141.218.60.56/~jnz1568/getInfo.php?workbook=20_13.xlsx&amp;sheet=U0&amp;row=1847&amp;col=6&amp;number=3.3&amp;sourceID=14","3.3")</f>
        <v>3.3</v>
      </c>
      <c r="G1847" s="4" t="str">
        <f>HYPERLINK("http://141.218.60.56/~jnz1568/getInfo.php?workbook=20_13.xlsx&amp;sheet=U0&amp;row=1847&amp;col=7&amp;number=0.0591&amp;sourceID=14","0.0591")</f>
        <v>0.0591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HYPERLINK("http://141.218.60.56/~jnz1568/getInfo.php?workbook=20_13.xlsx&amp;sheet=U0&amp;row=1848&amp;col=6&amp;number=3.4&amp;sourceID=14","3.4")</f>
        <v>3.4</v>
      </c>
      <c r="G1848" s="4" t="str">
        <f>HYPERLINK("http://141.218.60.56/~jnz1568/getInfo.php?workbook=20_13.xlsx&amp;sheet=U0&amp;row=1848&amp;col=7&amp;number=0.0589&amp;sourceID=14","0.0589")</f>
        <v>0.0589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HYPERLINK("http://141.218.60.56/~jnz1568/getInfo.php?workbook=20_13.xlsx&amp;sheet=U0&amp;row=1849&amp;col=6&amp;number=3.5&amp;sourceID=14","3.5")</f>
        <v>3.5</v>
      </c>
      <c r="G1849" s="4" t="str">
        <f>HYPERLINK("http://141.218.60.56/~jnz1568/getInfo.php?workbook=20_13.xlsx&amp;sheet=U0&amp;row=1849&amp;col=7&amp;number=0.0587&amp;sourceID=14","0.0587")</f>
        <v>0.0587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HYPERLINK("http://141.218.60.56/~jnz1568/getInfo.php?workbook=20_13.xlsx&amp;sheet=U0&amp;row=1850&amp;col=6&amp;number=3.6&amp;sourceID=14","3.6")</f>
        <v>3.6</v>
      </c>
      <c r="G1850" s="4" t="str">
        <f>HYPERLINK("http://141.218.60.56/~jnz1568/getInfo.php?workbook=20_13.xlsx&amp;sheet=U0&amp;row=1850&amp;col=7&amp;number=0.0585&amp;sourceID=14","0.0585")</f>
        <v>0.0585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HYPERLINK("http://141.218.60.56/~jnz1568/getInfo.php?workbook=20_13.xlsx&amp;sheet=U0&amp;row=1851&amp;col=6&amp;number=3.7&amp;sourceID=14","3.7")</f>
        <v>3.7</v>
      </c>
      <c r="G1851" s="4" t="str">
        <f>HYPERLINK("http://141.218.60.56/~jnz1568/getInfo.php?workbook=20_13.xlsx&amp;sheet=U0&amp;row=1851&amp;col=7&amp;number=0.0582&amp;sourceID=14","0.0582")</f>
        <v>0.0582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HYPERLINK("http://141.218.60.56/~jnz1568/getInfo.php?workbook=20_13.xlsx&amp;sheet=U0&amp;row=1852&amp;col=6&amp;number=3.8&amp;sourceID=14","3.8")</f>
        <v>3.8</v>
      </c>
      <c r="G1852" s="4" t="str">
        <f>HYPERLINK("http://141.218.60.56/~jnz1568/getInfo.php?workbook=20_13.xlsx&amp;sheet=U0&amp;row=1852&amp;col=7&amp;number=0.0579&amp;sourceID=14","0.0579")</f>
        <v>0.0579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HYPERLINK("http://141.218.60.56/~jnz1568/getInfo.php?workbook=20_13.xlsx&amp;sheet=U0&amp;row=1853&amp;col=6&amp;number=3.9&amp;sourceID=14","3.9")</f>
        <v>3.9</v>
      </c>
      <c r="G1853" s="4" t="str">
        <f>HYPERLINK("http://141.218.60.56/~jnz1568/getInfo.php?workbook=20_13.xlsx&amp;sheet=U0&amp;row=1853&amp;col=7&amp;number=0.0575&amp;sourceID=14","0.0575")</f>
        <v>0.0575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HYPERLINK("http://141.218.60.56/~jnz1568/getInfo.php?workbook=20_13.xlsx&amp;sheet=U0&amp;row=1854&amp;col=6&amp;number=4&amp;sourceID=14","4")</f>
        <v>4</v>
      </c>
      <c r="G1854" s="4" t="str">
        <f>HYPERLINK("http://141.218.60.56/~jnz1568/getInfo.php?workbook=20_13.xlsx&amp;sheet=U0&amp;row=1854&amp;col=7&amp;number=0.0569&amp;sourceID=14","0.0569")</f>
        <v>0.0569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HYPERLINK("http://141.218.60.56/~jnz1568/getInfo.php?workbook=20_13.xlsx&amp;sheet=U0&amp;row=1855&amp;col=6&amp;number=4.1&amp;sourceID=14","4.1")</f>
        <v>4.1</v>
      </c>
      <c r="G1855" s="4" t="str">
        <f>HYPERLINK("http://141.218.60.56/~jnz1568/getInfo.php?workbook=20_13.xlsx&amp;sheet=U0&amp;row=1855&amp;col=7&amp;number=0.0562&amp;sourceID=14","0.0562")</f>
        <v>0.0562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HYPERLINK("http://141.218.60.56/~jnz1568/getInfo.php?workbook=20_13.xlsx&amp;sheet=U0&amp;row=1856&amp;col=6&amp;number=4.2&amp;sourceID=14","4.2")</f>
        <v>4.2</v>
      </c>
      <c r="G1856" s="4" t="str">
        <f>HYPERLINK("http://141.218.60.56/~jnz1568/getInfo.php?workbook=20_13.xlsx&amp;sheet=U0&amp;row=1856&amp;col=7&amp;number=0.0554&amp;sourceID=14","0.0554")</f>
        <v>0.0554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HYPERLINK("http://141.218.60.56/~jnz1568/getInfo.php?workbook=20_13.xlsx&amp;sheet=U0&amp;row=1857&amp;col=6&amp;number=4.3&amp;sourceID=14","4.3")</f>
        <v>4.3</v>
      </c>
      <c r="G1857" s="4" t="str">
        <f>HYPERLINK("http://141.218.60.56/~jnz1568/getInfo.php?workbook=20_13.xlsx&amp;sheet=U0&amp;row=1857&amp;col=7&amp;number=0.0544&amp;sourceID=14","0.0544")</f>
        <v>0.0544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HYPERLINK("http://141.218.60.56/~jnz1568/getInfo.php?workbook=20_13.xlsx&amp;sheet=U0&amp;row=1858&amp;col=6&amp;number=4.4&amp;sourceID=14","4.4")</f>
        <v>4.4</v>
      </c>
      <c r="G1858" s="4" t="str">
        <f>HYPERLINK("http://141.218.60.56/~jnz1568/getInfo.php?workbook=20_13.xlsx&amp;sheet=U0&amp;row=1858&amp;col=7&amp;number=0.0531&amp;sourceID=14","0.0531")</f>
        <v>0.0531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HYPERLINK("http://141.218.60.56/~jnz1568/getInfo.php?workbook=20_13.xlsx&amp;sheet=U0&amp;row=1859&amp;col=6&amp;number=4.5&amp;sourceID=14","4.5")</f>
        <v>4.5</v>
      </c>
      <c r="G1859" s="4" t="str">
        <f>HYPERLINK("http://141.218.60.56/~jnz1568/getInfo.php?workbook=20_13.xlsx&amp;sheet=U0&amp;row=1859&amp;col=7&amp;number=0.0516&amp;sourceID=14","0.0516")</f>
        <v>0.0516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HYPERLINK("http://141.218.60.56/~jnz1568/getInfo.php?workbook=20_13.xlsx&amp;sheet=U0&amp;row=1860&amp;col=6&amp;number=4.6&amp;sourceID=14","4.6")</f>
        <v>4.6</v>
      </c>
      <c r="G1860" s="4" t="str">
        <f>HYPERLINK("http://141.218.60.56/~jnz1568/getInfo.php?workbook=20_13.xlsx&amp;sheet=U0&amp;row=1860&amp;col=7&amp;number=0.0497&amp;sourceID=14","0.0497")</f>
        <v>0.0497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HYPERLINK("http://141.218.60.56/~jnz1568/getInfo.php?workbook=20_13.xlsx&amp;sheet=U0&amp;row=1861&amp;col=6&amp;number=4.7&amp;sourceID=14","4.7")</f>
        <v>4.7</v>
      </c>
      <c r="G1861" s="4" t="str">
        <f>HYPERLINK("http://141.218.60.56/~jnz1568/getInfo.php?workbook=20_13.xlsx&amp;sheet=U0&amp;row=1861&amp;col=7&amp;number=0.0476&amp;sourceID=14","0.0476")</f>
        <v>0.0476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HYPERLINK("http://141.218.60.56/~jnz1568/getInfo.php?workbook=20_13.xlsx&amp;sheet=U0&amp;row=1862&amp;col=6&amp;number=4.8&amp;sourceID=14","4.8")</f>
        <v>4.8</v>
      </c>
      <c r="G1862" s="4" t="str">
        <f>HYPERLINK("http://141.218.60.56/~jnz1568/getInfo.php?workbook=20_13.xlsx&amp;sheet=U0&amp;row=1862&amp;col=7&amp;number=0.0452&amp;sourceID=14","0.0452")</f>
        <v>0.0452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HYPERLINK("http://141.218.60.56/~jnz1568/getInfo.php?workbook=20_13.xlsx&amp;sheet=U0&amp;row=1863&amp;col=6&amp;number=4.9&amp;sourceID=14","4.9")</f>
        <v>4.9</v>
      </c>
      <c r="G1863" s="4" t="str">
        <f>HYPERLINK("http://141.218.60.56/~jnz1568/getInfo.php?workbook=20_13.xlsx&amp;sheet=U0&amp;row=1863&amp;col=7&amp;number=0.0425&amp;sourceID=14","0.0425")</f>
        <v>0.0425</v>
      </c>
    </row>
    <row r="1864" spans="1:7">
      <c r="A1864" s="3">
        <v>20</v>
      </c>
      <c r="B1864" s="3">
        <v>13</v>
      </c>
      <c r="C1864" s="3">
        <v>19</v>
      </c>
      <c r="D1864" s="3">
        <v>21</v>
      </c>
      <c r="E1864" s="3">
        <v>1</v>
      </c>
      <c r="F1864" s="4" t="str">
        <f>HYPERLINK("http://141.218.60.56/~jnz1568/getInfo.php?workbook=20_13.xlsx&amp;sheet=U0&amp;row=1864&amp;col=6&amp;number=3&amp;sourceID=14","3")</f>
        <v>3</v>
      </c>
      <c r="G1864" s="4" t="str">
        <f>HYPERLINK("http://141.218.60.56/~jnz1568/getInfo.php?workbook=20_13.xlsx&amp;sheet=U0&amp;row=1864&amp;col=7&amp;number=0.299&amp;sourceID=14","0.299")</f>
        <v>0.299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HYPERLINK("http://141.218.60.56/~jnz1568/getInfo.php?workbook=20_13.xlsx&amp;sheet=U0&amp;row=1865&amp;col=6&amp;number=3.1&amp;sourceID=14","3.1")</f>
        <v>3.1</v>
      </c>
      <c r="G1865" s="4" t="str">
        <f>HYPERLINK("http://141.218.60.56/~jnz1568/getInfo.php?workbook=20_13.xlsx&amp;sheet=U0&amp;row=1865&amp;col=7&amp;number=0.299&amp;sourceID=14","0.299")</f>
        <v>0.299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HYPERLINK("http://141.218.60.56/~jnz1568/getInfo.php?workbook=20_13.xlsx&amp;sheet=U0&amp;row=1866&amp;col=6&amp;number=3.2&amp;sourceID=14","3.2")</f>
        <v>3.2</v>
      </c>
      <c r="G1866" s="4" t="str">
        <f>HYPERLINK("http://141.218.60.56/~jnz1568/getInfo.php?workbook=20_13.xlsx&amp;sheet=U0&amp;row=1866&amp;col=7&amp;number=0.298&amp;sourceID=14","0.298")</f>
        <v>0.298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HYPERLINK("http://141.218.60.56/~jnz1568/getInfo.php?workbook=20_13.xlsx&amp;sheet=U0&amp;row=1867&amp;col=6&amp;number=3.3&amp;sourceID=14","3.3")</f>
        <v>3.3</v>
      </c>
      <c r="G1867" s="4" t="str">
        <f>HYPERLINK("http://141.218.60.56/~jnz1568/getInfo.php?workbook=20_13.xlsx&amp;sheet=U0&amp;row=1867&amp;col=7&amp;number=0.297&amp;sourceID=14","0.297")</f>
        <v>0.297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HYPERLINK("http://141.218.60.56/~jnz1568/getInfo.php?workbook=20_13.xlsx&amp;sheet=U0&amp;row=1868&amp;col=6&amp;number=3.4&amp;sourceID=14","3.4")</f>
        <v>3.4</v>
      </c>
      <c r="G1868" s="4" t="str">
        <f>HYPERLINK("http://141.218.60.56/~jnz1568/getInfo.php?workbook=20_13.xlsx&amp;sheet=U0&amp;row=1868&amp;col=7&amp;number=0.296&amp;sourceID=14","0.296")</f>
        <v>0.296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HYPERLINK("http://141.218.60.56/~jnz1568/getInfo.php?workbook=20_13.xlsx&amp;sheet=U0&amp;row=1869&amp;col=6&amp;number=3.5&amp;sourceID=14","3.5")</f>
        <v>3.5</v>
      </c>
      <c r="G1869" s="4" t="str">
        <f>HYPERLINK("http://141.218.60.56/~jnz1568/getInfo.php?workbook=20_13.xlsx&amp;sheet=U0&amp;row=1869&amp;col=7&amp;number=0.295&amp;sourceID=14","0.295")</f>
        <v>0.295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HYPERLINK("http://141.218.60.56/~jnz1568/getInfo.php?workbook=20_13.xlsx&amp;sheet=U0&amp;row=1870&amp;col=6&amp;number=3.6&amp;sourceID=14","3.6")</f>
        <v>3.6</v>
      </c>
      <c r="G1870" s="4" t="str">
        <f>HYPERLINK("http://141.218.60.56/~jnz1568/getInfo.php?workbook=20_13.xlsx&amp;sheet=U0&amp;row=1870&amp;col=7&amp;number=0.293&amp;sourceID=14","0.293")</f>
        <v>0.293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HYPERLINK("http://141.218.60.56/~jnz1568/getInfo.php?workbook=20_13.xlsx&amp;sheet=U0&amp;row=1871&amp;col=6&amp;number=3.7&amp;sourceID=14","3.7")</f>
        <v>3.7</v>
      </c>
      <c r="G1871" s="4" t="str">
        <f>HYPERLINK("http://141.218.60.56/~jnz1568/getInfo.php?workbook=20_13.xlsx&amp;sheet=U0&amp;row=1871&amp;col=7&amp;number=0.291&amp;sourceID=14","0.291")</f>
        <v>0.291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HYPERLINK("http://141.218.60.56/~jnz1568/getInfo.php?workbook=20_13.xlsx&amp;sheet=U0&amp;row=1872&amp;col=6&amp;number=3.8&amp;sourceID=14","3.8")</f>
        <v>3.8</v>
      </c>
      <c r="G1872" s="4" t="str">
        <f>HYPERLINK("http://141.218.60.56/~jnz1568/getInfo.php?workbook=20_13.xlsx&amp;sheet=U0&amp;row=1872&amp;col=7&amp;number=0.289&amp;sourceID=14","0.289")</f>
        <v>0.289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HYPERLINK("http://141.218.60.56/~jnz1568/getInfo.php?workbook=20_13.xlsx&amp;sheet=U0&amp;row=1873&amp;col=6&amp;number=3.9&amp;sourceID=14","3.9")</f>
        <v>3.9</v>
      </c>
      <c r="G1873" s="4" t="str">
        <f>HYPERLINK("http://141.218.60.56/~jnz1568/getInfo.php?workbook=20_13.xlsx&amp;sheet=U0&amp;row=1873&amp;col=7&amp;number=0.286&amp;sourceID=14","0.286")</f>
        <v>0.286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HYPERLINK("http://141.218.60.56/~jnz1568/getInfo.php?workbook=20_13.xlsx&amp;sheet=U0&amp;row=1874&amp;col=6&amp;number=4&amp;sourceID=14","4")</f>
        <v>4</v>
      </c>
      <c r="G1874" s="4" t="str">
        <f>HYPERLINK("http://141.218.60.56/~jnz1568/getInfo.php?workbook=20_13.xlsx&amp;sheet=U0&amp;row=1874&amp;col=7&amp;number=0.282&amp;sourceID=14","0.282")</f>
        <v>0.282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HYPERLINK("http://141.218.60.56/~jnz1568/getInfo.php?workbook=20_13.xlsx&amp;sheet=U0&amp;row=1875&amp;col=6&amp;number=4.1&amp;sourceID=14","4.1")</f>
        <v>4.1</v>
      </c>
      <c r="G1875" s="4" t="str">
        <f>HYPERLINK("http://141.218.60.56/~jnz1568/getInfo.php?workbook=20_13.xlsx&amp;sheet=U0&amp;row=1875&amp;col=7&amp;number=0.278&amp;sourceID=14","0.278")</f>
        <v>0.278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HYPERLINK("http://141.218.60.56/~jnz1568/getInfo.php?workbook=20_13.xlsx&amp;sheet=U0&amp;row=1876&amp;col=6&amp;number=4.2&amp;sourceID=14","4.2")</f>
        <v>4.2</v>
      </c>
      <c r="G1876" s="4" t="str">
        <f>HYPERLINK("http://141.218.60.56/~jnz1568/getInfo.php?workbook=20_13.xlsx&amp;sheet=U0&amp;row=1876&amp;col=7&amp;number=0.272&amp;sourceID=14","0.272")</f>
        <v>0.272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HYPERLINK("http://141.218.60.56/~jnz1568/getInfo.php?workbook=20_13.xlsx&amp;sheet=U0&amp;row=1877&amp;col=6&amp;number=4.3&amp;sourceID=14","4.3")</f>
        <v>4.3</v>
      </c>
      <c r="G1877" s="4" t="str">
        <f>HYPERLINK("http://141.218.60.56/~jnz1568/getInfo.php?workbook=20_13.xlsx&amp;sheet=U0&amp;row=1877&amp;col=7&amp;number=0.265&amp;sourceID=14","0.265")</f>
        <v>0.265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HYPERLINK("http://141.218.60.56/~jnz1568/getInfo.php?workbook=20_13.xlsx&amp;sheet=U0&amp;row=1878&amp;col=6&amp;number=4.4&amp;sourceID=14","4.4")</f>
        <v>4.4</v>
      </c>
      <c r="G1878" s="4" t="str">
        <f>HYPERLINK("http://141.218.60.56/~jnz1568/getInfo.php?workbook=20_13.xlsx&amp;sheet=U0&amp;row=1878&amp;col=7&amp;number=0.257&amp;sourceID=14","0.257")</f>
        <v>0.257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HYPERLINK("http://141.218.60.56/~jnz1568/getInfo.php?workbook=20_13.xlsx&amp;sheet=U0&amp;row=1879&amp;col=6&amp;number=4.5&amp;sourceID=14","4.5")</f>
        <v>4.5</v>
      </c>
      <c r="G1879" s="4" t="str">
        <f>HYPERLINK("http://141.218.60.56/~jnz1568/getInfo.php?workbook=20_13.xlsx&amp;sheet=U0&amp;row=1879&amp;col=7&amp;number=0.247&amp;sourceID=14","0.247")</f>
        <v>0.247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HYPERLINK("http://141.218.60.56/~jnz1568/getInfo.php?workbook=20_13.xlsx&amp;sheet=U0&amp;row=1880&amp;col=6&amp;number=4.6&amp;sourceID=14","4.6")</f>
        <v>4.6</v>
      </c>
      <c r="G1880" s="4" t="str">
        <f>HYPERLINK("http://141.218.60.56/~jnz1568/getInfo.php?workbook=20_13.xlsx&amp;sheet=U0&amp;row=1880&amp;col=7&amp;number=0.236&amp;sourceID=14","0.236")</f>
        <v>0.236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HYPERLINK("http://141.218.60.56/~jnz1568/getInfo.php?workbook=20_13.xlsx&amp;sheet=U0&amp;row=1881&amp;col=6&amp;number=4.7&amp;sourceID=14","4.7")</f>
        <v>4.7</v>
      </c>
      <c r="G1881" s="4" t="str">
        <f>HYPERLINK("http://141.218.60.56/~jnz1568/getInfo.php?workbook=20_13.xlsx&amp;sheet=U0&amp;row=1881&amp;col=7&amp;number=0.224&amp;sourceID=14","0.224")</f>
        <v>0.224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HYPERLINK("http://141.218.60.56/~jnz1568/getInfo.php?workbook=20_13.xlsx&amp;sheet=U0&amp;row=1882&amp;col=6&amp;number=4.8&amp;sourceID=14","4.8")</f>
        <v>4.8</v>
      </c>
      <c r="G1882" s="4" t="str">
        <f>HYPERLINK("http://141.218.60.56/~jnz1568/getInfo.php?workbook=20_13.xlsx&amp;sheet=U0&amp;row=1882&amp;col=7&amp;number=0.211&amp;sourceID=14","0.211")</f>
        <v>0.211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HYPERLINK("http://141.218.60.56/~jnz1568/getInfo.php?workbook=20_13.xlsx&amp;sheet=U0&amp;row=1883&amp;col=6&amp;number=4.9&amp;sourceID=14","4.9")</f>
        <v>4.9</v>
      </c>
      <c r="G1883" s="4" t="str">
        <f>HYPERLINK("http://141.218.60.56/~jnz1568/getInfo.php?workbook=20_13.xlsx&amp;sheet=U0&amp;row=1883&amp;col=7&amp;number=0.199&amp;sourceID=14","0.199")</f>
        <v>0.199</v>
      </c>
    </row>
    <row r="1884" spans="1:7">
      <c r="A1884" s="3">
        <v>20</v>
      </c>
      <c r="B1884" s="3">
        <v>13</v>
      </c>
      <c r="C1884" s="3">
        <v>20</v>
      </c>
      <c r="D1884" s="3">
        <v>21</v>
      </c>
      <c r="E1884" s="3">
        <v>1</v>
      </c>
      <c r="F1884" s="4" t="str">
        <f>HYPERLINK("http://141.218.60.56/~jnz1568/getInfo.php?workbook=20_13.xlsx&amp;sheet=U0&amp;row=1884&amp;col=6&amp;number=3&amp;sourceID=14","3")</f>
        <v>3</v>
      </c>
      <c r="G1884" s="4" t="str">
        <f>HYPERLINK("http://141.218.60.56/~jnz1568/getInfo.php?workbook=20_13.xlsx&amp;sheet=U0&amp;row=1884&amp;col=7&amp;number=1.97&amp;sourceID=14","1.97")</f>
        <v>1.97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HYPERLINK("http://141.218.60.56/~jnz1568/getInfo.php?workbook=20_13.xlsx&amp;sheet=U0&amp;row=1885&amp;col=6&amp;number=3.1&amp;sourceID=14","3.1")</f>
        <v>3.1</v>
      </c>
      <c r="G1885" s="4" t="str">
        <f>HYPERLINK("http://141.218.60.56/~jnz1568/getInfo.php?workbook=20_13.xlsx&amp;sheet=U0&amp;row=1885&amp;col=7&amp;number=1.97&amp;sourceID=14","1.97")</f>
        <v>1.97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HYPERLINK("http://141.218.60.56/~jnz1568/getInfo.php?workbook=20_13.xlsx&amp;sheet=U0&amp;row=1886&amp;col=6&amp;number=3.2&amp;sourceID=14","3.2")</f>
        <v>3.2</v>
      </c>
      <c r="G1886" s="4" t="str">
        <f>HYPERLINK("http://141.218.60.56/~jnz1568/getInfo.php?workbook=20_13.xlsx&amp;sheet=U0&amp;row=1886&amp;col=7&amp;number=1.97&amp;sourceID=14","1.97")</f>
        <v>1.97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HYPERLINK("http://141.218.60.56/~jnz1568/getInfo.php?workbook=20_13.xlsx&amp;sheet=U0&amp;row=1887&amp;col=6&amp;number=3.3&amp;sourceID=14","3.3")</f>
        <v>3.3</v>
      </c>
      <c r="G1887" s="4" t="str">
        <f>HYPERLINK("http://141.218.60.56/~jnz1568/getInfo.php?workbook=20_13.xlsx&amp;sheet=U0&amp;row=1887&amp;col=7&amp;number=1.97&amp;sourceID=14","1.97")</f>
        <v>1.97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HYPERLINK("http://141.218.60.56/~jnz1568/getInfo.php?workbook=20_13.xlsx&amp;sheet=U0&amp;row=1888&amp;col=6&amp;number=3.4&amp;sourceID=14","3.4")</f>
        <v>3.4</v>
      </c>
      <c r="G1888" s="4" t="str">
        <f>HYPERLINK("http://141.218.60.56/~jnz1568/getInfo.php?workbook=20_13.xlsx&amp;sheet=U0&amp;row=1888&amp;col=7&amp;number=1.97&amp;sourceID=14","1.97")</f>
        <v>1.97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HYPERLINK("http://141.218.60.56/~jnz1568/getInfo.php?workbook=20_13.xlsx&amp;sheet=U0&amp;row=1889&amp;col=6&amp;number=3.5&amp;sourceID=14","3.5")</f>
        <v>3.5</v>
      </c>
      <c r="G1889" s="4" t="str">
        <f>HYPERLINK("http://141.218.60.56/~jnz1568/getInfo.php?workbook=20_13.xlsx&amp;sheet=U0&amp;row=1889&amp;col=7&amp;number=1.96&amp;sourceID=14","1.96")</f>
        <v>1.96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HYPERLINK("http://141.218.60.56/~jnz1568/getInfo.php?workbook=20_13.xlsx&amp;sheet=U0&amp;row=1890&amp;col=6&amp;number=3.6&amp;sourceID=14","3.6")</f>
        <v>3.6</v>
      </c>
      <c r="G1890" s="4" t="str">
        <f>HYPERLINK("http://141.218.60.56/~jnz1568/getInfo.php?workbook=20_13.xlsx&amp;sheet=U0&amp;row=1890&amp;col=7&amp;number=1.96&amp;sourceID=14","1.96")</f>
        <v>1.96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HYPERLINK("http://141.218.60.56/~jnz1568/getInfo.php?workbook=20_13.xlsx&amp;sheet=U0&amp;row=1891&amp;col=6&amp;number=3.7&amp;sourceID=14","3.7")</f>
        <v>3.7</v>
      </c>
      <c r="G1891" s="4" t="str">
        <f>HYPERLINK("http://141.218.60.56/~jnz1568/getInfo.php?workbook=20_13.xlsx&amp;sheet=U0&amp;row=1891&amp;col=7&amp;number=1.95&amp;sourceID=14","1.95")</f>
        <v>1.95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HYPERLINK("http://141.218.60.56/~jnz1568/getInfo.php?workbook=20_13.xlsx&amp;sheet=U0&amp;row=1892&amp;col=6&amp;number=3.8&amp;sourceID=14","3.8")</f>
        <v>3.8</v>
      </c>
      <c r="G1892" s="4" t="str">
        <f>HYPERLINK("http://141.218.60.56/~jnz1568/getInfo.php?workbook=20_13.xlsx&amp;sheet=U0&amp;row=1892&amp;col=7&amp;number=1.95&amp;sourceID=14","1.95")</f>
        <v>1.95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HYPERLINK("http://141.218.60.56/~jnz1568/getInfo.php?workbook=20_13.xlsx&amp;sheet=U0&amp;row=1893&amp;col=6&amp;number=3.9&amp;sourceID=14","3.9")</f>
        <v>3.9</v>
      </c>
      <c r="G1893" s="4" t="str">
        <f>HYPERLINK("http://141.218.60.56/~jnz1568/getInfo.php?workbook=20_13.xlsx&amp;sheet=U0&amp;row=1893&amp;col=7&amp;number=1.94&amp;sourceID=14","1.94")</f>
        <v>1.94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HYPERLINK("http://141.218.60.56/~jnz1568/getInfo.php?workbook=20_13.xlsx&amp;sheet=U0&amp;row=1894&amp;col=6&amp;number=4&amp;sourceID=14","4")</f>
        <v>4</v>
      </c>
      <c r="G1894" s="4" t="str">
        <f>HYPERLINK("http://141.218.60.56/~jnz1568/getInfo.php?workbook=20_13.xlsx&amp;sheet=U0&amp;row=1894&amp;col=7&amp;number=1.93&amp;sourceID=14","1.93")</f>
        <v>1.93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HYPERLINK("http://141.218.60.56/~jnz1568/getInfo.php?workbook=20_13.xlsx&amp;sheet=U0&amp;row=1895&amp;col=6&amp;number=4.1&amp;sourceID=14","4.1")</f>
        <v>4.1</v>
      </c>
      <c r="G1895" s="4" t="str">
        <f>HYPERLINK("http://141.218.60.56/~jnz1568/getInfo.php?workbook=20_13.xlsx&amp;sheet=U0&amp;row=1895&amp;col=7&amp;number=1.92&amp;sourceID=14","1.92")</f>
        <v>1.92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HYPERLINK("http://141.218.60.56/~jnz1568/getInfo.php?workbook=20_13.xlsx&amp;sheet=U0&amp;row=1896&amp;col=6&amp;number=4.2&amp;sourceID=14","4.2")</f>
        <v>4.2</v>
      </c>
      <c r="G1896" s="4" t="str">
        <f>HYPERLINK("http://141.218.60.56/~jnz1568/getInfo.php?workbook=20_13.xlsx&amp;sheet=U0&amp;row=1896&amp;col=7&amp;number=1.9&amp;sourceID=14","1.9")</f>
        <v>1.9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HYPERLINK("http://141.218.60.56/~jnz1568/getInfo.php?workbook=20_13.xlsx&amp;sheet=U0&amp;row=1897&amp;col=6&amp;number=4.3&amp;sourceID=14","4.3")</f>
        <v>4.3</v>
      </c>
      <c r="G1897" s="4" t="str">
        <f>HYPERLINK("http://141.218.60.56/~jnz1568/getInfo.php?workbook=20_13.xlsx&amp;sheet=U0&amp;row=1897&amp;col=7&amp;number=1.89&amp;sourceID=14","1.89")</f>
        <v>1.89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HYPERLINK("http://141.218.60.56/~jnz1568/getInfo.php?workbook=20_13.xlsx&amp;sheet=U0&amp;row=1898&amp;col=6&amp;number=4.4&amp;sourceID=14","4.4")</f>
        <v>4.4</v>
      </c>
      <c r="G1898" s="4" t="str">
        <f>HYPERLINK("http://141.218.60.56/~jnz1568/getInfo.php?workbook=20_13.xlsx&amp;sheet=U0&amp;row=1898&amp;col=7&amp;number=1.86&amp;sourceID=14","1.86")</f>
        <v>1.86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HYPERLINK("http://141.218.60.56/~jnz1568/getInfo.php?workbook=20_13.xlsx&amp;sheet=U0&amp;row=1899&amp;col=6&amp;number=4.5&amp;sourceID=14","4.5")</f>
        <v>4.5</v>
      </c>
      <c r="G1899" s="4" t="str">
        <f>HYPERLINK("http://141.218.60.56/~jnz1568/getInfo.php?workbook=20_13.xlsx&amp;sheet=U0&amp;row=1899&amp;col=7&amp;number=1.84&amp;sourceID=14","1.84")</f>
        <v>1.84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HYPERLINK("http://141.218.60.56/~jnz1568/getInfo.php?workbook=20_13.xlsx&amp;sheet=U0&amp;row=1900&amp;col=6&amp;number=4.6&amp;sourceID=14","4.6")</f>
        <v>4.6</v>
      </c>
      <c r="G1900" s="4" t="str">
        <f>HYPERLINK("http://141.218.60.56/~jnz1568/getInfo.php?workbook=20_13.xlsx&amp;sheet=U0&amp;row=1900&amp;col=7&amp;number=1.81&amp;sourceID=14","1.81")</f>
        <v>1.81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HYPERLINK("http://141.218.60.56/~jnz1568/getInfo.php?workbook=20_13.xlsx&amp;sheet=U0&amp;row=1901&amp;col=6&amp;number=4.7&amp;sourceID=14","4.7")</f>
        <v>4.7</v>
      </c>
      <c r="G1901" s="4" t="str">
        <f>HYPERLINK("http://141.218.60.56/~jnz1568/getInfo.php?workbook=20_13.xlsx&amp;sheet=U0&amp;row=1901&amp;col=7&amp;number=1.77&amp;sourceID=14","1.77")</f>
        <v>1.77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HYPERLINK("http://141.218.60.56/~jnz1568/getInfo.php?workbook=20_13.xlsx&amp;sheet=U0&amp;row=1902&amp;col=6&amp;number=4.8&amp;sourceID=14","4.8")</f>
        <v>4.8</v>
      </c>
      <c r="G1902" s="4" t="str">
        <f>HYPERLINK("http://141.218.60.56/~jnz1568/getInfo.php?workbook=20_13.xlsx&amp;sheet=U0&amp;row=1902&amp;col=7&amp;number=1.74&amp;sourceID=14","1.74")</f>
        <v>1.74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HYPERLINK("http://141.218.60.56/~jnz1568/getInfo.php?workbook=20_13.xlsx&amp;sheet=U0&amp;row=1903&amp;col=6&amp;number=4.9&amp;sourceID=14","4.9")</f>
        <v>4.9</v>
      </c>
      <c r="G1903" s="4" t="str">
        <f>HYPERLINK("http://141.218.60.56/~jnz1568/getInfo.php?workbook=20_13.xlsx&amp;sheet=U0&amp;row=1903&amp;col=7&amp;number=1.7&amp;sourceID=14","1.7")</f>
        <v>1.7</v>
      </c>
    </row>
    <row r="1904" spans="1:7">
      <c r="A1904" s="3">
        <v>20</v>
      </c>
      <c r="B1904" s="3">
        <v>13</v>
      </c>
      <c r="C1904" s="3">
        <v>21</v>
      </c>
      <c r="D1904" s="3">
        <v>22</v>
      </c>
      <c r="E1904" s="3">
        <v>1</v>
      </c>
      <c r="F1904" s="4" t="str">
        <f>HYPERLINK("http://141.218.60.56/~jnz1568/getInfo.php?workbook=20_13.xlsx&amp;sheet=U0&amp;row=1904&amp;col=6&amp;number=3&amp;sourceID=14","3")</f>
        <v>3</v>
      </c>
      <c r="G1904" s="4" t="str">
        <f>HYPERLINK("http://141.218.60.56/~jnz1568/getInfo.php?workbook=20_13.xlsx&amp;sheet=U0&amp;row=1904&amp;col=7&amp;number=1.3&amp;sourceID=14","1.3")</f>
        <v>1.3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HYPERLINK("http://141.218.60.56/~jnz1568/getInfo.php?workbook=20_13.xlsx&amp;sheet=U0&amp;row=1905&amp;col=6&amp;number=3.1&amp;sourceID=14","3.1")</f>
        <v>3.1</v>
      </c>
      <c r="G1905" s="4" t="str">
        <f>HYPERLINK("http://141.218.60.56/~jnz1568/getInfo.php?workbook=20_13.xlsx&amp;sheet=U0&amp;row=1905&amp;col=7&amp;number=1.3&amp;sourceID=14","1.3")</f>
        <v>1.3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HYPERLINK("http://141.218.60.56/~jnz1568/getInfo.php?workbook=20_13.xlsx&amp;sheet=U0&amp;row=1906&amp;col=6&amp;number=3.2&amp;sourceID=14","3.2")</f>
        <v>3.2</v>
      </c>
      <c r="G1906" s="4" t="str">
        <f>HYPERLINK("http://141.218.60.56/~jnz1568/getInfo.php?workbook=20_13.xlsx&amp;sheet=U0&amp;row=1906&amp;col=7&amp;number=1.3&amp;sourceID=14","1.3")</f>
        <v>1.3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HYPERLINK("http://141.218.60.56/~jnz1568/getInfo.php?workbook=20_13.xlsx&amp;sheet=U0&amp;row=1907&amp;col=6&amp;number=3.3&amp;sourceID=14","3.3")</f>
        <v>3.3</v>
      </c>
      <c r="G1907" s="4" t="str">
        <f>HYPERLINK("http://141.218.60.56/~jnz1568/getInfo.php?workbook=20_13.xlsx&amp;sheet=U0&amp;row=1907&amp;col=7&amp;number=1.3&amp;sourceID=14","1.3")</f>
        <v>1.3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HYPERLINK("http://141.218.60.56/~jnz1568/getInfo.php?workbook=20_13.xlsx&amp;sheet=U0&amp;row=1908&amp;col=6&amp;number=3.4&amp;sourceID=14","3.4")</f>
        <v>3.4</v>
      </c>
      <c r="G1908" s="4" t="str">
        <f>HYPERLINK("http://141.218.60.56/~jnz1568/getInfo.php?workbook=20_13.xlsx&amp;sheet=U0&amp;row=1908&amp;col=7&amp;number=1.3&amp;sourceID=14","1.3")</f>
        <v>1.3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HYPERLINK("http://141.218.60.56/~jnz1568/getInfo.php?workbook=20_13.xlsx&amp;sheet=U0&amp;row=1909&amp;col=6&amp;number=3.5&amp;sourceID=14","3.5")</f>
        <v>3.5</v>
      </c>
      <c r="G1909" s="4" t="str">
        <f>HYPERLINK("http://141.218.60.56/~jnz1568/getInfo.php?workbook=20_13.xlsx&amp;sheet=U0&amp;row=1909&amp;col=7&amp;number=1.3&amp;sourceID=14","1.3")</f>
        <v>1.3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HYPERLINK("http://141.218.60.56/~jnz1568/getInfo.php?workbook=20_13.xlsx&amp;sheet=U0&amp;row=1910&amp;col=6&amp;number=3.6&amp;sourceID=14","3.6")</f>
        <v>3.6</v>
      </c>
      <c r="G1910" s="4" t="str">
        <f>HYPERLINK("http://141.218.60.56/~jnz1568/getInfo.php?workbook=20_13.xlsx&amp;sheet=U0&amp;row=1910&amp;col=7&amp;number=1.3&amp;sourceID=14","1.3")</f>
        <v>1.3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HYPERLINK("http://141.218.60.56/~jnz1568/getInfo.php?workbook=20_13.xlsx&amp;sheet=U0&amp;row=1911&amp;col=6&amp;number=3.7&amp;sourceID=14","3.7")</f>
        <v>3.7</v>
      </c>
      <c r="G1911" s="4" t="str">
        <f>HYPERLINK("http://141.218.60.56/~jnz1568/getInfo.php?workbook=20_13.xlsx&amp;sheet=U0&amp;row=1911&amp;col=7&amp;number=1.3&amp;sourceID=14","1.3")</f>
        <v>1.3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HYPERLINK("http://141.218.60.56/~jnz1568/getInfo.php?workbook=20_13.xlsx&amp;sheet=U0&amp;row=1912&amp;col=6&amp;number=3.8&amp;sourceID=14","3.8")</f>
        <v>3.8</v>
      </c>
      <c r="G1912" s="4" t="str">
        <f>HYPERLINK("http://141.218.60.56/~jnz1568/getInfo.php?workbook=20_13.xlsx&amp;sheet=U0&amp;row=1912&amp;col=7&amp;number=1.3&amp;sourceID=14","1.3")</f>
        <v>1.3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HYPERLINK("http://141.218.60.56/~jnz1568/getInfo.php?workbook=20_13.xlsx&amp;sheet=U0&amp;row=1913&amp;col=6&amp;number=3.9&amp;sourceID=14","3.9")</f>
        <v>3.9</v>
      </c>
      <c r="G1913" s="4" t="str">
        <f>HYPERLINK("http://141.218.60.56/~jnz1568/getInfo.php?workbook=20_13.xlsx&amp;sheet=U0&amp;row=1913&amp;col=7&amp;number=1.3&amp;sourceID=14","1.3")</f>
        <v>1.3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HYPERLINK("http://141.218.60.56/~jnz1568/getInfo.php?workbook=20_13.xlsx&amp;sheet=U0&amp;row=1914&amp;col=6&amp;number=4&amp;sourceID=14","4")</f>
        <v>4</v>
      </c>
      <c r="G1914" s="4" t="str">
        <f>HYPERLINK("http://141.218.60.56/~jnz1568/getInfo.php?workbook=20_13.xlsx&amp;sheet=U0&amp;row=1914&amp;col=7&amp;number=1.3&amp;sourceID=14","1.3")</f>
        <v>1.3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HYPERLINK("http://141.218.60.56/~jnz1568/getInfo.php?workbook=20_13.xlsx&amp;sheet=U0&amp;row=1915&amp;col=6&amp;number=4.1&amp;sourceID=14","4.1")</f>
        <v>4.1</v>
      </c>
      <c r="G1915" s="4" t="str">
        <f>HYPERLINK("http://141.218.60.56/~jnz1568/getInfo.php?workbook=20_13.xlsx&amp;sheet=U0&amp;row=1915&amp;col=7&amp;number=1.3&amp;sourceID=14","1.3")</f>
        <v>1.3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HYPERLINK("http://141.218.60.56/~jnz1568/getInfo.php?workbook=20_13.xlsx&amp;sheet=U0&amp;row=1916&amp;col=6&amp;number=4.2&amp;sourceID=14","4.2")</f>
        <v>4.2</v>
      </c>
      <c r="G1916" s="4" t="str">
        <f>HYPERLINK("http://141.218.60.56/~jnz1568/getInfo.php?workbook=20_13.xlsx&amp;sheet=U0&amp;row=1916&amp;col=7&amp;number=1.3&amp;sourceID=14","1.3")</f>
        <v>1.3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HYPERLINK("http://141.218.60.56/~jnz1568/getInfo.php?workbook=20_13.xlsx&amp;sheet=U0&amp;row=1917&amp;col=6&amp;number=4.3&amp;sourceID=14","4.3")</f>
        <v>4.3</v>
      </c>
      <c r="G1917" s="4" t="str">
        <f>HYPERLINK("http://141.218.60.56/~jnz1568/getInfo.php?workbook=20_13.xlsx&amp;sheet=U0&amp;row=1917&amp;col=7&amp;number=1.3&amp;sourceID=14","1.3")</f>
        <v>1.3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HYPERLINK("http://141.218.60.56/~jnz1568/getInfo.php?workbook=20_13.xlsx&amp;sheet=U0&amp;row=1918&amp;col=6&amp;number=4.4&amp;sourceID=14","4.4")</f>
        <v>4.4</v>
      </c>
      <c r="G1918" s="4" t="str">
        <f>HYPERLINK("http://141.218.60.56/~jnz1568/getInfo.php?workbook=20_13.xlsx&amp;sheet=U0&amp;row=1918&amp;col=7&amp;number=1.3&amp;sourceID=14","1.3")</f>
        <v>1.3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HYPERLINK("http://141.218.60.56/~jnz1568/getInfo.php?workbook=20_13.xlsx&amp;sheet=U0&amp;row=1919&amp;col=6&amp;number=4.5&amp;sourceID=14","4.5")</f>
        <v>4.5</v>
      </c>
      <c r="G1919" s="4" t="str">
        <f>HYPERLINK("http://141.218.60.56/~jnz1568/getInfo.php?workbook=20_13.xlsx&amp;sheet=U0&amp;row=1919&amp;col=7&amp;number=1.3&amp;sourceID=14","1.3")</f>
        <v>1.3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HYPERLINK("http://141.218.60.56/~jnz1568/getInfo.php?workbook=20_13.xlsx&amp;sheet=U0&amp;row=1920&amp;col=6&amp;number=4.6&amp;sourceID=14","4.6")</f>
        <v>4.6</v>
      </c>
      <c r="G1920" s="4" t="str">
        <f>HYPERLINK("http://141.218.60.56/~jnz1568/getInfo.php?workbook=20_13.xlsx&amp;sheet=U0&amp;row=1920&amp;col=7&amp;number=1.3&amp;sourceID=14","1.3")</f>
        <v>1.3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HYPERLINK("http://141.218.60.56/~jnz1568/getInfo.php?workbook=20_13.xlsx&amp;sheet=U0&amp;row=1921&amp;col=6&amp;number=4.7&amp;sourceID=14","4.7")</f>
        <v>4.7</v>
      </c>
      <c r="G1921" s="4" t="str">
        <f>HYPERLINK("http://141.218.60.56/~jnz1568/getInfo.php?workbook=20_13.xlsx&amp;sheet=U0&amp;row=1921&amp;col=7&amp;number=1.3&amp;sourceID=14","1.3")</f>
        <v>1.3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HYPERLINK("http://141.218.60.56/~jnz1568/getInfo.php?workbook=20_13.xlsx&amp;sheet=U0&amp;row=1922&amp;col=6&amp;number=4.8&amp;sourceID=14","4.8")</f>
        <v>4.8</v>
      </c>
      <c r="G1922" s="4" t="str">
        <f>HYPERLINK("http://141.218.60.56/~jnz1568/getInfo.php?workbook=20_13.xlsx&amp;sheet=U0&amp;row=1922&amp;col=7&amp;number=1.3&amp;sourceID=14","1.3")</f>
        <v>1.3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HYPERLINK("http://141.218.60.56/~jnz1568/getInfo.php?workbook=20_13.xlsx&amp;sheet=U0&amp;row=1923&amp;col=6&amp;number=4.9&amp;sourceID=14","4.9")</f>
        <v>4.9</v>
      </c>
      <c r="G1923" s="4" t="str">
        <f>HYPERLINK("http://141.218.60.56/~jnz1568/getInfo.php?workbook=20_13.xlsx&amp;sheet=U0&amp;row=1923&amp;col=7&amp;number=1.3&amp;sourceID=14","1.3")</f>
        <v>1.3</v>
      </c>
    </row>
    <row r="1924" spans="1:7">
      <c r="A1924" s="3">
        <v>20</v>
      </c>
      <c r="B1924" s="3">
        <v>13</v>
      </c>
      <c r="C1924" s="3">
        <v>21</v>
      </c>
      <c r="D1924" s="3">
        <v>23</v>
      </c>
      <c r="E1924" s="3">
        <v>1</v>
      </c>
      <c r="F1924" s="4" t="str">
        <f>HYPERLINK("http://141.218.60.56/~jnz1568/getInfo.php?workbook=20_13.xlsx&amp;sheet=U0&amp;row=1924&amp;col=6&amp;number=3&amp;sourceID=14","3")</f>
        <v>3</v>
      </c>
      <c r="G1924" s="4" t="str">
        <f>HYPERLINK("http://141.218.60.56/~jnz1568/getInfo.php?workbook=20_13.xlsx&amp;sheet=U0&amp;row=1924&amp;col=7&amp;number=0.111&amp;sourceID=14","0.111")</f>
        <v>0.111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HYPERLINK("http://141.218.60.56/~jnz1568/getInfo.php?workbook=20_13.xlsx&amp;sheet=U0&amp;row=1925&amp;col=6&amp;number=3.1&amp;sourceID=14","3.1")</f>
        <v>3.1</v>
      </c>
      <c r="G1925" s="4" t="str">
        <f>HYPERLINK("http://141.218.60.56/~jnz1568/getInfo.php?workbook=20_13.xlsx&amp;sheet=U0&amp;row=1925&amp;col=7&amp;number=0.111&amp;sourceID=14","0.111")</f>
        <v>0.111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HYPERLINK("http://141.218.60.56/~jnz1568/getInfo.php?workbook=20_13.xlsx&amp;sheet=U0&amp;row=1926&amp;col=6&amp;number=3.2&amp;sourceID=14","3.2")</f>
        <v>3.2</v>
      </c>
      <c r="G1926" s="4" t="str">
        <f>HYPERLINK("http://141.218.60.56/~jnz1568/getInfo.php?workbook=20_13.xlsx&amp;sheet=U0&amp;row=1926&amp;col=7&amp;number=0.111&amp;sourceID=14","0.111")</f>
        <v>0.111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HYPERLINK("http://141.218.60.56/~jnz1568/getInfo.php?workbook=20_13.xlsx&amp;sheet=U0&amp;row=1927&amp;col=6&amp;number=3.3&amp;sourceID=14","3.3")</f>
        <v>3.3</v>
      </c>
      <c r="G1927" s="4" t="str">
        <f>HYPERLINK("http://141.218.60.56/~jnz1568/getInfo.php?workbook=20_13.xlsx&amp;sheet=U0&amp;row=1927&amp;col=7&amp;number=0.111&amp;sourceID=14","0.111")</f>
        <v>0.111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HYPERLINK("http://141.218.60.56/~jnz1568/getInfo.php?workbook=20_13.xlsx&amp;sheet=U0&amp;row=1928&amp;col=6&amp;number=3.4&amp;sourceID=14","3.4")</f>
        <v>3.4</v>
      </c>
      <c r="G1928" s="4" t="str">
        <f>HYPERLINK("http://141.218.60.56/~jnz1568/getInfo.php?workbook=20_13.xlsx&amp;sheet=U0&amp;row=1928&amp;col=7&amp;number=0.111&amp;sourceID=14","0.111")</f>
        <v>0.111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HYPERLINK("http://141.218.60.56/~jnz1568/getInfo.php?workbook=20_13.xlsx&amp;sheet=U0&amp;row=1929&amp;col=6&amp;number=3.5&amp;sourceID=14","3.5")</f>
        <v>3.5</v>
      </c>
      <c r="G1929" s="4" t="str">
        <f>HYPERLINK("http://141.218.60.56/~jnz1568/getInfo.php?workbook=20_13.xlsx&amp;sheet=U0&amp;row=1929&amp;col=7&amp;number=0.111&amp;sourceID=14","0.111")</f>
        <v>0.111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HYPERLINK("http://141.218.60.56/~jnz1568/getInfo.php?workbook=20_13.xlsx&amp;sheet=U0&amp;row=1930&amp;col=6&amp;number=3.6&amp;sourceID=14","3.6")</f>
        <v>3.6</v>
      </c>
      <c r="G1930" s="4" t="str">
        <f>HYPERLINK("http://141.218.60.56/~jnz1568/getInfo.php?workbook=20_13.xlsx&amp;sheet=U0&amp;row=1930&amp;col=7&amp;number=0.111&amp;sourceID=14","0.111")</f>
        <v>0.111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HYPERLINK("http://141.218.60.56/~jnz1568/getInfo.php?workbook=20_13.xlsx&amp;sheet=U0&amp;row=1931&amp;col=6&amp;number=3.7&amp;sourceID=14","3.7")</f>
        <v>3.7</v>
      </c>
      <c r="G1931" s="4" t="str">
        <f>HYPERLINK("http://141.218.60.56/~jnz1568/getInfo.php?workbook=20_13.xlsx&amp;sheet=U0&amp;row=1931&amp;col=7&amp;number=0.11&amp;sourceID=14","0.11")</f>
        <v>0.11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HYPERLINK("http://141.218.60.56/~jnz1568/getInfo.php?workbook=20_13.xlsx&amp;sheet=U0&amp;row=1932&amp;col=6&amp;number=3.8&amp;sourceID=14","3.8")</f>
        <v>3.8</v>
      </c>
      <c r="G1932" s="4" t="str">
        <f>HYPERLINK("http://141.218.60.56/~jnz1568/getInfo.php?workbook=20_13.xlsx&amp;sheet=U0&amp;row=1932&amp;col=7&amp;number=0.11&amp;sourceID=14","0.11")</f>
        <v>0.11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HYPERLINK("http://141.218.60.56/~jnz1568/getInfo.php?workbook=20_13.xlsx&amp;sheet=U0&amp;row=1933&amp;col=6&amp;number=3.9&amp;sourceID=14","3.9")</f>
        <v>3.9</v>
      </c>
      <c r="G1933" s="4" t="str">
        <f>HYPERLINK("http://141.218.60.56/~jnz1568/getInfo.php?workbook=20_13.xlsx&amp;sheet=U0&amp;row=1933&amp;col=7&amp;number=0.109&amp;sourceID=14","0.109")</f>
        <v>0.109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HYPERLINK("http://141.218.60.56/~jnz1568/getInfo.php?workbook=20_13.xlsx&amp;sheet=U0&amp;row=1934&amp;col=6&amp;number=4&amp;sourceID=14","4")</f>
        <v>4</v>
      </c>
      <c r="G1934" s="4" t="str">
        <f>HYPERLINK("http://141.218.60.56/~jnz1568/getInfo.php?workbook=20_13.xlsx&amp;sheet=U0&amp;row=1934&amp;col=7&amp;number=0.109&amp;sourceID=14","0.109")</f>
        <v>0.109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HYPERLINK("http://141.218.60.56/~jnz1568/getInfo.php?workbook=20_13.xlsx&amp;sheet=U0&amp;row=1935&amp;col=6&amp;number=4.1&amp;sourceID=14","4.1")</f>
        <v>4.1</v>
      </c>
      <c r="G1935" s="4" t="str">
        <f>HYPERLINK("http://141.218.60.56/~jnz1568/getInfo.php?workbook=20_13.xlsx&amp;sheet=U0&amp;row=1935&amp;col=7&amp;number=0.108&amp;sourceID=14","0.108")</f>
        <v>0.108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HYPERLINK("http://141.218.60.56/~jnz1568/getInfo.php?workbook=20_13.xlsx&amp;sheet=U0&amp;row=1936&amp;col=6&amp;number=4.2&amp;sourceID=14","4.2")</f>
        <v>4.2</v>
      </c>
      <c r="G1936" s="4" t="str">
        <f>HYPERLINK("http://141.218.60.56/~jnz1568/getInfo.php?workbook=20_13.xlsx&amp;sheet=U0&amp;row=1936&amp;col=7&amp;number=0.107&amp;sourceID=14","0.107")</f>
        <v>0.107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HYPERLINK("http://141.218.60.56/~jnz1568/getInfo.php?workbook=20_13.xlsx&amp;sheet=U0&amp;row=1937&amp;col=6&amp;number=4.3&amp;sourceID=14","4.3")</f>
        <v>4.3</v>
      </c>
      <c r="G1937" s="4" t="str">
        <f>HYPERLINK("http://141.218.60.56/~jnz1568/getInfo.php?workbook=20_13.xlsx&amp;sheet=U0&amp;row=1937&amp;col=7&amp;number=0.106&amp;sourceID=14","0.106")</f>
        <v>0.106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HYPERLINK("http://141.218.60.56/~jnz1568/getInfo.php?workbook=20_13.xlsx&amp;sheet=U0&amp;row=1938&amp;col=6&amp;number=4.4&amp;sourceID=14","4.4")</f>
        <v>4.4</v>
      </c>
      <c r="G1938" s="4" t="str">
        <f>HYPERLINK("http://141.218.60.56/~jnz1568/getInfo.php?workbook=20_13.xlsx&amp;sheet=U0&amp;row=1938&amp;col=7&amp;number=0.105&amp;sourceID=14","0.105")</f>
        <v>0.105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HYPERLINK("http://141.218.60.56/~jnz1568/getInfo.php?workbook=20_13.xlsx&amp;sheet=U0&amp;row=1939&amp;col=6&amp;number=4.5&amp;sourceID=14","4.5")</f>
        <v>4.5</v>
      </c>
      <c r="G1939" s="4" t="str">
        <f>HYPERLINK("http://141.218.60.56/~jnz1568/getInfo.php?workbook=20_13.xlsx&amp;sheet=U0&amp;row=1939&amp;col=7&amp;number=0.103&amp;sourceID=14","0.103")</f>
        <v>0.103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HYPERLINK("http://141.218.60.56/~jnz1568/getInfo.php?workbook=20_13.xlsx&amp;sheet=U0&amp;row=1940&amp;col=6&amp;number=4.6&amp;sourceID=14","4.6")</f>
        <v>4.6</v>
      </c>
      <c r="G1940" s="4" t="str">
        <f>HYPERLINK("http://141.218.60.56/~jnz1568/getInfo.php?workbook=20_13.xlsx&amp;sheet=U0&amp;row=1940&amp;col=7&amp;number=0.101&amp;sourceID=14","0.101")</f>
        <v>0.101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HYPERLINK("http://141.218.60.56/~jnz1568/getInfo.php?workbook=20_13.xlsx&amp;sheet=U0&amp;row=1941&amp;col=6&amp;number=4.7&amp;sourceID=14","4.7")</f>
        <v>4.7</v>
      </c>
      <c r="G1941" s="4" t="str">
        <f>HYPERLINK("http://141.218.60.56/~jnz1568/getInfo.php?workbook=20_13.xlsx&amp;sheet=U0&amp;row=1941&amp;col=7&amp;number=0.0989&amp;sourceID=14","0.0989")</f>
        <v>0.0989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HYPERLINK("http://141.218.60.56/~jnz1568/getInfo.php?workbook=20_13.xlsx&amp;sheet=U0&amp;row=1942&amp;col=6&amp;number=4.8&amp;sourceID=14","4.8")</f>
        <v>4.8</v>
      </c>
      <c r="G1942" s="4" t="str">
        <f>HYPERLINK("http://141.218.60.56/~jnz1568/getInfo.php?workbook=20_13.xlsx&amp;sheet=U0&amp;row=1942&amp;col=7&amp;number=0.0961&amp;sourceID=14","0.0961")</f>
        <v>0.0961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HYPERLINK("http://141.218.60.56/~jnz1568/getInfo.php?workbook=20_13.xlsx&amp;sheet=U0&amp;row=1943&amp;col=6&amp;number=4.9&amp;sourceID=14","4.9")</f>
        <v>4.9</v>
      </c>
      <c r="G1943" s="4" t="str">
        <f>HYPERLINK("http://141.218.60.56/~jnz1568/getInfo.php?workbook=20_13.xlsx&amp;sheet=U0&amp;row=1943&amp;col=7&amp;number=0.093&amp;sourceID=14","0.093")</f>
        <v>0.093</v>
      </c>
    </row>
    <row r="1944" spans="1:7">
      <c r="A1944" s="3">
        <v>20</v>
      </c>
      <c r="B1944" s="3">
        <v>13</v>
      </c>
      <c r="C1944" s="3">
        <v>21</v>
      </c>
      <c r="D1944" s="3">
        <v>24</v>
      </c>
      <c r="E1944" s="3">
        <v>1</v>
      </c>
      <c r="F1944" s="4" t="str">
        <f>HYPERLINK("http://141.218.60.56/~jnz1568/getInfo.php?workbook=20_13.xlsx&amp;sheet=U0&amp;row=1944&amp;col=6&amp;number=3&amp;sourceID=14","3")</f>
        <v>3</v>
      </c>
      <c r="G1944" s="4" t="str">
        <f>HYPERLINK("http://141.218.60.56/~jnz1568/getInfo.php?workbook=20_13.xlsx&amp;sheet=U0&amp;row=1944&amp;col=7&amp;number=0.067&amp;sourceID=14","0.067")</f>
        <v>0.067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HYPERLINK("http://141.218.60.56/~jnz1568/getInfo.php?workbook=20_13.xlsx&amp;sheet=U0&amp;row=1945&amp;col=6&amp;number=3.1&amp;sourceID=14","3.1")</f>
        <v>3.1</v>
      </c>
      <c r="G1945" s="4" t="str">
        <f>HYPERLINK("http://141.218.60.56/~jnz1568/getInfo.php?workbook=20_13.xlsx&amp;sheet=U0&amp;row=1945&amp;col=7&amp;number=0.0669&amp;sourceID=14","0.0669")</f>
        <v>0.0669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HYPERLINK("http://141.218.60.56/~jnz1568/getInfo.php?workbook=20_13.xlsx&amp;sheet=U0&amp;row=1946&amp;col=6&amp;number=3.2&amp;sourceID=14","3.2")</f>
        <v>3.2</v>
      </c>
      <c r="G1946" s="4" t="str">
        <f>HYPERLINK("http://141.218.60.56/~jnz1568/getInfo.php?workbook=20_13.xlsx&amp;sheet=U0&amp;row=1946&amp;col=7&amp;number=0.0669&amp;sourceID=14","0.0669")</f>
        <v>0.0669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HYPERLINK("http://141.218.60.56/~jnz1568/getInfo.php?workbook=20_13.xlsx&amp;sheet=U0&amp;row=1947&amp;col=6&amp;number=3.3&amp;sourceID=14","3.3")</f>
        <v>3.3</v>
      </c>
      <c r="G1947" s="4" t="str">
        <f>HYPERLINK("http://141.218.60.56/~jnz1568/getInfo.php?workbook=20_13.xlsx&amp;sheet=U0&amp;row=1947&amp;col=7&amp;number=0.0668&amp;sourceID=14","0.0668")</f>
        <v>0.0668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HYPERLINK("http://141.218.60.56/~jnz1568/getInfo.php?workbook=20_13.xlsx&amp;sheet=U0&amp;row=1948&amp;col=6&amp;number=3.4&amp;sourceID=14","3.4")</f>
        <v>3.4</v>
      </c>
      <c r="G1948" s="4" t="str">
        <f>HYPERLINK("http://141.218.60.56/~jnz1568/getInfo.php?workbook=20_13.xlsx&amp;sheet=U0&amp;row=1948&amp;col=7&amp;number=0.0668&amp;sourceID=14","0.0668")</f>
        <v>0.0668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HYPERLINK("http://141.218.60.56/~jnz1568/getInfo.php?workbook=20_13.xlsx&amp;sheet=U0&amp;row=1949&amp;col=6&amp;number=3.5&amp;sourceID=14","3.5")</f>
        <v>3.5</v>
      </c>
      <c r="G1949" s="4" t="str">
        <f>HYPERLINK("http://141.218.60.56/~jnz1568/getInfo.php?workbook=20_13.xlsx&amp;sheet=U0&amp;row=1949&amp;col=7&amp;number=0.0667&amp;sourceID=14","0.0667")</f>
        <v>0.0667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HYPERLINK("http://141.218.60.56/~jnz1568/getInfo.php?workbook=20_13.xlsx&amp;sheet=U0&amp;row=1950&amp;col=6&amp;number=3.6&amp;sourceID=14","3.6")</f>
        <v>3.6</v>
      </c>
      <c r="G1950" s="4" t="str">
        <f>HYPERLINK("http://141.218.60.56/~jnz1568/getInfo.php?workbook=20_13.xlsx&amp;sheet=U0&amp;row=1950&amp;col=7&amp;number=0.0666&amp;sourceID=14","0.0666")</f>
        <v>0.0666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HYPERLINK("http://141.218.60.56/~jnz1568/getInfo.php?workbook=20_13.xlsx&amp;sheet=U0&amp;row=1951&amp;col=6&amp;number=3.7&amp;sourceID=14","3.7")</f>
        <v>3.7</v>
      </c>
      <c r="G1951" s="4" t="str">
        <f>HYPERLINK("http://141.218.60.56/~jnz1568/getInfo.php?workbook=20_13.xlsx&amp;sheet=U0&amp;row=1951&amp;col=7&amp;number=0.0664&amp;sourceID=14","0.0664")</f>
        <v>0.0664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HYPERLINK("http://141.218.60.56/~jnz1568/getInfo.php?workbook=20_13.xlsx&amp;sheet=U0&amp;row=1952&amp;col=6&amp;number=3.8&amp;sourceID=14","3.8")</f>
        <v>3.8</v>
      </c>
      <c r="G1952" s="4" t="str">
        <f>HYPERLINK("http://141.218.60.56/~jnz1568/getInfo.php?workbook=20_13.xlsx&amp;sheet=U0&amp;row=1952&amp;col=7&amp;number=0.0662&amp;sourceID=14","0.0662")</f>
        <v>0.0662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HYPERLINK("http://141.218.60.56/~jnz1568/getInfo.php?workbook=20_13.xlsx&amp;sheet=U0&amp;row=1953&amp;col=6&amp;number=3.9&amp;sourceID=14","3.9")</f>
        <v>3.9</v>
      </c>
      <c r="G1953" s="4" t="str">
        <f>HYPERLINK("http://141.218.60.56/~jnz1568/getInfo.php?workbook=20_13.xlsx&amp;sheet=U0&amp;row=1953&amp;col=7&amp;number=0.066&amp;sourceID=14","0.066")</f>
        <v>0.066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HYPERLINK("http://141.218.60.56/~jnz1568/getInfo.php?workbook=20_13.xlsx&amp;sheet=U0&amp;row=1954&amp;col=6&amp;number=4&amp;sourceID=14","4")</f>
        <v>4</v>
      </c>
      <c r="G1954" s="4" t="str">
        <f>HYPERLINK("http://141.218.60.56/~jnz1568/getInfo.php?workbook=20_13.xlsx&amp;sheet=U0&amp;row=1954&amp;col=7&amp;number=0.0657&amp;sourceID=14","0.0657")</f>
        <v>0.0657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HYPERLINK("http://141.218.60.56/~jnz1568/getInfo.php?workbook=20_13.xlsx&amp;sheet=U0&amp;row=1955&amp;col=6&amp;number=4.1&amp;sourceID=14","4.1")</f>
        <v>4.1</v>
      </c>
      <c r="G1955" s="4" t="str">
        <f>HYPERLINK("http://141.218.60.56/~jnz1568/getInfo.php?workbook=20_13.xlsx&amp;sheet=U0&amp;row=1955&amp;col=7&amp;number=0.0654&amp;sourceID=14","0.0654")</f>
        <v>0.0654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HYPERLINK("http://141.218.60.56/~jnz1568/getInfo.php?workbook=20_13.xlsx&amp;sheet=U0&amp;row=1956&amp;col=6&amp;number=4.2&amp;sourceID=14","4.2")</f>
        <v>4.2</v>
      </c>
      <c r="G1956" s="4" t="str">
        <f>HYPERLINK("http://141.218.60.56/~jnz1568/getInfo.php?workbook=20_13.xlsx&amp;sheet=U0&amp;row=1956&amp;col=7&amp;number=0.065&amp;sourceID=14","0.065")</f>
        <v>0.065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HYPERLINK("http://141.218.60.56/~jnz1568/getInfo.php?workbook=20_13.xlsx&amp;sheet=U0&amp;row=1957&amp;col=6&amp;number=4.3&amp;sourceID=14","4.3")</f>
        <v>4.3</v>
      </c>
      <c r="G1957" s="4" t="str">
        <f>HYPERLINK("http://141.218.60.56/~jnz1568/getInfo.php?workbook=20_13.xlsx&amp;sheet=U0&amp;row=1957&amp;col=7&amp;number=0.0644&amp;sourceID=14","0.0644")</f>
        <v>0.0644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HYPERLINK("http://141.218.60.56/~jnz1568/getInfo.php?workbook=20_13.xlsx&amp;sheet=U0&amp;row=1958&amp;col=6&amp;number=4.4&amp;sourceID=14","4.4")</f>
        <v>4.4</v>
      </c>
      <c r="G1958" s="4" t="str">
        <f>HYPERLINK("http://141.218.60.56/~jnz1568/getInfo.php?workbook=20_13.xlsx&amp;sheet=U0&amp;row=1958&amp;col=7&amp;number=0.0638&amp;sourceID=14","0.0638")</f>
        <v>0.0638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HYPERLINK("http://141.218.60.56/~jnz1568/getInfo.php?workbook=20_13.xlsx&amp;sheet=U0&amp;row=1959&amp;col=6&amp;number=4.5&amp;sourceID=14","4.5")</f>
        <v>4.5</v>
      </c>
      <c r="G1959" s="4" t="str">
        <f>HYPERLINK("http://141.218.60.56/~jnz1568/getInfo.php?workbook=20_13.xlsx&amp;sheet=U0&amp;row=1959&amp;col=7&amp;number=0.063&amp;sourceID=14","0.063")</f>
        <v>0.063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HYPERLINK("http://141.218.60.56/~jnz1568/getInfo.php?workbook=20_13.xlsx&amp;sheet=U0&amp;row=1960&amp;col=6&amp;number=4.6&amp;sourceID=14","4.6")</f>
        <v>4.6</v>
      </c>
      <c r="G1960" s="4" t="str">
        <f>HYPERLINK("http://141.218.60.56/~jnz1568/getInfo.php?workbook=20_13.xlsx&amp;sheet=U0&amp;row=1960&amp;col=7&amp;number=0.062&amp;sourceID=14","0.062")</f>
        <v>0.062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HYPERLINK("http://141.218.60.56/~jnz1568/getInfo.php?workbook=20_13.xlsx&amp;sheet=U0&amp;row=1961&amp;col=6&amp;number=4.7&amp;sourceID=14","4.7")</f>
        <v>4.7</v>
      </c>
      <c r="G1961" s="4" t="str">
        <f>HYPERLINK("http://141.218.60.56/~jnz1568/getInfo.php?workbook=20_13.xlsx&amp;sheet=U0&amp;row=1961&amp;col=7&amp;number=0.0608&amp;sourceID=14","0.0608")</f>
        <v>0.0608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HYPERLINK("http://141.218.60.56/~jnz1568/getInfo.php?workbook=20_13.xlsx&amp;sheet=U0&amp;row=1962&amp;col=6&amp;number=4.8&amp;sourceID=14","4.8")</f>
        <v>4.8</v>
      </c>
      <c r="G1962" s="4" t="str">
        <f>HYPERLINK("http://141.218.60.56/~jnz1568/getInfo.php?workbook=20_13.xlsx&amp;sheet=U0&amp;row=1962&amp;col=7&amp;number=0.0594&amp;sourceID=14","0.0594")</f>
        <v>0.0594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HYPERLINK("http://141.218.60.56/~jnz1568/getInfo.php?workbook=20_13.xlsx&amp;sheet=U0&amp;row=1963&amp;col=6&amp;number=4.9&amp;sourceID=14","4.9")</f>
        <v>4.9</v>
      </c>
      <c r="G1963" s="4" t="str">
        <f>HYPERLINK("http://141.218.60.56/~jnz1568/getInfo.php?workbook=20_13.xlsx&amp;sheet=U0&amp;row=1963&amp;col=7&amp;number=0.0578&amp;sourceID=14","0.0578")</f>
        <v>0.0578</v>
      </c>
    </row>
    <row r="1964" spans="1:7">
      <c r="A1964" s="3">
        <v>20</v>
      </c>
      <c r="B1964" s="3">
        <v>13</v>
      </c>
      <c r="C1964" s="3">
        <v>21</v>
      </c>
      <c r="D1964" s="3">
        <v>25</v>
      </c>
      <c r="E1964" s="3">
        <v>1</v>
      </c>
      <c r="F1964" s="4" t="str">
        <f>HYPERLINK("http://141.218.60.56/~jnz1568/getInfo.php?workbook=20_13.xlsx&amp;sheet=U0&amp;row=1964&amp;col=6&amp;number=3&amp;sourceID=14","3")</f>
        <v>3</v>
      </c>
      <c r="G1964" s="4" t="str">
        <f>HYPERLINK("http://141.218.60.56/~jnz1568/getInfo.php?workbook=20_13.xlsx&amp;sheet=U0&amp;row=1964&amp;col=7&amp;number=0.0421&amp;sourceID=14","0.0421")</f>
        <v>0.0421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HYPERLINK("http://141.218.60.56/~jnz1568/getInfo.php?workbook=20_13.xlsx&amp;sheet=U0&amp;row=1965&amp;col=6&amp;number=3.1&amp;sourceID=14","3.1")</f>
        <v>3.1</v>
      </c>
      <c r="G1965" s="4" t="str">
        <f>HYPERLINK("http://141.218.60.56/~jnz1568/getInfo.php?workbook=20_13.xlsx&amp;sheet=U0&amp;row=1965&amp;col=7&amp;number=0.0421&amp;sourceID=14","0.0421")</f>
        <v>0.0421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HYPERLINK("http://141.218.60.56/~jnz1568/getInfo.php?workbook=20_13.xlsx&amp;sheet=U0&amp;row=1966&amp;col=6&amp;number=3.2&amp;sourceID=14","3.2")</f>
        <v>3.2</v>
      </c>
      <c r="G1966" s="4" t="str">
        <f>HYPERLINK("http://141.218.60.56/~jnz1568/getInfo.php?workbook=20_13.xlsx&amp;sheet=U0&amp;row=1966&amp;col=7&amp;number=0.0421&amp;sourceID=14","0.0421")</f>
        <v>0.0421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HYPERLINK("http://141.218.60.56/~jnz1568/getInfo.php?workbook=20_13.xlsx&amp;sheet=U0&amp;row=1967&amp;col=6&amp;number=3.3&amp;sourceID=14","3.3")</f>
        <v>3.3</v>
      </c>
      <c r="G1967" s="4" t="str">
        <f>HYPERLINK("http://141.218.60.56/~jnz1568/getInfo.php?workbook=20_13.xlsx&amp;sheet=U0&amp;row=1967&amp;col=7&amp;number=0.0421&amp;sourceID=14","0.0421")</f>
        <v>0.0421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HYPERLINK("http://141.218.60.56/~jnz1568/getInfo.php?workbook=20_13.xlsx&amp;sheet=U0&amp;row=1968&amp;col=6&amp;number=3.4&amp;sourceID=14","3.4")</f>
        <v>3.4</v>
      </c>
      <c r="G1968" s="4" t="str">
        <f>HYPERLINK("http://141.218.60.56/~jnz1568/getInfo.php?workbook=20_13.xlsx&amp;sheet=U0&amp;row=1968&amp;col=7&amp;number=0.042&amp;sourceID=14","0.042")</f>
        <v>0.042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HYPERLINK("http://141.218.60.56/~jnz1568/getInfo.php?workbook=20_13.xlsx&amp;sheet=U0&amp;row=1969&amp;col=6&amp;number=3.5&amp;sourceID=14","3.5")</f>
        <v>3.5</v>
      </c>
      <c r="G1969" s="4" t="str">
        <f>HYPERLINK("http://141.218.60.56/~jnz1568/getInfo.php?workbook=20_13.xlsx&amp;sheet=U0&amp;row=1969&amp;col=7&amp;number=0.042&amp;sourceID=14","0.042")</f>
        <v>0.042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HYPERLINK("http://141.218.60.56/~jnz1568/getInfo.php?workbook=20_13.xlsx&amp;sheet=U0&amp;row=1970&amp;col=6&amp;number=3.6&amp;sourceID=14","3.6")</f>
        <v>3.6</v>
      </c>
      <c r="G1970" s="4" t="str">
        <f>HYPERLINK("http://141.218.60.56/~jnz1568/getInfo.php?workbook=20_13.xlsx&amp;sheet=U0&amp;row=1970&amp;col=7&amp;number=0.0419&amp;sourceID=14","0.0419")</f>
        <v>0.0419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HYPERLINK("http://141.218.60.56/~jnz1568/getInfo.php?workbook=20_13.xlsx&amp;sheet=U0&amp;row=1971&amp;col=6&amp;number=3.7&amp;sourceID=14","3.7")</f>
        <v>3.7</v>
      </c>
      <c r="G1971" s="4" t="str">
        <f>HYPERLINK("http://141.218.60.56/~jnz1568/getInfo.php?workbook=20_13.xlsx&amp;sheet=U0&amp;row=1971&amp;col=7&amp;number=0.0419&amp;sourceID=14","0.0419")</f>
        <v>0.0419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HYPERLINK("http://141.218.60.56/~jnz1568/getInfo.php?workbook=20_13.xlsx&amp;sheet=U0&amp;row=1972&amp;col=6&amp;number=3.8&amp;sourceID=14","3.8")</f>
        <v>3.8</v>
      </c>
      <c r="G1972" s="4" t="str">
        <f>HYPERLINK("http://141.218.60.56/~jnz1568/getInfo.php?workbook=20_13.xlsx&amp;sheet=U0&amp;row=1972&amp;col=7&amp;number=0.0418&amp;sourceID=14","0.0418")</f>
        <v>0.0418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HYPERLINK("http://141.218.60.56/~jnz1568/getInfo.php?workbook=20_13.xlsx&amp;sheet=U0&amp;row=1973&amp;col=6&amp;number=3.9&amp;sourceID=14","3.9")</f>
        <v>3.9</v>
      </c>
      <c r="G1973" s="4" t="str">
        <f>HYPERLINK("http://141.218.60.56/~jnz1568/getInfo.php?workbook=20_13.xlsx&amp;sheet=U0&amp;row=1973&amp;col=7&amp;number=0.0417&amp;sourceID=14","0.0417")</f>
        <v>0.0417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HYPERLINK("http://141.218.60.56/~jnz1568/getInfo.php?workbook=20_13.xlsx&amp;sheet=U0&amp;row=1974&amp;col=6&amp;number=4&amp;sourceID=14","4")</f>
        <v>4</v>
      </c>
      <c r="G1974" s="4" t="str">
        <f>HYPERLINK("http://141.218.60.56/~jnz1568/getInfo.php?workbook=20_13.xlsx&amp;sheet=U0&amp;row=1974&amp;col=7&amp;number=0.0416&amp;sourceID=14","0.0416")</f>
        <v>0.0416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HYPERLINK("http://141.218.60.56/~jnz1568/getInfo.php?workbook=20_13.xlsx&amp;sheet=U0&amp;row=1975&amp;col=6&amp;number=4.1&amp;sourceID=14","4.1")</f>
        <v>4.1</v>
      </c>
      <c r="G1975" s="4" t="str">
        <f>HYPERLINK("http://141.218.60.56/~jnz1568/getInfo.php?workbook=20_13.xlsx&amp;sheet=U0&amp;row=1975&amp;col=7&amp;number=0.0414&amp;sourceID=14","0.0414")</f>
        <v>0.0414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HYPERLINK("http://141.218.60.56/~jnz1568/getInfo.php?workbook=20_13.xlsx&amp;sheet=U0&amp;row=1976&amp;col=6&amp;number=4.2&amp;sourceID=14","4.2")</f>
        <v>4.2</v>
      </c>
      <c r="G1976" s="4" t="str">
        <f>HYPERLINK("http://141.218.60.56/~jnz1568/getInfo.php?workbook=20_13.xlsx&amp;sheet=U0&amp;row=1976&amp;col=7&amp;number=0.0412&amp;sourceID=14","0.0412")</f>
        <v>0.0412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HYPERLINK("http://141.218.60.56/~jnz1568/getInfo.php?workbook=20_13.xlsx&amp;sheet=U0&amp;row=1977&amp;col=6&amp;number=4.3&amp;sourceID=14","4.3")</f>
        <v>4.3</v>
      </c>
      <c r="G1977" s="4" t="str">
        <f>HYPERLINK("http://141.218.60.56/~jnz1568/getInfo.php?workbook=20_13.xlsx&amp;sheet=U0&amp;row=1977&amp;col=7&amp;number=0.041&amp;sourceID=14","0.041")</f>
        <v>0.041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HYPERLINK("http://141.218.60.56/~jnz1568/getInfo.php?workbook=20_13.xlsx&amp;sheet=U0&amp;row=1978&amp;col=6&amp;number=4.4&amp;sourceID=14","4.4")</f>
        <v>4.4</v>
      </c>
      <c r="G1978" s="4" t="str">
        <f>HYPERLINK("http://141.218.60.56/~jnz1568/getInfo.php?workbook=20_13.xlsx&amp;sheet=U0&amp;row=1978&amp;col=7&amp;number=0.0406&amp;sourceID=14","0.0406")</f>
        <v>0.0406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HYPERLINK("http://141.218.60.56/~jnz1568/getInfo.php?workbook=20_13.xlsx&amp;sheet=U0&amp;row=1979&amp;col=6&amp;number=4.5&amp;sourceID=14","4.5")</f>
        <v>4.5</v>
      </c>
      <c r="G1979" s="4" t="str">
        <f>HYPERLINK("http://141.218.60.56/~jnz1568/getInfo.php?workbook=20_13.xlsx&amp;sheet=U0&amp;row=1979&amp;col=7&amp;number=0.0403&amp;sourceID=14","0.0403")</f>
        <v>0.0403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HYPERLINK("http://141.218.60.56/~jnz1568/getInfo.php?workbook=20_13.xlsx&amp;sheet=U0&amp;row=1980&amp;col=6&amp;number=4.6&amp;sourceID=14","4.6")</f>
        <v>4.6</v>
      </c>
      <c r="G1980" s="4" t="str">
        <f>HYPERLINK("http://141.218.60.56/~jnz1568/getInfo.php?workbook=20_13.xlsx&amp;sheet=U0&amp;row=1980&amp;col=7&amp;number=0.0398&amp;sourceID=14","0.0398")</f>
        <v>0.0398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HYPERLINK("http://141.218.60.56/~jnz1568/getInfo.php?workbook=20_13.xlsx&amp;sheet=U0&amp;row=1981&amp;col=6&amp;number=4.7&amp;sourceID=14","4.7")</f>
        <v>4.7</v>
      </c>
      <c r="G1981" s="4" t="str">
        <f>HYPERLINK("http://141.218.60.56/~jnz1568/getInfo.php?workbook=20_13.xlsx&amp;sheet=U0&amp;row=1981&amp;col=7&amp;number=0.0392&amp;sourceID=14","0.0392")</f>
        <v>0.0392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HYPERLINK("http://141.218.60.56/~jnz1568/getInfo.php?workbook=20_13.xlsx&amp;sheet=U0&amp;row=1982&amp;col=6&amp;number=4.8&amp;sourceID=14","4.8")</f>
        <v>4.8</v>
      </c>
      <c r="G1982" s="4" t="str">
        <f>HYPERLINK("http://141.218.60.56/~jnz1568/getInfo.php?workbook=20_13.xlsx&amp;sheet=U0&amp;row=1982&amp;col=7&amp;number=0.0385&amp;sourceID=14","0.0385")</f>
        <v>0.0385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HYPERLINK("http://141.218.60.56/~jnz1568/getInfo.php?workbook=20_13.xlsx&amp;sheet=U0&amp;row=1983&amp;col=6&amp;number=4.9&amp;sourceID=14","4.9")</f>
        <v>4.9</v>
      </c>
      <c r="G1983" s="4" t="str">
        <f>HYPERLINK("http://141.218.60.56/~jnz1568/getInfo.php?workbook=20_13.xlsx&amp;sheet=U0&amp;row=1983&amp;col=7&amp;number=0.0376&amp;sourceID=14","0.0376")</f>
        <v>0.0376</v>
      </c>
    </row>
    <row r="1984" spans="1:7">
      <c r="A1984" s="3">
        <v>20</v>
      </c>
      <c r="B1984" s="3">
        <v>13</v>
      </c>
      <c r="C1984" s="3">
        <v>21</v>
      </c>
      <c r="D1984" s="3">
        <v>26</v>
      </c>
      <c r="E1984" s="3">
        <v>1</v>
      </c>
      <c r="F1984" s="4" t="str">
        <f>HYPERLINK("http://141.218.60.56/~jnz1568/getInfo.php?workbook=20_13.xlsx&amp;sheet=U0&amp;row=1984&amp;col=6&amp;number=3&amp;sourceID=14","3")</f>
        <v>3</v>
      </c>
      <c r="G1984" s="4" t="str">
        <f>HYPERLINK("http://141.218.60.56/~jnz1568/getInfo.php?workbook=20_13.xlsx&amp;sheet=U0&amp;row=1984&amp;col=7&amp;number=0.119&amp;sourceID=14","0.119")</f>
        <v>0.119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HYPERLINK("http://141.218.60.56/~jnz1568/getInfo.php?workbook=20_13.xlsx&amp;sheet=U0&amp;row=1985&amp;col=6&amp;number=3.1&amp;sourceID=14","3.1")</f>
        <v>3.1</v>
      </c>
      <c r="G1985" s="4" t="str">
        <f>HYPERLINK("http://141.218.60.56/~jnz1568/getInfo.php?workbook=20_13.xlsx&amp;sheet=U0&amp;row=1985&amp;col=7&amp;number=0.119&amp;sourceID=14","0.119")</f>
        <v>0.119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HYPERLINK("http://141.218.60.56/~jnz1568/getInfo.php?workbook=20_13.xlsx&amp;sheet=U0&amp;row=1986&amp;col=6&amp;number=3.2&amp;sourceID=14","3.2")</f>
        <v>3.2</v>
      </c>
      <c r="G1986" s="4" t="str">
        <f>HYPERLINK("http://141.218.60.56/~jnz1568/getInfo.php?workbook=20_13.xlsx&amp;sheet=U0&amp;row=1986&amp;col=7&amp;number=0.119&amp;sourceID=14","0.119")</f>
        <v>0.119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HYPERLINK("http://141.218.60.56/~jnz1568/getInfo.php?workbook=20_13.xlsx&amp;sheet=U0&amp;row=1987&amp;col=6&amp;number=3.3&amp;sourceID=14","3.3")</f>
        <v>3.3</v>
      </c>
      <c r="G1987" s="4" t="str">
        <f>HYPERLINK("http://141.218.60.56/~jnz1568/getInfo.php?workbook=20_13.xlsx&amp;sheet=U0&amp;row=1987&amp;col=7&amp;number=0.119&amp;sourceID=14","0.119")</f>
        <v>0.119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HYPERLINK("http://141.218.60.56/~jnz1568/getInfo.php?workbook=20_13.xlsx&amp;sheet=U0&amp;row=1988&amp;col=6&amp;number=3.4&amp;sourceID=14","3.4")</f>
        <v>3.4</v>
      </c>
      <c r="G1988" s="4" t="str">
        <f>HYPERLINK("http://141.218.60.56/~jnz1568/getInfo.php?workbook=20_13.xlsx&amp;sheet=U0&amp;row=1988&amp;col=7&amp;number=0.119&amp;sourceID=14","0.119")</f>
        <v>0.119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HYPERLINK("http://141.218.60.56/~jnz1568/getInfo.php?workbook=20_13.xlsx&amp;sheet=U0&amp;row=1989&amp;col=6&amp;number=3.5&amp;sourceID=14","3.5")</f>
        <v>3.5</v>
      </c>
      <c r="G1989" s="4" t="str">
        <f>HYPERLINK("http://141.218.60.56/~jnz1568/getInfo.php?workbook=20_13.xlsx&amp;sheet=U0&amp;row=1989&amp;col=7&amp;number=0.119&amp;sourceID=14","0.119")</f>
        <v>0.119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HYPERLINK("http://141.218.60.56/~jnz1568/getInfo.php?workbook=20_13.xlsx&amp;sheet=U0&amp;row=1990&amp;col=6&amp;number=3.6&amp;sourceID=14","3.6")</f>
        <v>3.6</v>
      </c>
      <c r="G1990" s="4" t="str">
        <f>HYPERLINK("http://141.218.60.56/~jnz1568/getInfo.php?workbook=20_13.xlsx&amp;sheet=U0&amp;row=1990&amp;col=7&amp;number=0.118&amp;sourceID=14","0.118")</f>
        <v>0.118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HYPERLINK("http://141.218.60.56/~jnz1568/getInfo.php?workbook=20_13.xlsx&amp;sheet=U0&amp;row=1991&amp;col=6&amp;number=3.7&amp;sourceID=14","3.7")</f>
        <v>3.7</v>
      </c>
      <c r="G1991" s="4" t="str">
        <f>HYPERLINK("http://141.218.60.56/~jnz1568/getInfo.php?workbook=20_13.xlsx&amp;sheet=U0&amp;row=1991&amp;col=7&amp;number=0.118&amp;sourceID=14","0.118")</f>
        <v>0.118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HYPERLINK("http://141.218.60.56/~jnz1568/getInfo.php?workbook=20_13.xlsx&amp;sheet=U0&amp;row=1992&amp;col=6&amp;number=3.8&amp;sourceID=14","3.8")</f>
        <v>3.8</v>
      </c>
      <c r="G1992" s="4" t="str">
        <f>HYPERLINK("http://141.218.60.56/~jnz1568/getInfo.php?workbook=20_13.xlsx&amp;sheet=U0&amp;row=1992&amp;col=7&amp;number=0.118&amp;sourceID=14","0.118")</f>
        <v>0.118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HYPERLINK("http://141.218.60.56/~jnz1568/getInfo.php?workbook=20_13.xlsx&amp;sheet=U0&amp;row=1993&amp;col=6&amp;number=3.9&amp;sourceID=14","3.9")</f>
        <v>3.9</v>
      </c>
      <c r="G1993" s="4" t="str">
        <f>HYPERLINK("http://141.218.60.56/~jnz1568/getInfo.php?workbook=20_13.xlsx&amp;sheet=U0&amp;row=1993&amp;col=7&amp;number=0.118&amp;sourceID=14","0.118")</f>
        <v>0.118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HYPERLINK("http://141.218.60.56/~jnz1568/getInfo.php?workbook=20_13.xlsx&amp;sheet=U0&amp;row=1994&amp;col=6&amp;number=4&amp;sourceID=14","4")</f>
        <v>4</v>
      </c>
      <c r="G1994" s="4" t="str">
        <f>HYPERLINK("http://141.218.60.56/~jnz1568/getInfo.php?workbook=20_13.xlsx&amp;sheet=U0&amp;row=1994&amp;col=7&amp;number=0.117&amp;sourceID=14","0.117")</f>
        <v>0.117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HYPERLINK("http://141.218.60.56/~jnz1568/getInfo.php?workbook=20_13.xlsx&amp;sheet=U0&amp;row=1995&amp;col=6&amp;number=4.1&amp;sourceID=14","4.1")</f>
        <v>4.1</v>
      </c>
      <c r="G1995" s="4" t="str">
        <f>HYPERLINK("http://141.218.60.56/~jnz1568/getInfo.php?workbook=20_13.xlsx&amp;sheet=U0&amp;row=1995&amp;col=7&amp;number=0.117&amp;sourceID=14","0.117")</f>
        <v>0.117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HYPERLINK("http://141.218.60.56/~jnz1568/getInfo.php?workbook=20_13.xlsx&amp;sheet=U0&amp;row=1996&amp;col=6&amp;number=4.2&amp;sourceID=14","4.2")</f>
        <v>4.2</v>
      </c>
      <c r="G1996" s="4" t="str">
        <f>HYPERLINK("http://141.218.60.56/~jnz1568/getInfo.php?workbook=20_13.xlsx&amp;sheet=U0&amp;row=1996&amp;col=7&amp;number=0.116&amp;sourceID=14","0.116")</f>
        <v>0.116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HYPERLINK("http://141.218.60.56/~jnz1568/getInfo.php?workbook=20_13.xlsx&amp;sheet=U0&amp;row=1997&amp;col=6&amp;number=4.3&amp;sourceID=14","4.3")</f>
        <v>4.3</v>
      </c>
      <c r="G1997" s="4" t="str">
        <f>HYPERLINK("http://141.218.60.56/~jnz1568/getInfo.php?workbook=20_13.xlsx&amp;sheet=U0&amp;row=1997&amp;col=7&amp;number=0.116&amp;sourceID=14","0.116")</f>
        <v>0.116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HYPERLINK("http://141.218.60.56/~jnz1568/getInfo.php?workbook=20_13.xlsx&amp;sheet=U0&amp;row=1998&amp;col=6&amp;number=4.4&amp;sourceID=14","4.4")</f>
        <v>4.4</v>
      </c>
      <c r="G1998" s="4" t="str">
        <f>HYPERLINK("http://141.218.60.56/~jnz1568/getInfo.php?workbook=20_13.xlsx&amp;sheet=U0&amp;row=1998&amp;col=7&amp;number=0.115&amp;sourceID=14","0.115")</f>
        <v>0.115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HYPERLINK("http://141.218.60.56/~jnz1568/getInfo.php?workbook=20_13.xlsx&amp;sheet=U0&amp;row=1999&amp;col=6&amp;number=4.5&amp;sourceID=14","4.5")</f>
        <v>4.5</v>
      </c>
      <c r="G1999" s="4" t="str">
        <f>HYPERLINK("http://141.218.60.56/~jnz1568/getInfo.php?workbook=20_13.xlsx&amp;sheet=U0&amp;row=1999&amp;col=7&amp;number=0.114&amp;sourceID=14","0.114")</f>
        <v>0.114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HYPERLINK("http://141.218.60.56/~jnz1568/getInfo.php?workbook=20_13.xlsx&amp;sheet=U0&amp;row=2000&amp;col=6&amp;number=4.6&amp;sourceID=14","4.6")</f>
        <v>4.6</v>
      </c>
      <c r="G2000" s="4" t="str">
        <f>HYPERLINK("http://141.218.60.56/~jnz1568/getInfo.php?workbook=20_13.xlsx&amp;sheet=U0&amp;row=2000&amp;col=7&amp;number=0.112&amp;sourceID=14","0.112")</f>
        <v>0.112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HYPERLINK("http://141.218.60.56/~jnz1568/getInfo.php?workbook=20_13.xlsx&amp;sheet=U0&amp;row=2001&amp;col=6&amp;number=4.7&amp;sourceID=14","4.7")</f>
        <v>4.7</v>
      </c>
      <c r="G2001" s="4" t="str">
        <f>HYPERLINK("http://141.218.60.56/~jnz1568/getInfo.php?workbook=20_13.xlsx&amp;sheet=U0&amp;row=2001&amp;col=7&amp;number=0.111&amp;sourceID=14","0.111")</f>
        <v>0.111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HYPERLINK("http://141.218.60.56/~jnz1568/getInfo.php?workbook=20_13.xlsx&amp;sheet=U0&amp;row=2002&amp;col=6&amp;number=4.8&amp;sourceID=14","4.8")</f>
        <v>4.8</v>
      </c>
      <c r="G2002" s="4" t="str">
        <f>HYPERLINK("http://141.218.60.56/~jnz1568/getInfo.php?workbook=20_13.xlsx&amp;sheet=U0&amp;row=2002&amp;col=7&amp;number=0.109&amp;sourceID=14","0.109")</f>
        <v>0.109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HYPERLINK("http://141.218.60.56/~jnz1568/getInfo.php?workbook=20_13.xlsx&amp;sheet=U0&amp;row=2003&amp;col=6&amp;number=4.9&amp;sourceID=14","4.9")</f>
        <v>4.9</v>
      </c>
      <c r="G2003" s="4" t="str">
        <f>HYPERLINK("http://141.218.60.56/~jnz1568/getInfo.php?workbook=20_13.xlsx&amp;sheet=U0&amp;row=2003&amp;col=7&amp;number=0.106&amp;sourceID=14","0.106")</f>
        <v>0.106</v>
      </c>
    </row>
    <row r="2004" spans="1:7">
      <c r="A2004" s="3">
        <v>20</v>
      </c>
      <c r="B2004" s="3">
        <v>13</v>
      </c>
      <c r="C2004" s="3">
        <v>21</v>
      </c>
      <c r="D2004" s="3">
        <v>27</v>
      </c>
      <c r="E2004" s="3">
        <v>1</v>
      </c>
      <c r="F2004" s="4" t="str">
        <f>HYPERLINK("http://141.218.60.56/~jnz1568/getInfo.php?workbook=20_13.xlsx&amp;sheet=U0&amp;row=2004&amp;col=6&amp;number=3&amp;sourceID=14","3")</f>
        <v>3</v>
      </c>
      <c r="G2004" s="4" t="str">
        <f>HYPERLINK("http://141.218.60.56/~jnz1568/getInfo.php?workbook=20_13.xlsx&amp;sheet=U0&amp;row=2004&amp;col=7&amp;number=0.223&amp;sourceID=14","0.223")</f>
        <v>0.223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HYPERLINK("http://141.218.60.56/~jnz1568/getInfo.php?workbook=20_13.xlsx&amp;sheet=U0&amp;row=2005&amp;col=6&amp;number=3.1&amp;sourceID=14","3.1")</f>
        <v>3.1</v>
      </c>
      <c r="G2005" s="4" t="str">
        <f>HYPERLINK("http://141.218.60.56/~jnz1568/getInfo.php?workbook=20_13.xlsx&amp;sheet=U0&amp;row=2005&amp;col=7&amp;number=0.223&amp;sourceID=14","0.223")</f>
        <v>0.223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HYPERLINK("http://141.218.60.56/~jnz1568/getInfo.php?workbook=20_13.xlsx&amp;sheet=U0&amp;row=2006&amp;col=6&amp;number=3.2&amp;sourceID=14","3.2")</f>
        <v>3.2</v>
      </c>
      <c r="G2006" s="4" t="str">
        <f>HYPERLINK("http://141.218.60.56/~jnz1568/getInfo.php?workbook=20_13.xlsx&amp;sheet=U0&amp;row=2006&amp;col=7&amp;number=0.223&amp;sourceID=14","0.223")</f>
        <v>0.223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HYPERLINK("http://141.218.60.56/~jnz1568/getInfo.php?workbook=20_13.xlsx&amp;sheet=U0&amp;row=2007&amp;col=6&amp;number=3.3&amp;sourceID=14","3.3")</f>
        <v>3.3</v>
      </c>
      <c r="G2007" s="4" t="str">
        <f>HYPERLINK("http://141.218.60.56/~jnz1568/getInfo.php?workbook=20_13.xlsx&amp;sheet=U0&amp;row=2007&amp;col=7&amp;number=0.223&amp;sourceID=14","0.223")</f>
        <v>0.223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HYPERLINK("http://141.218.60.56/~jnz1568/getInfo.php?workbook=20_13.xlsx&amp;sheet=U0&amp;row=2008&amp;col=6&amp;number=3.4&amp;sourceID=14","3.4")</f>
        <v>3.4</v>
      </c>
      <c r="G2008" s="4" t="str">
        <f>HYPERLINK("http://141.218.60.56/~jnz1568/getInfo.php?workbook=20_13.xlsx&amp;sheet=U0&amp;row=2008&amp;col=7&amp;number=0.223&amp;sourceID=14","0.223")</f>
        <v>0.223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HYPERLINK("http://141.218.60.56/~jnz1568/getInfo.php?workbook=20_13.xlsx&amp;sheet=U0&amp;row=2009&amp;col=6&amp;number=3.5&amp;sourceID=14","3.5")</f>
        <v>3.5</v>
      </c>
      <c r="G2009" s="4" t="str">
        <f>HYPERLINK("http://141.218.60.56/~jnz1568/getInfo.php?workbook=20_13.xlsx&amp;sheet=U0&amp;row=2009&amp;col=7&amp;number=0.222&amp;sourceID=14","0.222")</f>
        <v>0.222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HYPERLINK("http://141.218.60.56/~jnz1568/getInfo.php?workbook=20_13.xlsx&amp;sheet=U0&amp;row=2010&amp;col=6&amp;number=3.6&amp;sourceID=14","3.6")</f>
        <v>3.6</v>
      </c>
      <c r="G2010" s="4" t="str">
        <f>HYPERLINK("http://141.218.60.56/~jnz1568/getInfo.php?workbook=20_13.xlsx&amp;sheet=U0&amp;row=2010&amp;col=7&amp;number=0.222&amp;sourceID=14","0.222")</f>
        <v>0.222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HYPERLINK("http://141.218.60.56/~jnz1568/getInfo.php?workbook=20_13.xlsx&amp;sheet=U0&amp;row=2011&amp;col=6&amp;number=3.7&amp;sourceID=14","3.7")</f>
        <v>3.7</v>
      </c>
      <c r="G2011" s="4" t="str">
        <f>HYPERLINK("http://141.218.60.56/~jnz1568/getInfo.php?workbook=20_13.xlsx&amp;sheet=U0&amp;row=2011&amp;col=7&amp;number=0.222&amp;sourceID=14","0.222")</f>
        <v>0.222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HYPERLINK("http://141.218.60.56/~jnz1568/getInfo.php?workbook=20_13.xlsx&amp;sheet=U0&amp;row=2012&amp;col=6&amp;number=3.8&amp;sourceID=14","3.8")</f>
        <v>3.8</v>
      </c>
      <c r="G2012" s="4" t="str">
        <f>HYPERLINK("http://141.218.60.56/~jnz1568/getInfo.php?workbook=20_13.xlsx&amp;sheet=U0&amp;row=2012&amp;col=7&amp;number=0.221&amp;sourceID=14","0.221")</f>
        <v>0.221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HYPERLINK("http://141.218.60.56/~jnz1568/getInfo.php?workbook=20_13.xlsx&amp;sheet=U0&amp;row=2013&amp;col=6&amp;number=3.9&amp;sourceID=14","3.9")</f>
        <v>3.9</v>
      </c>
      <c r="G2013" s="4" t="str">
        <f>HYPERLINK("http://141.218.60.56/~jnz1568/getInfo.php?workbook=20_13.xlsx&amp;sheet=U0&amp;row=2013&amp;col=7&amp;number=0.221&amp;sourceID=14","0.221")</f>
        <v>0.221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HYPERLINK("http://141.218.60.56/~jnz1568/getInfo.php?workbook=20_13.xlsx&amp;sheet=U0&amp;row=2014&amp;col=6&amp;number=4&amp;sourceID=14","4")</f>
        <v>4</v>
      </c>
      <c r="G2014" s="4" t="str">
        <f>HYPERLINK("http://141.218.60.56/~jnz1568/getInfo.php?workbook=20_13.xlsx&amp;sheet=U0&amp;row=2014&amp;col=7&amp;number=0.22&amp;sourceID=14","0.22")</f>
        <v>0.22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HYPERLINK("http://141.218.60.56/~jnz1568/getInfo.php?workbook=20_13.xlsx&amp;sheet=U0&amp;row=2015&amp;col=6&amp;number=4.1&amp;sourceID=14","4.1")</f>
        <v>4.1</v>
      </c>
      <c r="G2015" s="4" t="str">
        <f>HYPERLINK("http://141.218.60.56/~jnz1568/getInfo.php?workbook=20_13.xlsx&amp;sheet=U0&amp;row=2015&amp;col=7&amp;number=0.219&amp;sourceID=14","0.219")</f>
        <v>0.219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HYPERLINK("http://141.218.60.56/~jnz1568/getInfo.php?workbook=20_13.xlsx&amp;sheet=U0&amp;row=2016&amp;col=6&amp;number=4.2&amp;sourceID=14","4.2")</f>
        <v>4.2</v>
      </c>
      <c r="G2016" s="4" t="str">
        <f>HYPERLINK("http://141.218.60.56/~jnz1568/getInfo.php?workbook=20_13.xlsx&amp;sheet=U0&amp;row=2016&amp;col=7&amp;number=0.218&amp;sourceID=14","0.218")</f>
        <v>0.218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HYPERLINK("http://141.218.60.56/~jnz1568/getInfo.php?workbook=20_13.xlsx&amp;sheet=U0&amp;row=2017&amp;col=6&amp;number=4.3&amp;sourceID=14","4.3")</f>
        <v>4.3</v>
      </c>
      <c r="G2017" s="4" t="str">
        <f>HYPERLINK("http://141.218.60.56/~jnz1568/getInfo.php?workbook=20_13.xlsx&amp;sheet=U0&amp;row=2017&amp;col=7&amp;number=0.216&amp;sourceID=14","0.216")</f>
        <v>0.216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HYPERLINK("http://141.218.60.56/~jnz1568/getInfo.php?workbook=20_13.xlsx&amp;sheet=U0&amp;row=2018&amp;col=6&amp;number=4.4&amp;sourceID=14","4.4")</f>
        <v>4.4</v>
      </c>
      <c r="G2018" s="4" t="str">
        <f>HYPERLINK("http://141.218.60.56/~jnz1568/getInfo.php?workbook=20_13.xlsx&amp;sheet=U0&amp;row=2018&amp;col=7&amp;number=0.215&amp;sourceID=14","0.215")</f>
        <v>0.215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HYPERLINK("http://141.218.60.56/~jnz1568/getInfo.php?workbook=20_13.xlsx&amp;sheet=U0&amp;row=2019&amp;col=6&amp;number=4.5&amp;sourceID=14","4.5")</f>
        <v>4.5</v>
      </c>
      <c r="G2019" s="4" t="str">
        <f>HYPERLINK("http://141.218.60.56/~jnz1568/getInfo.php?workbook=20_13.xlsx&amp;sheet=U0&amp;row=2019&amp;col=7&amp;number=0.212&amp;sourceID=14","0.212")</f>
        <v>0.212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HYPERLINK("http://141.218.60.56/~jnz1568/getInfo.php?workbook=20_13.xlsx&amp;sheet=U0&amp;row=2020&amp;col=6&amp;number=4.6&amp;sourceID=14","4.6")</f>
        <v>4.6</v>
      </c>
      <c r="G2020" s="4" t="str">
        <f>HYPERLINK("http://141.218.60.56/~jnz1568/getInfo.php?workbook=20_13.xlsx&amp;sheet=U0&amp;row=2020&amp;col=7&amp;number=0.21&amp;sourceID=14","0.21")</f>
        <v>0.21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HYPERLINK("http://141.218.60.56/~jnz1568/getInfo.php?workbook=20_13.xlsx&amp;sheet=U0&amp;row=2021&amp;col=6&amp;number=4.7&amp;sourceID=14","4.7")</f>
        <v>4.7</v>
      </c>
      <c r="G2021" s="4" t="str">
        <f>HYPERLINK("http://141.218.60.56/~jnz1568/getInfo.php?workbook=20_13.xlsx&amp;sheet=U0&amp;row=2021&amp;col=7&amp;number=0.206&amp;sourceID=14","0.206")</f>
        <v>0.206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HYPERLINK("http://141.218.60.56/~jnz1568/getInfo.php?workbook=20_13.xlsx&amp;sheet=U0&amp;row=2022&amp;col=6&amp;number=4.8&amp;sourceID=14","4.8")</f>
        <v>4.8</v>
      </c>
      <c r="G2022" s="4" t="str">
        <f>HYPERLINK("http://141.218.60.56/~jnz1568/getInfo.php?workbook=20_13.xlsx&amp;sheet=U0&amp;row=2022&amp;col=7&amp;number=0.202&amp;sourceID=14","0.202")</f>
        <v>0.202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HYPERLINK("http://141.218.60.56/~jnz1568/getInfo.php?workbook=20_13.xlsx&amp;sheet=U0&amp;row=2023&amp;col=6&amp;number=4.9&amp;sourceID=14","4.9")</f>
        <v>4.9</v>
      </c>
      <c r="G2023" s="4" t="str">
        <f>HYPERLINK("http://141.218.60.56/~jnz1568/getInfo.php?workbook=20_13.xlsx&amp;sheet=U0&amp;row=2023&amp;col=7&amp;number=0.198&amp;sourceID=14","0.198")</f>
        <v>0.198</v>
      </c>
    </row>
    <row r="2024" spans="1:7">
      <c r="A2024" s="3">
        <v>20</v>
      </c>
      <c r="B2024" s="3">
        <v>13</v>
      </c>
      <c r="C2024" s="3">
        <v>21</v>
      </c>
      <c r="D2024" s="3">
        <v>28</v>
      </c>
      <c r="E2024" s="3">
        <v>1</v>
      </c>
      <c r="F2024" s="4" t="str">
        <f>HYPERLINK("http://141.218.60.56/~jnz1568/getInfo.php?workbook=20_13.xlsx&amp;sheet=U0&amp;row=2024&amp;col=6&amp;number=3&amp;sourceID=14","3")</f>
        <v>3</v>
      </c>
      <c r="G2024" s="4" t="str">
        <f>HYPERLINK("http://141.218.60.56/~jnz1568/getInfo.php?workbook=20_13.xlsx&amp;sheet=U0&amp;row=2024&amp;col=7&amp;number=0.355&amp;sourceID=14","0.355")</f>
        <v>0.355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HYPERLINK("http://141.218.60.56/~jnz1568/getInfo.php?workbook=20_13.xlsx&amp;sheet=U0&amp;row=2025&amp;col=6&amp;number=3.1&amp;sourceID=14","3.1")</f>
        <v>3.1</v>
      </c>
      <c r="G2025" s="4" t="str">
        <f>HYPERLINK("http://141.218.60.56/~jnz1568/getInfo.php?workbook=20_13.xlsx&amp;sheet=U0&amp;row=2025&amp;col=7&amp;number=0.355&amp;sourceID=14","0.355")</f>
        <v>0.355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HYPERLINK("http://141.218.60.56/~jnz1568/getInfo.php?workbook=20_13.xlsx&amp;sheet=U0&amp;row=2026&amp;col=6&amp;number=3.2&amp;sourceID=14","3.2")</f>
        <v>3.2</v>
      </c>
      <c r="G2026" s="4" t="str">
        <f>HYPERLINK("http://141.218.60.56/~jnz1568/getInfo.php?workbook=20_13.xlsx&amp;sheet=U0&amp;row=2026&amp;col=7&amp;number=0.355&amp;sourceID=14","0.355")</f>
        <v>0.355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HYPERLINK("http://141.218.60.56/~jnz1568/getInfo.php?workbook=20_13.xlsx&amp;sheet=U0&amp;row=2027&amp;col=6&amp;number=3.3&amp;sourceID=14","3.3")</f>
        <v>3.3</v>
      </c>
      <c r="G2027" s="4" t="str">
        <f>HYPERLINK("http://141.218.60.56/~jnz1568/getInfo.php?workbook=20_13.xlsx&amp;sheet=U0&amp;row=2027&amp;col=7&amp;number=0.354&amp;sourceID=14","0.354")</f>
        <v>0.354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HYPERLINK("http://141.218.60.56/~jnz1568/getInfo.php?workbook=20_13.xlsx&amp;sheet=U0&amp;row=2028&amp;col=6&amp;number=3.4&amp;sourceID=14","3.4")</f>
        <v>3.4</v>
      </c>
      <c r="G2028" s="4" t="str">
        <f>HYPERLINK("http://141.218.60.56/~jnz1568/getInfo.php?workbook=20_13.xlsx&amp;sheet=U0&amp;row=2028&amp;col=7&amp;number=0.354&amp;sourceID=14","0.354")</f>
        <v>0.354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HYPERLINK("http://141.218.60.56/~jnz1568/getInfo.php?workbook=20_13.xlsx&amp;sheet=U0&amp;row=2029&amp;col=6&amp;number=3.5&amp;sourceID=14","3.5")</f>
        <v>3.5</v>
      </c>
      <c r="G2029" s="4" t="str">
        <f>HYPERLINK("http://141.218.60.56/~jnz1568/getInfo.php?workbook=20_13.xlsx&amp;sheet=U0&amp;row=2029&amp;col=7&amp;number=0.354&amp;sourceID=14","0.354")</f>
        <v>0.354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HYPERLINK("http://141.218.60.56/~jnz1568/getInfo.php?workbook=20_13.xlsx&amp;sheet=U0&amp;row=2030&amp;col=6&amp;number=3.6&amp;sourceID=14","3.6")</f>
        <v>3.6</v>
      </c>
      <c r="G2030" s="4" t="str">
        <f>HYPERLINK("http://141.218.60.56/~jnz1568/getInfo.php?workbook=20_13.xlsx&amp;sheet=U0&amp;row=2030&amp;col=7&amp;number=0.353&amp;sourceID=14","0.353")</f>
        <v>0.353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HYPERLINK("http://141.218.60.56/~jnz1568/getInfo.php?workbook=20_13.xlsx&amp;sheet=U0&amp;row=2031&amp;col=6&amp;number=3.7&amp;sourceID=14","3.7")</f>
        <v>3.7</v>
      </c>
      <c r="G2031" s="4" t="str">
        <f>HYPERLINK("http://141.218.60.56/~jnz1568/getInfo.php?workbook=20_13.xlsx&amp;sheet=U0&amp;row=2031&amp;col=7&amp;number=0.352&amp;sourceID=14","0.352")</f>
        <v>0.352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HYPERLINK("http://141.218.60.56/~jnz1568/getInfo.php?workbook=20_13.xlsx&amp;sheet=U0&amp;row=2032&amp;col=6&amp;number=3.8&amp;sourceID=14","3.8")</f>
        <v>3.8</v>
      </c>
      <c r="G2032" s="4" t="str">
        <f>HYPERLINK("http://141.218.60.56/~jnz1568/getInfo.php?workbook=20_13.xlsx&amp;sheet=U0&amp;row=2032&amp;col=7&amp;number=0.352&amp;sourceID=14","0.352")</f>
        <v>0.352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HYPERLINK("http://141.218.60.56/~jnz1568/getInfo.php?workbook=20_13.xlsx&amp;sheet=U0&amp;row=2033&amp;col=6&amp;number=3.9&amp;sourceID=14","3.9")</f>
        <v>3.9</v>
      </c>
      <c r="G2033" s="4" t="str">
        <f>HYPERLINK("http://141.218.60.56/~jnz1568/getInfo.php?workbook=20_13.xlsx&amp;sheet=U0&amp;row=2033&amp;col=7&amp;number=0.35&amp;sourceID=14","0.35")</f>
        <v>0.35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HYPERLINK("http://141.218.60.56/~jnz1568/getInfo.php?workbook=20_13.xlsx&amp;sheet=U0&amp;row=2034&amp;col=6&amp;number=4&amp;sourceID=14","4")</f>
        <v>4</v>
      </c>
      <c r="G2034" s="4" t="str">
        <f>HYPERLINK("http://141.218.60.56/~jnz1568/getInfo.php?workbook=20_13.xlsx&amp;sheet=U0&amp;row=2034&amp;col=7&amp;number=0.349&amp;sourceID=14","0.349")</f>
        <v>0.349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HYPERLINK("http://141.218.60.56/~jnz1568/getInfo.php?workbook=20_13.xlsx&amp;sheet=U0&amp;row=2035&amp;col=6&amp;number=4.1&amp;sourceID=14","4.1")</f>
        <v>4.1</v>
      </c>
      <c r="G2035" s="4" t="str">
        <f>HYPERLINK("http://141.218.60.56/~jnz1568/getInfo.php?workbook=20_13.xlsx&amp;sheet=U0&amp;row=2035&amp;col=7&amp;number=0.347&amp;sourceID=14","0.347")</f>
        <v>0.347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HYPERLINK("http://141.218.60.56/~jnz1568/getInfo.php?workbook=20_13.xlsx&amp;sheet=U0&amp;row=2036&amp;col=6&amp;number=4.2&amp;sourceID=14","4.2")</f>
        <v>4.2</v>
      </c>
      <c r="G2036" s="4" t="str">
        <f>HYPERLINK("http://141.218.60.56/~jnz1568/getInfo.php?workbook=20_13.xlsx&amp;sheet=U0&amp;row=2036&amp;col=7&amp;number=0.345&amp;sourceID=14","0.345")</f>
        <v>0.345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HYPERLINK("http://141.218.60.56/~jnz1568/getInfo.php?workbook=20_13.xlsx&amp;sheet=U0&amp;row=2037&amp;col=6&amp;number=4.3&amp;sourceID=14","4.3")</f>
        <v>4.3</v>
      </c>
      <c r="G2037" s="4" t="str">
        <f>HYPERLINK("http://141.218.60.56/~jnz1568/getInfo.php?workbook=20_13.xlsx&amp;sheet=U0&amp;row=2037&amp;col=7&amp;number=0.343&amp;sourceID=14","0.343")</f>
        <v>0.343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HYPERLINK("http://141.218.60.56/~jnz1568/getInfo.php?workbook=20_13.xlsx&amp;sheet=U0&amp;row=2038&amp;col=6&amp;number=4.4&amp;sourceID=14","4.4")</f>
        <v>4.4</v>
      </c>
      <c r="G2038" s="4" t="str">
        <f>HYPERLINK("http://141.218.60.56/~jnz1568/getInfo.php?workbook=20_13.xlsx&amp;sheet=U0&amp;row=2038&amp;col=7&amp;number=0.339&amp;sourceID=14","0.339")</f>
        <v>0.339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HYPERLINK("http://141.218.60.56/~jnz1568/getInfo.php?workbook=20_13.xlsx&amp;sheet=U0&amp;row=2039&amp;col=6&amp;number=4.5&amp;sourceID=14","4.5")</f>
        <v>4.5</v>
      </c>
      <c r="G2039" s="4" t="str">
        <f>HYPERLINK("http://141.218.60.56/~jnz1568/getInfo.php?workbook=20_13.xlsx&amp;sheet=U0&amp;row=2039&amp;col=7&amp;number=0.336&amp;sourceID=14","0.336")</f>
        <v>0.336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HYPERLINK("http://141.218.60.56/~jnz1568/getInfo.php?workbook=20_13.xlsx&amp;sheet=U0&amp;row=2040&amp;col=6&amp;number=4.6&amp;sourceID=14","4.6")</f>
        <v>4.6</v>
      </c>
      <c r="G2040" s="4" t="str">
        <f>HYPERLINK("http://141.218.60.56/~jnz1568/getInfo.php?workbook=20_13.xlsx&amp;sheet=U0&amp;row=2040&amp;col=7&amp;number=0.331&amp;sourceID=14","0.331")</f>
        <v>0.331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HYPERLINK("http://141.218.60.56/~jnz1568/getInfo.php?workbook=20_13.xlsx&amp;sheet=U0&amp;row=2041&amp;col=6&amp;number=4.7&amp;sourceID=14","4.7")</f>
        <v>4.7</v>
      </c>
      <c r="G2041" s="4" t="str">
        <f>HYPERLINK("http://141.218.60.56/~jnz1568/getInfo.php?workbook=20_13.xlsx&amp;sheet=U0&amp;row=2041&amp;col=7&amp;number=0.325&amp;sourceID=14","0.325")</f>
        <v>0.325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HYPERLINK("http://141.218.60.56/~jnz1568/getInfo.php?workbook=20_13.xlsx&amp;sheet=U0&amp;row=2042&amp;col=6&amp;number=4.8&amp;sourceID=14","4.8")</f>
        <v>4.8</v>
      </c>
      <c r="G2042" s="4" t="str">
        <f>HYPERLINK("http://141.218.60.56/~jnz1568/getInfo.php?workbook=20_13.xlsx&amp;sheet=U0&amp;row=2042&amp;col=7&amp;number=0.318&amp;sourceID=14","0.318")</f>
        <v>0.318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HYPERLINK("http://141.218.60.56/~jnz1568/getInfo.php?workbook=20_13.xlsx&amp;sheet=U0&amp;row=2043&amp;col=6&amp;number=4.9&amp;sourceID=14","4.9")</f>
        <v>4.9</v>
      </c>
      <c r="G2043" s="4" t="str">
        <f>HYPERLINK("http://141.218.60.56/~jnz1568/getInfo.php?workbook=20_13.xlsx&amp;sheet=U0&amp;row=2043&amp;col=7&amp;number=0.31&amp;sourceID=14","0.31")</f>
        <v>0.31</v>
      </c>
    </row>
    <row r="2044" spans="1:7">
      <c r="A2044" s="3">
        <v>20</v>
      </c>
      <c r="B2044" s="3">
        <v>13</v>
      </c>
      <c r="C2044" s="3">
        <v>21</v>
      </c>
      <c r="D2044" s="3">
        <v>29</v>
      </c>
      <c r="E2044" s="3">
        <v>1</v>
      </c>
      <c r="F2044" s="4" t="str">
        <f>HYPERLINK("http://141.218.60.56/~jnz1568/getInfo.php?workbook=20_13.xlsx&amp;sheet=U0&amp;row=2044&amp;col=6&amp;number=3&amp;sourceID=14","3")</f>
        <v>3</v>
      </c>
      <c r="G2044" s="4" t="str">
        <f>HYPERLINK("http://141.218.60.56/~jnz1568/getInfo.php?workbook=20_13.xlsx&amp;sheet=U0&amp;row=2044&amp;col=7&amp;number=0.367&amp;sourceID=14","0.367")</f>
        <v>0.367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HYPERLINK("http://141.218.60.56/~jnz1568/getInfo.php?workbook=20_13.xlsx&amp;sheet=U0&amp;row=2045&amp;col=6&amp;number=3.1&amp;sourceID=14","3.1")</f>
        <v>3.1</v>
      </c>
      <c r="G2045" s="4" t="str">
        <f>HYPERLINK("http://141.218.60.56/~jnz1568/getInfo.php?workbook=20_13.xlsx&amp;sheet=U0&amp;row=2045&amp;col=7&amp;number=0.367&amp;sourceID=14","0.367")</f>
        <v>0.367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HYPERLINK("http://141.218.60.56/~jnz1568/getInfo.php?workbook=20_13.xlsx&amp;sheet=U0&amp;row=2046&amp;col=6&amp;number=3.2&amp;sourceID=14","3.2")</f>
        <v>3.2</v>
      </c>
      <c r="G2046" s="4" t="str">
        <f>HYPERLINK("http://141.218.60.56/~jnz1568/getInfo.php?workbook=20_13.xlsx&amp;sheet=U0&amp;row=2046&amp;col=7&amp;number=0.367&amp;sourceID=14","0.367")</f>
        <v>0.367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HYPERLINK("http://141.218.60.56/~jnz1568/getInfo.php?workbook=20_13.xlsx&amp;sheet=U0&amp;row=2047&amp;col=6&amp;number=3.3&amp;sourceID=14","3.3")</f>
        <v>3.3</v>
      </c>
      <c r="G2047" s="4" t="str">
        <f>HYPERLINK("http://141.218.60.56/~jnz1568/getInfo.php?workbook=20_13.xlsx&amp;sheet=U0&amp;row=2047&amp;col=7&amp;number=0.367&amp;sourceID=14","0.367")</f>
        <v>0.367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HYPERLINK("http://141.218.60.56/~jnz1568/getInfo.php?workbook=20_13.xlsx&amp;sheet=U0&amp;row=2048&amp;col=6&amp;number=3.4&amp;sourceID=14","3.4")</f>
        <v>3.4</v>
      </c>
      <c r="G2048" s="4" t="str">
        <f>HYPERLINK("http://141.218.60.56/~jnz1568/getInfo.php?workbook=20_13.xlsx&amp;sheet=U0&amp;row=2048&amp;col=7&amp;number=0.366&amp;sourceID=14","0.366")</f>
        <v>0.366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HYPERLINK("http://141.218.60.56/~jnz1568/getInfo.php?workbook=20_13.xlsx&amp;sheet=U0&amp;row=2049&amp;col=6&amp;number=3.5&amp;sourceID=14","3.5")</f>
        <v>3.5</v>
      </c>
      <c r="G2049" s="4" t="str">
        <f>HYPERLINK("http://141.218.60.56/~jnz1568/getInfo.php?workbook=20_13.xlsx&amp;sheet=U0&amp;row=2049&amp;col=7&amp;number=0.366&amp;sourceID=14","0.366")</f>
        <v>0.366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HYPERLINK("http://141.218.60.56/~jnz1568/getInfo.php?workbook=20_13.xlsx&amp;sheet=U0&amp;row=2050&amp;col=6&amp;number=3.6&amp;sourceID=14","3.6")</f>
        <v>3.6</v>
      </c>
      <c r="G2050" s="4" t="str">
        <f>HYPERLINK("http://141.218.60.56/~jnz1568/getInfo.php?workbook=20_13.xlsx&amp;sheet=U0&amp;row=2050&amp;col=7&amp;number=0.366&amp;sourceID=14","0.366")</f>
        <v>0.366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HYPERLINK("http://141.218.60.56/~jnz1568/getInfo.php?workbook=20_13.xlsx&amp;sheet=U0&amp;row=2051&amp;col=6&amp;number=3.7&amp;sourceID=14","3.7")</f>
        <v>3.7</v>
      </c>
      <c r="G2051" s="4" t="str">
        <f>HYPERLINK("http://141.218.60.56/~jnz1568/getInfo.php?workbook=20_13.xlsx&amp;sheet=U0&amp;row=2051&amp;col=7&amp;number=0.365&amp;sourceID=14","0.365")</f>
        <v>0.365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HYPERLINK("http://141.218.60.56/~jnz1568/getInfo.php?workbook=20_13.xlsx&amp;sheet=U0&amp;row=2052&amp;col=6&amp;number=3.8&amp;sourceID=14","3.8")</f>
        <v>3.8</v>
      </c>
      <c r="G2052" s="4" t="str">
        <f>HYPERLINK("http://141.218.60.56/~jnz1568/getInfo.php?workbook=20_13.xlsx&amp;sheet=U0&amp;row=2052&amp;col=7&amp;number=0.364&amp;sourceID=14","0.364")</f>
        <v>0.364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HYPERLINK("http://141.218.60.56/~jnz1568/getInfo.php?workbook=20_13.xlsx&amp;sheet=U0&amp;row=2053&amp;col=6&amp;number=3.9&amp;sourceID=14","3.9")</f>
        <v>3.9</v>
      </c>
      <c r="G2053" s="4" t="str">
        <f>HYPERLINK("http://141.218.60.56/~jnz1568/getInfo.php?workbook=20_13.xlsx&amp;sheet=U0&amp;row=2053&amp;col=7&amp;number=0.363&amp;sourceID=14","0.363")</f>
        <v>0.363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HYPERLINK("http://141.218.60.56/~jnz1568/getInfo.php?workbook=20_13.xlsx&amp;sheet=U0&amp;row=2054&amp;col=6&amp;number=4&amp;sourceID=14","4")</f>
        <v>4</v>
      </c>
      <c r="G2054" s="4" t="str">
        <f>HYPERLINK("http://141.218.60.56/~jnz1568/getInfo.php?workbook=20_13.xlsx&amp;sheet=U0&amp;row=2054&amp;col=7&amp;number=0.362&amp;sourceID=14","0.362")</f>
        <v>0.362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HYPERLINK("http://141.218.60.56/~jnz1568/getInfo.php?workbook=20_13.xlsx&amp;sheet=U0&amp;row=2055&amp;col=6&amp;number=4.1&amp;sourceID=14","4.1")</f>
        <v>4.1</v>
      </c>
      <c r="G2055" s="4" t="str">
        <f>HYPERLINK("http://141.218.60.56/~jnz1568/getInfo.php?workbook=20_13.xlsx&amp;sheet=U0&amp;row=2055&amp;col=7&amp;number=0.361&amp;sourceID=14","0.361")</f>
        <v>0.361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HYPERLINK("http://141.218.60.56/~jnz1568/getInfo.php?workbook=20_13.xlsx&amp;sheet=U0&amp;row=2056&amp;col=6&amp;number=4.2&amp;sourceID=14","4.2")</f>
        <v>4.2</v>
      </c>
      <c r="G2056" s="4" t="str">
        <f>HYPERLINK("http://141.218.60.56/~jnz1568/getInfo.php?workbook=20_13.xlsx&amp;sheet=U0&amp;row=2056&amp;col=7&amp;number=0.359&amp;sourceID=14","0.359")</f>
        <v>0.359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HYPERLINK("http://141.218.60.56/~jnz1568/getInfo.php?workbook=20_13.xlsx&amp;sheet=U0&amp;row=2057&amp;col=6&amp;number=4.3&amp;sourceID=14","4.3")</f>
        <v>4.3</v>
      </c>
      <c r="G2057" s="4" t="str">
        <f>HYPERLINK("http://141.218.60.56/~jnz1568/getInfo.php?workbook=20_13.xlsx&amp;sheet=U0&amp;row=2057&amp;col=7&amp;number=0.357&amp;sourceID=14","0.357")</f>
        <v>0.357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HYPERLINK("http://141.218.60.56/~jnz1568/getInfo.php?workbook=20_13.xlsx&amp;sheet=U0&amp;row=2058&amp;col=6&amp;number=4.4&amp;sourceID=14","4.4")</f>
        <v>4.4</v>
      </c>
      <c r="G2058" s="4" t="str">
        <f>HYPERLINK("http://141.218.60.56/~jnz1568/getInfo.php?workbook=20_13.xlsx&amp;sheet=U0&amp;row=2058&amp;col=7&amp;number=0.354&amp;sourceID=14","0.354")</f>
        <v>0.354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HYPERLINK("http://141.218.60.56/~jnz1568/getInfo.php?workbook=20_13.xlsx&amp;sheet=U0&amp;row=2059&amp;col=6&amp;number=4.5&amp;sourceID=14","4.5")</f>
        <v>4.5</v>
      </c>
      <c r="G2059" s="4" t="str">
        <f>HYPERLINK("http://141.218.60.56/~jnz1568/getInfo.php?workbook=20_13.xlsx&amp;sheet=U0&amp;row=2059&amp;col=7&amp;number=0.351&amp;sourceID=14","0.351")</f>
        <v>0.351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HYPERLINK("http://141.218.60.56/~jnz1568/getInfo.php?workbook=20_13.xlsx&amp;sheet=U0&amp;row=2060&amp;col=6&amp;number=4.6&amp;sourceID=14","4.6")</f>
        <v>4.6</v>
      </c>
      <c r="G2060" s="4" t="str">
        <f>HYPERLINK("http://141.218.60.56/~jnz1568/getInfo.php?workbook=20_13.xlsx&amp;sheet=U0&amp;row=2060&amp;col=7&amp;number=0.347&amp;sourceID=14","0.347")</f>
        <v>0.347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HYPERLINK("http://141.218.60.56/~jnz1568/getInfo.php?workbook=20_13.xlsx&amp;sheet=U0&amp;row=2061&amp;col=6&amp;number=4.7&amp;sourceID=14","4.7")</f>
        <v>4.7</v>
      </c>
      <c r="G2061" s="4" t="str">
        <f>HYPERLINK("http://141.218.60.56/~jnz1568/getInfo.php?workbook=20_13.xlsx&amp;sheet=U0&amp;row=2061&amp;col=7&amp;number=0.342&amp;sourceID=14","0.342")</f>
        <v>0.342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HYPERLINK("http://141.218.60.56/~jnz1568/getInfo.php?workbook=20_13.xlsx&amp;sheet=U0&amp;row=2062&amp;col=6&amp;number=4.8&amp;sourceID=14","4.8")</f>
        <v>4.8</v>
      </c>
      <c r="G2062" s="4" t="str">
        <f>HYPERLINK("http://141.218.60.56/~jnz1568/getInfo.php?workbook=20_13.xlsx&amp;sheet=U0&amp;row=2062&amp;col=7&amp;number=0.335&amp;sourceID=14","0.335")</f>
        <v>0.335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HYPERLINK("http://141.218.60.56/~jnz1568/getInfo.php?workbook=20_13.xlsx&amp;sheet=U0&amp;row=2063&amp;col=6&amp;number=4.9&amp;sourceID=14","4.9")</f>
        <v>4.9</v>
      </c>
      <c r="G2063" s="4" t="str">
        <f>HYPERLINK("http://141.218.60.56/~jnz1568/getInfo.php?workbook=20_13.xlsx&amp;sheet=U0&amp;row=2063&amp;col=7&amp;number=0.328&amp;sourceID=14","0.328")</f>
        <v>0.328</v>
      </c>
    </row>
    <row r="2064" spans="1:7">
      <c r="A2064" s="3">
        <v>20</v>
      </c>
      <c r="B2064" s="3">
        <v>13</v>
      </c>
      <c r="C2064" s="3">
        <v>21</v>
      </c>
      <c r="D2064" s="3">
        <v>30</v>
      </c>
      <c r="E2064" s="3">
        <v>1</v>
      </c>
      <c r="F2064" s="4" t="str">
        <f>HYPERLINK("http://141.218.60.56/~jnz1568/getInfo.php?workbook=20_13.xlsx&amp;sheet=U0&amp;row=2064&amp;col=6&amp;number=3&amp;sourceID=14","3")</f>
        <v>3</v>
      </c>
      <c r="G2064" s="4" t="str">
        <f>HYPERLINK("http://141.218.60.56/~jnz1568/getInfo.php?workbook=20_13.xlsx&amp;sheet=U0&amp;row=2064&amp;col=7&amp;number=0.0798&amp;sourceID=14","0.0798")</f>
        <v>0.0798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HYPERLINK("http://141.218.60.56/~jnz1568/getInfo.php?workbook=20_13.xlsx&amp;sheet=U0&amp;row=2065&amp;col=6&amp;number=3.1&amp;sourceID=14","3.1")</f>
        <v>3.1</v>
      </c>
      <c r="G2065" s="4" t="str">
        <f>HYPERLINK("http://141.218.60.56/~jnz1568/getInfo.php?workbook=20_13.xlsx&amp;sheet=U0&amp;row=2065&amp;col=7&amp;number=0.0797&amp;sourceID=14","0.0797")</f>
        <v>0.0797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HYPERLINK("http://141.218.60.56/~jnz1568/getInfo.php?workbook=20_13.xlsx&amp;sheet=U0&amp;row=2066&amp;col=6&amp;number=3.2&amp;sourceID=14","3.2")</f>
        <v>3.2</v>
      </c>
      <c r="G2066" s="4" t="str">
        <f>HYPERLINK("http://141.218.60.56/~jnz1568/getInfo.php?workbook=20_13.xlsx&amp;sheet=U0&amp;row=2066&amp;col=7&amp;number=0.0797&amp;sourceID=14","0.0797")</f>
        <v>0.0797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HYPERLINK("http://141.218.60.56/~jnz1568/getInfo.php?workbook=20_13.xlsx&amp;sheet=U0&amp;row=2067&amp;col=6&amp;number=3.3&amp;sourceID=14","3.3")</f>
        <v>3.3</v>
      </c>
      <c r="G2067" s="4" t="str">
        <f>HYPERLINK("http://141.218.60.56/~jnz1568/getInfo.php?workbook=20_13.xlsx&amp;sheet=U0&amp;row=2067&amp;col=7&amp;number=0.0796&amp;sourceID=14","0.0796")</f>
        <v>0.0796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HYPERLINK("http://141.218.60.56/~jnz1568/getInfo.php?workbook=20_13.xlsx&amp;sheet=U0&amp;row=2068&amp;col=6&amp;number=3.4&amp;sourceID=14","3.4")</f>
        <v>3.4</v>
      </c>
      <c r="G2068" s="4" t="str">
        <f>HYPERLINK("http://141.218.60.56/~jnz1568/getInfo.php?workbook=20_13.xlsx&amp;sheet=U0&amp;row=2068&amp;col=7&amp;number=0.0795&amp;sourceID=14","0.0795")</f>
        <v>0.0795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HYPERLINK("http://141.218.60.56/~jnz1568/getInfo.php?workbook=20_13.xlsx&amp;sheet=U0&amp;row=2069&amp;col=6&amp;number=3.5&amp;sourceID=14","3.5")</f>
        <v>3.5</v>
      </c>
      <c r="G2069" s="4" t="str">
        <f>HYPERLINK("http://141.218.60.56/~jnz1568/getInfo.php?workbook=20_13.xlsx&amp;sheet=U0&amp;row=2069&amp;col=7&amp;number=0.0794&amp;sourceID=14","0.0794")</f>
        <v>0.0794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HYPERLINK("http://141.218.60.56/~jnz1568/getInfo.php?workbook=20_13.xlsx&amp;sheet=U0&amp;row=2070&amp;col=6&amp;number=3.6&amp;sourceID=14","3.6")</f>
        <v>3.6</v>
      </c>
      <c r="G2070" s="4" t="str">
        <f>HYPERLINK("http://141.218.60.56/~jnz1568/getInfo.php?workbook=20_13.xlsx&amp;sheet=U0&amp;row=2070&amp;col=7&amp;number=0.0793&amp;sourceID=14","0.0793")</f>
        <v>0.0793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HYPERLINK("http://141.218.60.56/~jnz1568/getInfo.php?workbook=20_13.xlsx&amp;sheet=U0&amp;row=2071&amp;col=6&amp;number=3.7&amp;sourceID=14","3.7")</f>
        <v>3.7</v>
      </c>
      <c r="G2071" s="4" t="str">
        <f>HYPERLINK("http://141.218.60.56/~jnz1568/getInfo.php?workbook=20_13.xlsx&amp;sheet=U0&amp;row=2071&amp;col=7&amp;number=0.0791&amp;sourceID=14","0.0791")</f>
        <v>0.0791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HYPERLINK("http://141.218.60.56/~jnz1568/getInfo.php?workbook=20_13.xlsx&amp;sheet=U0&amp;row=2072&amp;col=6&amp;number=3.8&amp;sourceID=14","3.8")</f>
        <v>3.8</v>
      </c>
      <c r="G2072" s="4" t="str">
        <f>HYPERLINK("http://141.218.60.56/~jnz1568/getInfo.php?workbook=20_13.xlsx&amp;sheet=U0&amp;row=2072&amp;col=7&amp;number=0.0789&amp;sourceID=14","0.0789")</f>
        <v>0.0789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HYPERLINK("http://141.218.60.56/~jnz1568/getInfo.php?workbook=20_13.xlsx&amp;sheet=U0&amp;row=2073&amp;col=6&amp;number=3.9&amp;sourceID=14","3.9")</f>
        <v>3.9</v>
      </c>
      <c r="G2073" s="4" t="str">
        <f>HYPERLINK("http://141.218.60.56/~jnz1568/getInfo.php?workbook=20_13.xlsx&amp;sheet=U0&amp;row=2073&amp;col=7&amp;number=0.0787&amp;sourceID=14","0.0787")</f>
        <v>0.0787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HYPERLINK("http://141.218.60.56/~jnz1568/getInfo.php?workbook=20_13.xlsx&amp;sheet=U0&amp;row=2074&amp;col=6&amp;number=4&amp;sourceID=14","4")</f>
        <v>4</v>
      </c>
      <c r="G2074" s="4" t="str">
        <f>HYPERLINK("http://141.218.60.56/~jnz1568/getInfo.php?workbook=20_13.xlsx&amp;sheet=U0&amp;row=2074&amp;col=7&amp;number=0.0783&amp;sourceID=14","0.0783")</f>
        <v>0.0783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HYPERLINK("http://141.218.60.56/~jnz1568/getInfo.php?workbook=20_13.xlsx&amp;sheet=U0&amp;row=2075&amp;col=6&amp;number=4.1&amp;sourceID=14","4.1")</f>
        <v>4.1</v>
      </c>
      <c r="G2075" s="4" t="str">
        <f>HYPERLINK("http://141.218.60.56/~jnz1568/getInfo.php?workbook=20_13.xlsx&amp;sheet=U0&amp;row=2075&amp;col=7&amp;number=0.0779&amp;sourceID=14","0.0779")</f>
        <v>0.0779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HYPERLINK("http://141.218.60.56/~jnz1568/getInfo.php?workbook=20_13.xlsx&amp;sheet=U0&amp;row=2076&amp;col=6&amp;number=4.2&amp;sourceID=14","4.2")</f>
        <v>4.2</v>
      </c>
      <c r="G2076" s="4" t="str">
        <f>HYPERLINK("http://141.218.60.56/~jnz1568/getInfo.php?workbook=20_13.xlsx&amp;sheet=U0&amp;row=2076&amp;col=7&amp;number=0.0774&amp;sourceID=14","0.0774")</f>
        <v>0.0774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HYPERLINK("http://141.218.60.56/~jnz1568/getInfo.php?workbook=20_13.xlsx&amp;sheet=U0&amp;row=2077&amp;col=6&amp;number=4.3&amp;sourceID=14","4.3")</f>
        <v>4.3</v>
      </c>
      <c r="G2077" s="4" t="str">
        <f>HYPERLINK("http://141.218.60.56/~jnz1568/getInfo.php?workbook=20_13.xlsx&amp;sheet=U0&amp;row=2077&amp;col=7&amp;number=0.0768&amp;sourceID=14","0.0768")</f>
        <v>0.0768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HYPERLINK("http://141.218.60.56/~jnz1568/getInfo.php?workbook=20_13.xlsx&amp;sheet=U0&amp;row=2078&amp;col=6&amp;number=4.4&amp;sourceID=14","4.4")</f>
        <v>4.4</v>
      </c>
      <c r="G2078" s="4" t="str">
        <f>HYPERLINK("http://141.218.60.56/~jnz1568/getInfo.php?workbook=20_13.xlsx&amp;sheet=U0&amp;row=2078&amp;col=7&amp;number=0.076&amp;sourceID=14","0.076")</f>
        <v>0.076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HYPERLINK("http://141.218.60.56/~jnz1568/getInfo.php?workbook=20_13.xlsx&amp;sheet=U0&amp;row=2079&amp;col=6&amp;number=4.5&amp;sourceID=14","4.5")</f>
        <v>4.5</v>
      </c>
      <c r="G2079" s="4" t="str">
        <f>HYPERLINK("http://141.218.60.56/~jnz1568/getInfo.php?workbook=20_13.xlsx&amp;sheet=U0&amp;row=2079&amp;col=7&amp;number=0.0751&amp;sourceID=14","0.0751")</f>
        <v>0.0751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HYPERLINK("http://141.218.60.56/~jnz1568/getInfo.php?workbook=20_13.xlsx&amp;sheet=U0&amp;row=2080&amp;col=6&amp;number=4.6&amp;sourceID=14","4.6")</f>
        <v>4.6</v>
      </c>
      <c r="G2080" s="4" t="str">
        <f>HYPERLINK("http://141.218.60.56/~jnz1568/getInfo.php?workbook=20_13.xlsx&amp;sheet=U0&amp;row=2080&amp;col=7&amp;number=0.0739&amp;sourceID=14","0.0739")</f>
        <v>0.0739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HYPERLINK("http://141.218.60.56/~jnz1568/getInfo.php?workbook=20_13.xlsx&amp;sheet=U0&amp;row=2081&amp;col=6&amp;number=4.7&amp;sourceID=14","4.7")</f>
        <v>4.7</v>
      </c>
      <c r="G2081" s="4" t="str">
        <f>HYPERLINK("http://141.218.60.56/~jnz1568/getInfo.php?workbook=20_13.xlsx&amp;sheet=U0&amp;row=2081&amp;col=7&amp;number=0.0725&amp;sourceID=14","0.0725")</f>
        <v>0.0725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HYPERLINK("http://141.218.60.56/~jnz1568/getInfo.php?workbook=20_13.xlsx&amp;sheet=U0&amp;row=2082&amp;col=6&amp;number=4.8&amp;sourceID=14","4.8")</f>
        <v>4.8</v>
      </c>
      <c r="G2082" s="4" t="str">
        <f>HYPERLINK("http://141.218.60.56/~jnz1568/getInfo.php?workbook=20_13.xlsx&amp;sheet=U0&amp;row=2082&amp;col=7&amp;number=0.0708&amp;sourceID=14","0.0708")</f>
        <v>0.0708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HYPERLINK("http://141.218.60.56/~jnz1568/getInfo.php?workbook=20_13.xlsx&amp;sheet=U0&amp;row=2083&amp;col=6&amp;number=4.9&amp;sourceID=14","4.9")</f>
        <v>4.9</v>
      </c>
      <c r="G2083" s="4" t="str">
        <f>HYPERLINK("http://141.218.60.56/~jnz1568/getInfo.php?workbook=20_13.xlsx&amp;sheet=U0&amp;row=2083&amp;col=7&amp;number=0.0688&amp;sourceID=14","0.0688")</f>
        <v>0.0688</v>
      </c>
    </row>
    <row r="2084" spans="1:7">
      <c r="A2084" s="3">
        <v>20</v>
      </c>
      <c r="B2084" s="3">
        <v>13</v>
      </c>
      <c r="C2084" s="3">
        <v>21</v>
      </c>
      <c r="D2084" s="3">
        <v>31</v>
      </c>
      <c r="E2084" s="3">
        <v>1</v>
      </c>
      <c r="F2084" s="4" t="str">
        <f>HYPERLINK("http://141.218.60.56/~jnz1568/getInfo.php?workbook=20_13.xlsx&amp;sheet=U0&amp;row=2084&amp;col=6&amp;number=3&amp;sourceID=14","3")</f>
        <v>3</v>
      </c>
      <c r="G2084" s="4" t="str">
        <f>HYPERLINK("http://141.218.60.56/~jnz1568/getInfo.php?workbook=20_13.xlsx&amp;sheet=U0&amp;row=2084&amp;col=7&amp;number=0.0628&amp;sourceID=14","0.0628")</f>
        <v>0.0628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HYPERLINK("http://141.218.60.56/~jnz1568/getInfo.php?workbook=20_13.xlsx&amp;sheet=U0&amp;row=2085&amp;col=6&amp;number=3.1&amp;sourceID=14","3.1")</f>
        <v>3.1</v>
      </c>
      <c r="G2085" s="4" t="str">
        <f>HYPERLINK("http://141.218.60.56/~jnz1568/getInfo.php?workbook=20_13.xlsx&amp;sheet=U0&amp;row=2085&amp;col=7&amp;number=0.0628&amp;sourceID=14","0.0628")</f>
        <v>0.0628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HYPERLINK("http://141.218.60.56/~jnz1568/getInfo.php?workbook=20_13.xlsx&amp;sheet=U0&amp;row=2086&amp;col=6&amp;number=3.2&amp;sourceID=14","3.2")</f>
        <v>3.2</v>
      </c>
      <c r="G2086" s="4" t="str">
        <f>HYPERLINK("http://141.218.60.56/~jnz1568/getInfo.php?workbook=20_13.xlsx&amp;sheet=U0&amp;row=2086&amp;col=7&amp;number=0.0627&amp;sourceID=14","0.0627")</f>
        <v>0.0627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HYPERLINK("http://141.218.60.56/~jnz1568/getInfo.php?workbook=20_13.xlsx&amp;sheet=U0&amp;row=2087&amp;col=6&amp;number=3.3&amp;sourceID=14","3.3")</f>
        <v>3.3</v>
      </c>
      <c r="G2087" s="4" t="str">
        <f>HYPERLINK("http://141.218.60.56/~jnz1568/getInfo.php?workbook=20_13.xlsx&amp;sheet=U0&amp;row=2087&amp;col=7&amp;number=0.0627&amp;sourceID=14","0.0627")</f>
        <v>0.0627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HYPERLINK("http://141.218.60.56/~jnz1568/getInfo.php?workbook=20_13.xlsx&amp;sheet=U0&amp;row=2088&amp;col=6&amp;number=3.4&amp;sourceID=14","3.4")</f>
        <v>3.4</v>
      </c>
      <c r="G2088" s="4" t="str">
        <f>HYPERLINK("http://141.218.60.56/~jnz1568/getInfo.php?workbook=20_13.xlsx&amp;sheet=U0&amp;row=2088&amp;col=7&amp;number=0.0626&amp;sourceID=14","0.0626")</f>
        <v>0.0626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HYPERLINK("http://141.218.60.56/~jnz1568/getInfo.php?workbook=20_13.xlsx&amp;sheet=U0&amp;row=2089&amp;col=6&amp;number=3.5&amp;sourceID=14","3.5")</f>
        <v>3.5</v>
      </c>
      <c r="G2089" s="4" t="str">
        <f>HYPERLINK("http://141.218.60.56/~jnz1568/getInfo.php?workbook=20_13.xlsx&amp;sheet=U0&amp;row=2089&amp;col=7&amp;number=0.0625&amp;sourceID=14","0.0625")</f>
        <v>0.0625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HYPERLINK("http://141.218.60.56/~jnz1568/getInfo.php?workbook=20_13.xlsx&amp;sheet=U0&amp;row=2090&amp;col=6&amp;number=3.6&amp;sourceID=14","3.6")</f>
        <v>3.6</v>
      </c>
      <c r="G2090" s="4" t="str">
        <f>HYPERLINK("http://141.218.60.56/~jnz1568/getInfo.php?workbook=20_13.xlsx&amp;sheet=U0&amp;row=2090&amp;col=7&amp;number=0.0624&amp;sourceID=14","0.0624")</f>
        <v>0.0624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HYPERLINK("http://141.218.60.56/~jnz1568/getInfo.php?workbook=20_13.xlsx&amp;sheet=U0&amp;row=2091&amp;col=6&amp;number=3.7&amp;sourceID=14","3.7")</f>
        <v>3.7</v>
      </c>
      <c r="G2091" s="4" t="str">
        <f>HYPERLINK("http://141.218.60.56/~jnz1568/getInfo.php?workbook=20_13.xlsx&amp;sheet=U0&amp;row=2091&amp;col=7&amp;number=0.0623&amp;sourceID=14","0.0623")</f>
        <v>0.0623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HYPERLINK("http://141.218.60.56/~jnz1568/getInfo.php?workbook=20_13.xlsx&amp;sheet=U0&amp;row=2092&amp;col=6&amp;number=3.8&amp;sourceID=14","3.8")</f>
        <v>3.8</v>
      </c>
      <c r="G2092" s="4" t="str">
        <f>HYPERLINK("http://141.218.60.56/~jnz1568/getInfo.php?workbook=20_13.xlsx&amp;sheet=U0&amp;row=2092&amp;col=7&amp;number=0.0621&amp;sourceID=14","0.0621")</f>
        <v>0.0621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HYPERLINK("http://141.218.60.56/~jnz1568/getInfo.php?workbook=20_13.xlsx&amp;sheet=U0&amp;row=2093&amp;col=6&amp;number=3.9&amp;sourceID=14","3.9")</f>
        <v>3.9</v>
      </c>
      <c r="G2093" s="4" t="str">
        <f>HYPERLINK("http://141.218.60.56/~jnz1568/getInfo.php?workbook=20_13.xlsx&amp;sheet=U0&amp;row=2093&amp;col=7&amp;number=0.0619&amp;sourceID=14","0.0619")</f>
        <v>0.0619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HYPERLINK("http://141.218.60.56/~jnz1568/getInfo.php?workbook=20_13.xlsx&amp;sheet=U0&amp;row=2094&amp;col=6&amp;number=4&amp;sourceID=14","4")</f>
        <v>4</v>
      </c>
      <c r="G2094" s="4" t="str">
        <f>HYPERLINK("http://141.218.60.56/~jnz1568/getInfo.php?workbook=20_13.xlsx&amp;sheet=U0&amp;row=2094&amp;col=7&amp;number=0.0616&amp;sourceID=14","0.0616")</f>
        <v>0.0616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HYPERLINK("http://141.218.60.56/~jnz1568/getInfo.php?workbook=20_13.xlsx&amp;sheet=U0&amp;row=2095&amp;col=6&amp;number=4.1&amp;sourceID=14","4.1")</f>
        <v>4.1</v>
      </c>
      <c r="G2095" s="4" t="str">
        <f>HYPERLINK("http://141.218.60.56/~jnz1568/getInfo.php?workbook=20_13.xlsx&amp;sheet=U0&amp;row=2095&amp;col=7&amp;number=0.0613&amp;sourceID=14","0.0613")</f>
        <v>0.0613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HYPERLINK("http://141.218.60.56/~jnz1568/getInfo.php?workbook=20_13.xlsx&amp;sheet=U0&amp;row=2096&amp;col=6&amp;number=4.2&amp;sourceID=14","4.2")</f>
        <v>4.2</v>
      </c>
      <c r="G2096" s="4" t="str">
        <f>HYPERLINK("http://141.218.60.56/~jnz1568/getInfo.php?workbook=20_13.xlsx&amp;sheet=U0&amp;row=2096&amp;col=7&amp;number=0.0609&amp;sourceID=14","0.0609")</f>
        <v>0.0609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HYPERLINK("http://141.218.60.56/~jnz1568/getInfo.php?workbook=20_13.xlsx&amp;sheet=U0&amp;row=2097&amp;col=6&amp;number=4.3&amp;sourceID=14","4.3")</f>
        <v>4.3</v>
      </c>
      <c r="G2097" s="4" t="str">
        <f>HYPERLINK("http://141.218.60.56/~jnz1568/getInfo.php?workbook=20_13.xlsx&amp;sheet=U0&amp;row=2097&amp;col=7&amp;number=0.0604&amp;sourceID=14","0.0604")</f>
        <v>0.0604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HYPERLINK("http://141.218.60.56/~jnz1568/getInfo.php?workbook=20_13.xlsx&amp;sheet=U0&amp;row=2098&amp;col=6&amp;number=4.4&amp;sourceID=14","4.4")</f>
        <v>4.4</v>
      </c>
      <c r="G2098" s="4" t="str">
        <f>HYPERLINK("http://141.218.60.56/~jnz1568/getInfo.php?workbook=20_13.xlsx&amp;sheet=U0&amp;row=2098&amp;col=7&amp;number=0.0597&amp;sourceID=14","0.0597")</f>
        <v>0.0597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HYPERLINK("http://141.218.60.56/~jnz1568/getInfo.php?workbook=20_13.xlsx&amp;sheet=U0&amp;row=2099&amp;col=6&amp;number=4.5&amp;sourceID=14","4.5")</f>
        <v>4.5</v>
      </c>
      <c r="G2099" s="4" t="str">
        <f>HYPERLINK("http://141.218.60.56/~jnz1568/getInfo.php?workbook=20_13.xlsx&amp;sheet=U0&amp;row=2099&amp;col=7&amp;number=0.059&amp;sourceID=14","0.059")</f>
        <v>0.059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HYPERLINK("http://141.218.60.56/~jnz1568/getInfo.php?workbook=20_13.xlsx&amp;sheet=U0&amp;row=2100&amp;col=6&amp;number=4.6&amp;sourceID=14","4.6")</f>
        <v>4.6</v>
      </c>
      <c r="G2100" s="4" t="str">
        <f>HYPERLINK("http://141.218.60.56/~jnz1568/getInfo.php?workbook=20_13.xlsx&amp;sheet=U0&amp;row=2100&amp;col=7&amp;number=0.058&amp;sourceID=14","0.058")</f>
        <v>0.058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HYPERLINK("http://141.218.60.56/~jnz1568/getInfo.php?workbook=20_13.xlsx&amp;sheet=U0&amp;row=2101&amp;col=6&amp;number=4.7&amp;sourceID=14","4.7")</f>
        <v>4.7</v>
      </c>
      <c r="G2101" s="4" t="str">
        <f>HYPERLINK("http://141.218.60.56/~jnz1568/getInfo.php?workbook=20_13.xlsx&amp;sheet=U0&amp;row=2101&amp;col=7&amp;number=0.0569&amp;sourceID=14","0.0569")</f>
        <v>0.0569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HYPERLINK("http://141.218.60.56/~jnz1568/getInfo.php?workbook=20_13.xlsx&amp;sheet=U0&amp;row=2102&amp;col=6&amp;number=4.8&amp;sourceID=14","4.8")</f>
        <v>4.8</v>
      </c>
      <c r="G2102" s="4" t="str">
        <f>HYPERLINK("http://141.218.60.56/~jnz1568/getInfo.php?workbook=20_13.xlsx&amp;sheet=U0&amp;row=2102&amp;col=7&amp;number=0.0555&amp;sourceID=14","0.0555")</f>
        <v>0.0555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HYPERLINK("http://141.218.60.56/~jnz1568/getInfo.php?workbook=20_13.xlsx&amp;sheet=U0&amp;row=2103&amp;col=6&amp;number=4.9&amp;sourceID=14","4.9")</f>
        <v>4.9</v>
      </c>
      <c r="G2103" s="4" t="str">
        <f>HYPERLINK("http://141.218.60.56/~jnz1568/getInfo.php?workbook=20_13.xlsx&amp;sheet=U0&amp;row=2103&amp;col=7&amp;number=0.054&amp;sourceID=14","0.054")</f>
        <v>0.054</v>
      </c>
    </row>
    <row r="2104" spans="1:7">
      <c r="A2104" s="3">
        <v>20</v>
      </c>
      <c r="B2104" s="3">
        <v>13</v>
      </c>
      <c r="C2104" s="3">
        <v>21</v>
      </c>
      <c r="D2104" s="3">
        <v>32</v>
      </c>
      <c r="E2104" s="3">
        <v>1</v>
      </c>
      <c r="F2104" s="4" t="str">
        <f>HYPERLINK("http://141.218.60.56/~jnz1568/getInfo.php?workbook=20_13.xlsx&amp;sheet=U0&amp;row=2104&amp;col=6&amp;number=3&amp;sourceID=14","3")</f>
        <v>3</v>
      </c>
      <c r="G2104" s="4" t="str">
        <f>HYPERLINK("http://141.218.60.56/~jnz1568/getInfo.php?workbook=20_13.xlsx&amp;sheet=U0&amp;row=2104&amp;col=7&amp;number=0.379&amp;sourceID=14","0.379")</f>
        <v>0.379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HYPERLINK("http://141.218.60.56/~jnz1568/getInfo.php?workbook=20_13.xlsx&amp;sheet=U0&amp;row=2105&amp;col=6&amp;number=3.1&amp;sourceID=14","3.1")</f>
        <v>3.1</v>
      </c>
      <c r="G2105" s="4" t="str">
        <f>HYPERLINK("http://141.218.60.56/~jnz1568/getInfo.php?workbook=20_13.xlsx&amp;sheet=U0&amp;row=2105&amp;col=7&amp;number=0.379&amp;sourceID=14","0.379")</f>
        <v>0.379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HYPERLINK("http://141.218.60.56/~jnz1568/getInfo.php?workbook=20_13.xlsx&amp;sheet=U0&amp;row=2106&amp;col=6&amp;number=3.2&amp;sourceID=14","3.2")</f>
        <v>3.2</v>
      </c>
      <c r="G2106" s="4" t="str">
        <f>HYPERLINK("http://141.218.60.56/~jnz1568/getInfo.php?workbook=20_13.xlsx&amp;sheet=U0&amp;row=2106&amp;col=7&amp;number=0.379&amp;sourceID=14","0.379")</f>
        <v>0.379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HYPERLINK("http://141.218.60.56/~jnz1568/getInfo.php?workbook=20_13.xlsx&amp;sheet=U0&amp;row=2107&amp;col=6&amp;number=3.3&amp;sourceID=14","3.3")</f>
        <v>3.3</v>
      </c>
      <c r="G2107" s="4" t="str">
        <f>HYPERLINK("http://141.218.60.56/~jnz1568/getInfo.php?workbook=20_13.xlsx&amp;sheet=U0&amp;row=2107&amp;col=7&amp;number=0.378&amp;sourceID=14","0.378")</f>
        <v>0.378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HYPERLINK("http://141.218.60.56/~jnz1568/getInfo.php?workbook=20_13.xlsx&amp;sheet=U0&amp;row=2108&amp;col=6&amp;number=3.4&amp;sourceID=14","3.4")</f>
        <v>3.4</v>
      </c>
      <c r="G2108" s="4" t="str">
        <f>HYPERLINK("http://141.218.60.56/~jnz1568/getInfo.php?workbook=20_13.xlsx&amp;sheet=U0&amp;row=2108&amp;col=7&amp;number=0.378&amp;sourceID=14","0.378")</f>
        <v>0.378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HYPERLINK("http://141.218.60.56/~jnz1568/getInfo.php?workbook=20_13.xlsx&amp;sheet=U0&amp;row=2109&amp;col=6&amp;number=3.5&amp;sourceID=14","3.5")</f>
        <v>3.5</v>
      </c>
      <c r="G2109" s="4" t="str">
        <f>HYPERLINK("http://141.218.60.56/~jnz1568/getInfo.php?workbook=20_13.xlsx&amp;sheet=U0&amp;row=2109&amp;col=7&amp;number=0.378&amp;sourceID=14","0.378")</f>
        <v>0.378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HYPERLINK("http://141.218.60.56/~jnz1568/getInfo.php?workbook=20_13.xlsx&amp;sheet=U0&amp;row=2110&amp;col=6&amp;number=3.6&amp;sourceID=14","3.6")</f>
        <v>3.6</v>
      </c>
      <c r="G2110" s="4" t="str">
        <f>HYPERLINK("http://141.218.60.56/~jnz1568/getInfo.php?workbook=20_13.xlsx&amp;sheet=U0&amp;row=2110&amp;col=7&amp;number=0.377&amp;sourceID=14","0.377")</f>
        <v>0.377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HYPERLINK("http://141.218.60.56/~jnz1568/getInfo.php?workbook=20_13.xlsx&amp;sheet=U0&amp;row=2111&amp;col=6&amp;number=3.7&amp;sourceID=14","3.7")</f>
        <v>3.7</v>
      </c>
      <c r="G2111" s="4" t="str">
        <f>HYPERLINK("http://141.218.60.56/~jnz1568/getInfo.php?workbook=20_13.xlsx&amp;sheet=U0&amp;row=2111&amp;col=7&amp;number=0.377&amp;sourceID=14","0.377")</f>
        <v>0.377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HYPERLINK("http://141.218.60.56/~jnz1568/getInfo.php?workbook=20_13.xlsx&amp;sheet=U0&amp;row=2112&amp;col=6&amp;number=3.8&amp;sourceID=14","3.8")</f>
        <v>3.8</v>
      </c>
      <c r="G2112" s="4" t="str">
        <f>HYPERLINK("http://141.218.60.56/~jnz1568/getInfo.php?workbook=20_13.xlsx&amp;sheet=U0&amp;row=2112&amp;col=7&amp;number=0.376&amp;sourceID=14","0.376")</f>
        <v>0.376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HYPERLINK("http://141.218.60.56/~jnz1568/getInfo.php?workbook=20_13.xlsx&amp;sheet=U0&amp;row=2113&amp;col=6&amp;number=3.9&amp;sourceID=14","3.9")</f>
        <v>3.9</v>
      </c>
      <c r="G2113" s="4" t="str">
        <f>HYPERLINK("http://141.218.60.56/~jnz1568/getInfo.php?workbook=20_13.xlsx&amp;sheet=U0&amp;row=2113&amp;col=7&amp;number=0.375&amp;sourceID=14","0.375")</f>
        <v>0.375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HYPERLINK("http://141.218.60.56/~jnz1568/getInfo.php?workbook=20_13.xlsx&amp;sheet=U0&amp;row=2114&amp;col=6&amp;number=4&amp;sourceID=14","4")</f>
        <v>4</v>
      </c>
      <c r="G2114" s="4" t="str">
        <f>HYPERLINK("http://141.218.60.56/~jnz1568/getInfo.php?workbook=20_13.xlsx&amp;sheet=U0&amp;row=2114&amp;col=7&amp;number=0.374&amp;sourceID=14","0.374")</f>
        <v>0.374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HYPERLINK("http://141.218.60.56/~jnz1568/getInfo.php?workbook=20_13.xlsx&amp;sheet=U0&amp;row=2115&amp;col=6&amp;number=4.1&amp;sourceID=14","4.1")</f>
        <v>4.1</v>
      </c>
      <c r="G2115" s="4" t="str">
        <f>HYPERLINK("http://141.218.60.56/~jnz1568/getInfo.php?workbook=20_13.xlsx&amp;sheet=U0&amp;row=2115&amp;col=7&amp;number=0.372&amp;sourceID=14","0.372")</f>
        <v>0.372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HYPERLINK("http://141.218.60.56/~jnz1568/getInfo.php?workbook=20_13.xlsx&amp;sheet=U0&amp;row=2116&amp;col=6&amp;number=4.2&amp;sourceID=14","4.2")</f>
        <v>4.2</v>
      </c>
      <c r="G2116" s="4" t="str">
        <f>HYPERLINK("http://141.218.60.56/~jnz1568/getInfo.php?workbook=20_13.xlsx&amp;sheet=U0&amp;row=2116&amp;col=7&amp;number=0.37&amp;sourceID=14","0.37")</f>
        <v>0.37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HYPERLINK("http://141.218.60.56/~jnz1568/getInfo.php?workbook=20_13.xlsx&amp;sheet=U0&amp;row=2117&amp;col=6&amp;number=4.3&amp;sourceID=14","4.3")</f>
        <v>4.3</v>
      </c>
      <c r="G2117" s="4" t="str">
        <f>HYPERLINK("http://141.218.60.56/~jnz1568/getInfo.php?workbook=20_13.xlsx&amp;sheet=U0&amp;row=2117&amp;col=7&amp;number=0.368&amp;sourceID=14","0.368")</f>
        <v>0.368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HYPERLINK("http://141.218.60.56/~jnz1568/getInfo.php?workbook=20_13.xlsx&amp;sheet=U0&amp;row=2118&amp;col=6&amp;number=4.4&amp;sourceID=14","4.4")</f>
        <v>4.4</v>
      </c>
      <c r="G2118" s="4" t="str">
        <f>HYPERLINK("http://141.218.60.56/~jnz1568/getInfo.php?workbook=20_13.xlsx&amp;sheet=U0&amp;row=2118&amp;col=7&amp;number=0.365&amp;sourceID=14","0.365")</f>
        <v>0.365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HYPERLINK("http://141.218.60.56/~jnz1568/getInfo.php?workbook=20_13.xlsx&amp;sheet=U0&amp;row=2119&amp;col=6&amp;number=4.5&amp;sourceID=14","4.5")</f>
        <v>4.5</v>
      </c>
      <c r="G2119" s="4" t="str">
        <f>HYPERLINK("http://141.218.60.56/~jnz1568/getInfo.php?workbook=20_13.xlsx&amp;sheet=U0&amp;row=2119&amp;col=7&amp;number=0.362&amp;sourceID=14","0.362")</f>
        <v>0.362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HYPERLINK("http://141.218.60.56/~jnz1568/getInfo.php?workbook=20_13.xlsx&amp;sheet=U0&amp;row=2120&amp;col=6&amp;number=4.6&amp;sourceID=14","4.6")</f>
        <v>4.6</v>
      </c>
      <c r="G2120" s="4" t="str">
        <f>HYPERLINK("http://141.218.60.56/~jnz1568/getInfo.php?workbook=20_13.xlsx&amp;sheet=U0&amp;row=2120&amp;col=7&amp;number=0.357&amp;sourceID=14","0.357")</f>
        <v>0.357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HYPERLINK("http://141.218.60.56/~jnz1568/getInfo.php?workbook=20_13.xlsx&amp;sheet=U0&amp;row=2121&amp;col=6&amp;number=4.7&amp;sourceID=14","4.7")</f>
        <v>4.7</v>
      </c>
      <c r="G2121" s="4" t="str">
        <f>HYPERLINK("http://141.218.60.56/~jnz1568/getInfo.php?workbook=20_13.xlsx&amp;sheet=U0&amp;row=2121&amp;col=7&amp;number=0.352&amp;sourceID=14","0.352")</f>
        <v>0.352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HYPERLINK("http://141.218.60.56/~jnz1568/getInfo.php?workbook=20_13.xlsx&amp;sheet=U0&amp;row=2122&amp;col=6&amp;number=4.8&amp;sourceID=14","4.8")</f>
        <v>4.8</v>
      </c>
      <c r="G2122" s="4" t="str">
        <f>HYPERLINK("http://141.218.60.56/~jnz1568/getInfo.php?workbook=20_13.xlsx&amp;sheet=U0&amp;row=2122&amp;col=7&amp;number=0.345&amp;sourceID=14","0.345")</f>
        <v>0.345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HYPERLINK("http://141.218.60.56/~jnz1568/getInfo.php?workbook=20_13.xlsx&amp;sheet=U0&amp;row=2123&amp;col=6&amp;number=4.9&amp;sourceID=14","4.9")</f>
        <v>4.9</v>
      </c>
      <c r="G2123" s="4" t="str">
        <f>HYPERLINK("http://141.218.60.56/~jnz1568/getInfo.php?workbook=20_13.xlsx&amp;sheet=U0&amp;row=2123&amp;col=7&amp;number=0.337&amp;sourceID=14","0.337")</f>
        <v>0.337</v>
      </c>
    </row>
    <row r="2124" spans="1:7">
      <c r="A2124" s="3">
        <v>20</v>
      </c>
      <c r="B2124" s="3">
        <v>13</v>
      </c>
      <c r="C2124" s="3">
        <v>21</v>
      </c>
      <c r="D2124" s="3">
        <v>33</v>
      </c>
      <c r="E2124" s="3">
        <v>1</v>
      </c>
      <c r="F2124" s="4" t="str">
        <f>HYPERLINK("http://141.218.60.56/~jnz1568/getInfo.php?workbook=20_13.xlsx&amp;sheet=U0&amp;row=2124&amp;col=6&amp;number=3&amp;sourceID=14","3")</f>
        <v>3</v>
      </c>
      <c r="G2124" s="4" t="str">
        <f>HYPERLINK("http://141.218.60.56/~jnz1568/getInfo.php?workbook=20_13.xlsx&amp;sheet=U0&amp;row=2124&amp;col=7&amp;number=0.0806&amp;sourceID=14","0.0806")</f>
        <v>0.0806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HYPERLINK("http://141.218.60.56/~jnz1568/getInfo.php?workbook=20_13.xlsx&amp;sheet=U0&amp;row=2125&amp;col=6&amp;number=3.1&amp;sourceID=14","3.1")</f>
        <v>3.1</v>
      </c>
      <c r="G2125" s="4" t="str">
        <f>HYPERLINK("http://141.218.60.56/~jnz1568/getInfo.php?workbook=20_13.xlsx&amp;sheet=U0&amp;row=2125&amp;col=7&amp;number=0.0806&amp;sourceID=14","0.0806")</f>
        <v>0.0806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HYPERLINK("http://141.218.60.56/~jnz1568/getInfo.php?workbook=20_13.xlsx&amp;sheet=U0&amp;row=2126&amp;col=6&amp;number=3.2&amp;sourceID=14","3.2")</f>
        <v>3.2</v>
      </c>
      <c r="G2126" s="4" t="str">
        <f>HYPERLINK("http://141.218.60.56/~jnz1568/getInfo.php?workbook=20_13.xlsx&amp;sheet=U0&amp;row=2126&amp;col=7&amp;number=0.0805&amp;sourceID=14","0.0805")</f>
        <v>0.0805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HYPERLINK("http://141.218.60.56/~jnz1568/getInfo.php?workbook=20_13.xlsx&amp;sheet=U0&amp;row=2127&amp;col=6&amp;number=3.3&amp;sourceID=14","3.3")</f>
        <v>3.3</v>
      </c>
      <c r="G2127" s="4" t="str">
        <f>HYPERLINK("http://141.218.60.56/~jnz1568/getInfo.php?workbook=20_13.xlsx&amp;sheet=U0&amp;row=2127&amp;col=7&amp;number=0.0805&amp;sourceID=14","0.0805")</f>
        <v>0.0805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HYPERLINK("http://141.218.60.56/~jnz1568/getInfo.php?workbook=20_13.xlsx&amp;sheet=U0&amp;row=2128&amp;col=6&amp;number=3.4&amp;sourceID=14","3.4")</f>
        <v>3.4</v>
      </c>
      <c r="G2128" s="4" t="str">
        <f>HYPERLINK("http://141.218.60.56/~jnz1568/getInfo.php?workbook=20_13.xlsx&amp;sheet=U0&amp;row=2128&amp;col=7&amp;number=0.0804&amp;sourceID=14","0.0804")</f>
        <v>0.0804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HYPERLINK("http://141.218.60.56/~jnz1568/getInfo.php?workbook=20_13.xlsx&amp;sheet=U0&amp;row=2129&amp;col=6&amp;number=3.5&amp;sourceID=14","3.5")</f>
        <v>3.5</v>
      </c>
      <c r="G2129" s="4" t="str">
        <f>HYPERLINK("http://141.218.60.56/~jnz1568/getInfo.php?workbook=20_13.xlsx&amp;sheet=U0&amp;row=2129&amp;col=7&amp;number=0.0803&amp;sourceID=14","0.0803")</f>
        <v>0.0803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HYPERLINK("http://141.218.60.56/~jnz1568/getInfo.php?workbook=20_13.xlsx&amp;sheet=U0&amp;row=2130&amp;col=6&amp;number=3.6&amp;sourceID=14","3.6")</f>
        <v>3.6</v>
      </c>
      <c r="G2130" s="4" t="str">
        <f>HYPERLINK("http://141.218.60.56/~jnz1568/getInfo.php?workbook=20_13.xlsx&amp;sheet=U0&amp;row=2130&amp;col=7&amp;number=0.0801&amp;sourceID=14","0.0801")</f>
        <v>0.0801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HYPERLINK("http://141.218.60.56/~jnz1568/getInfo.php?workbook=20_13.xlsx&amp;sheet=U0&amp;row=2131&amp;col=6&amp;number=3.7&amp;sourceID=14","3.7")</f>
        <v>3.7</v>
      </c>
      <c r="G2131" s="4" t="str">
        <f>HYPERLINK("http://141.218.60.56/~jnz1568/getInfo.php?workbook=20_13.xlsx&amp;sheet=U0&amp;row=2131&amp;col=7&amp;number=0.08&amp;sourceID=14","0.08")</f>
        <v>0.08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HYPERLINK("http://141.218.60.56/~jnz1568/getInfo.php?workbook=20_13.xlsx&amp;sheet=U0&amp;row=2132&amp;col=6&amp;number=3.8&amp;sourceID=14","3.8")</f>
        <v>3.8</v>
      </c>
      <c r="G2132" s="4" t="str">
        <f>HYPERLINK("http://141.218.60.56/~jnz1568/getInfo.php?workbook=20_13.xlsx&amp;sheet=U0&amp;row=2132&amp;col=7&amp;number=0.0798&amp;sourceID=14","0.0798")</f>
        <v>0.0798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HYPERLINK("http://141.218.60.56/~jnz1568/getInfo.php?workbook=20_13.xlsx&amp;sheet=U0&amp;row=2133&amp;col=6&amp;number=3.9&amp;sourceID=14","3.9")</f>
        <v>3.9</v>
      </c>
      <c r="G2133" s="4" t="str">
        <f>HYPERLINK("http://141.218.60.56/~jnz1568/getInfo.php?workbook=20_13.xlsx&amp;sheet=U0&amp;row=2133&amp;col=7&amp;number=0.0795&amp;sourceID=14","0.0795")</f>
        <v>0.0795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HYPERLINK("http://141.218.60.56/~jnz1568/getInfo.php?workbook=20_13.xlsx&amp;sheet=U0&amp;row=2134&amp;col=6&amp;number=4&amp;sourceID=14","4")</f>
        <v>4</v>
      </c>
      <c r="G2134" s="4" t="str">
        <f>HYPERLINK("http://141.218.60.56/~jnz1568/getInfo.php?workbook=20_13.xlsx&amp;sheet=U0&amp;row=2134&amp;col=7&amp;number=0.0792&amp;sourceID=14","0.0792")</f>
        <v>0.0792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HYPERLINK("http://141.218.60.56/~jnz1568/getInfo.php?workbook=20_13.xlsx&amp;sheet=U0&amp;row=2135&amp;col=6&amp;number=4.1&amp;sourceID=14","4.1")</f>
        <v>4.1</v>
      </c>
      <c r="G2135" s="4" t="str">
        <f>HYPERLINK("http://141.218.60.56/~jnz1568/getInfo.php?workbook=20_13.xlsx&amp;sheet=U0&amp;row=2135&amp;col=7&amp;number=0.0788&amp;sourceID=14","0.0788")</f>
        <v>0.0788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HYPERLINK("http://141.218.60.56/~jnz1568/getInfo.php?workbook=20_13.xlsx&amp;sheet=U0&amp;row=2136&amp;col=6&amp;number=4.2&amp;sourceID=14","4.2")</f>
        <v>4.2</v>
      </c>
      <c r="G2136" s="4" t="str">
        <f>HYPERLINK("http://141.218.60.56/~jnz1568/getInfo.php?workbook=20_13.xlsx&amp;sheet=U0&amp;row=2136&amp;col=7&amp;number=0.0783&amp;sourceID=14","0.0783")</f>
        <v>0.0783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HYPERLINK("http://141.218.60.56/~jnz1568/getInfo.php?workbook=20_13.xlsx&amp;sheet=U0&amp;row=2137&amp;col=6&amp;number=4.3&amp;sourceID=14","4.3")</f>
        <v>4.3</v>
      </c>
      <c r="G2137" s="4" t="str">
        <f>HYPERLINK("http://141.218.60.56/~jnz1568/getInfo.php?workbook=20_13.xlsx&amp;sheet=U0&amp;row=2137&amp;col=7&amp;number=0.0776&amp;sourceID=14","0.0776")</f>
        <v>0.0776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HYPERLINK("http://141.218.60.56/~jnz1568/getInfo.php?workbook=20_13.xlsx&amp;sheet=U0&amp;row=2138&amp;col=6&amp;number=4.4&amp;sourceID=14","4.4")</f>
        <v>4.4</v>
      </c>
      <c r="G2138" s="4" t="str">
        <f>HYPERLINK("http://141.218.60.56/~jnz1568/getInfo.php?workbook=20_13.xlsx&amp;sheet=U0&amp;row=2138&amp;col=7&amp;number=0.0768&amp;sourceID=14","0.0768")</f>
        <v>0.0768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HYPERLINK("http://141.218.60.56/~jnz1568/getInfo.php?workbook=20_13.xlsx&amp;sheet=U0&amp;row=2139&amp;col=6&amp;number=4.5&amp;sourceID=14","4.5")</f>
        <v>4.5</v>
      </c>
      <c r="G2139" s="4" t="str">
        <f>HYPERLINK("http://141.218.60.56/~jnz1568/getInfo.php?workbook=20_13.xlsx&amp;sheet=U0&amp;row=2139&amp;col=7&amp;number=0.0759&amp;sourceID=14","0.0759")</f>
        <v>0.0759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HYPERLINK("http://141.218.60.56/~jnz1568/getInfo.php?workbook=20_13.xlsx&amp;sheet=U0&amp;row=2140&amp;col=6&amp;number=4.6&amp;sourceID=14","4.6")</f>
        <v>4.6</v>
      </c>
      <c r="G2140" s="4" t="str">
        <f>HYPERLINK("http://141.218.60.56/~jnz1568/getInfo.php?workbook=20_13.xlsx&amp;sheet=U0&amp;row=2140&amp;col=7&amp;number=0.0747&amp;sourceID=14","0.0747")</f>
        <v>0.0747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HYPERLINK("http://141.218.60.56/~jnz1568/getInfo.php?workbook=20_13.xlsx&amp;sheet=U0&amp;row=2141&amp;col=6&amp;number=4.7&amp;sourceID=14","4.7")</f>
        <v>4.7</v>
      </c>
      <c r="G2141" s="4" t="str">
        <f>HYPERLINK("http://141.218.60.56/~jnz1568/getInfo.php?workbook=20_13.xlsx&amp;sheet=U0&amp;row=2141&amp;col=7&amp;number=0.0732&amp;sourceID=14","0.0732")</f>
        <v>0.0732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HYPERLINK("http://141.218.60.56/~jnz1568/getInfo.php?workbook=20_13.xlsx&amp;sheet=U0&amp;row=2142&amp;col=6&amp;number=4.8&amp;sourceID=14","4.8")</f>
        <v>4.8</v>
      </c>
      <c r="G2142" s="4" t="str">
        <f>HYPERLINK("http://141.218.60.56/~jnz1568/getInfo.php?workbook=20_13.xlsx&amp;sheet=U0&amp;row=2142&amp;col=7&amp;number=0.0715&amp;sourceID=14","0.0715")</f>
        <v>0.0715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HYPERLINK("http://141.218.60.56/~jnz1568/getInfo.php?workbook=20_13.xlsx&amp;sheet=U0&amp;row=2143&amp;col=6&amp;number=4.9&amp;sourceID=14","4.9")</f>
        <v>4.9</v>
      </c>
      <c r="G2143" s="4" t="str">
        <f>HYPERLINK("http://141.218.60.56/~jnz1568/getInfo.php?workbook=20_13.xlsx&amp;sheet=U0&amp;row=2143&amp;col=7&amp;number=0.0695&amp;sourceID=14","0.0695")</f>
        <v>0.0695</v>
      </c>
    </row>
    <row r="2144" spans="1:7">
      <c r="A2144" s="3">
        <v>20</v>
      </c>
      <c r="B2144" s="3">
        <v>13</v>
      </c>
      <c r="C2144" s="3">
        <v>21</v>
      </c>
      <c r="D2144" s="3">
        <v>34</v>
      </c>
      <c r="E2144" s="3">
        <v>1</v>
      </c>
      <c r="F2144" s="4" t="str">
        <f>HYPERLINK("http://141.218.60.56/~jnz1568/getInfo.php?workbook=20_13.xlsx&amp;sheet=U0&amp;row=2144&amp;col=6&amp;number=3&amp;sourceID=14","3")</f>
        <v>3</v>
      </c>
      <c r="G2144" s="4" t="str">
        <f>HYPERLINK("http://141.218.60.56/~jnz1568/getInfo.php?workbook=20_13.xlsx&amp;sheet=U0&amp;row=2144&amp;col=7&amp;number=0.0911&amp;sourceID=14","0.0911")</f>
        <v>0.0911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HYPERLINK("http://141.218.60.56/~jnz1568/getInfo.php?workbook=20_13.xlsx&amp;sheet=U0&amp;row=2145&amp;col=6&amp;number=3.1&amp;sourceID=14","3.1")</f>
        <v>3.1</v>
      </c>
      <c r="G2145" s="4" t="str">
        <f>HYPERLINK("http://141.218.60.56/~jnz1568/getInfo.php?workbook=20_13.xlsx&amp;sheet=U0&amp;row=2145&amp;col=7&amp;number=0.0911&amp;sourceID=14","0.0911")</f>
        <v>0.0911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HYPERLINK("http://141.218.60.56/~jnz1568/getInfo.php?workbook=20_13.xlsx&amp;sheet=U0&amp;row=2146&amp;col=6&amp;number=3.2&amp;sourceID=14","3.2")</f>
        <v>3.2</v>
      </c>
      <c r="G2146" s="4" t="str">
        <f>HYPERLINK("http://141.218.60.56/~jnz1568/getInfo.php?workbook=20_13.xlsx&amp;sheet=U0&amp;row=2146&amp;col=7&amp;number=0.0911&amp;sourceID=14","0.0911")</f>
        <v>0.0911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HYPERLINK("http://141.218.60.56/~jnz1568/getInfo.php?workbook=20_13.xlsx&amp;sheet=U0&amp;row=2147&amp;col=6&amp;number=3.3&amp;sourceID=14","3.3")</f>
        <v>3.3</v>
      </c>
      <c r="G2147" s="4" t="str">
        <f>HYPERLINK("http://141.218.60.56/~jnz1568/getInfo.php?workbook=20_13.xlsx&amp;sheet=U0&amp;row=2147&amp;col=7&amp;number=0.091&amp;sourceID=14","0.091")</f>
        <v>0.091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HYPERLINK("http://141.218.60.56/~jnz1568/getInfo.php?workbook=20_13.xlsx&amp;sheet=U0&amp;row=2148&amp;col=6&amp;number=3.4&amp;sourceID=14","3.4")</f>
        <v>3.4</v>
      </c>
      <c r="G2148" s="4" t="str">
        <f>HYPERLINK("http://141.218.60.56/~jnz1568/getInfo.php?workbook=20_13.xlsx&amp;sheet=U0&amp;row=2148&amp;col=7&amp;number=0.0909&amp;sourceID=14","0.0909")</f>
        <v>0.0909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HYPERLINK("http://141.218.60.56/~jnz1568/getInfo.php?workbook=20_13.xlsx&amp;sheet=U0&amp;row=2149&amp;col=6&amp;number=3.5&amp;sourceID=14","3.5")</f>
        <v>3.5</v>
      </c>
      <c r="G2149" s="4" t="str">
        <f>HYPERLINK("http://141.218.60.56/~jnz1568/getInfo.php?workbook=20_13.xlsx&amp;sheet=U0&amp;row=2149&amp;col=7&amp;number=0.0909&amp;sourceID=14","0.0909")</f>
        <v>0.0909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HYPERLINK("http://141.218.60.56/~jnz1568/getInfo.php?workbook=20_13.xlsx&amp;sheet=U0&amp;row=2150&amp;col=6&amp;number=3.6&amp;sourceID=14","3.6")</f>
        <v>3.6</v>
      </c>
      <c r="G2150" s="4" t="str">
        <f>HYPERLINK("http://141.218.60.56/~jnz1568/getInfo.php?workbook=20_13.xlsx&amp;sheet=U0&amp;row=2150&amp;col=7&amp;number=0.0908&amp;sourceID=14","0.0908")</f>
        <v>0.0908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HYPERLINK("http://141.218.60.56/~jnz1568/getInfo.php?workbook=20_13.xlsx&amp;sheet=U0&amp;row=2151&amp;col=6&amp;number=3.7&amp;sourceID=14","3.7")</f>
        <v>3.7</v>
      </c>
      <c r="G2151" s="4" t="str">
        <f>HYPERLINK("http://141.218.60.56/~jnz1568/getInfo.php?workbook=20_13.xlsx&amp;sheet=U0&amp;row=2151&amp;col=7&amp;number=0.0907&amp;sourceID=14","0.0907")</f>
        <v>0.0907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HYPERLINK("http://141.218.60.56/~jnz1568/getInfo.php?workbook=20_13.xlsx&amp;sheet=U0&amp;row=2152&amp;col=6&amp;number=3.8&amp;sourceID=14","3.8")</f>
        <v>3.8</v>
      </c>
      <c r="G2152" s="4" t="str">
        <f>HYPERLINK("http://141.218.60.56/~jnz1568/getInfo.php?workbook=20_13.xlsx&amp;sheet=U0&amp;row=2152&amp;col=7&amp;number=0.0905&amp;sourceID=14","0.0905")</f>
        <v>0.0905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HYPERLINK("http://141.218.60.56/~jnz1568/getInfo.php?workbook=20_13.xlsx&amp;sheet=U0&amp;row=2153&amp;col=6&amp;number=3.9&amp;sourceID=14","3.9")</f>
        <v>3.9</v>
      </c>
      <c r="G2153" s="4" t="str">
        <f>HYPERLINK("http://141.218.60.56/~jnz1568/getInfo.php?workbook=20_13.xlsx&amp;sheet=U0&amp;row=2153&amp;col=7&amp;number=0.0903&amp;sourceID=14","0.0903")</f>
        <v>0.0903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HYPERLINK("http://141.218.60.56/~jnz1568/getInfo.php?workbook=20_13.xlsx&amp;sheet=U0&amp;row=2154&amp;col=6&amp;number=4&amp;sourceID=14","4")</f>
        <v>4</v>
      </c>
      <c r="G2154" s="4" t="str">
        <f>HYPERLINK("http://141.218.60.56/~jnz1568/getInfo.php?workbook=20_13.xlsx&amp;sheet=U0&amp;row=2154&amp;col=7&amp;number=0.0901&amp;sourceID=14","0.0901")</f>
        <v>0.0901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HYPERLINK("http://141.218.60.56/~jnz1568/getInfo.php?workbook=20_13.xlsx&amp;sheet=U0&amp;row=2155&amp;col=6&amp;number=4.1&amp;sourceID=14","4.1")</f>
        <v>4.1</v>
      </c>
      <c r="G2155" s="4" t="str">
        <f>HYPERLINK("http://141.218.60.56/~jnz1568/getInfo.php?workbook=20_13.xlsx&amp;sheet=U0&amp;row=2155&amp;col=7&amp;number=0.0898&amp;sourceID=14","0.0898")</f>
        <v>0.0898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HYPERLINK("http://141.218.60.56/~jnz1568/getInfo.php?workbook=20_13.xlsx&amp;sheet=U0&amp;row=2156&amp;col=6&amp;number=4.2&amp;sourceID=14","4.2")</f>
        <v>4.2</v>
      </c>
      <c r="G2156" s="4" t="str">
        <f>HYPERLINK("http://141.218.60.56/~jnz1568/getInfo.php?workbook=20_13.xlsx&amp;sheet=U0&amp;row=2156&amp;col=7&amp;number=0.0894&amp;sourceID=14","0.0894")</f>
        <v>0.0894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HYPERLINK("http://141.218.60.56/~jnz1568/getInfo.php?workbook=20_13.xlsx&amp;sheet=U0&amp;row=2157&amp;col=6&amp;number=4.3&amp;sourceID=14","4.3")</f>
        <v>4.3</v>
      </c>
      <c r="G2157" s="4" t="str">
        <f>HYPERLINK("http://141.218.60.56/~jnz1568/getInfo.php?workbook=20_13.xlsx&amp;sheet=U0&amp;row=2157&amp;col=7&amp;number=0.089&amp;sourceID=14","0.089")</f>
        <v>0.089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HYPERLINK("http://141.218.60.56/~jnz1568/getInfo.php?workbook=20_13.xlsx&amp;sheet=U0&amp;row=2158&amp;col=6&amp;number=4.4&amp;sourceID=14","4.4")</f>
        <v>4.4</v>
      </c>
      <c r="G2158" s="4" t="str">
        <f>HYPERLINK("http://141.218.60.56/~jnz1568/getInfo.php?workbook=20_13.xlsx&amp;sheet=U0&amp;row=2158&amp;col=7&amp;number=0.0884&amp;sourceID=14","0.0884")</f>
        <v>0.0884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HYPERLINK("http://141.218.60.56/~jnz1568/getInfo.php?workbook=20_13.xlsx&amp;sheet=U0&amp;row=2159&amp;col=6&amp;number=4.5&amp;sourceID=14","4.5")</f>
        <v>4.5</v>
      </c>
      <c r="G2159" s="4" t="str">
        <f>HYPERLINK("http://141.218.60.56/~jnz1568/getInfo.php?workbook=20_13.xlsx&amp;sheet=U0&amp;row=2159&amp;col=7&amp;number=0.0877&amp;sourceID=14","0.0877")</f>
        <v>0.0877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HYPERLINK("http://141.218.60.56/~jnz1568/getInfo.php?workbook=20_13.xlsx&amp;sheet=U0&amp;row=2160&amp;col=6&amp;number=4.6&amp;sourceID=14","4.6")</f>
        <v>4.6</v>
      </c>
      <c r="G2160" s="4" t="str">
        <f>HYPERLINK("http://141.218.60.56/~jnz1568/getInfo.php?workbook=20_13.xlsx&amp;sheet=U0&amp;row=2160&amp;col=7&amp;number=0.0868&amp;sourceID=14","0.0868")</f>
        <v>0.0868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HYPERLINK("http://141.218.60.56/~jnz1568/getInfo.php?workbook=20_13.xlsx&amp;sheet=U0&amp;row=2161&amp;col=6&amp;number=4.7&amp;sourceID=14","4.7")</f>
        <v>4.7</v>
      </c>
      <c r="G2161" s="4" t="str">
        <f>HYPERLINK("http://141.218.60.56/~jnz1568/getInfo.php?workbook=20_13.xlsx&amp;sheet=U0&amp;row=2161&amp;col=7&amp;number=0.0857&amp;sourceID=14","0.0857")</f>
        <v>0.0857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HYPERLINK("http://141.218.60.56/~jnz1568/getInfo.php?workbook=20_13.xlsx&amp;sheet=U0&amp;row=2162&amp;col=6&amp;number=4.8&amp;sourceID=14","4.8")</f>
        <v>4.8</v>
      </c>
      <c r="G2162" s="4" t="str">
        <f>HYPERLINK("http://141.218.60.56/~jnz1568/getInfo.php?workbook=20_13.xlsx&amp;sheet=U0&amp;row=2162&amp;col=7&amp;number=0.0843&amp;sourceID=14","0.0843")</f>
        <v>0.0843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HYPERLINK("http://141.218.60.56/~jnz1568/getInfo.php?workbook=20_13.xlsx&amp;sheet=U0&amp;row=2163&amp;col=6&amp;number=4.9&amp;sourceID=14","4.9")</f>
        <v>4.9</v>
      </c>
      <c r="G2163" s="4" t="str">
        <f>HYPERLINK("http://141.218.60.56/~jnz1568/getInfo.php?workbook=20_13.xlsx&amp;sheet=U0&amp;row=2163&amp;col=7&amp;number=0.0827&amp;sourceID=14","0.0827")</f>
        <v>0.0827</v>
      </c>
    </row>
    <row r="2164" spans="1:7">
      <c r="A2164" s="3">
        <v>20</v>
      </c>
      <c r="B2164" s="3">
        <v>13</v>
      </c>
      <c r="C2164" s="3">
        <v>21</v>
      </c>
      <c r="D2164" s="3">
        <v>35</v>
      </c>
      <c r="E2164" s="3">
        <v>1</v>
      </c>
      <c r="F2164" s="4" t="str">
        <f>HYPERLINK("http://141.218.60.56/~jnz1568/getInfo.php?workbook=20_13.xlsx&amp;sheet=U0&amp;row=2164&amp;col=6&amp;number=3&amp;sourceID=14","3")</f>
        <v>3</v>
      </c>
      <c r="G2164" s="4" t="str">
        <f>HYPERLINK("http://141.218.60.56/~jnz1568/getInfo.php?workbook=20_13.xlsx&amp;sheet=U0&amp;row=2164&amp;col=7&amp;number=0.0768&amp;sourceID=14","0.0768")</f>
        <v>0.0768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HYPERLINK("http://141.218.60.56/~jnz1568/getInfo.php?workbook=20_13.xlsx&amp;sheet=U0&amp;row=2165&amp;col=6&amp;number=3.1&amp;sourceID=14","3.1")</f>
        <v>3.1</v>
      </c>
      <c r="G2165" s="4" t="str">
        <f>HYPERLINK("http://141.218.60.56/~jnz1568/getInfo.php?workbook=20_13.xlsx&amp;sheet=U0&amp;row=2165&amp;col=7&amp;number=0.0768&amp;sourceID=14","0.0768")</f>
        <v>0.0768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HYPERLINK("http://141.218.60.56/~jnz1568/getInfo.php?workbook=20_13.xlsx&amp;sheet=U0&amp;row=2166&amp;col=6&amp;number=3.2&amp;sourceID=14","3.2")</f>
        <v>3.2</v>
      </c>
      <c r="G2166" s="4" t="str">
        <f>HYPERLINK("http://141.218.60.56/~jnz1568/getInfo.php?workbook=20_13.xlsx&amp;sheet=U0&amp;row=2166&amp;col=7&amp;number=0.0767&amp;sourceID=14","0.0767")</f>
        <v>0.0767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HYPERLINK("http://141.218.60.56/~jnz1568/getInfo.php?workbook=20_13.xlsx&amp;sheet=U0&amp;row=2167&amp;col=6&amp;number=3.3&amp;sourceID=14","3.3")</f>
        <v>3.3</v>
      </c>
      <c r="G2167" s="4" t="str">
        <f>HYPERLINK("http://141.218.60.56/~jnz1568/getInfo.php?workbook=20_13.xlsx&amp;sheet=U0&amp;row=2167&amp;col=7&amp;number=0.0766&amp;sourceID=14","0.0766")</f>
        <v>0.0766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HYPERLINK("http://141.218.60.56/~jnz1568/getInfo.php?workbook=20_13.xlsx&amp;sheet=U0&amp;row=2168&amp;col=6&amp;number=3.4&amp;sourceID=14","3.4")</f>
        <v>3.4</v>
      </c>
      <c r="G2168" s="4" t="str">
        <f>HYPERLINK("http://141.218.60.56/~jnz1568/getInfo.php?workbook=20_13.xlsx&amp;sheet=U0&amp;row=2168&amp;col=7&amp;number=0.0766&amp;sourceID=14","0.0766")</f>
        <v>0.0766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HYPERLINK("http://141.218.60.56/~jnz1568/getInfo.php?workbook=20_13.xlsx&amp;sheet=U0&amp;row=2169&amp;col=6&amp;number=3.5&amp;sourceID=14","3.5")</f>
        <v>3.5</v>
      </c>
      <c r="G2169" s="4" t="str">
        <f>HYPERLINK("http://141.218.60.56/~jnz1568/getInfo.php?workbook=20_13.xlsx&amp;sheet=U0&amp;row=2169&amp;col=7&amp;number=0.0765&amp;sourceID=14","0.0765")</f>
        <v>0.0765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HYPERLINK("http://141.218.60.56/~jnz1568/getInfo.php?workbook=20_13.xlsx&amp;sheet=U0&amp;row=2170&amp;col=6&amp;number=3.6&amp;sourceID=14","3.6")</f>
        <v>3.6</v>
      </c>
      <c r="G2170" s="4" t="str">
        <f>HYPERLINK("http://141.218.60.56/~jnz1568/getInfo.php?workbook=20_13.xlsx&amp;sheet=U0&amp;row=2170&amp;col=7&amp;number=0.0763&amp;sourceID=14","0.0763")</f>
        <v>0.0763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HYPERLINK("http://141.218.60.56/~jnz1568/getInfo.php?workbook=20_13.xlsx&amp;sheet=U0&amp;row=2171&amp;col=6&amp;number=3.7&amp;sourceID=14","3.7")</f>
        <v>3.7</v>
      </c>
      <c r="G2171" s="4" t="str">
        <f>HYPERLINK("http://141.218.60.56/~jnz1568/getInfo.php?workbook=20_13.xlsx&amp;sheet=U0&amp;row=2171&amp;col=7&amp;number=0.0762&amp;sourceID=14","0.0762")</f>
        <v>0.0762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HYPERLINK("http://141.218.60.56/~jnz1568/getInfo.php?workbook=20_13.xlsx&amp;sheet=U0&amp;row=2172&amp;col=6&amp;number=3.8&amp;sourceID=14","3.8")</f>
        <v>3.8</v>
      </c>
      <c r="G2172" s="4" t="str">
        <f>HYPERLINK("http://141.218.60.56/~jnz1568/getInfo.php?workbook=20_13.xlsx&amp;sheet=U0&amp;row=2172&amp;col=7&amp;number=0.076&amp;sourceID=14","0.076")</f>
        <v>0.076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HYPERLINK("http://141.218.60.56/~jnz1568/getInfo.php?workbook=20_13.xlsx&amp;sheet=U0&amp;row=2173&amp;col=6&amp;number=3.9&amp;sourceID=14","3.9")</f>
        <v>3.9</v>
      </c>
      <c r="G2173" s="4" t="str">
        <f>HYPERLINK("http://141.218.60.56/~jnz1568/getInfo.php?workbook=20_13.xlsx&amp;sheet=U0&amp;row=2173&amp;col=7&amp;number=0.0757&amp;sourceID=14","0.0757")</f>
        <v>0.0757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HYPERLINK("http://141.218.60.56/~jnz1568/getInfo.php?workbook=20_13.xlsx&amp;sheet=U0&amp;row=2174&amp;col=6&amp;number=4&amp;sourceID=14","4")</f>
        <v>4</v>
      </c>
      <c r="G2174" s="4" t="str">
        <f>HYPERLINK("http://141.218.60.56/~jnz1568/getInfo.php?workbook=20_13.xlsx&amp;sheet=U0&amp;row=2174&amp;col=7&amp;number=0.0754&amp;sourceID=14","0.0754")</f>
        <v>0.0754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HYPERLINK("http://141.218.60.56/~jnz1568/getInfo.php?workbook=20_13.xlsx&amp;sheet=U0&amp;row=2175&amp;col=6&amp;number=4.1&amp;sourceID=14","4.1")</f>
        <v>4.1</v>
      </c>
      <c r="G2175" s="4" t="str">
        <f>HYPERLINK("http://141.218.60.56/~jnz1568/getInfo.php?workbook=20_13.xlsx&amp;sheet=U0&amp;row=2175&amp;col=7&amp;number=0.075&amp;sourceID=14","0.075")</f>
        <v>0.075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HYPERLINK("http://141.218.60.56/~jnz1568/getInfo.php?workbook=20_13.xlsx&amp;sheet=U0&amp;row=2176&amp;col=6&amp;number=4.2&amp;sourceID=14","4.2")</f>
        <v>4.2</v>
      </c>
      <c r="G2176" s="4" t="str">
        <f>HYPERLINK("http://141.218.60.56/~jnz1568/getInfo.php?workbook=20_13.xlsx&amp;sheet=U0&amp;row=2176&amp;col=7&amp;number=0.0745&amp;sourceID=14","0.0745")</f>
        <v>0.0745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HYPERLINK("http://141.218.60.56/~jnz1568/getInfo.php?workbook=20_13.xlsx&amp;sheet=U0&amp;row=2177&amp;col=6&amp;number=4.3&amp;sourceID=14","4.3")</f>
        <v>4.3</v>
      </c>
      <c r="G2177" s="4" t="str">
        <f>HYPERLINK("http://141.218.60.56/~jnz1568/getInfo.php?workbook=20_13.xlsx&amp;sheet=U0&amp;row=2177&amp;col=7&amp;number=0.0739&amp;sourceID=14","0.0739")</f>
        <v>0.0739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HYPERLINK("http://141.218.60.56/~jnz1568/getInfo.php?workbook=20_13.xlsx&amp;sheet=U0&amp;row=2178&amp;col=6&amp;number=4.4&amp;sourceID=14","4.4")</f>
        <v>4.4</v>
      </c>
      <c r="G2178" s="4" t="str">
        <f>HYPERLINK("http://141.218.60.56/~jnz1568/getInfo.php?workbook=20_13.xlsx&amp;sheet=U0&amp;row=2178&amp;col=7&amp;number=0.0731&amp;sourceID=14","0.0731")</f>
        <v>0.0731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HYPERLINK("http://141.218.60.56/~jnz1568/getInfo.php?workbook=20_13.xlsx&amp;sheet=U0&amp;row=2179&amp;col=6&amp;number=4.5&amp;sourceID=14","4.5")</f>
        <v>4.5</v>
      </c>
      <c r="G2179" s="4" t="str">
        <f>HYPERLINK("http://141.218.60.56/~jnz1568/getInfo.php?workbook=20_13.xlsx&amp;sheet=U0&amp;row=2179&amp;col=7&amp;number=0.0722&amp;sourceID=14","0.0722")</f>
        <v>0.0722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HYPERLINK("http://141.218.60.56/~jnz1568/getInfo.php?workbook=20_13.xlsx&amp;sheet=U0&amp;row=2180&amp;col=6&amp;number=4.6&amp;sourceID=14","4.6")</f>
        <v>4.6</v>
      </c>
      <c r="G2180" s="4" t="str">
        <f>HYPERLINK("http://141.218.60.56/~jnz1568/getInfo.php?workbook=20_13.xlsx&amp;sheet=U0&amp;row=2180&amp;col=7&amp;number=0.071&amp;sourceID=14","0.071")</f>
        <v>0.071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HYPERLINK("http://141.218.60.56/~jnz1568/getInfo.php?workbook=20_13.xlsx&amp;sheet=U0&amp;row=2181&amp;col=6&amp;number=4.7&amp;sourceID=14","4.7")</f>
        <v>4.7</v>
      </c>
      <c r="G2181" s="4" t="str">
        <f>HYPERLINK("http://141.218.60.56/~jnz1568/getInfo.php?workbook=20_13.xlsx&amp;sheet=U0&amp;row=2181&amp;col=7&amp;number=0.0696&amp;sourceID=14","0.0696")</f>
        <v>0.0696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HYPERLINK("http://141.218.60.56/~jnz1568/getInfo.php?workbook=20_13.xlsx&amp;sheet=U0&amp;row=2182&amp;col=6&amp;number=4.8&amp;sourceID=14","4.8")</f>
        <v>4.8</v>
      </c>
      <c r="G2182" s="4" t="str">
        <f>HYPERLINK("http://141.218.60.56/~jnz1568/getInfo.php?workbook=20_13.xlsx&amp;sheet=U0&amp;row=2182&amp;col=7&amp;number=0.068&amp;sourceID=14","0.068")</f>
        <v>0.068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HYPERLINK("http://141.218.60.56/~jnz1568/getInfo.php?workbook=20_13.xlsx&amp;sheet=U0&amp;row=2183&amp;col=6&amp;number=4.9&amp;sourceID=14","4.9")</f>
        <v>4.9</v>
      </c>
      <c r="G2183" s="4" t="str">
        <f>HYPERLINK("http://141.218.60.56/~jnz1568/getInfo.php?workbook=20_13.xlsx&amp;sheet=U0&amp;row=2183&amp;col=7&amp;number=0.066&amp;sourceID=14","0.066")</f>
        <v>0.066</v>
      </c>
    </row>
    <row r="2184" spans="1:7">
      <c r="A2184" s="3">
        <v>20</v>
      </c>
      <c r="B2184" s="3">
        <v>13</v>
      </c>
      <c r="C2184" s="3">
        <v>21</v>
      </c>
      <c r="D2184" s="3">
        <v>36</v>
      </c>
      <c r="E2184" s="3">
        <v>1</v>
      </c>
      <c r="F2184" s="4" t="str">
        <f>HYPERLINK("http://141.218.60.56/~jnz1568/getInfo.php?workbook=20_13.xlsx&amp;sheet=U0&amp;row=2184&amp;col=6&amp;number=3&amp;sourceID=14","3")</f>
        <v>3</v>
      </c>
      <c r="G2184" s="4" t="str">
        <f>HYPERLINK("http://141.218.60.56/~jnz1568/getInfo.php?workbook=20_13.xlsx&amp;sheet=U0&amp;row=2184&amp;col=7&amp;number=0.0173&amp;sourceID=14","0.0173")</f>
        <v>0.0173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HYPERLINK("http://141.218.60.56/~jnz1568/getInfo.php?workbook=20_13.xlsx&amp;sheet=U0&amp;row=2185&amp;col=6&amp;number=3.1&amp;sourceID=14","3.1")</f>
        <v>3.1</v>
      </c>
      <c r="G2185" s="4" t="str">
        <f>HYPERLINK("http://141.218.60.56/~jnz1568/getInfo.php?workbook=20_13.xlsx&amp;sheet=U0&amp;row=2185&amp;col=7&amp;number=0.0173&amp;sourceID=14","0.0173")</f>
        <v>0.0173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HYPERLINK("http://141.218.60.56/~jnz1568/getInfo.php?workbook=20_13.xlsx&amp;sheet=U0&amp;row=2186&amp;col=6&amp;number=3.2&amp;sourceID=14","3.2")</f>
        <v>3.2</v>
      </c>
      <c r="G2186" s="4" t="str">
        <f>HYPERLINK("http://141.218.60.56/~jnz1568/getInfo.php?workbook=20_13.xlsx&amp;sheet=U0&amp;row=2186&amp;col=7&amp;number=0.0173&amp;sourceID=14","0.0173")</f>
        <v>0.0173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HYPERLINK("http://141.218.60.56/~jnz1568/getInfo.php?workbook=20_13.xlsx&amp;sheet=U0&amp;row=2187&amp;col=6&amp;number=3.3&amp;sourceID=14","3.3")</f>
        <v>3.3</v>
      </c>
      <c r="G2187" s="4" t="str">
        <f>HYPERLINK("http://141.218.60.56/~jnz1568/getInfo.php?workbook=20_13.xlsx&amp;sheet=U0&amp;row=2187&amp;col=7&amp;number=0.0173&amp;sourceID=14","0.0173")</f>
        <v>0.0173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HYPERLINK("http://141.218.60.56/~jnz1568/getInfo.php?workbook=20_13.xlsx&amp;sheet=U0&amp;row=2188&amp;col=6&amp;number=3.4&amp;sourceID=14","3.4")</f>
        <v>3.4</v>
      </c>
      <c r="G2188" s="4" t="str">
        <f>HYPERLINK("http://141.218.60.56/~jnz1568/getInfo.php?workbook=20_13.xlsx&amp;sheet=U0&amp;row=2188&amp;col=7&amp;number=0.0172&amp;sourceID=14","0.0172")</f>
        <v>0.0172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HYPERLINK("http://141.218.60.56/~jnz1568/getInfo.php?workbook=20_13.xlsx&amp;sheet=U0&amp;row=2189&amp;col=6&amp;number=3.5&amp;sourceID=14","3.5")</f>
        <v>3.5</v>
      </c>
      <c r="G2189" s="4" t="str">
        <f>HYPERLINK("http://141.218.60.56/~jnz1568/getInfo.php?workbook=20_13.xlsx&amp;sheet=U0&amp;row=2189&amp;col=7&amp;number=0.0172&amp;sourceID=14","0.0172")</f>
        <v>0.0172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HYPERLINK("http://141.218.60.56/~jnz1568/getInfo.php?workbook=20_13.xlsx&amp;sheet=U0&amp;row=2190&amp;col=6&amp;number=3.6&amp;sourceID=14","3.6")</f>
        <v>3.6</v>
      </c>
      <c r="G2190" s="4" t="str">
        <f>HYPERLINK("http://141.218.60.56/~jnz1568/getInfo.php?workbook=20_13.xlsx&amp;sheet=U0&amp;row=2190&amp;col=7&amp;number=0.0172&amp;sourceID=14","0.0172")</f>
        <v>0.0172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HYPERLINK("http://141.218.60.56/~jnz1568/getInfo.php?workbook=20_13.xlsx&amp;sheet=U0&amp;row=2191&amp;col=6&amp;number=3.7&amp;sourceID=14","3.7")</f>
        <v>3.7</v>
      </c>
      <c r="G2191" s="4" t="str">
        <f>HYPERLINK("http://141.218.60.56/~jnz1568/getInfo.php?workbook=20_13.xlsx&amp;sheet=U0&amp;row=2191&amp;col=7&amp;number=0.0171&amp;sourceID=14","0.0171")</f>
        <v>0.0171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HYPERLINK("http://141.218.60.56/~jnz1568/getInfo.php?workbook=20_13.xlsx&amp;sheet=U0&amp;row=2192&amp;col=6&amp;number=3.8&amp;sourceID=14","3.8")</f>
        <v>3.8</v>
      </c>
      <c r="G2192" s="4" t="str">
        <f>HYPERLINK("http://141.218.60.56/~jnz1568/getInfo.php?workbook=20_13.xlsx&amp;sheet=U0&amp;row=2192&amp;col=7&amp;number=0.0171&amp;sourceID=14","0.0171")</f>
        <v>0.0171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HYPERLINK("http://141.218.60.56/~jnz1568/getInfo.php?workbook=20_13.xlsx&amp;sheet=U0&amp;row=2193&amp;col=6&amp;number=3.9&amp;sourceID=14","3.9")</f>
        <v>3.9</v>
      </c>
      <c r="G2193" s="4" t="str">
        <f>HYPERLINK("http://141.218.60.56/~jnz1568/getInfo.php?workbook=20_13.xlsx&amp;sheet=U0&amp;row=2193&amp;col=7&amp;number=0.017&amp;sourceID=14","0.017")</f>
        <v>0.017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HYPERLINK("http://141.218.60.56/~jnz1568/getInfo.php?workbook=20_13.xlsx&amp;sheet=U0&amp;row=2194&amp;col=6&amp;number=4&amp;sourceID=14","4")</f>
        <v>4</v>
      </c>
      <c r="G2194" s="4" t="str">
        <f>HYPERLINK("http://141.218.60.56/~jnz1568/getInfo.php?workbook=20_13.xlsx&amp;sheet=U0&amp;row=2194&amp;col=7&amp;number=0.0169&amp;sourceID=14","0.0169")</f>
        <v>0.0169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HYPERLINK("http://141.218.60.56/~jnz1568/getInfo.php?workbook=20_13.xlsx&amp;sheet=U0&amp;row=2195&amp;col=6&amp;number=4.1&amp;sourceID=14","4.1")</f>
        <v>4.1</v>
      </c>
      <c r="G2195" s="4" t="str">
        <f>HYPERLINK("http://141.218.60.56/~jnz1568/getInfo.php?workbook=20_13.xlsx&amp;sheet=U0&amp;row=2195&amp;col=7&amp;number=0.0168&amp;sourceID=14","0.0168")</f>
        <v>0.0168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HYPERLINK("http://141.218.60.56/~jnz1568/getInfo.php?workbook=20_13.xlsx&amp;sheet=U0&amp;row=2196&amp;col=6&amp;number=4.2&amp;sourceID=14","4.2")</f>
        <v>4.2</v>
      </c>
      <c r="G2196" s="4" t="str">
        <f>HYPERLINK("http://141.218.60.56/~jnz1568/getInfo.php?workbook=20_13.xlsx&amp;sheet=U0&amp;row=2196&amp;col=7&amp;number=0.0166&amp;sourceID=14","0.0166")</f>
        <v>0.0166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HYPERLINK("http://141.218.60.56/~jnz1568/getInfo.php?workbook=20_13.xlsx&amp;sheet=U0&amp;row=2197&amp;col=6&amp;number=4.3&amp;sourceID=14","4.3")</f>
        <v>4.3</v>
      </c>
      <c r="G2197" s="4" t="str">
        <f>HYPERLINK("http://141.218.60.56/~jnz1568/getInfo.php?workbook=20_13.xlsx&amp;sheet=U0&amp;row=2197&amp;col=7&amp;number=0.0165&amp;sourceID=14","0.0165")</f>
        <v>0.0165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HYPERLINK("http://141.218.60.56/~jnz1568/getInfo.php?workbook=20_13.xlsx&amp;sheet=U0&amp;row=2198&amp;col=6&amp;number=4.4&amp;sourceID=14","4.4")</f>
        <v>4.4</v>
      </c>
      <c r="G2198" s="4" t="str">
        <f>HYPERLINK("http://141.218.60.56/~jnz1568/getInfo.php?workbook=20_13.xlsx&amp;sheet=U0&amp;row=2198&amp;col=7&amp;number=0.0162&amp;sourceID=14","0.0162")</f>
        <v>0.0162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HYPERLINK("http://141.218.60.56/~jnz1568/getInfo.php?workbook=20_13.xlsx&amp;sheet=U0&amp;row=2199&amp;col=6&amp;number=4.5&amp;sourceID=14","4.5")</f>
        <v>4.5</v>
      </c>
      <c r="G2199" s="4" t="str">
        <f>HYPERLINK("http://141.218.60.56/~jnz1568/getInfo.php?workbook=20_13.xlsx&amp;sheet=U0&amp;row=2199&amp;col=7&amp;number=0.016&amp;sourceID=14","0.016")</f>
        <v>0.016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HYPERLINK("http://141.218.60.56/~jnz1568/getInfo.php?workbook=20_13.xlsx&amp;sheet=U0&amp;row=2200&amp;col=6&amp;number=4.6&amp;sourceID=14","4.6")</f>
        <v>4.6</v>
      </c>
      <c r="G2200" s="4" t="str">
        <f>HYPERLINK("http://141.218.60.56/~jnz1568/getInfo.php?workbook=20_13.xlsx&amp;sheet=U0&amp;row=2200&amp;col=7&amp;number=0.0157&amp;sourceID=14","0.0157")</f>
        <v>0.0157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HYPERLINK("http://141.218.60.56/~jnz1568/getInfo.php?workbook=20_13.xlsx&amp;sheet=U0&amp;row=2201&amp;col=6&amp;number=4.7&amp;sourceID=14","4.7")</f>
        <v>4.7</v>
      </c>
      <c r="G2201" s="4" t="str">
        <f>HYPERLINK("http://141.218.60.56/~jnz1568/getInfo.php?workbook=20_13.xlsx&amp;sheet=U0&amp;row=2201&amp;col=7&amp;number=0.0153&amp;sourceID=14","0.0153")</f>
        <v>0.0153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HYPERLINK("http://141.218.60.56/~jnz1568/getInfo.php?workbook=20_13.xlsx&amp;sheet=U0&amp;row=2202&amp;col=6&amp;number=4.8&amp;sourceID=14","4.8")</f>
        <v>4.8</v>
      </c>
      <c r="G2202" s="4" t="str">
        <f>HYPERLINK("http://141.218.60.56/~jnz1568/getInfo.php?workbook=20_13.xlsx&amp;sheet=U0&amp;row=2202&amp;col=7&amp;number=0.0148&amp;sourceID=14","0.0148")</f>
        <v>0.0148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HYPERLINK("http://141.218.60.56/~jnz1568/getInfo.php?workbook=20_13.xlsx&amp;sheet=U0&amp;row=2203&amp;col=6&amp;number=4.9&amp;sourceID=14","4.9")</f>
        <v>4.9</v>
      </c>
      <c r="G2203" s="4" t="str">
        <f>HYPERLINK("http://141.218.60.56/~jnz1568/getInfo.php?workbook=20_13.xlsx&amp;sheet=U0&amp;row=2203&amp;col=7&amp;number=0.0143&amp;sourceID=14","0.0143")</f>
        <v>0.0143</v>
      </c>
    </row>
    <row r="2204" spans="1:7">
      <c r="A2204" s="3">
        <v>20</v>
      </c>
      <c r="B2204" s="3">
        <v>13</v>
      </c>
      <c r="C2204" s="3">
        <v>21</v>
      </c>
      <c r="D2204" s="3">
        <v>37</v>
      </c>
      <c r="E2204" s="3">
        <v>1</v>
      </c>
      <c r="F2204" s="4" t="str">
        <f>HYPERLINK("http://141.218.60.56/~jnz1568/getInfo.php?workbook=20_13.xlsx&amp;sheet=U0&amp;row=2204&amp;col=6&amp;number=3&amp;sourceID=14","3")</f>
        <v>3</v>
      </c>
      <c r="G2204" s="4" t="str">
        <f>HYPERLINK("http://141.218.60.56/~jnz1568/getInfo.php?workbook=20_13.xlsx&amp;sheet=U0&amp;row=2204&amp;col=7&amp;number=0.000902&amp;sourceID=14","0.000902")</f>
        <v>0.000902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HYPERLINK("http://141.218.60.56/~jnz1568/getInfo.php?workbook=20_13.xlsx&amp;sheet=U0&amp;row=2205&amp;col=6&amp;number=3.1&amp;sourceID=14","3.1")</f>
        <v>3.1</v>
      </c>
      <c r="G2205" s="4" t="str">
        <f>HYPERLINK("http://141.218.60.56/~jnz1568/getInfo.php?workbook=20_13.xlsx&amp;sheet=U0&amp;row=2205&amp;col=7&amp;number=0.000902&amp;sourceID=14","0.000902")</f>
        <v>0.000902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HYPERLINK("http://141.218.60.56/~jnz1568/getInfo.php?workbook=20_13.xlsx&amp;sheet=U0&amp;row=2206&amp;col=6&amp;number=3.2&amp;sourceID=14","3.2")</f>
        <v>3.2</v>
      </c>
      <c r="G2206" s="4" t="str">
        <f>HYPERLINK("http://141.218.60.56/~jnz1568/getInfo.php?workbook=20_13.xlsx&amp;sheet=U0&amp;row=2206&amp;col=7&amp;number=0.000901&amp;sourceID=14","0.000901")</f>
        <v>0.000901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HYPERLINK("http://141.218.60.56/~jnz1568/getInfo.php?workbook=20_13.xlsx&amp;sheet=U0&amp;row=2207&amp;col=6&amp;number=3.3&amp;sourceID=14","3.3")</f>
        <v>3.3</v>
      </c>
      <c r="G2207" s="4" t="str">
        <f>HYPERLINK("http://141.218.60.56/~jnz1568/getInfo.php?workbook=20_13.xlsx&amp;sheet=U0&amp;row=2207&amp;col=7&amp;number=0.000901&amp;sourceID=14","0.000901")</f>
        <v>0.000901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HYPERLINK("http://141.218.60.56/~jnz1568/getInfo.php?workbook=20_13.xlsx&amp;sheet=U0&amp;row=2208&amp;col=6&amp;number=3.4&amp;sourceID=14","3.4")</f>
        <v>3.4</v>
      </c>
      <c r="G2208" s="4" t="str">
        <f>HYPERLINK("http://141.218.60.56/~jnz1568/getInfo.php?workbook=20_13.xlsx&amp;sheet=U0&amp;row=2208&amp;col=7&amp;number=0.0009&amp;sourceID=14","0.0009")</f>
        <v>0.0009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HYPERLINK("http://141.218.60.56/~jnz1568/getInfo.php?workbook=20_13.xlsx&amp;sheet=U0&amp;row=2209&amp;col=6&amp;number=3.5&amp;sourceID=14","3.5")</f>
        <v>3.5</v>
      </c>
      <c r="G2209" s="4" t="str">
        <f>HYPERLINK("http://141.218.60.56/~jnz1568/getInfo.php?workbook=20_13.xlsx&amp;sheet=U0&amp;row=2209&amp;col=7&amp;number=0.000899&amp;sourceID=14","0.000899")</f>
        <v>0.000899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HYPERLINK("http://141.218.60.56/~jnz1568/getInfo.php?workbook=20_13.xlsx&amp;sheet=U0&amp;row=2210&amp;col=6&amp;number=3.6&amp;sourceID=14","3.6")</f>
        <v>3.6</v>
      </c>
      <c r="G2210" s="4" t="str">
        <f>HYPERLINK("http://141.218.60.56/~jnz1568/getInfo.php?workbook=20_13.xlsx&amp;sheet=U0&amp;row=2210&amp;col=7&amp;number=0.000898&amp;sourceID=14","0.000898")</f>
        <v>0.000898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HYPERLINK("http://141.218.60.56/~jnz1568/getInfo.php?workbook=20_13.xlsx&amp;sheet=U0&amp;row=2211&amp;col=6&amp;number=3.7&amp;sourceID=14","3.7")</f>
        <v>3.7</v>
      </c>
      <c r="G2211" s="4" t="str">
        <f>HYPERLINK("http://141.218.60.56/~jnz1568/getInfo.php?workbook=20_13.xlsx&amp;sheet=U0&amp;row=2211&amp;col=7&amp;number=0.000897&amp;sourceID=14","0.000897")</f>
        <v>0.000897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HYPERLINK("http://141.218.60.56/~jnz1568/getInfo.php?workbook=20_13.xlsx&amp;sheet=U0&amp;row=2212&amp;col=6&amp;number=3.8&amp;sourceID=14","3.8")</f>
        <v>3.8</v>
      </c>
      <c r="G2212" s="4" t="str">
        <f>HYPERLINK("http://141.218.60.56/~jnz1568/getInfo.php?workbook=20_13.xlsx&amp;sheet=U0&amp;row=2212&amp;col=7&amp;number=0.000896&amp;sourceID=14","0.000896")</f>
        <v>0.000896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HYPERLINK("http://141.218.60.56/~jnz1568/getInfo.php?workbook=20_13.xlsx&amp;sheet=U0&amp;row=2213&amp;col=6&amp;number=3.9&amp;sourceID=14","3.9")</f>
        <v>3.9</v>
      </c>
      <c r="G2213" s="4" t="str">
        <f>HYPERLINK("http://141.218.60.56/~jnz1568/getInfo.php?workbook=20_13.xlsx&amp;sheet=U0&amp;row=2213&amp;col=7&amp;number=0.000894&amp;sourceID=14","0.000894")</f>
        <v>0.000894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HYPERLINK("http://141.218.60.56/~jnz1568/getInfo.php?workbook=20_13.xlsx&amp;sheet=U0&amp;row=2214&amp;col=6&amp;number=4&amp;sourceID=14","4")</f>
        <v>4</v>
      </c>
      <c r="G2214" s="4" t="str">
        <f>HYPERLINK("http://141.218.60.56/~jnz1568/getInfo.php?workbook=20_13.xlsx&amp;sheet=U0&amp;row=2214&amp;col=7&amp;number=0.000892&amp;sourceID=14","0.000892")</f>
        <v>0.000892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HYPERLINK("http://141.218.60.56/~jnz1568/getInfo.php?workbook=20_13.xlsx&amp;sheet=U0&amp;row=2215&amp;col=6&amp;number=4.1&amp;sourceID=14","4.1")</f>
        <v>4.1</v>
      </c>
      <c r="G2215" s="4" t="str">
        <f>HYPERLINK("http://141.218.60.56/~jnz1568/getInfo.php?workbook=20_13.xlsx&amp;sheet=U0&amp;row=2215&amp;col=7&amp;number=0.000889&amp;sourceID=14","0.000889")</f>
        <v>0.000889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HYPERLINK("http://141.218.60.56/~jnz1568/getInfo.php?workbook=20_13.xlsx&amp;sheet=U0&amp;row=2216&amp;col=6&amp;number=4.2&amp;sourceID=14","4.2")</f>
        <v>4.2</v>
      </c>
      <c r="G2216" s="4" t="str">
        <f>HYPERLINK("http://141.218.60.56/~jnz1568/getInfo.php?workbook=20_13.xlsx&amp;sheet=U0&amp;row=2216&amp;col=7&amp;number=0.000885&amp;sourceID=14","0.000885")</f>
        <v>0.000885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HYPERLINK("http://141.218.60.56/~jnz1568/getInfo.php?workbook=20_13.xlsx&amp;sheet=U0&amp;row=2217&amp;col=6&amp;number=4.3&amp;sourceID=14","4.3")</f>
        <v>4.3</v>
      </c>
      <c r="G2217" s="4" t="str">
        <f>HYPERLINK("http://141.218.60.56/~jnz1568/getInfo.php?workbook=20_13.xlsx&amp;sheet=U0&amp;row=2217&amp;col=7&amp;number=0.000881&amp;sourceID=14","0.000881")</f>
        <v>0.000881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HYPERLINK("http://141.218.60.56/~jnz1568/getInfo.php?workbook=20_13.xlsx&amp;sheet=U0&amp;row=2218&amp;col=6&amp;number=4.4&amp;sourceID=14","4.4")</f>
        <v>4.4</v>
      </c>
      <c r="G2218" s="4" t="str">
        <f>HYPERLINK("http://141.218.60.56/~jnz1568/getInfo.php?workbook=20_13.xlsx&amp;sheet=U0&amp;row=2218&amp;col=7&amp;number=0.000875&amp;sourceID=14","0.000875")</f>
        <v>0.000875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HYPERLINK("http://141.218.60.56/~jnz1568/getInfo.php?workbook=20_13.xlsx&amp;sheet=U0&amp;row=2219&amp;col=6&amp;number=4.5&amp;sourceID=14","4.5")</f>
        <v>4.5</v>
      </c>
      <c r="G2219" s="4" t="str">
        <f>HYPERLINK("http://141.218.60.56/~jnz1568/getInfo.php?workbook=20_13.xlsx&amp;sheet=U0&amp;row=2219&amp;col=7&amp;number=0.000868&amp;sourceID=14","0.000868")</f>
        <v>0.000868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HYPERLINK("http://141.218.60.56/~jnz1568/getInfo.php?workbook=20_13.xlsx&amp;sheet=U0&amp;row=2220&amp;col=6&amp;number=4.6&amp;sourceID=14","4.6")</f>
        <v>4.6</v>
      </c>
      <c r="G2220" s="4" t="str">
        <f>HYPERLINK("http://141.218.60.56/~jnz1568/getInfo.php?workbook=20_13.xlsx&amp;sheet=U0&amp;row=2220&amp;col=7&amp;number=0.000859&amp;sourceID=14","0.000859")</f>
        <v>0.000859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HYPERLINK("http://141.218.60.56/~jnz1568/getInfo.php?workbook=20_13.xlsx&amp;sheet=U0&amp;row=2221&amp;col=6&amp;number=4.7&amp;sourceID=14","4.7")</f>
        <v>4.7</v>
      </c>
      <c r="G2221" s="4" t="str">
        <f>HYPERLINK("http://141.218.60.56/~jnz1568/getInfo.php?workbook=20_13.xlsx&amp;sheet=U0&amp;row=2221&amp;col=7&amp;number=0.000848&amp;sourceID=14","0.000848")</f>
        <v>0.000848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HYPERLINK("http://141.218.60.56/~jnz1568/getInfo.php?workbook=20_13.xlsx&amp;sheet=U0&amp;row=2222&amp;col=6&amp;number=4.8&amp;sourceID=14","4.8")</f>
        <v>4.8</v>
      </c>
      <c r="G2222" s="4" t="str">
        <f>HYPERLINK("http://141.218.60.56/~jnz1568/getInfo.php?workbook=20_13.xlsx&amp;sheet=U0&amp;row=2222&amp;col=7&amp;number=0.000835&amp;sourceID=14","0.000835")</f>
        <v>0.000835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HYPERLINK("http://141.218.60.56/~jnz1568/getInfo.php?workbook=20_13.xlsx&amp;sheet=U0&amp;row=2223&amp;col=6&amp;number=4.9&amp;sourceID=14","4.9")</f>
        <v>4.9</v>
      </c>
      <c r="G2223" s="4" t="str">
        <f>HYPERLINK("http://141.218.60.56/~jnz1568/getInfo.php?workbook=20_13.xlsx&amp;sheet=U0&amp;row=2223&amp;col=7&amp;number=0.000819&amp;sourceID=14","0.000819")</f>
        <v>0.000819</v>
      </c>
    </row>
    <row r="2224" spans="1:7">
      <c r="A2224" s="3">
        <v>20</v>
      </c>
      <c r="B2224" s="3">
        <v>13</v>
      </c>
      <c r="C2224" s="3">
        <v>21</v>
      </c>
      <c r="D2224" s="3">
        <v>38</v>
      </c>
      <c r="E2224" s="3">
        <v>1</v>
      </c>
      <c r="F2224" s="4" t="str">
        <f>HYPERLINK("http://141.218.60.56/~jnz1568/getInfo.php?workbook=20_13.xlsx&amp;sheet=U0&amp;row=2224&amp;col=6&amp;number=3&amp;sourceID=14","3")</f>
        <v>3</v>
      </c>
      <c r="G2224" s="4" t="str">
        <f>HYPERLINK("http://141.218.60.56/~jnz1568/getInfo.php?workbook=20_13.xlsx&amp;sheet=U0&amp;row=2224&amp;col=7&amp;number=0.0569&amp;sourceID=14","0.0569")</f>
        <v>0.0569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HYPERLINK("http://141.218.60.56/~jnz1568/getInfo.php?workbook=20_13.xlsx&amp;sheet=U0&amp;row=2225&amp;col=6&amp;number=3.1&amp;sourceID=14","3.1")</f>
        <v>3.1</v>
      </c>
      <c r="G2225" s="4" t="str">
        <f>HYPERLINK("http://141.218.60.56/~jnz1568/getInfo.php?workbook=20_13.xlsx&amp;sheet=U0&amp;row=2225&amp;col=7&amp;number=0.0569&amp;sourceID=14","0.0569")</f>
        <v>0.0569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HYPERLINK("http://141.218.60.56/~jnz1568/getInfo.php?workbook=20_13.xlsx&amp;sheet=U0&amp;row=2226&amp;col=6&amp;number=3.2&amp;sourceID=14","3.2")</f>
        <v>3.2</v>
      </c>
      <c r="G2226" s="4" t="str">
        <f>HYPERLINK("http://141.218.60.56/~jnz1568/getInfo.php?workbook=20_13.xlsx&amp;sheet=U0&amp;row=2226&amp;col=7&amp;number=0.0568&amp;sourceID=14","0.0568")</f>
        <v>0.0568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HYPERLINK("http://141.218.60.56/~jnz1568/getInfo.php?workbook=20_13.xlsx&amp;sheet=U0&amp;row=2227&amp;col=6&amp;number=3.3&amp;sourceID=14","3.3")</f>
        <v>3.3</v>
      </c>
      <c r="G2227" s="4" t="str">
        <f>HYPERLINK("http://141.218.60.56/~jnz1568/getInfo.php?workbook=20_13.xlsx&amp;sheet=U0&amp;row=2227&amp;col=7&amp;number=0.0568&amp;sourceID=14","0.0568")</f>
        <v>0.0568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HYPERLINK("http://141.218.60.56/~jnz1568/getInfo.php?workbook=20_13.xlsx&amp;sheet=U0&amp;row=2228&amp;col=6&amp;number=3.4&amp;sourceID=14","3.4")</f>
        <v>3.4</v>
      </c>
      <c r="G2228" s="4" t="str">
        <f>HYPERLINK("http://141.218.60.56/~jnz1568/getInfo.php?workbook=20_13.xlsx&amp;sheet=U0&amp;row=2228&amp;col=7&amp;number=0.0568&amp;sourceID=14","0.0568")</f>
        <v>0.0568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HYPERLINK("http://141.218.60.56/~jnz1568/getInfo.php?workbook=20_13.xlsx&amp;sheet=U0&amp;row=2229&amp;col=6&amp;number=3.5&amp;sourceID=14","3.5")</f>
        <v>3.5</v>
      </c>
      <c r="G2229" s="4" t="str">
        <f>HYPERLINK("http://141.218.60.56/~jnz1568/getInfo.php?workbook=20_13.xlsx&amp;sheet=U0&amp;row=2229&amp;col=7&amp;number=0.0567&amp;sourceID=14","0.0567")</f>
        <v>0.0567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HYPERLINK("http://141.218.60.56/~jnz1568/getInfo.php?workbook=20_13.xlsx&amp;sheet=U0&amp;row=2230&amp;col=6&amp;number=3.6&amp;sourceID=14","3.6")</f>
        <v>3.6</v>
      </c>
      <c r="G2230" s="4" t="str">
        <f>HYPERLINK("http://141.218.60.56/~jnz1568/getInfo.php?workbook=20_13.xlsx&amp;sheet=U0&amp;row=2230&amp;col=7&amp;number=0.0567&amp;sourceID=14","0.0567")</f>
        <v>0.0567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HYPERLINK("http://141.218.60.56/~jnz1568/getInfo.php?workbook=20_13.xlsx&amp;sheet=U0&amp;row=2231&amp;col=6&amp;number=3.7&amp;sourceID=14","3.7")</f>
        <v>3.7</v>
      </c>
      <c r="G2231" s="4" t="str">
        <f>HYPERLINK("http://141.218.60.56/~jnz1568/getInfo.php?workbook=20_13.xlsx&amp;sheet=U0&amp;row=2231&amp;col=7&amp;number=0.0566&amp;sourceID=14","0.0566")</f>
        <v>0.0566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HYPERLINK("http://141.218.60.56/~jnz1568/getInfo.php?workbook=20_13.xlsx&amp;sheet=U0&amp;row=2232&amp;col=6&amp;number=3.8&amp;sourceID=14","3.8")</f>
        <v>3.8</v>
      </c>
      <c r="G2232" s="4" t="str">
        <f>HYPERLINK("http://141.218.60.56/~jnz1568/getInfo.php?workbook=20_13.xlsx&amp;sheet=U0&amp;row=2232&amp;col=7&amp;number=0.0566&amp;sourceID=14","0.0566")</f>
        <v>0.0566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HYPERLINK("http://141.218.60.56/~jnz1568/getInfo.php?workbook=20_13.xlsx&amp;sheet=U0&amp;row=2233&amp;col=6&amp;number=3.9&amp;sourceID=14","3.9")</f>
        <v>3.9</v>
      </c>
      <c r="G2233" s="4" t="str">
        <f>HYPERLINK("http://141.218.60.56/~jnz1568/getInfo.php?workbook=20_13.xlsx&amp;sheet=U0&amp;row=2233&amp;col=7&amp;number=0.0565&amp;sourceID=14","0.0565")</f>
        <v>0.0565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HYPERLINK("http://141.218.60.56/~jnz1568/getInfo.php?workbook=20_13.xlsx&amp;sheet=U0&amp;row=2234&amp;col=6&amp;number=4&amp;sourceID=14","4")</f>
        <v>4</v>
      </c>
      <c r="G2234" s="4" t="str">
        <f>HYPERLINK("http://141.218.60.56/~jnz1568/getInfo.php?workbook=20_13.xlsx&amp;sheet=U0&amp;row=2234&amp;col=7&amp;number=0.0563&amp;sourceID=14","0.0563")</f>
        <v>0.0563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HYPERLINK("http://141.218.60.56/~jnz1568/getInfo.php?workbook=20_13.xlsx&amp;sheet=U0&amp;row=2235&amp;col=6&amp;number=4.1&amp;sourceID=14","4.1")</f>
        <v>4.1</v>
      </c>
      <c r="G2235" s="4" t="str">
        <f>HYPERLINK("http://141.218.60.56/~jnz1568/getInfo.php?workbook=20_13.xlsx&amp;sheet=U0&amp;row=2235&amp;col=7&amp;number=0.0562&amp;sourceID=14","0.0562")</f>
        <v>0.0562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HYPERLINK("http://141.218.60.56/~jnz1568/getInfo.php?workbook=20_13.xlsx&amp;sheet=U0&amp;row=2236&amp;col=6&amp;number=4.2&amp;sourceID=14","4.2")</f>
        <v>4.2</v>
      </c>
      <c r="G2236" s="4" t="str">
        <f>HYPERLINK("http://141.218.60.56/~jnz1568/getInfo.php?workbook=20_13.xlsx&amp;sheet=U0&amp;row=2236&amp;col=7&amp;number=0.056&amp;sourceID=14","0.056")</f>
        <v>0.056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HYPERLINK("http://141.218.60.56/~jnz1568/getInfo.php?workbook=20_13.xlsx&amp;sheet=U0&amp;row=2237&amp;col=6&amp;number=4.3&amp;sourceID=14","4.3")</f>
        <v>4.3</v>
      </c>
      <c r="G2237" s="4" t="str">
        <f>HYPERLINK("http://141.218.60.56/~jnz1568/getInfo.php?workbook=20_13.xlsx&amp;sheet=U0&amp;row=2237&amp;col=7&amp;number=0.0558&amp;sourceID=14","0.0558")</f>
        <v>0.0558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HYPERLINK("http://141.218.60.56/~jnz1568/getInfo.php?workbook=20_13.xlsx&amp;sheet=U0&amp;row=2238&amp;col=6&amp;number=4.4&amp;sourceID=14","4.4")</f>
        <v>4.4</v>
      </c>
      <c r="G2238" s="4" t="str">
        <f>HYPERLINK("http://141.218.60.56/~jnz1568/getInfo.php?workbook=20_13.xlsx&amp;sheet=U0&amp;row=2238&amp;col=7&amp;number=0.0555&amp;sourceID=14","0.0555")</f>
        <v>0.0555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HYPERLINK("http://141.218.60.56/~jnz1568/getInfo.php?workbook=20_13.xlsx&amp;sheet=U0&amp;row=2239&amp;col=6&amp;number=4.5&amp;sourceID=14","4.5")</f>
        <v>4.5</v>
      </c>
      <c r="G2239" s="4" t="str">
        <f>HYPERLINK("http://141.218.60.56/~jnz1568/getInfo.php?workbook=20_13.xlsx&amp;sheet=U0&amp;row=2239&amp;col=7&amp;number=0.0551&amp;sourceID=14","0.0551")</f>
        <v>0.0551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HYPERLINK("http://141.218.60.56/~jnz1568/getInfo.php?workbook=20_13.xlsx&amp;sheet=U0&amp;row=2240&amp;col=6&amp;number=4.6&amp;sourceID=14","4.6")</f>
        <v>4.6</v>
      </c>
      <c r="G2240" s="4" t="str">
        <f>HYPERLINK("http://141.218.60.56/~jnz1568/getInfo.php?workbook=20_13.xlsx&amp;sheet=U0&amp;row=2240&amp;col=7&amp;number=0.0546&amp;sourceID=14","0.0546")</f>
        <v>0.0546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HYPERLINK("http://141.218.60.56/~jnz1568/getInfo.php?workbook=20_13.xlsx&amp;sheet=U0&amp;row=2241&amp;col=6&amp;number=4.7&amp;sourceID=14","4.7")</f>
        <v>4.7</v>
      </c>
      <c r="G2241" s="4" t="str">
        <f>HYPERLINK("http://141.218.60.56/~jnz1568/getInfo.php?workbook=20_13.xlsx&amp;sheet=U0&amp;row=2241&amp;col=7&amp;number=0.0541&amp;sourceID=14","0.0541")</f>
        <v>0.0541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HYPERLINK("http://141.218.60.56/~jnz1568/getInfo.php?workbook=20_13.xlsx&amp;sheet=U0&amp;row=2242&amp;col=6&amp;number=4.8&amp;sourceID=14","4.8")</f>
        <v>4.8</v>
      </c>
      <c r="G2242" s="4" t="str">
        <f>HYPERLINK("http://141.218.60.56/~jnz1568/getInfo.php?workbook=20_13.xlsx&amp;sheet=U0&amp;row=2242&amp;col=7&amp;number=0.0534&amp;sourceID=14","0.0534")</f>
        <v>0.0534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HYPERLINK("http://141.218.60.56/~jnz1568/getInfo.php?workbook=20_13.xlsx&amp;sheet=U0&amp;row=2243&amp;col=6&amp;number=4.9&amp;sourceID=14","4.9")</f>
        <v>4.9</v>
      </c>
      <c r="G2243" s="4" t="str">
        <f>HYPERLINK("http://141.218.60.56/~jnz1568/getInfo.php?workbook=20_13.xlsx&amp;sheet=U0&amp;row=2243&amp;col=7&amp;number=0.0525&amp;sourceID=14","0.0525")</f>
        <v>0.0525</v>
      </c>
    </row>
    <row r="2244" spans="1:7">
      <c r="A2244" s="3">
        <v>20</v>
      </c>
      <c r="B2244" s="3">
        <v>13</v>
      </c>
      <c r="C2244" s="3">
        <v>21</v>
      </c>
      <c r="D2244" s="3">
        <v>39</v>
      </c>
      <c r="E2244" s="3">
        <v>1</v>
      </c>
      <c r="F2244" s="4" t="str">
        <f>HYPERLINK("http://141.218.60.56/~jnz1568/getInfo.php?workbook=20_13.xlsx&amp;sheet=U0&amp;row=2244&amp;col=6&amp;number=3&amp;sourceID=14","3")</f>
        <v>3</v>
      </c>
      <c r="G2244" s="4" t="str">
        <f>HYPERLINK("http://141.218.60.56/~jnz1568/getInfo.php?workbook=20_13.xlsx&amp;sheet=U0&amp;row=2244&amp;col=7&amp;number=0.0235&amp;sourceID=14","0.0235")</f>
        <v>0.0235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HYPERLINK("http://141.218.60.56/~jnz1568/getInfo.php?workbook=20_13.xlsx&amp;sheet=U0&amp;row=2245&amp;col=6&amp;number=3.1&amp;sourceID=14","3.1")</f>
        <v>3.1</v>
      </c>
      <c r="G2245" s="4" t="str">
        <f>HYPERLINK("http://141.218.60.56/~jnz1568/getInfo.php?workbook=20_13.xlsx&amp;sheet=U0&amp;row=2245&amp;col=7&amp;number=0.0234&amp;sourceID=14","0.0234")</f>
        <v>0.0234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HYPERLINK("http://141.218.60.56/~jnz1568/getInfo.php?workbook=20_13.xlsx&amp;sheet=U0&amp;row=2246&amp;col=6&amp;number=3.2&amp;sourceID=14","3.2")</f>
        <v>3.2</v>
      </c>
      <c r="G2246" s="4" t="str">
        <f>HYPERLINK("http://141.218.60.56/~jnz1568/getInfo.php?workbook=20_13.xlsx&amp;sheet=U0&amp;row=2246&amp;col=7&amp;number=0.0234&amp;sourceID=14","0.0234")</f>
        <v>0.0234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HYPERLINK("http://141.218.60.56/~jnz1568/getInfo.php?workbook=20_13.xlsx&amp;sheet=U0&amp;row=2247&amp;col=6&amp;number=3.3&amp;sourceID=14","3.3")</f>
        <v>3.3</v>
      </c>
      <c r="G2247" s="4" t="str">
        <f>HYPERLINK("http://141.218.60.56/~jnz1568/getInfo.php?workbook=20_13.xlsx&amp;sheet=U0&amp;row=2247&amp;col=7&amp;number=0.0234&amp;sourceID=14","0.0234")</f>
        <v>0.0234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HYPERLINK("http://141.218.60.56/~jnz1568/getInfo.php?workbook=20_13.xlsx&amp;sheet=U0&amp;row=2248&amp;col=6&amp;number=3.4&amp;sourceID=14","3.4")</f>
        <v>3.4</v>
      </c>
      <c r="G2248" s="4" t="str">
        <f>HYPERLINK("http://141.218.60.56/~jnz1568/getInfo.php?workbook=20_13.xlsx&amp;sheet=U0&amp;row=2248&amp;col=7&amp;number=0.0234&amp;sourceID=14","0.0234")</f>
        <v>0.0234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HYPERLINK("http://141.218.60.56/~jnz1568/getInfo.php?workbook=20_13.xlsx&amp;sheet=U0&amp;row=2249&amp;col=6&amp;number=3.5&amp;sourceID=14","3.5")</f>
        <v>3.5</v>
      </c>
      <c r="G2249" s="4" t="str">
        <f>HYPERLINK("http://141.218.60.56/~jnz1568/getInfo.php?workbook=20_13.xlsx&amp;sheet=U0&amp;row=2249&amp;col=7&amp;number=0.0234&amp;sourceID=14","0.0234")</f>
        <v>0.0234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HYPERLINK("http://141.218.60.56/~jnz1568/getInfo.php?workbook=20_13.xlsx&amp;sheet=U0&amp;row=2250&amp;col=6&amp;number=3.6&amp;sourceID=14","3.6")</f>
        <v>3.6</v>
      </c>
      <c r="G2250" s="4" t="str">
        <f>HYPERLINK("http://141.218.60.56/~jnz1568/getInfo.php?workbook=20_13.xlsx&amp;sheet=U0&amp;row=2250&amp;col=7&amp;number=0.0234&amp;sourceID=14","0.0234")</f>
        <v>0.0234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HYPERLINK("http://141.218.60.56/~jnz1568/getInfo.php?workbook=20_13.xlsx&amp;sheet=U0&amp;row=2251&amp;col=6&amp;number=3.7&amp;sourceID=14","3.7")</f>
        <v>3.7</v>
      </c>
      <c r="G2251" s="4" t="str">
        <f>HYPERLINK("http://141.218.60.56/~jnz1568/getInfo.php?workbook=20_13.xlsx&amp;sheet=U0&amp;row=2251&amp;col=7&amp;number=0.0233&amp;sourceID=14","0.0233")</f>
        <v>0.0233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HYPERLINK("http://141.218.60.56/~jnz1568/getInfo.php?workbook=20_13.xlsx&amp;sheet=U0&amp;row=2252&amp;col=6&amp;number=3.8&amp;sourceID=14","3.8")</f>
        <v>3.8</v>
      </c>
      <c r="G2252" s="4" t="str">
        <f>HYPERLINK("http://141.218.60.56/~jnz1568/getInfo.php?workbook=20_13.xlsx&amp;sheet=U0&amp;row=2252&amp;col=7&amp;number=0.0233&amp;sourceID=14","0.0233")</f>
        <v>0.0233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HYPERLINK("http://141.218.60.56/~jnz1568/getInfo.php?workbook=20_13.xlsx&amp;sheet=U0&amp;row=2253&amp;col=6&amp;number=3.9&amp;sourceID=14","3.9")</f>
        <v>3.9</v>
      </c>
      <c r="G2253" s="4" t="str">
        <f>HYPERLINK("http://141.218.60.56/~jnz1568/getInfo.php?workbook=20_13.xlsx&amp;sheet=U0&amp;row=2253&amp;col=7&amp;number=0.0232&amp;sourceID=14","0.0232")</f>
        <v>0.0232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HYPERLINK("http://141.218.60.56/~jnz1568/getInfo.php?workbook=20_13.xlsx&amp;sheet=U0&amp;row=2254&amp;col=6&amp;number=4&amp;sourceID=14","4")</f>
        <v>4</v>
      </c>
      <c r="G2254" s="4" t="str">
        <f>HYPERLINK("http://141.218.60.56/~jnz1568/getInfo.php?workbook=20_13.xlsx&amp;sheet=U0&amp;row=2254&amp;col=7&amp;number=0.0232&amp;sourceID=14","0.0232")</f>
        <v>0.0232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HYPERLINK("http://141.218.60.56/~jnz1568/getInfo.php?workbook=20_13.xlsx&amp;sheet=U0&amp;row=2255&amp;col=6&amp;number=4.1&amp;sourceID=14","4.1")</f>
        <v>4.1</v>
      </c>
      <c r="G2255" s="4" t="str">
        <f>HYPERLINK("http://141.218.60.56/~jnz1568/getInfo.php?workbook=20_13.xlsx&amp;sheet=U0&amp;row=2255&amp;col=7&amp;number=0.0231&amp;sourceID=14","0.0231")</f>
        <v>0.0231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HYPERLINK("http://141.218.60.56/~jnz1568/getInfo.php?workbook=20_13.xlsx&amp;sheet=U0&amp;row=2256&amp;col=6&amp;number=4.2&amp;sourceID=14","4.2")</f>
        <v>4.2</v>
      </c>
      <c r="G2256" s="4" t="str">
        <f>HYPERLINK("http://141.218.60.56/~jnz1568/getInfo.php?workbook=20_13.xlsx&amp;sheet=U0&amp;row=2256&amp;col=7&amp;number=0.023&amp;sourceID=14","0.023")</f>
        <v>0.023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HYPERLINK("http://141.218.60.56/~jnz1568/getInfo.php?workbook=20_13.xlsx&amp;sheet=U0&amp;row=2257&amp;col=6&amp;number=4.3&amp;sourceID=14","4.3")</f>
        <v>4.3</v>
      </c>
      <c r="G2257" s="4" t="str">
        <f>HYPERLINK("http://141.218.60.56/~jnz1568/getInfo.php?workbook=20_13.xlsx&amp;sheet=U0&amp;row=2257&amp;col=7&amp;number=0.0228&amp;sourceID=14","0.0228")</f>
        <v>0.0228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HYPERLINK("http://141.218.60.56/~jnz1568/getInfo.php?workbook=20_13.xlsx&amp;sheet=U0&amp;row=2258&amp;col=6&amp;number=4.4&amp;sourceID=14","4.4")</f>
        <v>4.4</v>
      </c>
      <c r="G2258" s="4" t="str">
        <f>HYPERLINK("http://141.218.60.56/~jnz1568/getInfo.php?workbook=20_13.xlsx&amp;sheet=U0&amp;row=2258&amp;col=7&amp;number=0.0227&amp;sourceID=14","0.0227")</f>
        <v>0.0227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HYPERLINK("http://141.218.60.56/~jnz1568/getInfo.php?workbook=20_13.xlsx&amp;sheet=U0&amp;row=2259&amp;col=6&amp;number=4.5&amp;sourceID=14","4.5")</f>
        <v>4.5</v>
      </c>
      <c r="G2259" s="4" t="str">
        <f>HYPERLINK("http://141.218.60.56/~jnz1568/getInfo.php?workbook=20_13.xlsx&amp;sheet=U0&amp;row=2259&amp;col=7&amp;number=0.0225&amp;sourceID=14","0.0225")</f>
        <v>0.0225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HYPERLINK("http://141.218.60.56/~jnz1568/getInfo.php?workbook=20_13.xlsx&amp;sheet=U0&amp;row=2260&amp;col=6&amp;number=4.6&amp;sourceID=14","4.6")</f>
        <v>4.6</v>
      </c>
      <c r="G2260" s="4" t="str">
        <f>HYPERLINK("http://141.218.60.56/~jnz1568/getInfo.php?workbook=20_13.xlsx&amp;sheet=U0&amp;row=2260&amp;col=7&amp;number=0.0222&amp;sourceID=14","0.0222")</f>
        <v>0.0222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HYPERLINK("http://141.218.60.56/~jnz1568/getInfo.php?workbook=20_13.xlsx&amp;sheet=U0&amp;row=2261&amp;col=6&amp;number=4.7&amp;sourceID=14","4.7")</f>
        <v>4.7</v>
      </c>
      <c r="G2261" s="4" t="str">
        <f>HYPERLINK("http://141.218.60.56/~jnz1568/getInfo.php?workbook=20_13.xlsx&amp;sheet=U0&amp;row=2261&amp;col=7&amp;number=0.0219&amp;sourceID=14","0.0219")</f>
        <v>0.0219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HYPERLINK("http://141.218.60.56/~jnz1568/getInfo.php?workbook=20_13.xlsx&amp;sheet=U0&amp;row=2262&amp;col=6&amp;number=4.8&amp;sourceID=14","4.8")</f>
        <v>4.8</v>
      </c>
      <c r="G2262" s="4" t="str">
        <f>HYPERLINK("http://141.218.60.56/~jnz1568/getInfo.php?workbook=20_13.xlsx&amp;sheet=U0&amp;row=2262&amp;col=7&amp;number=0.0215&amp;sourceID=14","0.0215")</f>
        <v>0.0215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HYPERLINK("http://141.218.60.56/~jnz1568/getInfo.php?workbook=20_13.xlsx&amp;sheet=U0&amp;row=2263&amp;col=6&amp;number=4.9&amp;sourceID=14","4.9")</f>
        <v>4.9</v>
      </c>
      <c r="G2263" s="4" t="str">
        <f>HYPERLINK("http://141.218.60.56/~jnz1568/getInfo.php?workbook=20_13.xlsx&amp;sheet=U0&amp;row=2263&amp;col=7&amp;number=0.021&amp;sourceID=14","0.021")</f>
        <v>0.021</v>
      </c>
    </row>
    <row r="2264" spans="1:7">
      <c r="A2264" s="3">
        <v>20</v>
      </c>
      <c r="B2264" s="3">
        <v>13</v>
      </c>
      <c r="C2264" s="3">
        <v>21</v>
      </c>
      <c r="D2264" s="3">
        <v>40</v>
      </c>
      <c r="E2264" s="3">
        <v>1</v>
      </c>
      <c r="F2264" s="4" t="str">
        <f>HYPERLINK("http://141.218.60.56/~jnz1568/getInfo.php?workbook=20_13.xlsx&amp;sheet=U0&amp;row=2264&amp;col=6&amp;number=3&amp;sourceID=14","3")</f>
        <v>3</v>
      </c>
      <c r="G2264" s="4" t="str">
        <f>HYPERLINK("http://141.218.60.56/~jnz1568/getInfo.php?workbook=20_13.xlsx&amp;sheet=U0&amp;row=2264&amp;col=7&amp;number=0.0374&amp;sourceID=14","0.0374")</f>
        <v>0.0374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HYPERLINK("http://141.218.60.56/~jnz1568/getInfo.php?workbook=20_13.xlsx&amp;sheet=U0&amp;row=2265&amp;col=6&amp;number=3.1&amp;sourceID=14","3.1")</f>
        <v>3.1</v>
      </c>
      <c r="G2265" s="4" t="str">
        <f>HYPERLINK("http://141.218.60.56/~jnz1568/getInfo.php?workbook=20_13.xlsx&amp;sheet=U0&amp;row=2265&amp;col=7&amp;number=0.0374&amp;sourceID=14","0.0374")</f>
        <v>0.0374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HYPERLINK("http://141.218.60.56/~jnz1568/getInfo.php?workbook=20_13.xlsx&amp;sheet=U0&amp;row=2266&amp;col=6&amp;number=3.2&amp;sourceID=14","3.2")</f>
        <v>3.2</v>
      </c>
      <c r="G2266" s="4" t="str">
        <f>HYPERLINK("http://141.218.60.56/~jnz1568/getInfo.php?workbook=20_13.xlsx&amp;sheet=U0&amp;row=2266&amp;col=7&amp;number=0.0373&amp;sourceID=14","0.0373")</f>
        <v>0.0373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HYPERLINK("http://141.218.60.56/~jnz1568/getInfo.php?workbook=20_13.xlsx&amp;sheet=U0&amp;row=2267&amp;col=6&amp;number=3.3&amp;sourceID=14","3.3")</f>
        <v>3.3</v>
      </c>
      <c r="G2267" s="4" t="str">
        <f>HYPERLINK("http://141.218.60.56/~jnz1568/getInfo.php?workbook=20_13.xlsx&amp;sheet=U0&amp;row=2267&amp;col=7&amp;number=0.0373&amp;sourceID=14","0.0373")</f>
        <v>0.0373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HYPERLINK("http://141.218.60.56/~jnz1568/getInfo.php?workbook=20_13.xlsx&amp;sheet=U0&amp;row=2268&amp;col=6&amp;number=3.4&amp;sourceID=14","3.4")</f>
        <v>3.4</v>
      </c>
      <c r="G2268" s="4" t="str">
        <f>HYPERLINK("http://141.218.60.56/~jnz1568/getInfo.php?workbook=20_13.xlsx&amp;sheet=U0&amp;row=2268&amp;col=7&amp;number=0.0373&amp;sourceID=14","0.0373")</f>
        <v>0.0373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HYPERLINK("http://141.218.60.56/~jnz1568/getInfo.php?workbook=20_13.xlsx&amp;sheet=U0&amp;row=2269&amp;col=6&amp;number=3.5&amp;sourceID=14","3.5")</f>
        <v>3.5</v>
      </c>
      <c r="G2269" s="4" t="str">
        <f>HYPERLINK("http://141.218.60.56/~jnz1568/getInfo.php?workbook=20_13.xlsx&amp;sheet=U0&amp;row=2269&amp;col=7&amp;number=0.0372&amp;sourceID=14","0.0372")</f>
        <v>0.0372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HYPERLINK("http://141.218.60.56/~jnz1568/getInfo.php?workbook=20_13.xlsx&amp;sheet=U0&amp;row=2270&amp;col=6&amp;number=3.6&amp;sourceID=14","3.6")</f>
        <v>3.6</v>
      </c>
      <c r="G2270" s="4" t="str">
        <f>HYPERLINK("http://141.218.60.56/~jnz1568/getInfo.php?workbook=20_13.xlsx&amp;sheet=U0&amp;row=2270&amp;col=7&amp;number=0.0372&amp;sourceID=14","0.0372")</f>
        <v>0.0372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HYPERLINK("http://141.218.60.56/~jnz1568/getInfo.php?workbook=20_13.xlsx&amp;sheet=U0&amp;row=2271&amp;col=6&amp;number=3.7&amp;sourceID=14","3.7")</f>
        <v>3.7</v>
      </c>
      <c r="G2271" s="4" t="str">
        <f>HYPERLINK("http://141.218.60.56/~jnz1568/getInfo.php?workbook=20_13.xlsx&amp;sheet=U0&amp;row=2271&amp;col=7&amp;number=0.0371&amp;sourceID=14","0.0371")</f>
        <v>0.0371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HYPERLINK("http://141.218.60.56/~jnz1568/getInfo.php?workbook=20_13.xlsx&amp;sheet=U0&amp;row=2272&amp;col=6&amp;number=3.8&amp;sourceID=14","3.8")</f>
        <v>3.8</v>
      </c>
      <c r="G2272" s="4" t="str">
        <f>HYPERLINK("http://141.218.60.56/~jnz1568/getInfo.php?workbook=20_13.xlsx&amp;sheet=U0&amp;row=2272&amp;col=7&amp;number=0.0371&amp;sourceID=14","0.0371")</f>
        <v>0.0371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HYPERLINK("http://141.218.60.56/~jnz1568/getInfo.php?workbook=20_13.xlsx&amp;sheet=U0&amp;row=2273&amp;col=6&amp;number=3.9&amp;sourceID=14","3.9")</f>
        <v>3.9</v>
      </c>
      <c r="G2273" s="4" t="str">
        <f>HYPERLINK("http://141.218.60.56/~jnz1568/getInfo.php?workbook=20_13.xlsx&amp;sheet=U0&amp;row=2273&amp;col=7&amp;number=0.037&amp;sourceID=14","0.037")</f>
        <v>0.037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HYPERLINK("http://141.218.60.56/~jnz1568/getInfo.php?workbook=20_13.xlsx&amp;sheet=U0&amp;row=2274&amp;col=6&amp;number=4&amp;sourceID=14","4")</f>
        <v>4</v>
      </c>
      <c r="G2274" s="4" t="str">
        <f>HYPERLINK("http://141.218.60.56/~jnz1568/getInfo.php?workbook=20_13.xlsx&amp;sheet=U0&amp;row=2274&amp;col=7&amp;number=0.0369&amp;sourceID=14","0.0369")</f>
        <v>0.0369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HYPERLINK("http://141.218.60.56/~jnz1568/getInfo.php?workbook=20_13.xlsx&amp;sheet=U0&amp;row=2275&amp;col=6&amp;number=4.1&amp;sourceID=14","4.1")</f>
        <v>4.1</v>
      </c>
      <c r="G2275" s="4" t="str">
        <f>HYPERLINK("http://141.218.60.56/~jnz1568/getInfo.php?workbook=20_13.xlsx&amp;sheet=U0&amp;row=2275&amp;col=7&amp;number=0.0367&amp;sourceID=14","0.0367")</f>
        <v>0.0367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HYPERLINK("http://141.218.60.56/~jnz1568/getInfo.php?workbook=20_13.xlsx&amp;sheet=U0&amp;row=2276&amp;col=6&amp;number=4.2&amp;sourceID=14","4.2")</f>
        <v>4.2</v>
      </c>
      <c r="G2276" s="4" t="str">
        <f>HYPERLINK("http://141.218.60.56/~jnz1568/getInfo.php?workbook=20_13.xlsx&amp;sheet=U0&amp;row=2276&amp;col=7&amp;number=0.0366&amp;sourceID=14","0.0366")</f>
        <v>0.0366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HYPERLINK("http://141.218.60.56/~jnz1568/getInfo.php?workbook=20_13.xlsx&amp;sheet=U0&amp;row=2277&amp;col=6&amp;number=4.3&amp;sourceID=14","4.3")</f>
        <v>4.3</v>
      </c>
      <c r="G2277" s="4" t="str">
        <f>HYPERLINK("http://141.218.60.56/~jnz1568/getInfo.php?workbook=20_13.xlsx&amp;sheet=U0&amp;row=2277&amp;col=7&amp;number=0.0363&amp;sourceID=14","0.0363")</f>
        <v>0.0363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HYPERLINK("http://141.218.60.56/~jnz1568/getInfo.php?workbook=20_13.xlsx&amp;sheet=U0&amp;row=2278&amp;col=6&amp;number=4.4&amp;sourceID=14","4.4")</f>
        <v>4.4</v>
      </c>
      <c r="G2278" s="4" t="str">
        <f>HYPERLINK("http://141.218.60.56/~jnz1568/getInfo.php?workbook=20_13.xlsx&amp;sheet=U0&amp;row=2278&amp;col=7&amp;number=0.0361&amp;sourceID=14","0.0361")</f>
        <v>0.0361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HYPERLINK("http://141.218.60.56/~jnz1568/getInfo.php?workbook=20_13.xlsx&amp;sheet=U0&amp;row=2279&amp;col=6&amp;number=4.5&amp;sourceID=14","4.5")</f>
        <v>4.5</v>
      </c>
      <c r="G2279" s="4" t="str">
        <f>HYPERLINK("http://141.218.60.56/~jnz1568/getInfo.php?workbook=20_13.xlsx&amp;sheet=U0&amp;row=2279&amp;col=7&amp;number=0.0357&amp;sourceID=14","0.0357")</f>
        <v>0.0357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HYPERLINK("http://141.218.60.56/~jnz1568/getInfo.php?workbook=20_13.xlsx&amp;sheet=U0&amp;row=2280&amp;col=6&amp;number=4.6&amp;sourceID=14","4.6")</f>
        <v>4.6</v>
      </c>
      <c r="G2280" s="4" t="str">
        <f>HYPERLINK("http://141.218.60.56/~jnz1568/getInfo.php?workbook=20_13.xlsx&amp;sheet=U0&amp;row=2280&amp;col=7&amp;number=0.0353&amp;sourceID=14","0.0353")</f>
        <v>0.0353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HYPERLINK("http://141.218.60.56/~jnz1568/getInfo.php?workbook=20_13.xlsx&amp;sheet=U0&amp;row=2281&amp;col=6&amp;number=4.7&amp;sourceID=14","4.7")</f>
        <v>4.7</v>
      </c>
      <c r="G2281" s="4" t="str">
        <f>HYPERLINK("http://141.218.60.56/~jnz1568/getInfo.php?workbook=20_13.xlsx&amp;sheet=U0&amp;row=2281&amp;col=7&amp;number=0.0348&amp;sourceID=14","0.0348")</f>
        <v>0.0348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HYPERLINK("http://141.218.60.56/~jnz1568/getInfo.php?workbook=20_13.xlsx&amp;sheet=U0&amp;row=2282&amp;col=6&amp;number=4.8&amp;sourceID=14","4.8")</f>
        <v>4.8</v>
      </c>
      <c r="G2282" s="4" t="str">
        <f>HYPERLINK("http://141.218.60.56/~jnz1568/getInfo.php?workbook=20_13.xlsx&amp;sheet=U0&amp;row=2282&amp;col=7&amp;number=0.0342&amp;sourceID=14","0.0342")</f>
        <v>0.0342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HYPERLINK("http://141.218.60.56/~jnz1568/getInfo.php?workbook=20_13.xlsx&amp;sheet=U0&amp;row=2283&amp;col=6&amp;number=4.9&amp;sourceID=14","4.9")</f>
        <v>4.9</v>
      </c>
      <c r="G2283" s="4" t="str">
        <f>HYPERLINK("http://141.218.60.56/~jnz1568/getInfo.php?workbook=20_13.xlsx&amp;sheet=U0&amp;row=2283&amp;col=7&amp;number=0.0334&amp;sourceID=14","0.0334")</f>
        <v>0.0334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2015-04-20T23:46:03Z</dcterms:created>
  <dcterms:modified xsi:type="dcterms:W3CDTF">2015-04-20T23:46:03Z</dcterms:modified>
</cp:coreProperties>
</file>